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825" yWindow="165" windowWidth="15600" windowHeight="11580" tabRatio="602" activeTab="1"/>
  </bookViews>
  <sheets>
    <sheet name="Resumo Geral" sheetId="2" r:id="rId1"/>
    <sheet name="orçamento" sheetId="1" r:id="rId2"/>
    <sheet name="BDI" sheetId="5" r:id="rId3"/>
    <sheet name="Enc. Soc. (Horista)" sheetId="6" r:id="rId4"/>
    <sheet name="Enc. Soc. (Mensalista)" sheetId="7" r:id="rId5"/>
    <sheet name="Plan1" sheetId="8" r:id="rId6"/>
  </sheets>
  <definedNames>
    <definedName name="_xlnm.Print_Area" localSheetId="3">'Enc. Soc. (Horista)'!$A$1:$C$53</definedName>
    <definedName name="_xlnm.Print_Area" localSheetId="4">'Enc. Soc. (Mensalista)'!$A$1:$C$56</definedName>
    <definedName name="_xlnm.Print_Area" localSheetId="1">orçamento!$B$1:$K$176</definedName>
    <definedName name="_xlnm.Print_Area" localSheetId="0">'Resumo Geral'!$A$1:$E$28</definedName>
    <definedName name="_xlnm.Print_Titles" localSheetId="1">orçamento!$1:$12</definedName>
    <definedName name="_xlnm.Print_Titles" localSheetId="0">'Resumo Geral'!$1:$12</definedName>
  </definedNames>
  <calcPr calcId="144525" calcMode="autoNoTable"/>
</workbook>
</file>

<file path=xl/calcChain.xml><?xml version="1.0" encoding="utf-8"?>
<calcChain xmlns="http://schemas.openxmlformats.org/spreadsheetml/2006/main">
  <c r="J45" i="1" l="1"/>
  <c r="B27" i="2" l="1"/>
  <c r="B26" i="2"/>
  <c r="B25" i="2"/>
  <c r="B24" i="2"/>
  <c r="B23" i="2"/>
  <c r="B22" i="2"/>
  <c r="B21" i="2"/>
  <c r="B20" i="2"/>
  <c r="B19" i="2"/>
  <c r="B18" i="2"/>
  <c r="B13" i="2"/>
  <c r="B17" i="2"/>
  <c r="J175" i="1"/>
  <c r="J174" i="1"/>
  <c r="J173" i="1"/>
  <c r="J171" i="1"/>
  <c r="J168" i="1"/>
  <c r="J167" i="1"/>
  <c r="J165" i="1"/>
  <c r="J164" i="1"/>
  <c r="J163" i="1"/>
  <c r="J162" i="1"/>
  <c r="J161" i="1"/>
  <c r="J157" i="1"/>
  <c r="J159" i="1"/>
  <c r="J158" i="1"/>
  <c r="J155" i="1"/>
  <c r="J154" i="1" s="1"/>
  <c r="C23" i="2" s="1"/>
  <c r="J153" i="1"/>
  <c r="J152" i="1"/>
  <c r="J151" i="1"/>
  <c r="J149" i="1"/>
  <c r="J148" i="1"/>
  <c r="J146" i="1"/>
  <c r="J145" i="1"/>
  <c r="J144" i="1"/>
  <c r="J143" i="1"/>
  <c r="J142" i="1"/>
  <c r="J141" i="1"/>
  <c r="J139" i="1"/>
  <c r="J135" i="1"/>
  <c r="J137" i="1"/>
  <c r="J136" i="1"/>
  <c r="J132" i="1"/>
  <c r="J131" i="1"/>
  <c r="J130" i="1"/>
  <c r="J169" i="1" l="1"/>
  <c r="C27" i="2" s="1"/>
  <c r="J160" i="1"/>
  <c r="C25" i="2" s="1"/>
  <c r="J166" i="1"/>
  <c r="C26" i="2" s="1"/>
  <c r="J156" i="1"/>
  <c r="C24" i="2" s="1"/>
  <c r="J147" i="1"/>
  <c r="C21" i="2" s="1"/>
  <c r="J133" i="1"/>
  <c r="C19" i="2" s="1"/>
  <c r="J150" i="1"/>
  <c r="C22" i="2" s="1"/>
  <c r="J140" i="1"/>
  <c r="C20" i="2" s="1"/>
  <c r="J129" i="1"/>
  <c r="C18" i="2" s="1"/>
  <c r="J128" i="1"/>
  <c r="J127" i="1"/>
  <c r="J126" i="1"/>
  <c r="J124" i="1"/>
  <c r="J123" i="1"/>
  <c r="J122" i="1"/>
  <c r="J121" i="1"/>
  <c r="J120" i="1"/>
  <c r="J119" i="1"/>
  <c r="J118" i="1"/>
  <c r="J116" i="1"/>
  <c r="J115" i="1"/>
  <c r="J114" i="1"/>
  <c r="J113" i="1"/>
  <c r="D116" i="1"/>
  <c r="J111" i="1"/>
  <c r="J110" i="1"/>
  <c r="J109" i="1"/>
  <c r="J108" i="1"/>
  <c r="J107" i="1"/>
  <c r="J106" i="1"/>
  <c r="J104" i="1"/>
  <c r="J103" i="1"/>
  <c r="J102" i="1"/>
  <c r="J101" i="1"/>
  <c r="J100" i="1"/>
  <c r="J99" i="1"/>
  <c r="J97" i="1"/>
  <c r="J96" i="1"/>
  <c r="J95" i="1"/>
  <c r="J93" i="1"/>
  <c r="J92" i="1"/>
  <c r="J90" i="1"/>
  <c r="J89" i="1"/>
  <c r="J88" i="1"/>
  <c r="J87" i="1"/>
  <c r="J86" i="1"/>
  <c r="J85" i="1"/>
  <c r="J83" i="1"/>
  <c r="J82" i="1"/>
  <c r="J80" i="1"/>
  <c r="J79" i="1"/>
  <c r="J78" i="1"/>
  <c r="J77" i="1"/>
  <c r="J76" i="1"/>
  <c r="J75" i="1"/>
  <c r="J73" i="1"/>
  <c r="J72" i="1"/>
  <c r="J71" i="1"/>
  <c r="J70" i="1"/>
  <c r="J69" i="1"/>
  <c r="J68" i="1"/>
  <c r="J67" i="1"/>
  <c r="J66" i="1"/>
  <c r="J65" i="1"/>
  <c r="J63" i="1"/>
  <c r="J62" i="1"/>
  <c r="J61" i="1"/>
  <c r="J60" i="1"/>
  <c r="J58" i="1"/>
  <c r="J57" i="1"/>
  <c r="J56" i="1"/>
  <c r="J55" i="1"/>
  <c r="J53" i="1"/>
  <c r="J52" i="1"/>
  <c r="J51" i="1"/>
  <c r="J49" i="1"/>
  <c r="J48" i="1"/>
  <c r="J47" i="1"/>
  <c r="J46" i="1"/>
  <c r="J44" i="1"/>
  <c r="J43" i="1"/>
  <c r="J42" i="1"/>
  <c r="J41" i="1" s="1"/>
  <c r="J19" i="1"/>
  <c r="A1" i="2"/>
  <c r="F71" i="7"/>
  <c r="F70" i="7"/>
  <c r="G14" i="7" s="1"/>
  <c r="F69" i="7"/>
  <c r="F68" i="7"/>
  <c r="G19" i="7" s="1"/>
  <c r="F67" i="7"/>
  <c r="F65" i="7"/>
  <c r="F64" i="7"/>
  <c r="F63" i="7"/>
  <c r="F45" i="7"/>
  <c r="C44" i="7"/>
  <c r="C43" i="7"/>
  <c r="C42" i="7"/>
  <c r="C41" i="7"/>
  <c r="C40" i="7"/>
  <c r="C39" i="7"/>
  <c r="C38" i="7"/>
  <c r="G22" i="7"/>
  <c r="G21" i="7"/>
  <c r="C21" i="7"/>
  <c r="G18" i="7"/>
  <c r="G17" i="7"/>
  <c r="G15" i="7"/>
  <c r="F15" i="7"/>
  <c r="G13" i="7"/>
  <c r="G12" i="7"/>
  <c r="G11" i="7"/>
  <c r="G10" i="7"/>
  <c r="G9" i="7"/>
  <c r="G8" i="7"/>
  <c r="G7" i="7"/>
  <c r="G5" i="7"/>
  <c r="F4" i="7"/>
  <c r="F62" i="6"/>
  <c r="F65" i="6" s="1"/>
  <c r="F60" i="6"/>
  <c r="F48" i="6"/>
  <c r="F66" i="6" s="1"/>
  <c r="C46" i="6"/>
  <c r="C45" i="6"/>
  <c r="C44" i="6"/>
  <c r="C43" i="6"/>
  <c r="C42" i="6"/>
  <c r="C41" i="6"/>
  <c r="C47" i="6" s="1"/>
  <c r="C37" i="6"/>
  <c r="C22" i="6"/>
  <c r="F20" i="6"/>
  <c r="F8" i="6"/>
  <c r="G9" i="6" s="1"/>
  <c r="C30" i="5"/>
  <c r="C23" i="5"/>
  <c r="C33" i="5" s="1"/>
  <c r="C29" i="7" l="1"/>
  <c r="C33" i="7" s="1"/>
  <c r="G20" i="7"/>
  <c r="C28" i="7" s="1"/>
  <c r="G6" i="7"/>
  <c r="G16" i="7" s="1"/>
  <c r="G22" i="6"/>
  <c r="G16" i="6"/>
  <c r="G15" i="6"/>
  <c r="G20" i="6"/>
  <c r="G17" i="6"/>
  <c r="G13" i="6"/>
  <c r="G18" i="6"/>
  <c r="G14" i="6"/>
  <c r="F61" i="6"/>
  <c r="C27" i="7" l="1"/>
  <c r="C23" i="7"/>
  <c r="C24" i="7" s="1"/>
  <c r="F68" i="6"/>
  <c r="F64" i="6"/>
  <c r="C32" i="7" l="1"/>
  <c r="C34" i="7" s="1"/>
  <c r="C26" i="7"/>
  <c r="C30" i="7" s="1"/>
  <c r="C35" i="7" s="1"/>
  <c r="C45" i="7" s="1"/>
  <c r="F67" i="6"/>
  <c r="G24" i="6"/>
  <c r="G27" i="6"/>
  <c r="G23" i="6"/>
  <c r="G12" i="6" l="1"/>
  <c r="G26" i="6"/>
  <c r="G19" i="6"/>
  <c r="G11" i="6"/>
  <c r="G25" i="6"/>
  <c r="I37" i="1"/>
  <c r="I28" i="1"/>
  <c r="I26" i="1"/>
  <c r="I25" i="1"/>
  <c r="I24" i="1"/>
  <c r="H38" i="1"/>
  <c r="I38" i="1" s="1"/>
  <c r="H39" i="1"/>
  <c r="I39" i="1" s="1"/>
  <c r="H40" i="1"/>
  <c r="I40" i="1" s="1"/>
  <c r="H33" i="1"/>
  <c r="I33" i="1" s="1"/>
  <c r="H34" i="1"/>
  <c r="I34" i="1" s="1"/>
  <c r="H35" i="1"/>
  <c r="I35" i="1" s="1"/>
  <c r="H36" i="1"/>
  <c r="I36" i="1" s="1"/>
  <c r="H29" i="1"/>
  <c r="I29" i="1" s="1"/>
  <c r="H30" i="1"/>
  <c r="I30" i="1" s="1"/>
  <c r="I22" i="1"/>
  <c r="G21" i="6" l="1"/>
  <c r="C28" i="6" l="1"/>
  <c r="C24" i="6"/>
  <c r="C29" i="6" s="1"/>
  <c r="C26" i="6"/>
  <c r="C27" i="6"/>
  <c r="C25" i="6"/>
  <c r="C33" i="6"/>
  <c r="C32" i="6"/>
  <c r="C31" i="6" l="1"/>
  <c r="C34" i="6" s="1"/>
  <c r="C36" i="6"/>
  <c r="C38" i="6" s="1"/>
  <c r="C39" i="6" l="1"/>
  <c r="C48" i="6" s="1"/>
  <c r="I23" i="1" l="1"/>
  <c r="I15" i="1"/>
  <c r="I17" i="1"/>
  <c r="I16" i="1"/>
  <c r="I21" i="1"/>
  <c r="I20" i="1"/>
  <c r="I14" i="1"/>
  <c r="I27" i="1" l="1"/>
  <c r="I18" i="1"/>
  <c r="B16" i="2" l="1"/>
  <c r="B15" i="2"/>
  <c r="B14" i="2"/>
  <c r="A8" i="2" l="1"/>
  <c r="A7" i="2"/>
  <c r="A6" i="2"/>
  <c r="A5" i="2"/>
  <c r="J14" i="1" l="1"/>
  <c r="J15" i="1" l="1"/>
  <c r="J16" i="1" l="1"/>
  <c r="J17" i="1" l="1"/>
  <c r="J24" i="1"/>
  <c r="J21" i="1" l="1"/>
  <c r="J25" i="1" l="1"/>
  <c r="J26" i="1" l="1"/>
  <c r="J39" i="1"/>
  <c r="J29" i="1"/>
  <c r="J34" i="1"/>
  <c r="J30" i="1" l="1"/>
  <c r="J40" i="1"/>
  <c r="J35" i="1"/>
  <c r="I13" i="1" l="1"/>
  <c r="I183" i="1" l="1"/>
  <c r="I176" i="1"/>
  <c r="J36" i="1" l="1"/>
  <c r="J20" i="1" l="1"/>
  <c r="J22" i="1" l="1"/>
  <c r="J18" i="1" s="1"/>
  <c r="C14" i="2" s="1"/>
  <c r="J23" i="1"/>
  <c r="C15" i="2" s="1"/>
  <c r="J38" i="1"/>
  <c r="J33" i="1"/>
  <c r="J28" i="1"/>
  <c r="J27" i="1" s="1"/>
  <c r="C16" i="2" s="1"/>
  <c r="J13" i="1" l="1"/>
  <c r="C13" i="2" l="1"/>
  <c r="J37" i="1"/>
  <c r="J32" i="1" s="1"/>
  <c r="C17" i="2" l="1"/>
  <c r="J176" i="1"/>
  <c r="I180" i="1"/>
  <c r="C28" i="2" l="1"/>
  <c r="D23" i="2" l="1"/>
  <c r="D22" i="2"/>
  <c r="D15" i="2"/>
  <c r="D18" i="2"/>
  <c r="D21" i="2"/>
  <c r="D26" i="2"/>
  <c r="D13" i="2"/>
  <c r="D20" i="2"/>
  <c r="D14" i="2"/>
  <c r="D25" i="2"/>
  <c r="D24" i="2"/>
  <c r="D27" i="2"/>
  <c r="D16" i="2"/>
  <c r="D19" i="2"/>
  <c r="D17" i="2"/>
  <c r="D28" i="2" l="1"/>
</calcChain>
</file>

<file path=xl/sharedStrings.xml><?xml version="1.0" encoding="utf-8"?>
<sst xmlns="http://schemas.openxmlformats.org/spreadsheetml/2006/main" count="713" uniqueCount="411">
  <si>
    <t>PLANILHA DE QUANTIDADES E PREÇOS</t>
  </si>
  <si>
    <t>ITEM</t>
  </si>
  <si>
    <t>SERVIÇOS</t>
  </si>
  <si>
    <t>1.1</t>
  </si>
  <si>
    <t>1.2</t>
  </si>
  <si>
    <t>1.3</t>
  </si>
  <si>
    <t>1.4</t>
  </si>
  <si>
    <t>m²</t>
  </si>
  <si>
    <t>m</t>
  </si>
  <si>
    <t>m³</t>
  </si>
  <si>
    <t>2.1</t>
  </si>
  <si>
    <t>2.2</t>
  </si>
  <si>
    <t>3.1</t>
  </si>
  <si>
    <t>4.1</t>
  </si>
  <si>
    <t>4.2</t>
  </si>
  <si>
    <t>6.1</t>
  </si>
  <si>
    <t>7.1</t>
  </si>
  <si>
    <t>10.1</t>
  </si>
  <si>
    <t>10.3</t>
  </si>
  <si>
    <t>11.1</t>
  </si>
  <si>
    <t>11.2</t>
  </si>
  <si>
    <t>11.3</t>
  </si>
  <si>
    <t>14.1</t>
  </si>
  <si>
    <t>15.1</t>
  </si>
  <si>
    <t>15.2</t>
  </si>
  <si>
    <t>15.3</t>
  </si>
  <si>
    <t>15.4</t>
  </si>
  <si>
    <t>17.1</t>
  </si>
  <si>
    <t/>
  </si>
  <si>
    <t>RESUMO DE ORÇAMENTO</t>
  </si>
  <si>
    <t>VALOR (R$)</t>
  </si>
  <si>
    <t>%</t>
  </si>
  <si>
    <t>ESQUADRIAS</t>
  </si>
  <si>
    <t>9.1</t>
  </si>
  <si>
    <t>cod</t>
  </si>
  <si>
    <t>8.1</t>
  </si>
  <si>
    <t>12.1</t>
  </si>
  <si>
    <t>14.2</t>
  </si>
  <si>
    <t>9.2</t>
  </si>
  <si>
    <t>9.3</t>
  </si>
  <si>
    <t>9.4</t>
  </si>
  <si>
    <t>14.3</t>
  </si>
  <si>
    <t>15.5</t>
  </si>
  <si>
    <t>DESCRIÇÃO DOS SERVIÇOS</t>
  </si>
  <si>
    <t>UNID.</t>
  </si>
  <si>
    <t>QUANT.</t>
  </si>
  <si>
    <t>UNT.</t>
  </si>
  <si>
    <t>Total</t>
  </si>
  <si>
    <t>2.3</t>
  </si>
  <si>
    <t>TOTAL GERAL COM BDI</t>
  </si>
  <si>
    <t>TOTAL GERAL C/ BDI</t>
  </si>
  <si>
    <t>1.5</t>
  </si>
  <si>
    <t>UNIT.</t>
  </si>
  <si>
    <t>PREFEITURA MUNICIPAL DE BAIÃO</t>
  </si>
  <si>
    <t>PRAZO DE EXECUÇÃO: 10 MESES</t>
  </si>
  <si>
    <t>74071/1</t>
  </si>
  <si>
    <t>VIDROS</t>
  </si>
  <si>
    <t>7.2</t>
  </si>
  <si>
    <t>7.3</t>
  </si>
  <si>
    <t>9.5</t>
  </si>
  <si>
    <t>9.6</t>
  </si>
  <si>
    <t>1.6</t>
  </si>
  <si>
    <t>2.4</t>
  </si>
  <si>
    <t>2.5</t>
  </si>
  <si>
    <t>4.3</t>
  </si>
  <si>
    <t>5.1</t>
  </si>
  <si>
    <t>5.2</t>
  </si>
  <si>
    <t>5.3</t>
  </si>
  <si>
    <t>6.2</t>
  </si>
  <si>
    <t>6.3</t>
  </si>
  <si>
    <t>17.2</t>
  </si>
  <si>
    <t>18.1</t>
  </si>
  <si>
    <t>18.2</t>
  </si>
  <si>
    <t>74209/1</t>
  </si>
  <si>
    <t>74220/1</t>
  </si>
  <si>
    <t xml:space="preserve">  H C GOMES CONSTRUTORA COMÉRCIO E SERVIÇOS EIRELI - EPP                                                                                       CNPJ: 18.235.336/0001-07, Incs. Municipal: 30.476, Trav. João Augusto, nº 847 -                                                      Bairro: São Pedro - CEP: 68.400-000 - Cametá - Pará</t>
  </si>
  <si>
    <t>COMPOSIÇÃO DE B.D.I</t>
  </si>
  <si>
    <t>CONCORRÊNCIA PÚBLICA N° 003/2015-SEMED-PMC</t>
  </si>
  <si>
    <t>LOCAL: CAMETÁ</t>
  </si>
  <si>
    <t>OBRA: OBRA:  REFORMA E AMPLIAÇÃO DE 02 SALAS DE AULA - E.M.E.F. DEOCLÉCIO FILGUEIRA DA PONTE.</t>
  </si>
  <si>
    <t>COMPOSIÇÃO DO BDI</t>
  </si>
  <si>
    <t>1 - Imposto sobre faturamento</t>
  </si>
  <si>
    <t>Percentual</t>
  </si>
  <si>
    <t>PIS</t>
  </si>
  <si>
    <t>ISS/ICMS</t>
  </si>
  <si>
    <t>CONFINS</t>
  </si>
  <si>
    <t>CPRB</t>
  </si>
  <si>
    <t>IMPOSTO DE RENDA</t>
  </si>
  <si>
    <t>CSLL</t>
  </si>
  <si>
    <t>2 - Custos Indiretos</t>
  </si>
  <si>
    <t>Administração Central</t>
  </si>
  <si>
    <t>Despesas Financeiras</t>
  </si>
  <si>
    <t>Seguros + Garantias</t>
  </si>
  <si>
    <t>Risco</t>
  </si>
  <si>
    <t>Encargos Financeiros</t>
  </si>
  <si>
    <t>3 - Bonificação</t>
  </si>
  <si>
    <t>Bonificação</t>
  </si>
  <si>
    <r>
      <t xml:space="preserve">  H C GOMES CONSTRUTORA COMÉRCIO E SERVIÇOS EIRELI - EPP</t>
    </r>
    <r>
      <rPr>
        <b/>
        <sz val="16"/>
        <rFont val="Times New Roman"/>
        <family val="1"/>
      </rPr>
      <t xml:space="preserve">                                                                                       </t>
    </r>
    <r>
      <rPr>
        <b/>
        <sz val="12"/>
        <rFont val="Times New Roman"/>
        <family val="1"/>
      </rPr>
      <t>CNPJ: 18.235.336/0001-07, Incs. Municipal: 30.476, Trav. João Augusto, nº 847 -                                                      Bairro: São Pedro - CEP: 68.400-000 - Cametá - Pará</t>
    </r>
  </si>
  <si>
    <t>COMPOSIÇÃO DE ENCARGOS - (HORISTA)</t>
  </si>
  <si>
    <t>CONCEITO DE ANO PRODUTIVO</t>
  </si>
  <si>
    <t>CONCORRÊNCIA PÚBLICA Nº 003/2015 - SEMED - PMC</t>
  </si>
  <si>
    <t>Jornada mensal de trabalho (220 horas/mês)</t>
  </si>
  <si>
    <t>horas/mês</t>
  </si>
  <si>
    <t>Jornada diária de trabalho =&gt; (220 horas/30 dias)</t>
  </si>
  <si>
    <t>horas/dia</t>
  </si>
  <si>
    <t>HORAS NÃO TRABALHADAS</t>
  </si>
  <si>
    <t>TAXAS DE LEIS SOCIAIS E RISCOS DE TRABALHO HORISTAS</t>
  </si>
  <si>
    <t>Domingos ou Repouso Semanal Remunerado</t>
  </si>
  <si>
    <t>horas</t>
  </si>
  <si>
    <t>A: Encargos Sociais Básicos</t>
  </si>
  <si>
    <t>Feriados</t>
  </si>
  <si>
    <t>12,5</t>
  </si>
  <si>
    <t>A.1</t>
  </si>
  <si>
    <t>Previdência Social (INSS)</t>
  </si>
  <si>
    <t>Auxílio Efermidade - Doença (15 dias, ocorrência de 3,40%)</t>
  </si>
  <si>
    <t>A.2</t>
  </si>
  <si>
    <t>Fundo de Garantia por Tempo de Serviço (FGTS)</t>
  </si>
  <si>
    <t>Licença Paternidade (5 dias, incidência (92,36%), proporção (85,64%) e rocorre (5,93%)</t>
  </si>
  <si>
    <t>A.3</t>
  </si>
  <si>
    <t>Salário Educação</t>
  </si>
  <si>
    <t>Licença Maternidade (120 dias, natalidade (4,33%), incidência (7,64%), proporção (82,40%)</t>
  </si>
  <si>
    <t>A.4</t>
  </si>
  <si>
    <t>Serviço Social da Industria (SESI)</t>
  </si>
  <si>
    <t>Faltas Justificadas</t>
  </si>
  <si>
    <t>A.5</t>
  </si>
  <si>
    <t>Serviço Nacional de Aprendizagem Industrial (SENAI)</t>
  </si>
  <si>
    <t>Dias de Chuvas</t>
  </si>
  <si>
    <t>A.6</t>
  </si>
  <si>
    <t>Serviço de Apoio a Pequena e Média Empresa (SEBRAE)</t>
  </si>
  <si>
    <t>Auxílio Acidente de Trabalho (incremento 3,50%)</t>
  </si>
  <si>
    <t>A.7</t>
  </si>
  <si>
    <t>Instituto Nacional de Colonização e Reforma Agraria (INCRA)</t>
  </si>
  <si>
    <t>Férias Gozadas + 1/3 Adicional</t>
  </si>
  <si>
    <t>A.8</t>
  </si>
  <si>
    <t>Seguro Contra os Acidentes de Trabalho (INSS)</t>
  </si>
  <si>
    <r>
      <t xml:space="preserve">ANO PRODUTIVO </t>
    </r>
    <r>
      <rPr>
        <sz val="9"/>
        <rFont val="Arial"/>
        <family val="2"/>
      </rPr>
      <t>(1 ano =&gt; 365 dias + 1/4 dia ano bisexto)</t>
    </r>
  </si>
  <si>
    <t>A.9</t>
  </si>
  <si>
    <t>SECONCI</t>
  </si>
  <si>
    <t>ANO PRODUTIVO MENOS HORAS NÃO TRABALHADAS</t>
  </si>
  <si>
    <t>12</t>
  </si>
  <si>
    <t>Subtotal (A)</t>
  </si>
  <si>
    <t>13º Salário (30 dias)</t>
  </si>
  <si>
    <t>B: Encargos Sociais que recebem as incidências de A</t>
  </si>
  <si>
    <t>Aviso prévio Indenizado (30 dias + 3 dias p/ano, incidência (90,00%)</t>
  </si>
  <si>
    <t>B.1</t>
  </si>
  <si>
    <t>Repouso Semanal e Feriados</t>
  </si>
  <si>
    <t>Aviso prévio trabalhado (7 dias)</t>
  </si>
  <si>
    <t>B.2</t>
  </si>
  <si>
    <t>Auxílio-enfermidade</t>
  </si>
  <si>
    <t>Férias Indenizadas + 1/3 Adicional (6,26 meses)</t>
  </si>
  <si>
    <t>B.3</t>
  </si>
  <si>
    <t>Licença-paternidade</t>
  </si>
  <si>
    <t>Depósito por Despedida Injusta</t>
  </si>
  <si>
    <t>B.4</t>
  </si>
  <si>
    <t>13º Salário</t>
  </si>
  <si>
    <t>Indenização Adicional (1/12 - adotado)</t>
  </si>
  <si>
    <t>B.5</t>
  </si>
  <si>
    <t>Dias de chuva/ falta justificadas/ acidentes de trabalho/ greves/ alta ou atraso na entrega de materiais ou serviços de obra/ outras dificuldades</t>
  </si>
  <si>
    <t>Subtotal (B)</t>
  </si>
  <si>
    <t>Legenda</t>
  </si>
  <si>
    <t>C: Encargos Sociais que não recebem as incidências globais de A</t>
  </si>
  <si>
    <t>C.1</t>
  </si>
  <si>
    <t>Depósito por despedida injusta: 50% sobre [A.2+(A.2xB)] (supondo apenas rescisões por despedida injusta)</t>
  </si>
  <si>
    <t>CUSTOS MÉDIOS ESTIMADOS</t>
  </si>
  <si>
    <t>VALORES</t>
  </si>
  <si>
    <t>C.2</t>
  </si>
  <si>
    <t>Férias (indenizadas)</t>
  </si>
  <si>
    <t>Custo Médio (un.) da Condução - C</t>
  </si>
  <si>
    <t>C.3</t>
  </si>
  <si>
    <t>Aviso Prévio Indenizado</t>
  </si>
  <si>
    <t>Número de Conduções - NC</t>
  </si>
  <si>
    <t>Subtotal (C)</t>
  </si>
  <si>
    <t>Custo Médio (un.) de um Café da Manhã - F</t>
  </si>
  <si>
    <t>D: Taxa de Reincidências</t>
  </si>
  <si>
    <t>Custo Médio (un.) da Refeição - R</t>
  </si>
  <si>
    <t>D.1</t>
  </si>
  <si>
    <t>Reincidência de A sobre B</t>
  </si>
  <si>
    <t>Número de Refeições - NR</t>
  </si>
  <si>
    <t>D.2</t>
  </si>
  <si>
    <t>Reicidência de A2 sobre C3</t>
  </si>
  <si>
    <t>Subtotal (D)</t>
  </si>
  <si>
    <t>Custo Médio (un.) do seguro - C</t>
  </si>
  <si>
    <t>TOTAL DE ENCARGOS SOCIAIS</t>
  </si>
  <si>
    <t>Custo Médio do EPI (mês)/-1/3 de calçado + 1/10 de capacete + 1/10 cinturão - K</t>
  </si>
  <si>
    <t>E: Complementos</t>
  </si>
  <si>
    <t>Salário Médio Nominal (mês)</t>
  </si>
  <si>
    <t>E.1</t>
  </si>
  <si>
    <t>Vale Transporte = (CxNCx0,06)/S%</t>
  </si>
  <si>
    <t>Ferramentas manuais</t>
  </si>
  <si>
    <t>E.2</t>
  </si>
  <si>
    <t>Vale Café da Manhâ = (FxNR-S/30x22x0,01)/S%</t>
  </si>
  <si>
    <t>E.3</t>
  </si>
  <si>
    <t>Refeição = (RxNRx0,95)/S%</t>
  </si>
  <si>
    <t>E.4</t>
  </si>
  <si>
    <t>Seguro de vida e Acidente em Grupo = C/S%</t>
  </si>
  <si>
    <t>E.5</t>
  </si>
  <si>
    <t>Equipamento de Proteção Individual = K/S%</t>
  </si>
  <si>
    <t>E.6</t>
  </si>
  <si>
    <t>Pesquisa de Dados no CAGED</t>
  </si>
  <si>
    <t>TOTAL DE COMPLEMENTOS</t>
  </si>
  <si>
    <t>TOTAL GERAL (Encargos Sociais + Complementos)</t>
  </si>
  <si>
    <t>Desligamentos</t>
  </si>
  <si>
    <t>Dispensados com Justa Causa</t>
  </si>
  <si>
    <t>Dispensados sem Justa Causa</t>
  </si>
  <si>
    <t>Espontâneos</t>
  </si>
  <si>
    <t>Fim de Contrato por Prazo Determinado</t>
  </si>
  <si>
    <t>Término de Contrato</t>
  </si>
  <si>
    <t>Aposentados</t>
  </si>
  <si>
    <t>Mortos</t>
  </si>
  <si>
    <t>Transferência de Saída</t>
  </si>
  <si>
    <t>Estoque</t>
  </si>
  <si>
    <t>Estoque Recuperado Início do Período</t>
  </si>
  <si>
    <t>Estoque Recuperado Final do Período</t>
  </si>
  <si>
    <t>Estoque Médio</t>
  </si>
  <si>
    <t>Dispensados Descontados (não considera os desligamentos espontâneos, aposentados, mortos e transferência de saída)</t>
  </si>
  <si>
    <t>Dispensados (não considera os aposentados, mortos e transferência de saída)</t>
  </si>
  <si>
    <t>Taxa de Rotatividade Descontada (apenas dispensados sem justa causa)</t>
  </si>
  <si>
    <t>Taxa de Rotatividade Não Descontada</t>
  </si>
  <si>
    <t>Desligados Espontâneos</t>
  </si>
  <si>
    <t>Duração Média de Emprego - (meses)</t>
  </si>
  <si>
    <t>Percentual de Dispensados sem Justa Causa</t>
  </si>
  <si>
    <t>COMPOSIÇÃO DE ENCARGOS - (MENSALISTA)</t>
  </si>
  <si>
    <t>TAXAS DE LEIS SOCIAIS E RISCOS DE TRABALHO MENSALISTA</t>
  </si>
  <si>
    <t>Salário</t>
  </si>
  <si>
    <t>Reicindência de A2 sobre C3</t>
  </si>
  <si>
    <t>DESPESAS GERAIS</t>
  </si>
  <si>
    <t>Placa da obra  em chapa zincada, instalada</t>
  </si>
  <si>
    <t>Barracão para escritório de obra porte pequeno s=25,41m²</t>
  </si>
  <si>
    <t>Locação de construção de edificação com gabarito de madeira</t>
  </si>
  <si>
    <t>74210/1</t>
  </si>
  <si>
    <t>Ligação provisória de energia elétrica em canteiro de obra</t>
  </si>
  <si>
    <t>MOVIMENTO DE TERRA</t>
  </si>
  <si>
    <t>Escavação Manual de vala ou cava em material de 1ª categoria, profundidade até 1,50m</t>
  </si>
  <si>
    <t>73899/2</t>
  </si>
  <si>
    <t>Apiloamento manual de fundo de vala</t>
  </si>
  <si>
    <t>Reaterro manual de valas, com compactação utilizando sêpo, sem controle do grau de compactação</t>
  </si>
  <si>
    <t>Aterro interno com apiloamento c/ transporte em carinho de mão</t>
  </si>
  <si>
    <t>74007/2</t>
  </si>
  <si>
    <t>Concreto armado - para sapatas (fck=25MPa), incluindo preparo, lançamento, adensamento e cura. Inclusive formas para reutilização 2x, conforme projeto</t>
  </si>
  <si>
    <t>Concreto armado - para vigas baldrames  (fck=25MPa), incluindo preparo, lançamento, adensamento e cura. Inclusive formas para reutilização 2x, conforme projeto</t>
  </si>
  <si>
    <t>Concreto  armado fck=25MPa fabricado na obra, adensado e lançado, para pilar, com formas planas em compensado resinado 12mm (05 usos)</t>
  </si>
  <si>
    <t>Concreto  armado fck=25MPa fabricado na obra, adensado e lançado, para vigas, com formas planas em compensado resinado 12mm (05 usos)</t>
  </si>
  <si>
    <t>Laje pré-moldada treliçada para forro (fck=25mpa), inclusive capeamento e escoramento</t>
  </si>
  <si>
    <t>INSTALAÇÕES HIDRO-SANITARIAS</t>
  </si>
  <si>
    <t>73935/1</t>
  </si>
  <si>
    <t>73862/7</t>
  </si>
  <si>
    <t>Tubo pvc rígido soldável marrom p/ água, d =  50 mm</t>
  </si>
  <si>
    <t>Tubo pvc rígido soldável marrom p/ água, d = 40 mm</t>
  </si>
  <si>
    <t>Tubo pvc rígido soldável marrom p/ água, d = 32 mm</t>
  </si>
  <si>
    <t>Tubo pvc rígido soldável marrom p/ água, d = 25 mm</t>
  </si>
  <si>
    <t>Tubo pvc rígido soldável marrom p/ água, d = 20 mm</t>
  </si>
  <si>
    <t>Adaptador de pvc rígido soldável curto c/bolsa e rosca p/ resgistro diâm = 50mm x 11/4"</t>
  </si>
  <si>
    <t>Adaptador de pvc rígido soldável curto c/bolsa e rosca p/ resgistro diâm = 25mm x 3/4"</t>
  </si>
  <si>
    <t>Adaptador de pvc rígido soldável curto c/bolsa e rosca p/ resgistro diâm = 20mm x 1/2"</t>
  </si>
  <si>
    <t>REGISTRO DE GAVETA BRUTO</t>
  </si>
  <si>
    <t>Registro de gaveta bruto, DN 40 mm (1 1/2")</t>
  </si>
  <si>
    <t>Registro de gaveta bruto, DN 50 mm (2")</t>
  </si>
  <si>
    <t>Registro de gaveta bruto, DN 60 mm (2 1/2")</t>
  </si>
  <si>
    <t>REGISTRO DE GAVETA COM ACABAMENTO</t>
  </si>
  <si>
    <t>Registro gaveta c/ canopla cromada, DN 20 mm (3/4")</t>
  </si>
  <si>
    <t>Registro gaveta c/ canopla cromada, DN 25 mm (1")</t>
  </si>
  <si>
    <t>Registro gaveta c/ canopla cromada, DN 32 mm (1 1/4")</t>
  </si>
  <si>
    <t>Registro pressão c/canopla cromada, DN 20 mm (3/4'')</t>
  </si>
  <si>
    <t xml:space="preserve">DIVERSOS - ÁGUA FRIA </t>
  </si>
  <si>
    <t>Caixa  d' água  metalica, capacidade 5.000 L - instalada, inclusive estrutura  em concreto armado  de suporte, conforme projeto</t>
  </si>
  <si>
    <t>Colocação  de Hidrômetro em  ligação  existente, c/ remanejamento p/ o muro ou fachada, inclusive  cavelete  e caixa de proteção</t>
  </si>
  <si>
    <t xml:space="preserve">Torneira de jardim, inclusive poste de proteção </t>
  </si>
  <si>
    <t>TUBO PVC SOLDÁVEL  PARA ESGOTO</t>
  </si>
  <si>
    <t>Tubo pvc rígido  c/anéis, ponta e bolsa  p/esgoto secundário, d=40mm</t>
  </si>
  <si>
    <t>Tubo pvc rígido  c/anéis, ponta e bolsa  p/esgoto secundário, d=50mm</t>
  </si>
  <si>
    <t>Tubo pvc rígido  c/anéis, ponta e bolsa  p/esgoto primário, d=75mm</t>
  </si>
  <si>
    <t>Tubo pvc rígido  c/anéis, ponta e bolsa  p/esgoto primário, d=100mm</t>
  </si>
  <si>
    <t>DIVERSOS - ESGOTO</t>
  </si>
  <si>
    <t>Caixa sifonada quadrada, com três entradas e uma saida, d = 100x100x50mm, acabamento aluminio</t>
  </si>
  <si>
    <t>Ralo sifonado em pvc d = 100 mm altura regulável, saída 40 mm, com grelha redonda acabamento cromado</t>
  </si>
  <si>
    <t>Caixa de inspeção em alvenaria (90 x 90 x 120 cm)</t>
  </si>
  <si>
    <t>Caixa de gordura em alvenaria (90 x 90 x 120 cm)</t>
  </si>
  <si>
    <t>LOUÇAS - FORNECIMENTO  E INSTALAÇÃO</t>
  </si>
  <si>
    <t>Bacia sanitaria convencional, inclusive assento, conjunto de fixação, anel de vedação, tubo de ligação com acabamento cromado e engate plástico</t>
  </si>
  <si>
    <t>Bacia sanitaria com caixa de descarga acoplada, inclusive assento, conjunto de fixação, anel de vedação, tubo de ligação e engate plástico, conforme especificações</t>
  </si>
  <si>
    <t>Lavatório c/coluna, c/sifão plástico, engate plástico torneira de metal, vávula cromada, conjunto de fixação, conforme especificações</t>
  </si>
  <si>
    <t>Lavatório s/coluna, c/sifão plástico, engate plástico torneira de metal, válvula cromada, conj. De fixação, conforme especificações, p/PNE</t>
  </si>
  <si>
    <t>Cuba de sobrepor oval, p/ instalação em bancadas, c/sifão cromado, torneira de metal, engate plástico, conforme especificações</t>
  </si>
  <si>
    <t>Tanque de louça com coluna, com torneira metálica, c/vávula de plástico e conjunto de fixação, conforme especificações</t>
  </si>
  <si>
    <t xml:space="preserve">Papeleira de louça, conforme especificações </t>
  </si>
  <si>
    <t xml:space="preserve">Cabide de louça, branco corfome especificações </t>
  </si>
  <si>
    <t>Chuveiro eletrico de plastico</t>
  </si>
  <si>
    <t>METAIS</t>
  </si>
  <si>
    <t>Torneira cromada p/pia de cozinha, de mesa, c/articulador, Diametro 1/2''</t>
  </si>
  <si>
    <t>Vávula de descarga cromada</t>
  </si>
  <si>
    <t>Fornecimento e instalação saboneteira de louça, conforme especificações</t>
  </si>
  <si>
    <t>Cuba inox de embutir, em bancada</t>
  </si>
  <si>
    <t>Barra de apoio p/deficiente em ferro galvanizado de 1 1/2", I = 80cm (bacia sanitária e mictório), inc. parafusos de fixação e pintura</t>
  </si>
  <si>
    <t>Barra de apoio p/deficiente em ferro galvanizado de 1 1/2", I = 140cm (lavatório), inc. parafusos de fixação e pintura</t>
  </si>
  <si>
    <t>ELETRODUTO DE PVC RÍGIDO</t>
  </si>
  <si>
    <t>Eletroduto de pvc rígido roscável, diâm = 40mm (1 1/4")</t>
  </si>
  <si>
    <t>Eletroduto de pvc rígido roscável, diâm = 32mm (1")</t>
  </si>
  <si>
    <t>FIOS E CABOS</t>
  </si>
  <si>
    <t>Fio isolado em pvc seção 1,5 mm² - 750v / 70 c</t>
  </si>
  <si>
    <t>Fio isolado em pvc seção 2,5 mm² - 750v / 70 c</t>
  </si>
  <si>
    <t>Fio isolado em pvc seção 4,0 mm² - 750v / 70 c</t>
  </si>
  <si>
    <t>Fio isolado em pvc seção 6,0 mm² - 750v / 70 c</t>
  </si>
  <si>
    <t>Cabo isolado em pvc seção 10,0 mm² - 750v / 70 c</t>
  </si>
  <si>
    <t>Cabo isolado em pvc seção 16,0 mm² - 750v / 70 c</t>
  </si>
  <si>
    <t>CABO TELEFÔNICO</t>
  </si>
  <si>
    <t>INSTALAÇÕES de cabo telefônico CCE 50-02</t>
  </si>
  <si>
    <t>INSTALAÇÕES de cabo telefônico CCI 50-02</t>
  </si>
  <si>
    <t>INTERRUPTOR</t>
  </si>
  <si>
    <t>Interruptor 01 seção simples</t>
  </si>
  <si>
    <t>Interruptor para ventilador</t>
  </si>
  <si>
    <t>TOMADAS DE TELEFONE DE EMBUTIR</t>
  </si>
  <si>
    <t>Tomada para telefone, com caixa pvc, embutida</t>
  </si>
  <si>
    <t>Tomada de embutir  para uso geral, 2p+t</t>
  </si>
  <si>
    <t>Tomada de embutir  para uso geral, 2p+t, dupla</t>
  </si>
  <si>
    <t>Fornecimento e assentamento de caixa pvc 4" x 2" com tampa</t>
  </si>
  <si>
    <t>Fornecimento e assentamento de caixa pvc 4" x 4" com tampa</t>
  </si>
  <si>
    <t>Fornecimento e assentamento de caixa octogonal de pvc 4" x 4"</t>
  </si>
  <si>
    <t xml:space="preserve">QDL - BLOCO ADMINISTRATIVO </t>
  </si>
  <si>
    <t>Quadro de distribuição de embutir, c/barramento, em chapa de aço, p/até 12 disjunt. Padrão europeu (linha branca), exclusive disjuntores</t>
  </si>
  <si>
    <t>Disjuntor termomagnetico tripolar 32A, padrão DIN (linha branca)</t>
  </si>
  <si>
    <t>Disjuntor termomagnetico tripolar 63A, padrão DIN (linha branca)</t>
  </si>
  <si>
    <t>Disjuntor termomagnetico monopolar 16A, padrão DIN (linha branca)</t>
  </si>
  <si>
    <t>Disjuntor termomagnetico monopolar 20A, padrão DIN (linha branca)</t>
  </si>
  <si>
    <t>Disjuntor termomagnetico tripolar 40A, padrão DIN (linha branca)</t>
  </si>
  <si>
    <t>QDL - BLOCO PEDAGÁGICO - 380 / 220 VOLTS</t>
  </si>
  <si>
    <t>QDL - BLOCO DE SERVIÇO - 380 / 220 VOLTS</t>
  </si>
  <si>
    <t>Disjuntor termomagnetico tripolar 25A, padrão DIN (linha branca)</t>
  </si>
  <si>
    <t xml:space="preserve">Luminaria fluorescente de embutir aberta 1 x 32 w, completa, conforme especificações </t>
  </si>
  <si>
    <t xml:space="preserve">Luminaria fluorescente de embutir aberta 2 x 32 w, completa, conforme especificações </t>
  </si>
  <si>
    <t>SISTEMA DE PROTEÇÃO CONTRA DESCARGA ATMOSFÉRICA</t>
  </si>
  <si>
    <t>Cabo de cobre nú 35 mm2</t>
  </si>
  <si>
    <t>Conjunto Terminal aéreo, presilha e fixação</t>
  </si>
  <si>
    <t xml:space="preserve">Conector e descida para pilares </t>
  </si>
  <si>
    <t>COBERTURA</t>
  </si>
  <si>
    <t>Telhado em telha cerâmica tipo PLAN de primeira qualidade</t>
  </si>
  <si>
    <t>Cumeeira  para telha tipo PLAN, inclusive emassamento</t>
  </si>
  <si>
    <t>Estrutura p/ telha cerâmica tipo PLAN, em madeira de lei aparelhada</t>
  </si>
  <si>
    <t>ESQUADRIAS EM MADEIRA</t>
  </si>
  <si>
    <t>8.1.1</t>
  </si>
  <si>
    <t>74067/1</t>
  </si>
  <si>
    <t>Porta em madeira de lei, lisa, semi-ôca, 0.70 x 2.10 m, exclusive ferragens - PM- 1</t>
  </si>
  <si>
    <t>8.1.2</t>
  </si>
  <si>
    <t>Porta em madeira de lei, lisa, semi-ôca, 0.80 x 2.10 m, exclusive ferragens - PM- 2</t>
  </si>
  <si>
    <t>8.1.3</t>
  </si>
  <si>
    <t>Porta em madeira de lei, lisa, semi-ôca, 0.90 x 2.10 m, exclusive ferragens - PM- 3</t>
  </si>
  <si>
    <t>8.3</t>
  </si>
  <si>
    <t>ESQUADRIA</t>
  </si>
  <si>
    <t>Basculante de ferro (dimensões, detalhes e nos ambientes conforme o projeto - vide quadro de esquadrias)</t>
  </si>
  <si>
    <t>REVESTIMENTOS</t>
  </si>
  <si>
    <t>73928/2</t>
  </si>
  <si>
    <t>Chapisco em parede c/ Argamassa traço - 1:3 (cimento/areia)</t>
  </si>
  <si>
    <t>Chapisco em teto c/ Argamassa traço - 1:3 (cimento/areia)</t>
  </si>
  <si>
    <t>73927/11</t>
  </si>
  <si>
    <t>Emboço p/parede, c/argamssa traço - 1:2:6 (cimento/cal/areia), espessura de 2,0 cm</t>
  </si>
  <si>
    <t>Emboço p/parede, c/argamssa traço - 1:2:8 (cimento/cal/areia), espessura de 1,5 cm</t>
  </si>
  <si>
    <t>Reboco p/teto, c/argamassa traço - 1:2:6 (cimento/cal/areia), espessura 1,5 cm - (massa única)</t>
  </si>
  <si>
    <t>Revestimento cerâmico p/parede, pei-4, dimensões 10x10cm, aplicado c/ argamassa industrializada ac-i, rejuntado, exclusive emboço, conforme especificações</t>
  </si>
  <si>
    <t>SOLEIRAS, RODAPÉS E PEITORIS</t>
  </si>
  <si>
    <t>Soleira em granito amarelo vitória</t>
  </si>
  <si>
    <t>Rodapé em porcelanato tecnico ref. Eliane panna plus na 14,50 x 60 cm ou similar</t>
  </si>
  <si>
    <t>FERRAGEM PARA PORTAS</t>
  </si>
  <si>
    <t>Fechadura, maçaneta/espelho, acabamento cromado brilhante, conforme especificações</t>
  </si>
  <si>
    <t>Dobradiça de latão ou aço, acabamento cromado brilhante, tipo média, 3 x 2,1/2" c/anéis, c/parafusos, conforme especificações</t>
  </si>
  <si>
    <t>Tarjeta em aço inox para banheiro ( tipo livre-ocupado)</t>
  </si>
  <si>
    <t>74125/2</t>
  </si>
  <si>
    <t>Espelho de cristal com moldura em alumínio</t>
  </si>
  <si>
    <t>PAVIMENTAÇÕES</t>
  </si>
  <si>
    <t>73919/3</t>
  </si>
  <si>
    <t>Regularização de piso</t>
  </si>
  <si>
    <t>Revestimento cerâmico p/piso, dimensões 40x40 cm,pei-4,  aplicado c/ argamassa industrializada ac-i, rejuntado, exclusive regularização de base, conforme especificações</t>
  </si>
  <si>
    <t>Concreto desempenado, fck=13,5mpa, com juntas plástica formando quadros de 2,00x2,00m, espessura 7 cm.externo, p2</t>
  </si>
  <si>
    <t>PINTURAS</t>
  </si>
  <si>
    <t>Pintura latex acrílica três demãos, internamente</t>
  </si>
  <si>
    <t>Pintura latex acrílica três demãos, externamente</t>
  </si>
  <si>
    <t>Pintura latex pva duas demãos, forro</t>
  </si>
  <si>
    <t>Pintura em para esquadrias, caixilhos e alizares</t>
  </si>
  <si>
    <t>Pintura esmalte sintético semi fosco, para esquadrias</t>
  </si>
  <si>
    <t>ALVENARIA DE TIJOLO</t>
  </si>
  <si>
    <t>Alvenaria de bloco cerâmico (9X19X25 cm), e = 0,09 m, com argamassa traço 1:2:8 (cimento/cal/areia)</t>
  </si>
  <si>
    <t>Verga pré-moldada em concreto armado fck=15mpa, (9x12cm)</t>
  </si>
  <si>
    <t>URBANIZAÇÃO</t>
  </si>
  <si>
    <t>PAISAGISMO</t>
  </si>
  <si>
    <t>18.1.1</t>
  </si>
  <si>
    <t>Grama esmeralda em placa (p3)</t>
  </si>
  <si>
    <t>MURO EM ALVENARIA , H=3,00M, 218,14M</t>
  </si>
  <si>
    <t>18.2.1</t>
  </si>
  <si>
    <t>Muro fechamento h=1,80m</t>
  </si>
  <si>
    <t>18.2.2</t>
  </si>
  <si>
    <t>Fossa séptica em concreto armado (1,50 x 4,75 x 1,50 m)</t>
  </si>
  <si>
    <t>18.2.3</t>
  </si>
  <si>
    <t>Sumidouro em alvenaria (d=1,20 x h=5,00)</t>
  </si>
  <si>
    <t>3.2</t>
  </si>
  <si>
    <t>3.3</t>
  </si>
  <si>
    <t>OBRA: CONSTRUÇÃO DA PRIMEIRA ETAPA DO PRÉDIO NO QUAL FUNCIONARÁ A SECRETARIA MUNICIPAL DE EDUCAÇÃO</t>
  </si>
  <si>
    <t xml:space="preserve">LOCAL: </t>
  </si>
  <si>
    <t>INFRA-ESTRUTURA FUNDAÇÕES</t>
  </si>
  <si>
    <t>Lastro de concreto magro, e=3,0 cm - preparo mecânico - inclusive aditivo, conforme projeto</t>
  </si>
  <si>
    <t>73964/6</t>
  </si>
  <si>
    <t>73904/1</t>
  </si>
  <si>
    <t xml:space="preserve">INFRA-ESTRUTURA </t>
  </si>
  <si>
    <t>74138/3</t>
  </si>
  <si>
    <t>4.4</t>
  </si>
  <si>
    <t>5.4</t>
  </si>
  <si>
    <t>5.5</t>
  </si>
  <si>
    <t>5.6</t>
  </si>
  <si>
    <t>5.7</t>
  </si>
  <si>
    <t>5.8</t>
  </si>
  <si>
    <t>6.0</t>
  </si>
  <si>
    <t>7.0</t>
  </si>
  <si>
    <t>7.4</t>
  </si>
  <si>
    <t>8.0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</si>
</sst>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_(* #,##0.00_);_(* \(#,##0.00\);_(* &quot;-&quot;??_);_(@_)"/>
    <numFmt numFmtId="166" formatCode="#,"/>
    <numFmt numFmtId="167" formatCode="#,#00"/>
    <numFmt numFmtId="168" formatCode="%#,#00"/>
    <numFmt numFmtId="169" formatCode="#.##000"/>
    <numFmt numFmtId="170" formatCode="&quot;R$ &quot;#,##0.00"/>
    <numFmt numFmtId="171" formatCode="_-* #,##0.0000_-;\-* #,##0.0000_-;_-* &quot;-&quot;??_-;_-@_-"/>
    <numFmt numFmtId="172" formatCode="0.0000%"/>
    <numFmt numFmtId="173" formatCode="_-[$R$-416]\ * #,##0.00_-;\-[$R$-416]\ * #,##0.00_-;_-[$R$-416]\ 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Courier"/>
      <family val="3"/>
    </font>
    <font>
      <sz val="12"/>
      <name val="Times New Roman"/>
      <family val="1"/>
    </font>
    <font>
      <sz val="1"/>
      <color indexed="16"/>
      <name val="Courier"/>
      <family val="3"/>
    </font>
    <font>
      <sz val="1"/>
      <color indexed="8"/>
      <name val="Courier"/>
      <family val="3"/>
    </font>
    <font>
      <b/>
      <sz val="1"/>
      <color indexed="16"/>
      <name val="Courier"/>
      <family val="3"/>
    </font>
    <font>
      <sz val="1"/>
      <color indexed="18"/>
      <name val="Courier"/>
      <family val="3"/>
    </font>
    <font>
      <sz val="10"/>
      <name val="MS Sans Serif"/>
      <family val="2"/>
    </font>
    <font>
      <vertAlign val="superscript"/>
      <sz val="9"/>
      <name val="Courier New"/>
      <family val="3"/>
    </font>
    <font>
      <b/>
      <sz val="1"/>
      <color indexed="8"/>
      <name val="Courier"/>
      <family val="3"/>
    </font>
    <font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indexed="8"/>
      <name val="Calibri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0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</font>
    <font>
      <b/>
      <sz val="12"/>
      <name val="Times New Roman"/>
      <family val="1"/>
    </font>
    <font>
      <b/>
      <u/>
      <sz val="12"/>
      <name val="Arial"/>
      <family val="2"/>
    </font>
    <font>
      <b/>
      <sz val="9"/>
      <name val="Times New Roman"/>
      <family val="1"/>
    </font>
    <font>
      <b/>
      <sz val="16"/>
      <name val="Times New Roman"/>
      <family val="1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1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4" fillId="0" borderId="0"/>
    <xf numFmtId="166" fontId="5" fillId="0" borderId="0">
      <protection locked="0"/>
    </xf>
    <xf numFmtId="166" fontId="5" fillId="0" borderId="0">
      <protection locked="0"/>
    </xf>
    <xf numFmtId="166" fontId="5" fillId="0" borderId="0">
      <protection locked="0"/>
    </xf>
    <xf numFmtId="166" fontId="5" fillId="0" borderId="0">
      <protection locked="0"/>
    </xf>
    <xf numFmtId="0" fontId="6" fillId="0" borderId="0">
      <protection locked="0"/>
    </xf>
    <xf numFmtId="166" fontId="5" fillId="0" borderId="0">
      <protection locked="0"/>
    </xf>
    <xf numFmtId="0" fontId="2" fillId="0" borderId="0"/>
    <xf numFmtId="166" fontId="5" fillId="0" borderId="0">
      <protection locked="0"/>
    </xf>
    <xf numFmtId="167" fontId="6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4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9" fillId="0" borderId="0"/>
    <xf numFmtId="0" fontId="2" fillId="0" borderId="0"/>
    <xf numFmtId="166" fontId="5" fillId="0" borderId="0">
      <protection locked="0"/>
    </xf>
    <xf numFmtId="168" fontId="6" fillId="0" borderId="0">
      <protection locked="0"/>
    </xf>
    <xf numFmtId="169" fontId="6" fillId="0" borderId="0">
      <protection locked="0"/>
    </xf>
    <xf numFmtId="9" fontId="2" fillId="0" borderId="0" applyFont="0" applyFill="0" applyBorder="0" applyAlignment="0" applyProtection="0"/>
    <xf numFmtId="166" fontId="8" fillId="0" borderId="0">
      <protection locked="0"/>
    </xf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10" fillId="0" borderId="0"/>
    <xf numFmtId="166" fontId="11" fillId="0" borderId="0">
      <protection locked="0"/>
    </xf>
    <xf numFmtId="166" fontId="11" fillId="0" borderId="0">
      <protection locked="0"/>
    </xf>
    <xf numFmtId="165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quotePrefix="1" applyFont="0" applyFill="0" applyBorder="0" applyAlignment="0">
      <protection locked="0"/>
    </xf>
    <xf numFmtId="9" fontId="2" fillId="0" borderId="0" quotePrefix="1" applyFont="0" applyFill="0" applyBorder="0" applyAlignment="0">
      <protection locked="0"/>
    </xf>
    <xf numFmtId="170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14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5" fillId="0" borderId="0"/>
    <xf numFmtId="9" fontId="35" fillId="0" borderId="0" applyFont="0" applyFill="0" applyBorder="0" applyAlignment="0" applyProtection="0"/>
    <xf numFmtId="0" fontId="2" fillId="0" borderId="0"/>
    <xf numFmtId="0" fontId="9" fillId="0" borderId="0"/>
  </cellStyleXfs>
  <cellXfs count="261">
    <xf numFmtId="0" fontId="0" fillId="0" borderId="0" xfId="0"/>
    <xf numFmtId="0" fontId="2" fillId="0" borderId="0" xfId="42" applyFont="1" applyBorder="1"/>
    <xf numFmtId="10" fontId="12" fillId="0" borderId="0" xfId="45" applyNumberFormat="1" applyFont="1" applyBorder="1">
      <protection locked="0"/>
    </xf>
    <xf numFmtId="49" fontId="12" fillId="0" borderId="0" xfId="42" applyNumberFormat="1" applyFont="1" applyBorder="1"/>
    <xf numFmtId="0" fontId="12" fillId="0" borderId="0" xfId="42" applyFont="1" applyBorder="1"/>
    <xf numFmtId="0" fontId="19" fillId="0" borderId="0" xfId="0" applyFont="1"/>
    <xf numFmtId="0" fontId="17" fillId="0" borderId="0" xfId="42" applyFont="1" applyBorder="1"/>
    <xf numFmtId="0" fontId="18" fillId="0" borderId="1" xfId="42" applyNumberFormat="1" applyFont="1" applyFill="1" applyBorder="1" applyAlignment="1">
      <alignment horizontal="center" vertical="center"/>
    </xf>
    <xf numFmtId="0" fontId="18" fillId="0" borderId="1" xfId="43" applyNumberFormat="1" applyFont="1" applyFill="1" applyBorder="1" applyAlignment="1" applyProtection="1">
      <alignment horizontal="left" vertical="center" wrapText="1"/>
    </xf>
    <xf numFmtId="170" fontId="16" fillId="0" borderId="1" xfId="46" applyFont="1" applyBorder="1" applyAlignment="1" applyProtection="1">
      <protection locked="0"/>
    </xf>
    <xf numFmtId="0" fontId="17" fillId="0" borderId="0" xfId="42" applyNumberFormat="1" applyFont="1" applyBorder="1"/>
    <xf numFmtId="0" fontId="14" fillId="0" borderId="0" xfId="42" applyFont="1"/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14" fillId="0" borderId="0" xfId="41" applyFont="1" applyFill="1" applyAlignment="1">
      <alignment wrapText="1"/>
    </xf>
    <xf numFmtId="44" fontId="0" fillId="0" borderId="0" xfId="0" applyNumberFormat="1" applyAlignment="1">
      <alignment vertical="center"/>
    </xf>
    <xf numFmtId="9" fontId="14" fillId="0" borderId="0" xfId="109" applyFont="1"/>
    <xf numFmtId="9" fontId="16" fillId="0" borderId="1" xfId="109" applyFont="1" applyBorder="1" applyAlignment="1" applyProtection="1">
      <protection locked="0"/>
    </xf>
    <xf numFmtId="9" fontId="17" fillId="0" borderId="0" xfId="109" applyFont="1" applyBorder="1"/>
    <xf numFmtId="10" fontId="18" fillId="0" borderId="1" xfId="109" applyNumberFormat="1" applyFont="1" applyFill="1" applyBorder="1" applyAlignment="1" applyProtection="1">
      <alignment horizontal="right" vertical="center" wrapText="1"/>
      <protection locked="0"/>
    </xf>
    <xf numFmtId="43" fontId="19" fillId="0" borderId="0" xfId="1" applyFont="1" applyAlignment="1">
      <alignment vertical="center"/>
    </xf>
    <xf numFmtId="43" fontId="17" fillId="0" borderId="0" xfId="1" applyFont="1" applyBorder="1"/>
    <xf numFmtId="10" fontId="17" fillId="0" borderId="0" xfId="42" applyNumberFormat="1" applyFont="1" applyBorder="1"/>
    <xf numFmtId="10" fontId="17" fillId="0" borderId="0" xfId="109" applyNumberFormat="1" applyFont="1" applyBorder="1"/>
    <xf numFmtId="43" fontId="23" fillId="0" borderId="0" xfId="1" applyFont="1" applyBorder="1" applyAlignment="1">
      <alignment vertical="center" wrapText="1"/>
    </xf>
    <xf numFmtId="43" fontId="23" fillId="0" borderId="0" xfId="1" applyFont="1" applyBorder="1" applyAlignment="1">
      <alignment vertical="center"/>
    </xf>
    <xf numFmtId="43" fontId="22" fillId="0" borderId="0" xfId="1" applyFont="1" applyBorder="1" applyAlignment="1">
      <alignment vertical="center"/>
    </xf>
    <xf numFmtId="43" fontId="0" fillId="0" borderId="0" xfId="0" applyNumberFormat="1" applyAlignment="1">
      <alignment vertical="center"/>
    </xf>
    <xf numFmtId="0" fontId="19" fillId="0" borderId="0" xfId="0" applyNumberFormat="1" applyFont="1" applyFill="1" applyAlignment="1">
      <alignment horizontal="center" vertical="center"/>
    </xf>
    <xf numFmtId="0" fontId="19" fillId="0" borderId="0" xfId="0" applyNumberFormat="1" applyFont="1" applyFill="1" applyAlignment="1">
      <alignment horizontal="center"/>
    </xf>
    <xf numFmtId="43" fontId="14" fillId="0" borderId="0" xfId="1" applyFont="1" applyFill="1" applyAlignment="1">
      <alignment wrapText="1"/>
    </xf>
    <xf numFmtId="4" fontId="22" fillId="0" borderId="1" xfId="110" applyNumberFormat="1" applyFont="1" applyFill="1" applyBorder="1" applyAlignment="1">
      <alignment vertical="center"/>
    </xf>
    <xf numFmtId="43" fontId="0" fillId="0" borderId="0" xfId="0" applyNumberFormat="1" applyFill="1" applyAlignment="1">
      <alignment vertical="center"/>
    </xf>
    <xf numFmtId="4" fontId="23" fillId="0" borderId="1" xfId="110" applyNumberFormat="1" applyFont="1" applyFill="1" applyBorder="1" applyAlignment="1">
      <alignment vertical="center"/>
    </xf>
    <xf numFmtId="4" fontId="0" fillId="0" borderId="0" xfId="0" applyNumberFormat="1" applyFill="1" applyAlignment="1">
      <alignment vertical="center"/>
    </xf>
    <xf numFmtId="0" fontId="19" fillId="0" borderId="0" xfId="0" applyNumberFormat="1" applyFont="1" applyAlignment="1">
      <alignment horizontal="center"/>
    </xf>
    <xf numFmtId="2" fontId="25" fillId="0" borderId="1" xfId="0" applyNumberFormat="1" applyFont="1" applyFill="1" applyBorder="1" applyAlignment="1">
      <alignment horizontal="center" vertical="center"/>
    </xf>
    <xf numFmtId="2" fontId="28" fillId="0" borderId="0" xfId="0" applyNumberFormat="1" applyFont="1" applyAlignment="1">
      <alignment horizontal="center"/>
    </xf>
    <xf numFmtId="43" fontId="22" fillId="0" borderId="1" xfId="1" applyFont="1" applyFill="1" applyBorder="1" applyAlignment="1">
      <alignment vertical="center"/>
    </xf>
    <xf numFmtId="43" fontId="22" fillId="0" borderId="0" xfId="1" applyFont="1" applyFill="1" applyBorder="1" applyAlignment="1">
      <alignment vertical="center"/>
    </xf>
    <xf numFmtId="0" fontId="22" fillId="0" borderId="1" xfId="0" applyFont="1" applyFill="1" applyBorder="1" applyAlignment="1">
      <alignment horizontal="left" vertical="center" wrapText="1"/>
    </xf>
    <xf numFmtId="43" fontId="1" fillId="0" borderId="1" xfId="1" applyFont="1" applyFill="1" applyBorder="1" applyAlignment="1">
      <alignment vertical="center"/>
    </xf>
    <xf numFmtId="0" fontId="25" fillId="0" borderId="1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9" fillId="0" borderId="0" xfId="0" applyFont="1" applyFill="1" applyAlignment="1">
      <alignment vertical="center"/>
    </xf>
    <xf numFmtId="44" fontId="23" fillId="0" borderId="1" xfId="110" applyFont="1" applyFill="1" applyBorder="1" applyAlignment="1">
      <alignment vertical="center"/>
    </xf>
    <xf numFmtId="2" fontId="28" fillId="0" borderId="0" xfId="0" applyNumberFormat="1" applyFont="1" applyFill="1" applyAlignment="1">
      <alignment horizontal="center" vertical="center"/>
    </xf>
    <xf numFmtId="43" fontId="19" fillId="0" borderId="0" xfId="1" applyFont="1" applyFill="1" applyAlignment="1">
      <alignment vertical="center"/>
    </xf>
    <xf numFmtId="10" fontId="19" fillId="0" borderId="0" xfId="109" applyNumberFormat="1" applyFont="1" applyFill="1" applyAlignment="1">
      <alignment vertical="center"/>
    </xf>
    <xf numFmtId="171" fontId="19" fillId="0" borderId="0" xfId="109" applyNumberFormat="1" applyFont="1" applyFill="1" applyAlignment="1">
      <alignment vertical="center"/>
    </xf>
    <xf numFmtId="10" fontId="0" fillId="0" borderId="0" xfId="109" applyNumberFormat="1" applyFont="1" applyFill="1" applyAlignment="1">
      <alignment vertical="center"/>
    </xf>
    <xf numFmtId="10" fontId="0" fillId="0" borderId="0" xfId="0" applyNumberFormat="1" applyFill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19" fillId="0" borderId="0" xfId="0" applyNumberFormat="1" applyFont="1" applyFill="1" applyAlignment="1">
      <alignment horizontal="left" vertical="center"/>
    </xf>
    <xf numFmtId="0" fontId="20" fillId="0" borderId="0" xfId="0" applyNumberFormat="1" applyFont="1" applyFill="1" applyAlignment="1">
      <alignment horizontal="left" vertical="center"/>
    </xf>
    <xf numFmtId="0" fontId="19" fillId="0" borderId="0" xfId="0" applyNumberFormat="1" applyFont="1" applyAlignment="1">
      <alignment horizontal="left"/>
    </xf>
    <xf numFmtId="44" fontId="19" fillId="0" borderId="0" xfId="0" applyNumberFormat="1" applyFont="1" applyFill="1" applyAlignment="1">
      <alignment vertical="center"/>
    </xf>
    <xf numFmtId="4" fontId="23" fillId="0" borderId="1" xfId="0" applyNumberFormat="1" applyFont="1" applyFill="1" applyBorder="1" applyAlignment="1">
      <alignment horizontal="center" vertical="center"/>
    </xf>
    <xf numFmtId="0" fontId="29" fillId="0" borderId="0" xfId="41" applyFont="1" applyFill="1" applyAlignment="1">
      <alignment horizontal="center" vertical="center" wrapText="1"/>
    </xf>
    <xf numFmtId="43" fontId="29" fillId="0" borderId="0" xfId="1" applyFont="1" applyFill="1" applyAlignment="1">
      <alignment vertical="center"/>
    </xf>
    <xf numFmtId="0" fontId="29" fillId="0" borderId="0" xfId="41" applyNumberFormat="1" applyFont="1" applyFill="1" applyAlignment="1">
      <alignment horizontal="center" vertical="center"/>
    </xf>
    <xf numFmtId="2" fontId="33" fillId="0" borderId="0" xfId="1" applyNumberFormat="1" applyFont="1" applyFill="1" applyAlignment="1">
      <alignment horizontal="center" vertical="center"/>
    </xf>
    <xf numFmtId="4" fontId="29" fillId="0" borderId="0" xfId="1" applyNumberFormat="1" applyFont="1" applyFill="1" applyAlignment="1">
      <alignment horizontal="right" vertical="center"/>
    </xf>
    <xf numFmtId="4" fontId="29" fillId="0" borderId="0" xfId="22" applyNumberFormat="1" applyFont="1" applyFill="1" applyAlignment="1">
      <alignment vertical="center"/>
    </xf>
    <xf numFmtId="0" fontId="30" fillId="0" borderId="0" xfId="41" applyFont="1" applyFill="1" applyAlignment="1">
      <alignment horizontal="center" vertical="center"/>
    </xf>
    <xf numFmtId="0" fontId="34" fillId="0" borderId="0" xfId="0" applyFont="1" applyFill="1" applyAlignment="1">
      <alignment horizontal="center" vertical="center"/>
    </xf>
    <xf numFmtId="0" fontId="34" fillId="0" borderId="0" xfId="0" applyNumberFormat="1" applyFont="1" applyFill="1" applyAlignment="1">
      <alignment horizontal="center" vertical="center"/>
    </xf>
    <xf numFmtId="0" fontId="30" fillId="0" borderId="0" xfId="41" applyNumberFormat="1" applyFont="1" applyFill="1" applyAlignment="1">
      <alignment horizontal="left" vertical="center" wrapText="1"/>
    </xf>
    <xf numFmtId="49" fontId="23" fillId="0" borderId="2" xfId="0" applyNumberFormat="1" applyFont="1" applyFill="1" applyBorder="1" applyAlignment="1">
      <alignment vertical="center"/>
    </xf>
    <xf numFmtId="0" fontId="22" fillId="0" borderId="1" xfId="0" applyNumberFormat="1" applyFont="1" applyFill="1" applyBorder="1" applyAlignment="1">
      <alignment horizontal="center" vertical="center"/>
    </xf>
    <xf numFmtId="49" fontId="22" fillId="0" borderId="2" xfId="0" applyNumberFormat="1" applyFont="1" applyFill="1" applyBorder="1" applyAlignment="1">
      <alignment vertical="center"/>
    </xf>
    <xf numFmtId="0" fontId="22" fillId="0" borderId="0" xfId="0" applyFont="1" applyFill="1" applyAlignment="1">
      <alignment vertical="center"/>
    </xf>
    <xf numFmtId="0" fontId="22" fillId="0" borderId="1" xfId="0" applyNumberFormat="1" applyFont="1" applyFill="1" applyBorder="1" applyAlignment="1">
      <alignment horizontal="left" vertical="center" wrapText="1"/>
    </xf>
    <xf numFmtId="4" fontId="18" fillId="0" borderId="1" xfId="43" applyNumberFormat="1" applyFont="1" applyFill="1" applyBorder="1" applyAlignment="1" applyProtection="1">
      <alignment horizontal="left" vertical="center" wrapText="1"/>
    </xf>
    <xf numFmtId="43" fontId="27" fillId="0" borderId="0" xfId="1" applyFont="1" applyFill="1" applyAlignment="1">
      <alignment vertical="center"/>
    </xf>
    <xf numFmtId="43" fontId="27" fillId="0" borderId="0" xfId="1" applyFont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44" fontId="19" fillId="0" borderId="0" xfId="109" applyNumberFormat="1" applyFont="1" applyFill="1" applyAlignment="1">
      <alignment vertical="center"/>
    </xf>
    <xf numFmtId="0" fontId="22" fillId="3" borderId="1" xfId="0" applyNumberFormat="1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left" vertical="center" wrapText="1"/>
    </xf>
    <xf numFmtId="0" fontId="24" fillId="3" borderId="1" xfId="0" applyNumberFormat="1" applyFont="1" applyFill="1" applyBorder="1" applyAlignment="1">
      <alignment horizontal="center" vertical="center"/>
    </xf>
    <xf numFmtId="2" fontId="25" fillId="3" borderId="1" xfId="0" applyNumberFormat="1" applyFont="1" applyFill="1" applyBorder="1" applyAlignment="1">
      <alignment horizontal="center" vertical="center"/>
    </xf>
    <xf numFmtId="43" fontId="22" fillId="3" borderId="1" xfId="1" applyFont="1" applyFill="1" applyBorder="1" applyAlignment="1">
      <alignment vertical="center"/>
    </xf>
    <xf numFmtId="43" fontId="1" fillId="3" borderId="1" xfId="1" applyFont="1" applyFill="1" applyBorder="1" applyAlignment="1">
      <alignment vertical="center"/>
    </xf>
    <xf numFmtId="4" fontId="23" fillId="3" borderId="1" xfId="110" applyNumberFormat="1" applyFont="1" applyFill="1" applyBorder="1" applyAlignment="1">
      <alignment vertical="center"/>
    </xf>
    <xf numFmtId="0" fontId="25" fillId="3" borderId="1" xfId="0" applyNumberFormat="1" applyFont="1" applyFill="1" applyBorder="1" applyAlignment="1">
      <alignment horizontal="center" vertical="center"/>
    </xf>
    <xf numFmtId="4" fontId="19" fillId="0" borderId="0" xfId="0" applyNumberFormat="1" applyFont="1" applyFill="1" applyAlignment="1">
      <alignment vertical="center"/>
    </xf>
    <xf numFmtId="0" fontId="0" fillId="0" borderId="0" xfId="0" applyBorder="1" applyAlignment="1">
      <alignment vertical="center"/>
    </xf>
    <xf numFmtId="43" fontId="23" fillId="0" borderId="0" xfId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0" fontId="0" fillId="0" borderId="0" xfId="0" applyNumberFormat="1" applyFill="1" applyBorder="1" applyAlignment="1">
      <alignment vertical="center"/>
    </xf>
    <xf numFmtId="0" fontId="0" fillId="0" borderId="0" xfId="0" applyBorder="1"/>
    <xf numFmtId="4" fontId="2" fillId="0" borderId="0" xfId="42" applyNumberFormat="1" applyFont="1" applyBorder="1"/>
    <xf numFmtId="172" fontId="2" fillId="0" borderId="0" xfId="109" applyNumberFormat="1" applyFont="1" applyBorder="1"/>
    <xf numFmtId="0" fontId="22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5" fillId="0" borderId="1" xfId="0" applyNumberFormat="1" applyFont="1" applyFill="1" applyBorder="1" applyAlignment="1">
      <alignment horizontal="center" vertical="center"/>
    </xf>
    <xf numFmtId="2" fontId="25" fillId="0" borderId="1" xfId="0" applyNumberFormat="1" applyFont="1" applyFill="1" applyBorder="1" applyAlignment="1">
      <alignment horizontal="center" vertical="center"/>
    </xf>
    <xf numFmtId="0" fontId="32" fillId="0" borderId="0" xfId="22" applyFont="1" applyFill="1" applyAlignment="1">
      <alignment horizontal="center" vertical="center"/>
    </xf>
    <xf numFmtId="44" fontId="0" fillId="0" borderId="0" xfId="110" applyFont="1" applyFill="1" applyAlignment="1">
      <alignment vertical="center"/>
    </xf>
    <xf numFmtId="44" fontId="0" fillId="0" borderId="0" xfId="0" applyNumberFormat="1" applyFill="1" applyAlignment="1">
      <alignment vertical="center"/>
    </xf>
    <xf numFmtId="0" fontId="25" fillId="0" borderId="1" xfId="0" applyNumberFormat="1" applyFont="1" applyFill="1" applyBorder="1" applyAlignment="1">
      <alignment horizontal="center" vertical="center"/>
    </xf>
    <xf numFmtId="2" fontId="25" fillId="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31" fillId="0" borderId="0" xfId="63" applyFont="1" applyFill="1" applyAlignment="1">
      <alignment vertical="center" wrapText="1"/>
    </xf>
    <xf numFmtId="0" fontId="32" fillId="0" borderId="0" xfId="22" applyFont="1" applyFill="1" applyAlignment="1">
      <alignment vertical="center"/>
    </xf>
    <xf numFmtId="0" fontId="32" fillId="0" borderId="0" xfId="63" applyFont="1" applyFill="1" applyAlignment="1">
      <alignment vertical="center" wrapText="1"/>
    </xf>
    <xf numFmtId="0" fontId="35" fillId="0" borderId="0" xfId="111" applyAlignment="1">
      <alignment horizontal="center" vertical="center"/>
    </xf>
    <xf numFmtId="0" fontId="38" fillId="0" borderId="0" xfId="111" applyFont="1" applyAlignment="1">
      <alignment vertical="center"/>
    </xf>
    <xf numFmtId="0" fontId="38" fillId="0" borderId="0" xfId="111" applyFont="1" applyAlignment="1">
      <alignment horizontal="right" vertical="center"/>
    </xf>
    <xf numFmtId="0" fontId="35" fillId="0" borderId="0" xfId="111"/>
    <xf numFmtId="0" fontId="38" fillId="0" borderId="0" xfId="111" applyFont="1" applyAlignment="1">
      <alignment vertical="center" wrapText="1"/>
    </xf>
    <xf numFmtId="0" fontId="21" fillId="0" borderId="0" xfId="111" applyFont="1" applyAlignment="1">
      <alignment horizontal="left" vertical="center"/>
    </xf>
    <xf numFmtId="0" fontId="35" fillId="0" borderId="0" xfId="111" applyAlignment="1">
      <alignment vertical="center"/>
    </xf>
    <xf numFmtId="0" fontId="21" fillId="0" borderId="16" xfId="111" quotePrefix="1" applyFont="1" applyBorder="1" applyAlignment="1">
      <alignment vertical="top"/>
    </xf>
    <xf numFmtId="0" fontId="2" fillId="0" borderId="1" xfId="111" applyFont="1" applyFill="1" applyBorder="1" applyAlignment="1">
      <alignment vertical="top"/>
    </xf>
    <xf numFmtId="0" fontId="2" fillId="0" borderId="1" xfId="111" applyFont="1" applyBorder="1" applyAlignment="1">
      <alignment vertical="top"/>
    </xf>
    <xf numFmtId="0" fontId="21" fillId="0" borderId="19" xfId="111" quotePrefix="1" applyFont="1" applyBorder="1" applyAlignment="1">
      <alignment vertical="top"/>
    </xf>
    <xf numFmtId="0" fontId="2" fillId="0" borderId="20" xfId="111" applyFont="1" applyBorder="1" applyAlignment="1">
      <alignment vertical="top"/>
    </xf>
    <xf numFmtId="10" fontId="35" fillId="0" borderId="0" xfId="111" applyNumberFormat="1" applyAlignment="1">
      <alignment vertical="center"/>
    </xf>
    <xf numFmtId="0" fontId="40" fillId="0" borderId="0" xfId="114" applyFont="1" applyAlignment="1">
      <alignment horizontal="center" vertical="center"/>
    </xf>
    <xf numFmtId="0" fontId="21" fillId="0" borderId="0" xfId="114" applyFont="1" applyAlignment="1">
      <alignment vertical="center"/>
    </xf>
    <xf numFmtId="0" fontId="12" fillId="0" borderId="0" xfId="114" applyFont="1" applyAlignment="1">
      <alignment horizontal="center" vertical="center"/>
    </xf>
    <xf numFmtId="0" fontId="2" fillId="0" borderId="0" xfId="114" applyFont="1" applyAlignment="1">
      <alignment vertical="center"/>
    </xf>
    <xf numFmtId="0" fontId="2" fillId="0" borderId="0" xfId="114" applyFont="1" applyAlignment="1">
      <alignment horizontal="right" vertical="center"/>
    </xf>
    <xf numFmtId="2" fontId="2" fillId="0" borderId="0" xfId="114" applyNumberFormat="1" applyFont="1" applyAlignment="1">
      <alignment vertical="center"/>
    </xf>
    <xf numFmtId="0" fontId="16" fillId="0" borderId="0" xfId="114" applyFont="1" applyAlignment="1">
      <alignment horizontal="left" vertical="center"/>
    </xf>
    <xf numFmtId="0" fontId="40" fillId="0" borderId="0" xfId="114" applyFont="1" applyFill="1" applyBorder="1" applyAlignment="1">
      <alignment horizontal="center" vertical="center"/>
    </xf>
    <xf numFmtId="0" fontId="2" fillId="0" borderId="0" xfId="114" applyFont="1" applyAlignment="1">
      <alignment horizontal="left" vertical="center" wrapText="1"/>
    </xf>
    <xf numFmtId="3" fontId="2" fillId="0" borderId="0" xfId="111" applyNumberFormat="1" applyFont="1" applyBorder="1" applyAlignment="1">
      <alignment horizontal="right" vertical="center"/>
    </xf>
    <xf numFmtId="49" fontId="2" fillId="0" borderId="0" xfId="114" applyNumberFormat="1" applyFont="1" applyFill="1" applyBorder="1" applyAlignment="1">
      <alignment horizontal="right" vertical="center"/>
    </xf>
    <xf numFmtId="0" fontId="21" fillId="0" borderId="1" xfId="111" applyFont="1" applyBorder="1" applyAlignment="1">
      <alignment horizontal="center"/>
    </xf>
    <xf numFmtId="0" fontId="21" fillId="0" borderId="0" xfId="111" applyFont="1" applyBorder="1" applyAlignment="1">
      <alignment horizontal="center"/>
    </xf>
    <xf numFmtId="0" fontId="17" fillId="0" borderId="0" xfId="114" applyFont="1" applyAlignment="1">
      <alignment horizontal="left" vertical="center"/>
    </xf>
    <xf numFmtId="49" fontId="17" fillId="0" borderId="0" xfId="114" applyNumberFormat="1" applyFont="1" applyAlignment="1">
      <alignment horizontal="right" vertical="center"/>
    </xf>
    <xf numFmtId="4" fontId="2" fillId="0" borderId="0" xfId="111" applyNumberFormat="1" applyFont="1" applyBorder="1" applyAlignment="1">
      <alignment horizontal="right"/>
    </xf>
    <xf numFmtId="0" fontId="21" fillId="0" borderId="1" xfId="114" applyFont="1" applyBorder="1" applyAlignment="1">
      <alignment horizontal="center" vertical="center"/>
    </xf>
    <xf numFmtId="0" fontId="21" fillId="0" borderId="1" xfId="111" applyFont="1" applyBorder="1" applyAlignment="1">
      <alignment horizontal="left"/>
    </xf>
    <xf numFmtId="4" fontId="21" fillId="0" borderId="1" xfId="111" applyNumberFormat="1" applyFont="1" applyFill="1" applyBorder="1" applyAlignment="1">
      <alignment horizontal="center"/>
    </xf>
    <xf numFmtId="4" fontId="21" fillId="0" borderId="0" xfId="111" applyNumberFormat="1" applyFont="1" applyBorder="1" applyAlignment="1">
      <alignment horizontal="center"/>
    </xf>
    <xf numFmtId="3" fontId="2" fillId="0" borderId="0" xfId="111" applyNumberFormat="1" applyFont="1" applyBorder="1" applyAlignment="1">
      <alignment horizontal="right"/>
    </xf>
    <xf numFmtId="0" fontId="17" fillId="0" borderId="0" xfId="114" applyFont="1" applyAlignment="1">
      <alignment vertical="center"/>
    </xf>
    <xf numFmtId="4" fontId="17" fillId="0" borderId="0" xfId="111" applyNumberFormat="1" applyFont="1" applyBorder="1" applyAlignment="1">
      <alignment horizontal="left" vertical="center"/>
    </xf>
    <xf numFmtId="4" fontId="2" fillId="0" borderId="0" xfId="111" applyNumberFormat="1" applyFont="1" applyBorder="1" applyAlignment="1">
      <alignment horizontal="right" vertical="center"/>
    </xf>
    <xf numFmtId="4" fontId="17" fillId="0" borderId="0" xfId="111" applyNumberFormat="1" applyFont="1" applyBorder="1" applyAlignment="1">
      <alignment horizontal="left"/>
    </xf>
    <xf numFmtId="4" fontId="21" fillId="0" borderId="0" xfId="111" applyNumberFormat="1" applyFont="1" applyFill="1" applyBorder="1" applyAlignment="1">
      <alignment horizontal="center"/>
    </xf>
    <xf numFmtId="3" fontId="17" fillId="0" borderId="0" xfId="111" applyNumberFormat="1" applyFont="1" applyBorder="1" applyAlignment="1">
      <alignment horizontal="right" vertical="center"/>
    </xf>
    <xf numFmtId="4" fontId="17" fillId="0" borderId="0" xfId="111" applyNumberFormat="1" applyFont="1" applyBorder="1" applyAlignment="1">
      <alignment horizontal="right" vertical="center"/>
    </xf>
    <xf numFmtId="0" fontId="17" fillId="0" borderId="0" xfId="114" applyFont="1" applyAlignment="1">
      <alignment horizontal="right" vertical="center"/>
    </xf>
    <xf numFmtId="2" fontId="16" fillId="0" borderId="0" xfId="114" applyNumberFormat="1" applyFont="1" applyAlignment="1">
      <alignment vertical="center"/>
    </xf>
    <xf numFmtId="4" fontId="21" fillId="0" borderId="1" xfId="111" applyNumberFormat="1" applyFont="1" applyBorder="1" applyAlignment="1">
      <alignment horizontal="center"/>
    </xf>
    <xf numFmtId="4" fontId="21" fillId="0" borderId="1" xfId="114" applyNumberFormat="1" applyFont="1" applyBorder="1" applyAlignment="1">
      <alignment horizontal="center" vertical="center"/>
    </xf>
    <xf numFmtId="4" fontId="21" fillId="0" borderId="0" xfId="114" applyNumberFormat="1" applyFont="1" applyBorder="1" applyAlignment="1">
      <alignment horizontal="center" vertical="center"/>
    </xf>
    <xf numFmtId="0" fontId="21" fillId="0" borderId="0" xfId="114" applyFont="1" applyBorder="1" applyAlignment="1">
      <alignment horizontal="center" vertical="center"/>
    </xf>
    <xf numFmtId="4" fontId="17" fillId="0" borderId="0" xfId="114" applyNumberFormat="1" applyFont="1" applyBorder="1" applyAlignment="1">
      <alignment horizontal="left" vertical="center"/>
    </xf>
    <xf numFmtId="3" fontId="17" fillId="0" borderId="0" xfId="114" applyNumberFormat="1" applyFont="1" applyBorder="1" applyAlignment="1">
      <alignment horizontal="right" vertical="center"/>
    </xf>
    <xf numFmtId="4" fontId="17" fillId="0" borderId="0" xfId="114" applyNumberFormat="1" applyFont="1" applyBorder="1" applyAlignment="1">
      <alignment horizontal="right" vertical="center"/>
    </xf>
    <xf numFmtId="0" fontId="21" fillId="0" borderId="1" xfId="114" applyFont="1" applyBorder="1" applyAlignment="1">
      <alignment horizontal="left" vertical="center"/>
    </xf>
    <xf numFmtId="2" fontId="17" fillId="0" borderId="0" xfId="114" applyNumberFormat="1" applyFont="1" applyBorder="1" applyAlignment="1">
      <alignment horizontal="right" vertical="center"/>
    </xf>
    <xf numFmtId="0" fontId="17" fillId="0" borderId="0" xfId="114" applyFont="1" applyBorder="1" applyAlignment="1">
      <alignment horizontal="left" vertical="center"/>
    </xf>
    <xf numFmtId="0" fontId="21" fillId="0" borderId="1" xfId="114" applyFont="1" applyBorder="1" applyAlignment="1">
      <alignment horizontal="left" vertical="center" wrapText="1"/>
    </xf>
    <xf numFmtId="2" fontId="21" fillId="0" borderId="1" xfId="114" applyNumberFormat="1" applyFont="1" applyBorder="1" applyAlignment="1">
      <alignment horizontal="center" vertical="center"/>
    </xf>
    <xf numFmtId="0" fontId="2" fillId="0" borderId="0" xfId="114" applyFont="1" applyBorder="1" applyAlignment="1">
      <alignment horizontal="right" vertical="center"/>
    </xf>
    <xf numFmtId="0" fontId="21" fillId="0" borderId="1" xfId="111" applyFont="1" applyBorder="1" applyAlignment="1">
      <alignment horizontal="left" wrapText="1"/>
    </xf>
    <xf numFmtId="0" fontId="17" fillId="0" borderId="1" xfId="114" applyFont="1" applyBorder="1" applyAlignment="1">
      <alignment vertical="center"/>
    </xf>
    <xf numFmtId="0" fontId="21" fillId="0" borderId="0" xfId="114" applyFont="1" applyBorder="1" applyAlignment="1">
      <alignment horizontal="right" vertical="center"/>
    </xf>
    <xf numFmtId="0" fontId="21" fillId="0" borderId="1" xfId="114" applyFont="1" applyFill="1" applyBorder="1" applyAlignment="1">
      <alignment vertical="center"/>
    </xf>
    <xf numFmtId="173" fontId="17" fillId="0" borderId="1" xfId="114" applyNumberFormat="1" applyFont="1" applyBorder="1" applyAlignment="1">
      <alignment vertical="center"/>
    </xf>
    <xf numFmtId="0" fontId="2" fillId="0" borderId="1" xfId="114" applyFont="1" applyBorder="1" applyAlignment="1">
      <alignment horizontal="right" vertical="center"/>
    </xf>
    <xf numFmtId="0" fontId="2" fillId="0" borderId="1" xfId="114" applyFont="1" applyBorder="1" applyAlignment="1">
      <alignment vertical="center"/>
    </xf>
    <xf numFmtId="0" fontId="21" fillId="0" borderId="1" xfId="111" applyFont="1" applyBorder="1" applyAlignment="1">
      <alignment horizontal="center" vertical="center"/>
    </xf>
    <xf numFmtId="0" fontId="21" fillId="0" borderId="1" xfId="111" applyFont="1" applyBorder="1" applyAlignment="1">
      <alignment horizontal="left" vertical="center"/>
    </xf>
    <xf numFmtId="0" fontId="2" fillId="0" borderId="0" xfId="114" applyFont="1" applyFill="1" applyBorder="1" applyAlignment="1">
      <alignment vertical="center"/>
    </xf>
    <xf numFmtId="4" fontId="21" fillId="0" borderId="0" xfId="111" applyNumberFormat="1" applyFont="1" applyBorder="1" applyAlignment="1">
      <alignment horizontal="center" vertical="center"/>
    </xf>
    <xf numFmtId="0" fontId="2" fillId="0" borderId="0" xfId="114" applyFont="1" applyFill="1" applyBorder="1" applyAlignment="1">
      <alignment horizontal="center" vertical="center"/>
    </xf>
    <xf numFmtId="0" fontId="21" fillId="0" borderId="1" xfId="114" applyFont="1" applyBorder="1" applyAlignment="1">
      <alignment horizontal="right" vertical="center"/>
    </xf>
    <xf numFmtId="0" fontId="2" fillId="0" borderId="27" xfId="111" applyFont="1" applyBorder="1" applyAlignment="1">
      <alignment vertical="center" wrapText="1"/>
    </xf>
    <xf numFmtId="10" fontId="21" fillId="0" borderId="1" xfId="112" applyNumberFormat="1" applyFont="1" applyBorder="1" applyAlignment="1">
      <alignment horizontal="right" vertical="center"/>
    </xf>
    <xf numFmtId="2" fontId="21" fillId="0" borderId="1" xfId="111" applyNumberFormat="1" applyFont="1" applyBorder="1" applyAlignment="1">
      <alignment horizontal="right" vertical="center"/>
    </xf>
    <xf numFmtId="0" fontId="21" fillId="0" borderId="0" xfId="114" applyFont="1" applyBorder="1" applyAlignment="1">
      <alignment horizontal="left" vertical="center"/>
    </xf>
    <xf numFmtId="0" fontId="16" fillId="0" borderId="0" xfId="114" applyFont="1" applyAlignment="1">
      <alignment horizontal="center" vertical="center"/>
    </xf>
    <xf numFmtId="0" fontId="2" fillId="2" borderId="1" xfId="114" applyFont="1" applyFill="1" applyBorder="1" applyAlignment="1">
      <alignment vertical="center"/>
    </xf>
    <xf numFmtId="0" fontId="2" fillId="0" borderId="0" xfId="114" applyFont="1" applyFill="1" applyAlignment="1">
      <alignment vertical="center"/>
    </xf>
    <xf numFmtId="0" fontId="21" fillId="0" borderId="1" xfId="114" applyFont="1" applyFill="1" applyBorder="1" applyAlignment="1">
      <alignment horizontal="left" vertical="center"/>
    </xf>
    <xf numFmtId="0" fontId="21" fillId="0" borderId="1" xfId="114" applyFont="1" applyFill="1" applyBorder="1" applyAlignment="1">
      <alignment horizontal="right" vertical="center"/>
    </xf>
    <xf numFmtId="0" fontId="35" fillId="0" borderId="0" xfId="111" applyFill="1" applyAlignment="1">
      <alignment vertical="center"/>
    </xf>
    <xf numFmtId="0" fontId="25" fillId="0" borderId="1" xfId="0" applyNumberFormat="1" applyFont="1" applyFill="1" applyBorder="1" applyAlignment="1">
      <alignment horizontal="center" vertical="center"/>
    </xf>
    <xf numFmtId="2" fontId="25" fillId="0" borderId="1" xfId="0" applyNumberFormat="1" applyFont="1" applyFill="1" applyBorder="1" applyAlignment="1">
      <alignment horizontal="center" vertical="center"/>
    </xf>
    <xf numFmtId="0" fontId="26" fillId="0" borderId="0" xfId="63" applyFont="1" applyAlignment="1">
      <alignment horizontal="center" vertical="center" wrapText="1"/>
    </xf>
    <xf numFmtId="14" fontId="14" fillId="0" borderId="3" xfId="42" applyNumberFormat="1" applyFont="1" applyBorder="1" applyAlignment="1"/>
    <xf numFmtId="0" fontId="14" fillId="0" borderId="3" xfId="42" applyFont="1" applyBorder="1" applyAlignment="1"/>
    <xf numFmtId="0" fontId="13" fillId="0" borderId="0" xfId="42" applyFont="1" applyBorder="1" applyAlignment="1">
      <alignment horizontal="center"/>
    </xf>
    <xf numFmtId="0" fontId="14" fillId="0" borderId="0" xfId="41" applyFont="1" applyFill="1" applyAlignment="1">
      <alignment horizontal="left" wrapText="1"/>
    </xf>
    <xf numFmtId="0" fontId="13" fillId="0" borderId="4" xfId="42" applyFont="1" applyFill="1" applyBorder="1" applyAlignment="1">
      <alignment horizontal="center" vertical="center" wrapText="1"/>
    </xf>
    <xf numFmtId="0" fontId="13" fillId="0" borderId="5" xfId="42" applyFont="1" applyFill="1" applyBorder="1" applyAlignment="1">
      <alignment horizontal="center" vertical="center" wrapText="1"/>
    </xf>
    <xf numFmtId="0" fontId="13" fillId="0" borderId="4" xfId="42" applyNumberFormat="1" applyFont="1" applyFill="1" applyBorder="1" applyAlignment="1">
      <alignment horizontal="center" vertical="center" wrapText="1"/>
    </xf>
    <xf numFmtId="0" fontId="13" fillId="0" borderId="5" xfId="42" applyNumberFormat="1" applyFont="1" applyFill="1" applyBorder="1" applyAlignment="1">
      <alignment horizontal="center" vertical="center" wrapText="1"/>
    </xf>
    <xf numFmtId="9" fontId="13" fillId="0" borderId="4" xfId="109" applyFont="1" applyFill="1" applyBorder="1" applyAlignment="1">
      <alignment horizontal="center" vertical="center" wrapText="1"/>
    </xf>
    <xf numFmtId="9" fontId="13" fillId="0" borderId="5" xfId="109" applyFont="1" applyFill="1" applyBorder="1" applyAlignment="1">
      <alignment horizontal="center" vertical="center" wrapText="1"/>
    </xf>
    <xf numFmtId="0" fontId="16" fillId="0" borderId="2" xfId="42" applyFont="1" applyBorder="1" applyAlignment="1">
      <alignment horizontal="center"/>
    </xf>
    <xf numFmtId="0" fontId="16" fillId="0" borderId="6" xfId="42" applyFont="1" applyBorder="1" applyAlignment="1">
      <alignment horizontal="center"/>
    </xf>
    <xf numFmtId="0" fontId="31" fillId="0" borderId="0" xfId="63" applyFont="1" applyFill="1" applyAlignment="1">
      <alignment horizontal="center" vertical="center" wrapText="1"/>
    </xf>
    <xf numFmtId="0" fontId="23" fillId="0" borderId="2" xfId="0" applyFont="1" applyFill="1" applyBorder="1" applyAlignment="1">
      <alignment horizontal="left" vertical="center" wrapText="1"/>
    </xf>
    <xf numFmtId="0" fontId="23" fillId="0" borderId="28" xfId="0" applyFont="1" applyFill="1" applyBorder="1" applyAlignment="1">
      <alignment horizontal="left" vertical="center" wrapText="1"/>
    </xf>
    <xf numFmtId="0" fontId="23" fillId="0" borderId="6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left" vertical="center"/>
    </xf>
    <xf numFmtId="0" fontId="29" fillId="0" borderId="0" xfId="41" applyFont="1" applyFill="1" applyAlignment="1">
      <alignment horizontal="center" vertical="center" wrapText="1"/>
    </xf>
    <xf numFmtId="49" fontId="0" fillId="0" borderId="7" xfId="0" applyNumberFormat="1" applyFont="1" applyFill="1" applyBorder="1" applyAlignment="1">
      <alignment horizontal="center" vertical="center"/>
    </xf>
    <xf numFmtId="49" fontId="0" fillId="0" borderId="8" xfId="0" applyNumberFormat="1" applyFont="1" applyFill="1" applyBorder="1" applyAlignment="1">
      <alignment horizontal="center" vertical="center"/>
    </xf>
    <xf numFmtId="0" fontId="25" fillId="0" borderId="1" xfId="0" applyNumberFormat="1" applyFont="1" applyFill="1" applyBorder="1" applyAlignment="1">
      <alignment horizontal="center" vertical="center"/>
    </xf>
    <xf numFmtId="2" fontId="25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30" fillId="0" borderId="0" xfId="41" applyFont="1" applyFill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4" fontId="22" fillId="0" borderId="1" xfId="0" applyNumberFormat="1" applyFont="1" applyFill="1" applyBorder="1" applyAlignment="1">
      <alignment horizontal="center" vertical="center"/>
    </xf>
    <xf numFmtId="43" fontId="23" fillId="0" borderId="0" xfId="1" applyFont="1" applyBorder="1" applyAlignment="1">
      <alignment vertical="center" wrapText="1"/>
    </xf>
    <xf numFmtId="43" fontId="23" fillId="0" borderId="0" xfId="1" applyFont="1" applyBorder="1" applyAlignment="1">
      <alignment vertical="center"/>
    </xf>
    <xf numFmtId="0" fontId="22" fillId="0" borderId="1" xfId="0" applyFont="1" applyFill="1" applyBorder="1" applyAlignment="1">
      <alignment horizontal="center" vertical="center" wrapText="1"/>
    </xf>
    <xf numFmtId="43" fontId="22" fillId="0" borderId="1" xfId="1" applyFont="1" applyFill="1" applyBorder="1" applyAlignment="1">
      <alignment horizontal="center" vertical="center"/>
    </xf>
    <xf numFmtId="0" fontId="29" fillId="0" borderId="0" xfId="41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/>
    </xf>
    <xf numFmtId="43" fontId="1" fillId="0" borderId="1" xfId="1" applyFont="1" applyFill="1" applyBorder="1" applyAlignment="1">
      <alignment horizontal="center" vertical="center"/>
    </xf>
    <xf numFmtId="0" fontId="21" fillId="0" borderId="18" xfId="111" applyFont="1" applyBorder="1" applyAlignment="1">
      <alignment horizontal="left" vertical="top"/>
    </xf>
    <xf numFmtId="0" fontId="21" fillId="0" borderId="6" xfId="111" applyFont="1" applyBorder="1" applyAlignment="1">
      <alignment horizontal="left" vertical="top"/>
    </xf>
    <xf numFmtId="0" fontId="21" fillId="0" borderId="2" xfId="111" applyFont="1" applyBorder="1" applyAlignment="1">
      <alignment horizontal="center" vertical="top"/>
    </xf>
    <xf numFmtId="0" fontId="21" fillId="0" borderId="17" xfId="111" applyFont="1" applyBorder="1" applyAlignment="1">
      <alignment horizontal="center" vertical="top"/>
    </xf>
    <xf numFmtId="10" fontId="21" fillId="0" borderId="21" xfId="112" applyNumberFormat="1" applyFont="1" applyBorder="1" applyAlignment="1">
      <alignment horizontal="center" vertical="top"/>
    </xf>
    <xf numFmtId="10" fontId="21" fillId="0" borderId="22" xfId="112" applyNumberFormat="1" applyFont="1" applyBorder="1" applyAlignment="1">
      <alignment horizontal="center" vertical="top"/>
    </xf>
    <xf numFmtId="0" fontId="35" fillId="4" borderId="23" xfId="111" applyFill="1" applyBorder="1" applyAlignment="1">
      <alignment horizontal="center" vertical="top"/>
    </xf>
    <xf numFmtId="0" fontId="35" fillId="4" borderId="24" xfId="111" applyFill="1" applyBorder="1" applyAlignment="1">
      <alignment horizontal="center" vertical="top"/>
    </xf>
    <xf numFmtId="10" fontId="21" fillId="4" borderId="25" xfId="111" applyNumberFormat="1" applyFont="1" applyFill="1" applyBorder="1" applyAlignment="1">
      <alignment horizontal="center" vertical="top"/>
    </xf>
    <xf numFmtId="10" fontId="21" fillId="4" borderId="26" xfId="111" applyNumberFormat="1" applyFont="1" applyFill="1" applyBorder="1" applyAlignment="1">
      <alignment horizontal="center" vertical="top"/>
    </xf>
    <xf numFmtId="0" fontId="35" fillId="0" borderId="18" xfId="111" applyBorder="1" applyAlignment="1">
      <alignment horizontal="center" vertical="top"/>
    </xf>
    <xf numFmtId="0" fontId="35" fillId="0" borderId="6" xfId="111" applyBorder="1" applyAlignment="1">
      <alignment horizontal="center" vertical="top"/>
    </xf>
    <xf numFmtId="10" fontId="21" fillId="0" borderId="2" xfId="111" applyNumberFormat="1" applyFont="1" applyBorder="1" applyAlignment="1">
      <alignment horizontal="center" vertical="top"/>
    </xf>
    <xf numFmtId="10" fontId="21" fillId="0" borderId="2" xfId="112" applyNumberFormat="1" applyFont="1" applyBorder="1" applyAlignment="1">
      <alignment horizontal="center" vertical="top"/>
    </xf>
    <xf numFmtId="10" fontId="21" fillId="0" borderId="17" xfId="112" applyNumberFormat="1" applyFont="1" applyBorder="1" applyAlignment="1">
      <alignment horizontal="center" vertical="top"/>
    </xf>
    <xf numFmtId="10" fontId="21" fillId="0" borderId="2" xfId="112" applyNumberFormat="1" applyFont="1" applyFill="1" applyBorder="1" applyAlignment="1">
      <alignment horizontal="center" vertical="top"/>
    </xf>
    <xf numFmtId="10" fontId="21" fillId="0" borderId="17" xfId="112" applyNumberFormat="1" applyFont="1" applyFill="1" applyBorder="1" applyAlignment="1">
      <alignment horizontal="center" vertical="top"/>
    </xf>
    <xf numFmtId="0" fontId="36" fillId="0" borderId="0" xfId="111" applyFont="1" applyAlignment="1">
      <alignment horizontal="center" vertical="center" wrapText="1"/>
    </xf>
    <xf numFmtId="0" fontId="37" fillId="0" borderId="0" xfId="111" applyFont="1" applyAlignment="1">
      <alignment horizontal="center" vertical="center"/>
    </xf>
    <xf numFmtId="0" fontId="38" fillId="0" borderId="0" xfId="111" applyFont="1" applyAlignment="1">
      <alignment horizontal="left" vertical="center"/>
    </xf>
    <xf numFmtId="0" fontId="38" fillId="0" borderId="0" xfId="111" applyFont="1" applyAlignment="1">
      <alignment horizontal="left" vertical="center" wrapText="1"/>
    </xf>
    <xf numFmtId="0" fontId="21" fillId="4" borderId="9" xfId="111" applyFont="1" applyFill="1" applyBorder="1" applyAlignment="1">
      <alignment horizontal="center" vertical="top"/>
    </xf>
    <xf numFmtId="0" fontId="21" fillId="4" borderId="10" xfId="111" applyFont="1" applyFill="1" applyBorder="1" applyAlignment="1">
      <alignment horizontal="center" vertical="top"/>
    </xf>
    <xf numFmtId="0" fontId="21" fillId="4" borderId="11" xfId="111" applyFont="1" applyFill="1" applyBorder="1" applyAlignment="1">
      <alignment horizontal="center" vertical="top"/>
    </xf>
    <xf numFmtId="0" fontId="21" fillId="0" borderId="12" xfId="111" applyFont="1" applyBorder="1" applyAlignment="1">
      <alignment horizontal="left" vertical="top"/>
    </xf>
    <xf numFmtId="0" fontId="21" fillId="0" borderId="13" xfId="111" applyFont="1" applyBorder="1" applyAlignment="1">
      <alignment horizontal="left" vertical="top"/>
    </xf>
    <xf numFmtId="0" fontId="21" fillId="0" borderId="14" xfId="111" applyFont="1" applyBorder="1" applyAlignment="1">
      <alignment horizontal="center" vertical="top"/>
    </xf>
    <xf numFmtId="0" fontId="21" fillId="0" borderId="15" xfId="111" applyFont="1" applyBorder="1" applyAlignment="1">
      <alignment horizontal="center" vertical="top"/>
    </xf>
    <xf numFmtId="0" fontId="2" fillId="4" borderId="1" xfId="114" applyFont="1" applyFill="1" applyBorder="1" applyAlignment="1">
      <alignment horizontal="center" vertical="center"/>
    </xf>
    <xf numFmtId="0" fontId="21" fillId="0" borderId="1" xfId="114" applyFont="1" applyBorder="1" applyAlignment="1">
      <alignment horizontal="left" vertical="center"/>
    </xf>
    <xf numFmtId="0" fontId="21" fillId="0" borderId="1" xfId="114" applyFont="1" applyBorder="1" applyAlignment="1">
      <alignment horizontal="right" vertical="center"/>
    </xf>
    <xf numFmtId="0" fontId="17" fillId="0" borderId="0" xfId="114" applyFont="1" applyAlignment="1">
      <alignment horizontal="center" vertical="center"/>
    </xf>
    <xf numFmtId="0" fontId="21" fillId="0" borderId="1" xfId="111" applyFont="1" applyFill="1" applyBorder="1" applyAlignment="1">
      <alignment horizontal="left" vertical="center"/>
    </xf>
    <xf numFmtId="0" fontId="40" fillId="0" borderId="0" xfId="114" applyFont="1" applyAlignment="1">
      <alignment horizontal="center" vertical="center"/>
    </xf>
    <xf numFmtId="0" fontId="12" fillId="0" borderId="0" xfId="114" applyFont="1" applyAlignment="1">
      <alignment horizontal="center" vertical="center"/>
    </xf>
    <xf numFmtId="0" fontId="40" fillId="4" borderId="1" xfId="114" applyFont="1" applyFill="1" applyBorder="1" applyAlignment="1">
      <alignment horizontal="center" vertical="center"/>
    </xf>
    <xf numFmtId="0" fontId="21" fillId="0" borderId="1" xfId="111" applyFont="1" applyBorder="1" applyAlignment="1">
      <alignment horizontal="left" vertical="center"/>
    </xf>
  </cellXfs>
  <cellStyles count="115">
    <cellStyle name="0,0_x000d__x000a_NA_x000d__x000a_" xfId="3"/>
    <cellStyle name="Comma" xfId="4"/>
    <cellStyle name="Comma0" xfId="5"/>
    <cellStyle name="Currency" xfId="6"/>
    <cellStyle name="Currency0" xfId="7"/>
    <cellStyle name="Data" xfId="8"/>
    <cellStyle name="Date" xfId="9"/>
    <cellStyle name="Euro" xfId="10"/>
    <cellStyle name="Fixed" xfId="11"/>
    <cellStyle name="Fixo" xfId="12"/>
    <cellStyle name="Heading 1" xfId="13"/>
    <cellStyle name="Heading 2" xfId="14"/>
    <cellStyle name="Moeda" xfId="110" builtinId="4"/>
    <cellStyle name="Moeda 2" xfId="15"/>
    <cellStyle name="Moeda 2 2" xfId="46"/>
    <cellStyle name="Moeda0" xfId="16"/>
    <cellStyle name="Normal" xfId="0" builtinId="0"/>
    <cellStyle name="Normal 10" xfId="48"/>
    <cellStyle name="Normal 11" xfId="111"/>
    <cellStyle name="Normal 11 2" xfId="49"/>
    <cellStyle name="Normal 11 3" xfId="50"/>
    <cellStyle name="Normal 11 4" xfId="51"/>
    <cellStyle name="Normal 11 5" xfId="52"/>
    <cellStyle name="Normal 11 6" xfId="53"/>
    <cellStyle name="Normal 11 7" xfId="54"/>
    <cellStyle name="Normal 11 8" xfId="55"/>
    <cellStyle name="Normal 13" xfId="56"/>
    <cellStyle name="Normal 2" xfId="17"/>
    <cellStyle name="Normal 2 10" xfId="57"/>
    <cellStyle name="Normal 2 11" xfId="58"/>
    <cellStyle name="Normal 2 12" xfId="59"/>
    <cellStyle name="Normal 2 2" xfId="18"/>
    <cellStyle name="Normal 2 2 10" xfId="60"/>
    <cellStyle name="Normal 2 2 11" xfId="61"/>
    <cellStyle name="Normal 2 2 2" xfId="62"/>
    <cellStyle name="Normal 2 2 2 2" xfId="63"/>
    <cellStyle name="Normal 2 2 2 3" xfId="64"/>
    <cellStyle name="Normal 2 2 2 4" xfId="65"/>
    <cellStyle name="Normal 2 2 2 5" xfId="66"/>
    <cellStyle name="Normal 2 2 2 6" xfId="67"/>
    <cellStyle name="Normal 2 2 2 7" xfId="68"/>
    <cellStyle name="Normal 2 2 2 8" xfId="69"/>
    <cellStyle name="Normal 2 2 3" xfId="70"/>
    <cellStyle name="Normal 2 2 4" xfId="71"/>
    <cellStyle name="Normal 2 2 5" xfId="72"/>
    <cellStyle name="Normal 2 2 6" xfId="73"/>
    <cellStyle name="Normal 2 2 7" xfId="74"/>
    <cellStyle name="Normal 2 2 8" xfId="75"/>
    <cellStyle name="Normal 2 2 9" xfId="76"/>
    <cellStyle name="Normal 2 3" xfId="19"/>
    <cellStyle name="Normal 2 3 2" xfId="77"/>
    <cellStyle name="Normal 2 3 3" xfId="78"/>
    <cellStyle name="Normal 2 3 4" xfId="79"/>
    <cellStyle name="Normal 2 3 5" xfId="80"/>
    <cellStyle name="Normal 2 3 6" xfId="81"/>
    <cellStyle name="Normal 2 3 7" xfId="82"/>
    <cellStyle name="Normal 2 3 8" xfId="83"/>
    <cellStyle name="Normal 2 4" xfId="20"/>
    <cellStyle name="Normal 2 5" xfId="43"/>
    <cellStyle name="Normal 2 6" xfId="84"/>
    <cellStyle name="Normal 2 7" xfId="85"/>
    <cellStyle name="Normal 2 8" xfId="86"/>
    <cellStyle name="Normal 2 9" xfId="87"/>
    <cellStyle name="Normal 2_Orçamento Duque de Caxias" xfId="21"/>
    <cellStyle name="Normal 3" xfId="22"/>
    <cellStyle name="Normal 3 2" xfId="23"/>
    <cellStyle name="Normal 3 2 2" xfId="42"/>
    <cellStyle name="Normal 3 3" xfId="88"/>
    <cellStyle name="Normal 4" xfId="24"/>
    <cellStyle name="Normal 4 2" xfId="89"/>
    <cellStyle name="Normal 49" xfId="113"/>
    <cellStyle name="Normal 5" xfId="2"/>
    <cellStyle name="Normal 5 2" xfId="90"/>
    <cellStyle name="Normal 5 3" xfId="91"/>
    <cellStyle name="Normal 5 4" xfId="92"/>
    <cellStyle name="Normal 5 5" xfId="93"/>
    <cellStyle name="Normal 6" xfId="39"/>
    <cellStyle name="Normal 7" xfId="40"/>
    <cellStyle name="Normal 8" xfId="94"/>
    <cellStyle name="Normal 9" xfId="95"/>
    <cellStyle name="Normal_22 - Memória 22ª medição REDENÇÃO (ADITIVO) 2" xfId="41"/>
    <cellStyle name="Normal_COMPCUST" xfId="114"/>
    <cellStyle name="Percent" xfId="25"/>
    <cellStyle name="Percentual" xfId="26"/>
    <cellStyle name="Ponto" xfId="27"/>
    <cellStyle name="Porcentagem" xfId="109" builtinId="5"/>
    <cellStyle name="Porcentagem 2" xfId="28"/>
    <cellStyle name="Porcentagem 2 2" xfId="96"/>
    <cellStyle name="Porcentagem 2 3" xfId="97"/>
    <cellStyle name="Porcentagem 2 4" xfId="98"/>
    <cellStyle name="Porcentagem 2 5" xfId="99"/>
    <cellStyle name="Porcentagem 2 6" xfId="100"/>
    <cellStyle name="Porcentagem 3" xfId="101"/>
    <cellStyle name="Porcentagem 4" xfId="45"/>
    <cellStyle name="Porcentagem 5" xfId="102"/>
    <cellStyle name="Porcentagem 6" xfId="112"/>
    <cellStyle name="Separador de m" xfId="29"/>
    <cellStyle name="Separador de milhares 2" xfId="30"/>
    <cellStyle name="Separador de milhares 2 2" xfId="31"/>
    <cellStyle name="Separador de milhares 2 3" xfId="32"/>
    <cellStyle name="Separador de milhares 2 4" xfId="103"/>
    <cellStyle name="Separador de milhares 2 5" xfId="104"/>
    <cellStyle name="Separador de milhares 2 6" xfId="105"/>
    <cellStyle name="Separador de milhares 3" xfId="33"/>
    <cellStyle name="Separador de milhares 3 2" xfId="106"/>
    <cellStyle name="SUB" xfId="34"/>
    <cellStyle name="Titulo1" xfId="35"/>
    <cellStyle name="Titulo2" xfId="36"/>
    <cellStyle name="Vírgula" xfId="1" builtinId="3"/>
    <cellStyle name="Vírgula 2" xfId="37"/>
    <cellStyle name="Vírgula 2 2" xfId="47"/>
    <cellStyle name="Vírgula 3" xfId="44"/>
    <cellStyle name="Vírgula 4" xfId="107"/>
    <cellStyle name="Vírgula 5" xfId="108"/>
    <cellStyle name="Vírgula0" xfId="3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J34"/>
  <sheetViews>
    <sheetView showGridLines="0" view="pageBreakPreview" topLeftCell="A16" zoomScale="90" zoomScaleNormal="100" zoomScaleSheetLayoutView="90" workbookViewId="0">
      <selection activeCell="B41" sqref="B41"/>
    </sheetView>
  </sheetViews>
  <sheetFormatPr defaultColWidth="9.85546875" defaultRowHeight="12.75" x14ac:dyDescent="0.2"/>
  <cols>
    <col min="1" max="1" width="8.42578125" style="6" bestFit="1" customWidth="1"/>
    <col min="2" max="2" width="61.85546875" style="10" customWidth="1"/>
    <col min="3" max="3" width="14" style="6" bestFit="1" customWidth="1"/>
    <col min="4" max="4" width="12.42578125" style="18" bestFit="1" customWidth="1"/>
    <col min="5" max="5" width="9.85546875" style="1" customWidth="1"/>
    <col min="6" max="7" width="9.85546875" style="1"/>
    <col min="8" max="8" width="12.5703125" style="1" bestFit="1" customWidth="1"/>
    <col min="9" max="9" width="10.42578125" style="1" bestFit="1" customWidth="1"/>
    <col min="10" max="16384" width="9.85546875" style="1"/>
  </cols>
  <sheetData>
    <row r="1" spans="1:6" ht="15" customHeight="1" x14ac:dyDescent="0.2">
      <c r="A1" s="190" t="str">
        <f>orçamento!B1</f>
        <v xml:space="preserve">  H C GOMES CONSTRUTORA COMÉRCIO E SERVIÇOS EIRELI - EPP                                                                                       CNPJ: 18.235.336/0001-07, Incs. Municipal: 30.476, Trav. João Augusto, nº 847 -                                                      Bairro: São Pedro - CEP: 68.400-000 - Cametá - Pará</v>
      </c>
      <c r="B1" s="190"/>
      <c r="C1" s="190"/>
      <c r="D1" s="190"/>
      <c r="E1" s="190"/>
    </row>
    <row r="2" spans="1:6" ht="20.25" customHeight="1" x14ac:dyDescent="0.2">
      <c r="A2" s="190"/>
      <c r="B2" s="190"/>
      <c r="C2" s="190"/>
      <c r="D2" s="190"/>
      <c r="E2" s="190"/>
    </row>
    <row r="3" spans="1:6" ht="15" customHeight="1" x14ac:dyDescent="0.2">
      <c r="A3" s="190"/>
      <c r="B3" s="190"/>
      <c r="C3" s="190"/>
      <c r="D3" s="190"/>
      <c r="E3" s="190"/>
    </row>
    <row r="4" spans="1:6" ht="15" customHeight="1" x14ac:dyDescent="0.2">
      <c r="A4" s="190"/>
      <c r="B4" s="190"/>
      <c r="C4" s="190"/>
      <c r="D4" s="190"/>
      <c r="E4" s="190"/>
    </row>
    <row r="5" spans="1:6" ht="30.75" customHeight="1" x14ac:dyDescent="0.2">
      <c r="A5" s="194" t="str">
        <f>orçamento!A5</f>
        <v>PREFEITURA MUNICIPAL DE BAIÃO</v>
      </c>
      <c r="B5" s="194"/>
      <c r="C5" s="194"/>
      <c r="D5" s="194"/>
    </row>
    <row r="6" spans="1:6" ht="14.25" x14ac:dyDescent="0.2">
      <c r="A6" s="194" t="str">
        <f>orçamento!A6</f>
        <v>OBRA: CONSTRUÇÃO DA PRIMEIRA ETAPA DO PRÉDIO NO QUAL FUNCIONARÁ A SECRETARIA MUNICIPAL DE EDUCAÇÃO</v>
      </c>
      <c r="B6" s="194"/>
      <c r="C6" s="14"/>
      <c r="D6" s="30"/>
    </row>
    <row r="7" spans="1:6" ht="16.5" customHeight="1" x14ac:dyDescent="0.2">
      <c r="A7" s="194" t="str">
        <f>orçamento!A7</f>
        <v xml:space="preserve">LOCAL: </v>
      </c>
      <c r="B7" s="194"/>
      <c r="C7" s="11"/>
      <c r="D7" s="16"/>
    </row>
    <row r="8" spans="1:6" ht="16.5" customHeight="1" x14ac:dyDescent="0.2">
      <c r="A8" s="194" t="str">
        <f>orçamento!A8</f>
        <v>PRAZO DE EXECUÇÃO: 10 MESES</v>
      </c>
      <c r="B8" s="194"/>
      <c r="C8" s="194"/>
      <c r="D8" s="194"/>
    </row>
    <row r="9" spans="1:6" ht="16.5" customHeight="1" x14ac:dyDescent="0.25">
      <c r="A9" s="193" t="s">
        <v>29</v>
      </c>
      <c r="B9" s="193"/>
      <c r="C9" s="193"/>
      <c r="D9" s="193"/>
    </row>
    <row r="10" spans="1:6" ht="14.25" customHeight="1" x14ac:dyDescent="0.2">
      <c r="A10" s="191"/>
      <c r="B10" s="192"/>
      <c r="C10" s="11"/>
      <c r="D10" s="16"/>
    </row>
    <row r="11" spans="1:6" ht="12.75" customHeight="1" x14ac:dyDescent="0.2">
      <c r="A11" s="195" t="s">
        <v>1</v>
      </c>
      <c r="B11" s="197" t="s">
        <v>2</v>
      </c>
      <c r="C11" s="195" t="s">
        <v>30</v>
      </c>
      <c r="D11" s="199" t="s">
        <v>31</v>
      </c>
    </row>
    <row r="12" spans="1:6" ht="12.75" customHeight="1" x14ac:dyDescent="0.2">
      <c r="A12" s="196"/>
      <c r="B12" s="198"/>
      <c r="C12" s="196"/>
      <c r="D12" s="200"/>
    </row>
    <row r="13" spans="1:6" s="4" customFormat="1" ht="15" x14ac:dyDescent="0.2">
      <c r="A13" s="7">
        <v>1</v>
      </c>
      <c r="B13" s="8" t="str">
        <f>orçamento!D13</f>
        <v>DESPESAS GERAIS</v>
      </c>
      <c r="C13" s="73">
        <f>orçamento!J13</f>
        <v>0</v>
      </c>
      <c r="D13" s="19" t="e">
        <f>C13/C28</f>
        <v>#DIV/0!</v>
      </c>
      <c r="E13" s="2"/>
      <c r="F13" s="3"/>
    </row>
    <row r="14" spans="1:6" s="4" customFormat="1" ht="15" x14ac:dyDescent="0.2">
      <c r="A14" s="7">
        <v>2</v>
      </c>
      <c r="B14" s="8" t="str">
        <f>orçamento!D18</f>
        <v>MOVIMENTO DE TERRA</v>
      </c>
      <c r="C14" s="73">
        <f>orçamento!J18</f>
        <v>0</v>
      </c>
      <c r="D14" s="19" t="e">
        <f>C14/C28</f>
        <v>#DIV/0!</v>
      </c>
      <c r="F14" s="3"/>
    </row>
    <row r="15" spans="1:6" s="4" customFormat="1" ht="15" x14ac:dyDescent="0.2">
      <c r="A15" s="7">
        <v>4</v>
      </c>
      <c r="B15" s="8" t="str">
        <f>orçamento!D23</f>
        <v>INFRA-ESTRUTURA FUNDAÇÕES</v>
      </c>
      <c r="C15" s="73">
        <f>orçamento!J23</f>
        <v>0</v>
      </c>
      <c r="D15" s="19" t="e">
        <f>C15/C28</f>
        <v>#DIV/0!</v>
      </c>
      <c r="F15" s="3"/>
    </row>
    <row r="16" spans="1:6" s="4" customFormat="1" ht="15" x14ac:dyDescent="0.2">
      <c r="A16" s="7">
        <v>5</v>
      </c>
      <c r="B16" s="8" t="str">
        <f>orçamento!D27</f>
        <v xml:space="preserve">INFRA-ESTRUTURA </v>
      </c>
      <c r="C16" s="73">
        <f>orçamento!J27</f>
        <v>0</v>
      </c>
      <c r="D16" s="19" t="e">
        <f>C16/C28</f>
        <v>#DIV/0!</v>
      </c>
    </row>
    <row r="17" spans="1:10" s="4" customFormat="1" ht="15" x14ac:dyDescent="0.2">
      <c r="A17" s="7">
        <v>6</v>
      </c>
      <c r="B17" s="8" t="str">
        <f>orçamento!D32</f>
        <v>INSTALAÇÕES HIDRO-SANITARIAS</v>
      </c>
      <c r="C17" s="73">
        <f>orçamento!J32</f>
        <v>0</v>
      </c>
      <c r="D17" s="19" t="e">
        <f>C17/C28</f>
        <v>#DIV/0!</v>
      </c>
    </row>
    <row r="18" spans="1:10" s="4" customFormat="1" ht="15" x14ac:dyDescent="0.2">
      <c r="A18" s="7">
        <v>7</v>
      </c>
      <c r="B18" s="8" t="str">
        <f>orçamento!D129</f>
        <v>COBERTURA</v>
      </c>
      <c r="C18" s="73">
        <f>orçamento!J129</f>
        <v>0</v>
      </c>
      <c r="D18" s="19" t="e">
        <f>C18/C28</f>
        <v>#DIV/0!</v>
      </c>
    </row>
    <row r="19" spans="1:10" s="4" customFormat="1" ht="15" x14ac:dyDescent="0.2">
      <c r="A19" s="7">
        <v>8</v>
      </c>
      <c r="B19" s="8" t="str">
        <f>orçamento!D133</f>
        <v>ESQUADRIAS</v>
      </c>
      <c r="C19" s="73">
        <f>orçamento!J133</f>
        <v>0</v>
      </c>
      <c r="D19" s="19" t="e">
        <f>C19/C28</f>
        <v>#DIV/0!</v>
      </c>
    </row>
    <row r="20" spans="1:10" s="4" customFormat="1" ht="15" x14ac:dyDescent="0.2">
      <c r="A20" s="7">
        <v>9</v>
      </c>
      <c r="B20" s="8" t="str">
        <f>orçamento!D140</f>
        <v>REVESTIMENTOS</v>
      </c>
      <c r="C20" s="73">
        <f>orçamento!J140</f>
        <v>0</v>
      </c>
      <c r="D20" s="19" t="e">
        <f>C20/C28</f>
        <v>#DIV/0!</v>
      </c>
    </row>
    <row r="21" spans="1:10" s="4" customFormat="1" ht="15" x14ac:dyDescent="0.2">
      <c r="A21" s="7">
        <v>10</v>
      </c>
      <c r="B21" s="8" t="str">
        <f>orçamento!D147</f>
        <v>SOLEIRAS, RODAPÉS E PEITORIS</v>
      </c>
      <c r="C21" s="73">
        <f>orçamento!J147</f>
        <v>0</v>
      </c>
      <c r="D21" s="19" t="e">
        <f>C21/C28</f>
        <v>#DIV/0!</v>
      </c>
    </row>
    <row r="22" spans="1:10" s="4" customFormat="1" ht="15" x14ac:dyDescent="0.2">
      <c r="A22" s="7">
        <v>11</v>
      </c>
      <c r="B22" s="8" t="str">
        <f>orçamento!D150</f>
        <v>FERRAGEM PARA PORTAS</v>
      </c>
      <c r="C22" s="73">
        <f>orçamento!J150</f>
        <v>0</v>
      </c>
      <c r="D22" s="19" t="e">
        <f>C22/C28</f>
        <v>#DIV/0!</v>
      </c>
    </row>
    <row r="23" spans="1:10" s="4" customFormat="1" ht="15" x14ac:dyDescent="0.2">
      <c r="A23" s="7">
        <v>12</v>
      </c>
      <c r="B23" s="8" t="str">
        <f>orçamento!D154</f>
        <v>VIDROS</v>
      </c>
      <c r="C23" s="73">
        <f>orçamento!J154</f>
        <v>0</v>
      </c>
      <c r="D23" s="19" t="e">
        <f>C23/C28</f>
        <v>#DIV/0!</v>
      </c>
    </row>
    <row r="24" spans="1:10" s="4" customFormat="1" ht="15" x14ac:dyDescent="0.2">
      <c r="A24" s="7">
        <v>14</v>
      </c>
      <c r="B24" s="8" t="str">
        <f>orçamento!D156</f>
        <v>PAVIMENTAÇÕES</v>
      </c>
      <c r="C24" s="73">
        <f>orçamento!J156</f>
        <v>0</v>
      </c>
      <c r="D24" s="19" t="e">
        <f>C24/C28</f>
        <v>#DIV/0!</v>
      </c>
    </row>
    <row r="25" spans="1:10" s="4" customFormat="1" ht="15" x14ac:dyDescent="0.2">
      <c r="A25" s="7">
        <v>15</v>
      </c>
      <c r="B25" s="8" t="str">
        <f>orçamento!D160</f>
        <v>PINTURAS</v>
      </c>
      <c r="C25" s="73">
        <f>orçamento!J160</f>
        <v>0</v>
      </c>
      <c r="D25" s="19" t="e">
        <f>C25/C28</f>
        <v>#DIV/0!</v>
      </c>
    </row>
    <row r="26" spans="1:10" s="4" customFormat="1" ht="15" x14ac:dyDescent="0.2">
      <c r="A26" s="7">
        <v>17</v>
      </c>
      <c r="B26" s="8" t="str">
        <f>orçamento!D166</f>
        <v>ALVENARIA DE TIJOLO</v>
      </c>
      <c r="C26" s="73">
        <f>orçamento!J166</f>
        <v>0</v>
      </c>
      <c r="D26" s="19" t="e">
        <f>C26/C28</f>
        <v>#DIV/0!</v>
      </c>
    </row>
    <row r="27" spans="1:10" s="4" customFormat="1" ht="15" x14ac:dyDescent="0.2">
      <c r="A27" s="7">
        <v>18</v>
      </c>
      <c r="B27" s="8" t="str">
        <f>orçamento!D169</f>
        <v>URBANIZAÇÃO</v>
      </c>
      <c r="C27" s="73">
        <f>orçamento!J169</f>
        <v>0</v>
      </c>
      <c r="D27" s="19" t="e">
        <f>C27/C28</f>
        <v>#DIV/0!</v>
      </c>
    </row>
    <row r="28" spans="1:10" x14ac:dyDescent="0.2">
      <c r="A28" s="201" t="s">
        <v>50</v>
      </c>
      <c r="B28" s="202"/>
      <c r="C28" s="9">
        <f>SUM(C13:C27)</f>
        <v>0</v>
      </c>
      <c r="D28" s="17" t="e">
        <f>SUM(D13:D27)</f>
        <v>#DIV/0!</v>
      </c>
    </row>
    <row r="29" spans="1:10" x14ac:dyDescent="0.2">
      <c r="H29" s="93"/>
      <c r="I29" s="93"/>
      <c r="J29" s="94"/>
    </row>
    <row r="32" spans="1:10" x14ac:dyDescent="0.2">
      <c r="C32" s="21"/>
    </row>
    <row r="33" spans="3:3" x14ac:dyDescent="0.2">
      <c r="C33" s="23"/>
    </row>
    <row r="34" spans="3:3" x14ac:dyDescent="0.2">
      <c r="C34" s="22"/>
    </row>
  </sheetData>
  <mergeCells count="13">
    <mergeCell ref="A11:A12"/>
    <mergeCell ref="B11:B12"/>
    <mergeCell ref="C11:C12"/>
    <mergeCell ref="D11:D12"/>
    <mergeCell ref="A28:B28"/>
    <mergeCell ref="A1:E4"/>
    <mergeCell ref="A10:B10"/>
    <mergeCell ref="A9:D9"/>
    <mergeCell ref="A8:D8"/>
    <mergeCell ref="A5:B5"/>
    <mergeCell ref="C5:D5"/>
    <mergeCell ref="A6:B6"/>
    <mergeCell ref="A7:B7"/>
  </mergeCells>
  <pageMargins left="0.78740157480314965" right="0.39370078740157483" top="0.39370078740157483" bottom="0.59055118110236227" header="0.31496062992125984" footer="0.31496062992125984"/>
  <pageSetup paperSize="9" scale="85" fitToHeight="0" orientation="portrait" r:id="rId1"/>
  <ignoredErrors>
    <ignoredError sqref="C28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183"/>
  <sheetViews>
    <sheetView showGridLines="0" tabSelected="1" view="pageBreakPreview" topLeftCell="B1" zoomScaleNormal="100" zoomScaleSheetLayoutView="100" zoomScalePageLayoutView="90" workbookViewId="0">
      <selection activeCell="F16" sqref="F16"/>
    </sheetView>
  </sheetViews>
  <sheetFormatPr defaultRowHeight="15" x14ac:dyDescent="0.25"/>
  <cols>
    <col min="1" max="1" width="9.140625" style="5" hidden="1" customWidth="1"/>
    <col min="2" max="2" width="11.42578125" style="29" bestFit="1" customWidth="1"/>
    <col min="3" max="3" width="7.85546875" style="35" bestFit="1" customWidth="1"/>
    <col min="4" max="4" width="46.5703125" style="55" customWidth="1"/>
    <col min="5" max="5" width="6" style="35" customWidth="1"/>
    <col min="6" max="6" width="8.28515625" style="37" customWidth="1"/>
    <col min="7" max="7" width="9.85546875" style="20" bestFit="1" customWidth="1"/>
    <col min="8" max="8" width="9.85546875" style="75" hidden="1" customWidth="1"/>
    <col min="9" max="9" width="16.140625" style="5" hidden="1" customWidth="1"/>
    <col min="10" max="10" width="16.7109375" style="5" customWidth="1"/>
    <col min="11" max="11" width="2.5703125" customWidth="1"/>
    <col min="12" max="12" width="9.140625" style="92"/>
    <col min="13" max="13" width="15.85546875" bestFit="1" customWidth="1"/>
    <col min="14" max="14" width="10.5703125" bestFit="1" customWidth="1"/>
    <col min="15" max="15" width="15.85546875" bestFit="1" customWidth="1"/>
  </cols>
  <sheetData>
    <row r="1" spans="1:14" s="13" customFormat="1" ht="26.25" customHeight="1" x14ac:dyDescent="0.25">
      <c r="A1" s="106"/>
      <c r="B1" s="203" t="s">
        <v>75</v>
      </c>
      <c r="C1" s="203"/>
      <c r="D1" s="203"/>
      <c r="E1" s="203"/>
      <c r="F1" s="203"/>
      <c r="G1" s="203"/>
      <c r="H1" s="203"/>
      <c r="I1" s="203"/>
      <c r="J1" s="203"/>
      <c r="K1" s="203"/>
      <c r="L1" s="88"/>
    </row>
    <row r="2" spans="1:14" s="13" customFormat="1" ht="15.75" x14ac:dyDescent="0.25">
      <c r="A2" s="107"/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88"/>
    </row>
    <row r="3" spans="1:14" s="13" customFormat="1" ht="15.75" x14ac:dyDescent="0.25">
      <c r="A3" s="99"/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88"/>
    </row>
    <row r="4" spans="1:14" s="13" customFormat="1" ht="15" customHeight="1" x14ac:dyDescent="0.25">
      <c r="A4" s="108"/>
      <c r="B4" s="203"/>
      <c r="C4" s="203"/>
      <c r="D4" s="203"/>
      <c r="E4" s="203"/>
      <c r="F4" s="203"/>
      <c r="G4" s="203"/>
      <c r="H4" s="203"/>
      <c r="I4" s="203"/>
      <c r="J4" s="203"/>
      <c r="K4" s="203"/>
      <c r="L4" s="88"/>
    </row>
    <row r="5" spans="1:14" s="13" customFormat="1" ht="26.25" customHeight="1" x14ac:dyDescent="0.25">
      <c r="A5" s="221" t="s">
        <v>53</v>
      </c>
      <c r="B5" s="221"/>
      <c r="C5" s="221"/>
      <c r="D5" s="221"/>
      <c r="E5" s="43"/>
      <c r="F5" s="208"/>
      <c r="G5" s="208"/>
      <c r="H5" s="208"/>
      <c r="I5" s="208"/>
      <c r="J5" s="58"/>
      <c r="L5" s="88"/>
    </row>
    <row r="6" spans="1:14" s="13" customFormat="1" x14ac:dyDescent="0.25">
      <c r="A6" s="222" t="s">
        <v>393</v>
      </c>
      <c r="B6" s="222"/>
      <c r="C6" s="222"/>
      <c r="D6" s="222"/>
      <c r="E6" s="222"/>
      <c r="F6" s="222"/>
      <c r="G6" s="222"/>
      <c r="H6" s="222"/>
      <c r="I6" s="222"/>
      <c r="J6" s="222"/>
      <c r="K6" s="15"/>
      <c r="L6" s="88"/>
    </row>
    <row r="7" spans="1:14" s="13" customFormat="1" x14ac:dyDescent="0.25">
      <c r="A7" s="222" t="s">
        <v>394</v>
      </c>
      <c r="B7" s="207"/>
      <c r="C7" s="207"/>
      <c r="D7" s="207"/>
      <c r="E7" s="60"/>
      <c r="F7" s="61"/>
      <c r="G7" s="59"/>
      <c r="H7" s="59"/>
      <c r="I7" s="62"/>
      <c r="J7" s="62"/>
      <c r="L7" s="88"/>
    </row>
    <row r="8" spans="1:14" s="13" customFormat="1" ht="17.25" customHeight="1" x14ac:dyDescent="0.25">
      <c r="A8" s="207" t="s">
        <v>54</v>
      </c>
      <c r="B8" s="207"/>
      <c r="C8" s="207"/>
      <c r="D8" s="207"/>
      <c r="E8" s="207"/>
      <c r="F8" s="207"/>
      <c r="G8" s="59"/>
      <c r="H8" s="59"/>
      <c r="I8" s="63"/>
      <c r="J8" s="63"/>
      <c r="L8" s="88"/>
    </row>
    <row r="9" spans="1:14" s="13" customFormat="1" x14ac:dyDescent="0.25">
      <c r="A9" s="214" t="s">
        <v>0</v>
      </c>
      <c r="B9" s="214"/>
      <c r="C9" s="214"/>
      <c r="D9" s="214"/>
      <c r="E9" s="214"/>
      <c r="F9" s="214"/>
      <c r="G9" s="214"/>
      <c r="H9" s="214"/>
      <c r="I9" s="214"/>
      <c r="J9" s="64"/>
      <c r="L9" s="88"/>
    </row>
    <row r="10" spans="1:14" s="13" customFormat="1" x14ac:dyDescent="0.25">
      <c r="A10" s="65"/>
      <c r="B10" s="66"/>
      <c r="C10" s="66"/>
      <c r="D10" s="67"/>
      <c r="E10" s="60"/>
      <c r="F10" s="61"/>
      <c r="G10" s="59"/>
      <c r="H10" s="59"/>
      <c r="I10" s="62"/>
      <c r="J10" s="62"/>
      <c r="L10" s="88"/>
    </row>
    <row r="11" spans="1:14" s="13" customFormat="1" x14ac:dyDescent="0.25">
      <c r="A11" s="209"/>
      <c r="B11" s="213" t="s">
        <v>34</v>
      </c>
      <c r="C11" s="219" t="s">
        <v>1</v>
      </c>
      <c r="D11" s="219" t="s">
        <v>43</v>
      </c>
      <c r="E11" s="211" t="s">
        <v>44</v>
      </c>
      <c r="F11" s="212" t="s">
        <v>45</v>
      </c>
      <c r="G11" s="220" t="s">
        <v>46</v>
      </c>
      <c r="H11" s="223" t="s">
        <v>52</v>
      </c>
      <c r="I11" s="216" t="s">
        <v>47</v>
      </c>
      <c r="J11" s="57"/>
      <c r="L11" s="217"/>
      <c r="M11" s="24"/>
    </row>
    <row r="12" spans="1:14" s="13" customFormat="1" x14ac:dyDescent="0.25">
      <c r="A12" s="210"/>
      <c r="B12" s="213"/>
      <c r="C12" s="219"/>
      <c r="D12" s="219"/>
      <c r="E12" s="211"/>
      <c r="F12" s="212"/>
      <c r="G12" s="220"/>
      <c r="H12" s="223"/>
      <c r="I12" s="216"/>
      <c r="J12" s="57"/>
      <c r="L12" s="218"/>
      <c r="M12" s="25"/>
    </row>
    <row r="13" spans="1:14" s="13" customFormat="1" x14ac:dyDescent="0.25">
      <c r="A13" s="68"/>
      <c r="B13" s="78"/>
      <c r="C13" s="79">
        <v>1</v>
      </c>
      <c r="D13" s="80" t="s">
        <v>225</v>
      </c>
      <c r="E13" s="81"/>
      <c r="F13" s="82"/>
      <c r="G13" s="83"/>
      <c r="H13" s="84"/>
      <c r="I13" s="85">
        <f>SUM(I14:I17)</f>
        <v>364709.01</v>
      </c>
      <c r="J13" s="85">
        <f>SUM(J14:J17)</f>
        <v>0</v>
      </c>
      <c r="K13" s="34"/>
      <c r="L13" s="88"/>
    </row>
    <row r="14" spans="1:14" s="13" customFormat="1" x14ac:dyDescent="0.25">
      <c r="A14" s="70"/>
      <c r="B14" s="69" t="s">
        <v>73</v>
      </c>
      <c r="C14" s="52" t="s">
        <v>3</v>
      </c>
      <c r="D14" s="40" t="s">
        <v>226</v>
      </c>
      <c r="E14" s="42" t="s">
        <v>7</v>
      </c>
      <c r="F14" s="36">
        <v>3</v>
      </c>
      <c r="G14" s="41"/>
      <c r="H14" s="41">
        <v>375.79</v>
      </c>
      <c r="I14" s="31">
        <f>F14*H14</f>
        <v>1127.3700000000001</v>
      </c>
      <c r="J14" s="31">
        <f>F14*G14</f>
        <v>0</v>
      </c>
      <c r="L14" s="26"/>
      <c r="M14" s="26"/>
      <c r="N14" s="27"/>
    </row>
    <row r="15" spans="1:14" s="13" customFormat="1" ht="24" x14ac:dyDescent="0.25">
      <c r="A15" s="70"/>
      <c r="B15" s="69" t="s">
        <v>74</v>
      </c>
      <c r="C15" s="52" t="s">
        <v>4</v>
      </c>
      <c r="D15" s="40" t="s">
        <v>227</v>
      </c>
      <c r="E15" s="42" t="s">
        <v>7</v>
      </c>
      <c r="F15" s="36">
        <v>1</v>
      </c>
      <c r="G15" s="41"/>
      <c r="H15" s="41">
        <v>627.63</v>
      </c>
      <c r="I15" s="31">
        <f t="shared" ref="I15:I22" si="0">F15*H15</f>
        <v>627.63</v>
      </c>
      <c r="J15" s="31">
        <f t="shared" ref="J15:J17" si="1">F15*G15</f>
        <v>0</v>
      </c>
      <c r="L15" s="26"/>
      <c r="M15" s="26"/>
      <c r="N15" s="27"/>
    </row>
    <row r="16" spans="1:14" s="12" customFormat="1" ht="24" x14ac:dyDescent="0.25">
      <c r="A16" s="70"/>
      <c r="B16" s="69">
        <v>901460</v>
      </c>
      <c r="C16" s="52" t="s">
        <v>5</v>
      </c>
      <c r="D16" s="40" t="s">
        <v>228</v>
      </c>
      <c r="E16" s="42" t="s">
        <v>7</v>
      </c>
      <c r="F16" s="36">
        <v>338</v>
      </c>
      <c r="G16" s="41"/>
      <c r="H16" s="41">
        <v>1072.43</v>
      </c>
      <c r="I16" s="31">
        <f>F16*H16</f>
        <v>362481.34</v>
      </c>
      <c r="J16" s="31">
        <f t="shared" si="1"/>
        <v>0</v>
      </c>
      <c r="L16" s="39"/>
      <c r="M16" s="39"/>
      <c r="N16" s="32"/>
    </row>
    <row r="17" spans="1:14" s="12" customFormat="1" ht="24" x14ac:dyDescent="0.25">
      <c r="A17" s="70"/>
      <c r="B17" s="69" t="s">
        <v>229</v>
      </c>
      <c r="C17" s="52" t="s">
        <v>6</v>
      </c>
      <c r="D17" s="40" t="s">
        <v>230</v>
      </c>
      <c r="E17" s="42" t="s">
        <v>44</v>
      </c>
      <c r="F17" s="36">
        <v>1</v>
      </c>
      <c r="G17" s="41"/>
      <c r="H17" s="41">
        <v>472.67</v>
      </c>
      <c r="I17" s="31">
        <f t="shared" si="0"/>
        <v>472.67</v>
      </c>
      <c r="J17" s="31">
        <f t="shared" si="1"/>
        <v>0</v>
      </c>
      <c r="L17" s="39"/>
      <c r="M17" s="39"/>
      <c r="N17" s="32"/>
    </row>
    <row r="18" spans="1:14" s="12" customFormat="1" x14ac:dyDescent="0.25">
      <c r="A18" s="70"/>
      <c r="B18" s="78"/>
      <c r="C18" s="79">
        <v>2</v>
      </c>
      <c r="D18" s="80" t="s">
        <v>231</v>
      </c>
      <c r="E18" s="81"/>
      <c r="F18" s="82"/>
      <c r="G18" s="83"/>
      <c r="H18" s="84"/>
      <c r="I18" s="85">
        <f>SUM(I20:I22)</f>
        <v>2701.2312000000002</v>
      </c>
      <c r="J18" s="85">
        <f>SUM(J19:J22)</f>
        <v>0</v>
      </c>
      <c r="K18" s="34"/>
      <c r="L18" s="89"/>
      <c r="M18" s="39"/>
      <c r="N18" s="32"/>
    </row>
    <row r="19" spans="1:14" s="12" customFormat="1" ht="24" x14ac:dyDescent="0.25">
      <c r="A19" s="70"/>
      <c r="B19" s="69">
        <v>90135</v>
      </c>
      <c r="C19" s="95" t="s">
        <v>10</v>
      </c>
      <c r="D19" s="40" t="s">
        <v>232</v>
      </c>
      <c r="E19" s="97" t="s">
        <v>9</v>
      </c>
      <c r="F19" s="98">
        <v>40</v>
      </c>
      <c r="G19" s="41"/>
      <c r="H19" s="41"/>
      <c r="I19" s="31"/>
      <c r="J19" s="31">
        <f>F19*G19</f>
        <v>0</v>
      </c>
      <c r="L19" s="39"/>
      <c r="M19" s="39"/>
      <c r="N19" s="32"/>
    </row>
    <row r="20" spans="1:14" s="12" customFormat="1" x14ac:dyDescent="0.25">
      <c r="A20" s="70"/>
      <c r="B20" s="69" t="s">
        <v>233</v>
      </c>
      <c r="C20" s="52" t="s">
        <v>11</v>
      </c>
      <c r="D20" s="40" t="s">
        <v>234</v>
      </c>
      <c r="E20" s="42" t="s">
        <v>9</v>
      </c>
      <c r="F20" s="36">
        <v>40</v>
      </c>
      <c r="G20" s="41"/>
      <c r="H20" s="41">
        <v>23.53</v>
      </c>
      <c r="I20" s="31">
        <f>F20*H20</f>
        <v>941.2</v>
      </c>
      <c r="J20" s="31">
        <f>F20*G20</f>
        <v>0</v>
      </c>
      <c r="L20" s="39"/>
      <c r="M20" s="39"/>
      <c r="N20" s="32"/>
    </row>
    <row r="21" spans="1:14" s="12" customFormat="1" ht="24" x14ac:dyDescent="0.25">
      <c r="A21" s="70"/>
      <c r="B21" s="69"/>
      <c r="C21" s="52" t="s">
        <v>48</v>
      </c>
      <c r="D21" s="40" t="s">
        <v>235</v>
      </c>
      <c r="E21" s="42" t="s">
        <v>9</v>
      </c>
      <c r="F21" s="36">
        <v>62.48</v>
      </c>
      <c r="G21" s="41"/>
      <c r="H21" s="41">
        <v>19.690000000000001</v>
      </c>
      <c r="I21" s="31">
        <f t="shared" si="0"/>
        <v>1230.2311999999999</v>
      </c>
      <c r="J21" s="31">
        <f t="shared" ref="J21:J22" si="2">F21*G21</f>
        <v>0</v>
      </c>
      <c r="L21" s="39"/>
      <c r="M21" s="39"/>
      <c r="N21" s="32"/>
    </row>
    <row r="22" spans="1:14" s="12" customFormat="1" ht="24" x14ac:dyDescent="0.25">
      <c r="A22" s="71"/>
      <c r="B22" s="69">
        <v>20177</v>
      </c>
      <c r="C22" s="52" t="s">
        <v>62</v>
      </c>
      <c r="D22" s="72" t="s">
        <v>236</v>
      </c>
      <c r="E22" s="69" t="s">
        <v>7</v>
      </c>
      <c r="F22" s="36">
        <v>60</v>
      </c>
      <c r="G22" s="41"/>
      <c r="H22" s="41">
        <v>8.83</v>
      </c>
      <c r="I22" s="38">
        <f t="shared" si="0"/>
        <v>529.79999999999995</v>
      </c>
      <c r="J22" s="31">
        <f t="shared" si="2"/>
        <v>0</v>
      </c>
      <c r="L22" s="90"/>
    </row>
    <row r="23" spans="1:14" s="12" customFormat="1" x14ac:dyDescent="0.25">
      <c r="A23" s="70"/>
      <c r="B23" s="78" t="s">
        <v>28</v>
      </c>
      <c r="C23" s="79">
        <v>3</v>
      </c>
      <c r="D23" s="80" t="s">
        <v>395</v>
      </c>
      <c r="E23" s="86"/>
      <c r="F23" s="82"/>
      <c r="G23" s="83"/>
      <c r="H23" s="84"/>
      <c r="I23" s="85">
        <f>SUM(I24:I26)</f>
        <v>744.93</v>
      </c>
      <c r="J23" s="85">
        <f>SUM(J24:J26)</f>
        <v>0</v>
      </c>
      <c r="K23" s="34"/>
      <c r="L23" s="89"/>
      <c r="M23" s="39"/>
      <c r="N23" s="32"/>
    </row>
    <row r="24" spans="1:14" s="12" customFormat="1" ht="24" x14ac:dyDescent="0.25">
      <c r="A24" s="70"/>
      <c r="B24" s="69">
        <v>30010</v>
      </c>
      <c r="C24" s="52" t="s">
        <v>12</v>
      </c>
      <c r="D24" s="40" t="s">
        <v>396</v>
      </c>
      <c r="E24" s="42" t="s">
        <v>9</v>
      </c>
      <c r="F24" s="36">
        <v>30</v>
      </c>
      <c r="G24" s="41"/>
      <c r="H24" s="41">
        <v>20.49</v>
      </c>
      <c r="I24" s="31">
        <f t="shared" ref="I24:I26" si="3">F24*H24</f>
        <v>614.69999999999993</v>
      </c>
      <c r="J24" s="33">
        <f>F24*G24</f>
        <v>0</v>
      </c>
      <c r="K24" s="34"/>
      <c r="L24" s="89"/>
      <c r="M24" s="39"/>
      <c r="N24" s="32"/>
    </row>
    <row r="25" spans="1:14" s="12" customFormat="1" ht="36" x14ac:dyDescent="0.25">
      <c r="A25" s="70"/>
      <c r="B25" s="69" t="s">
        <v>397</v>
      </c>
      <c r="C25" s="52" t="s">
        <v>391</v>
      </c>
      <c r="D25" s="40" t="s">
        <v>238</v>
      </c>
      <c r="E25" s="42" t="s">
        <v>9</v>
      </c>
      <c r="F25" s="36">
        <v>5</v>
      </c>
      <c r="G25" s="41"/>
      <c r="H25" s="41">
        <v>17.38</v>
      </c>
      <c r="I25" s="31">
        <f t="shared" si="3"/>
        <v>86.899999999999991</v>
      </c>
      <c r="J25" s="33">
        <f t="shared" ref="J25:J26" si="4">F25*G25</f>
        <v>0</v>
      </c>
      <c r="K25" s="34"/>
      <c r="L25" s="89"/>
      <c r="M25" s="39"/>
      <c r="N25" s="32"/>
    </row>
    <row r="26" spans="1:14" s="12" customFormat="1" ht="36" x14ac:dyDescent="0.25">
      <c r="A26" s="70"/>
      <c r="B26" s="69" t="s">
        <v>398</v>
      </c>
      <c r="C26" s="52" t="s">
        <v>392</v>
      </c>
      <c r="D26" s="40" t="s">
        <v>239</v>
      </c>
      <c r="E26" s="42" t="s">
        <v>7</v>
      </c>
      <c r="F26" s="36">
        <v>7</v>
      </c>
      <c r="G26" s="41"/>
      <c r="H26" s="41">
        <v>6.19</v>
      </c>
      <c r="I26" s="31">
        <f t="shared" si="3"/>
        <v>43.330000000000005</v>
      </c>
      <c r="J26" s="33">
        <f t="shared" si="4"/>
        <v>0</v>
      </c>
      <c r="K26" s="34"/>
      <c r="L26" s="89"/>
      <c r="M26" s="39"/>
      <c r="N26" s="32"/>
    </row>
    <row r="27" spans="1:14" s="12" customFormat="1" x14ac:dyDescent="0.25">
      <c r="A27" s="70"/>
      <c r="B27" s="78" t="s">
        <v>28</v>
      </c>
      <c r="C27" s="79">
        <v>4</v>
      </c>
      <c r="D27" s="80" t="s">
        <v>399</v>
      </c>
      <c r="E27" s="81"/>
      <c r="F27" s="82"/>
      <c r="G27" s="83"/>
      <c r="H27" s="84"/>
      <c r="I27" s="85" t="e">
        <f>SUM(I28:I175)</f>
        <v>#REF!</v>
      </c>
      <c r="J27" s="85">
        <f>SUM(J28:J30)</f>
        <v>0</v>
      </c>
      <c r="K27" s="34"/>
      <c r="L27" s="89"/>
      <c r="M27" s="39"/>
      <c r="N27" s="32"/>
    </row>
    <row r="28" spans="1:14" s="12" customFormat="1" ht="36" x14ac:dyDescent="0.25">
      <c r="A28" s="70"/>
      <c r="B28" s="69">
        <v>50257</v>
      </c>
      <c r="C28" s="52" t="s">
        <v>13</v>
      </c>
      <c r="D28" s="40" t="s">
        <v>240</v>
      </c>
      <c r="E28" s="42" t="s">
        <v>9</v>
      </c>
      <c r="F28" s="36">
        <v>4</v>
      </c>
      <c r="G28" s="38"/>
      <c r="H28" s="41">
        <v>21.9</v>
      </c>
      <c r="I28" s="31">
        <f t="shared" ref="I28:I40" si="5">F28*H28</f>
        <v>87.6</v>
      </c>
      <c r="J28" s="31">
        <f t="shared" ref="J28:J49" si="6">F28*G28</f>
        <v>0</v>
      </c>
      <c r="L28" s="39"/>
      <c r="M28" s="39"/>
      <c r="N28" s="32"/>
    </row>
    <row r="29" spans="1:14" s="12" customFormat="1" ht="36" x14ac:dyDescent="0.25">
      <c r="A29" s="70"/>
      <c r="B29" s="69" t="s">
        <v>237</v>
      </c>
      <c r="C29" s="52" t="s">
        <v>14</v>
      </c>
      <c r="D29" s="72" t="s">
        <v>241</v>
      </c>
      <c r="E29" s="42" t="s">
        <v>7</v>
      </c>
      <c r="F29" s="36">
        <v>7</v>
      </c>
      <c r="G29" s="41"/>
      <c r="H29" s="41">
        <f>H26</f>
        <v>6.19</v>
      </c>
      <c r="I29" s="31">
        <f t="shared" si="5"/>
        <v>43.330000000000005</v>
      </c>
      <c r="J29" s="31">
        <f t="shared" si="6"/>
        <v>0</v>
      </c>
      <c r="L29" s="39"/>
      <c r="M29" s="39"/>
      <c r="N29" s="32"/>
    </row>
    <row r="30" spans="1:14" s="12" customFormat="1" ht="24" x14ac:dyDescent="0.25">
      <c r="A30" s="70"/>
      <c r="B30" s="69" t="s">
        <v>400</v>
      </c>
      <c r="C30" s="52" t="s">
        <v>64</v>
      </c>
      <c r="D30" s="72" t="s">
        <v>242</v>
      </c>
      <c r="E30" s="42" t="s">
        <v>9</v>
      </c>
      <c r="F30" s="36">
        <v>338</v>
      </c>
      <c r="G30" s="41"/>
      <c r="H30" s="41" t="e">
        <f>#REF!</f>
        <v>#REF!</v>
      </c>
      <c r="I30" s="31" t="e">
        <f t="shared" si="5"/>
        <v>#REF!</v>
      </c>
      <c r="J30" s="31">
        <f t="shared" si="6"/>
        <v>0</v>
      </c>
      <c r="L30" s="39"/>
      <c r="M30" s="39"/>
      <c r="N30" s="32"/>
    </row>
    <row r="31" spans="1:14" s="12" customFormat="1" ht="24" x14ac:dyDescent="0.25">
      <c r="A31" s="70"/>
      <c r="B31" s="69">
        <v>50196</v>
      </c>
      <c r="C31" s="104" t="s">
        <v>401</v>
      </c>
      <c r="D31" s="72" t="s">
        <v>378</v>
      </c>
      <c r="E31" s="188" t="s">
        <v>9</v>
      </c>
      <c r="F31" s="189"/>
      <c r="G31" s="41"/>
      <c r="H31" s="41"/>
      <c r="I31" s="31"/>
      <c r="J31" s="31"/>
      <c r="L31" s="39"/>
      <c r="M31" s="39"/>
      <c r="N31" s="32"/>
    </row>
    <row r="32" spans="1:14" s="12" customFormat="1" x14ac:dyDescent="0.25">
      <c r="A32" s="70"/>
      <c r="B32" s="78"/>
      <c r="C32" s="79">
        <v>5</v>
      </c>
      <c r="D32" s="80" t="s">
        <v>243</v>
      </c>
      <c r="E32" s="81"/>
      <c r="F32" s="82"/>
      <c r="G32" s="83"/>
      <c r="H32" s="84"/>
      <c r="I32" s="85"/>
      <c r="J32" s="85">
        <f>SUM(J33:J40)</f>
        <v>0</v>
      </c>
      <c r="K32" s="34"/>
      <c r="L32" s="89"/>
      <c r="M32" s="39"/>
      <c r="N32" s="32"/>
    </row>
    <row r="33" spans="1:14" s="12" customFormat="1" x14ac:dyDescent="0.25">
      <c r="A33" s="70"/>
      <c r="B33" s="69" t="s">
        <v>244</v>
      </c>
      <c r="C33" s="52" t="s">
        <v>65</v>
      </c>
      <c r="D33" s="40" t="s">
        <v>246</v>
      </c>
      <c r="E33" s="42" t="s">
        <v>8</v>
      </c>
      <c r="F33" s="36">
        <v>20</v>
      </c>
      <c r="G33" s="41"/>
      <c r="H33" s="41">
        <f>H28</f>
        <v>21.9</v>
      </c>
      <c r="I33" s="31">
        <f t="shared" si="5"/>
        <v>438</v>
      </c>
      <c r="J33" s="31">
        <f t="shared" si="6"/>
        <v>0</v>
      </c>
      <c r="L33" s="39"/>
      <c r="M33" s="39"/>
      <c r="N33" s="32"/>
    </row>
    <row r="34" spans="1:14" s="12" customFormat="1" x14ac:dyDescent="0.25">
      <c r="A34" s="70"/>
      <c r="B34" s="69">
        <v>72139</v>
      </c>
      <c r="C34" s="52" t="s">
        <v>66</v>
      </c>
      <c r="D34" s="72" t="s">
        <v>247</v>
      </c>
      <c r="E34" s="42" t="s">
        <v>8</v>
      </c>
      <c r="F34" s="36">
        <v>3</v>
      </c>
      <c r="G34" s="41"/>
      <c r="H34" s="41">
        <f>H26</f>
        <v>6.19</v>
      </c>
      <c r="I34" s="31">
        <f t="shared" si="5"/>
        <v>18.57</v>
      </c>
      <c r="J34" s="31">
        <f t="shared" si="6"/>
        <v>0</v>
      </c>
      <c r="L34" s="39"/>
      <c r="M34" s="39"/>
      <c r="N34" s="32"/>
    </row>
    <row r="35" spans="1:14" s="12" customFormat="1" x14ac:dyDescent="0.25">
      <c r="A35" s="70"/>
      <c r="B35" s="69" t="s">
        <v>245</v>
      </c>
      <c r="C35" s="52" t="s">
        <v>67</v>
      </c>
      <c r="D35" s="72" t="s">
        <v>248</v>
      </c>
      <c r="E35" s="42" t="s">
        <v>8</v>
      </c>
      <c r="F35" s="36">
        <v>20</v>
      </c>
      <c r="G35" s="41"/>
      <c r="H35" s="41" t="e">
        <f>#REF!</f>
        <v>#REF!</v>
      </c>
      <c r="I35" s="31" t="e">
        <f t="shared" si="5"/>
        <v>#REF!</v>
      </c>
      <c r="J35" s="31">
        <f t="shared" si="6"/>
        <v>0</v>
      </c>
      <c r="L35" s="39"/>
      <c r="M35" s="39"/>
      <c r="N35" s="32"/>
    </row>
    <row r="36" spans="1:14" s="12" customFormat="1" x14ac:dyDescent="0.25">
      <c r="A36" s="70"/>
      <c r="B36" s="69"/>
      <c r="C36" s="52" t="s">
        <v>402</v>
      </c>
      <c r="D36" s="72" t="s">
        <v>249</v>
      </c>
      <c r="E36" s="42" t="s">
        <v>8</v>
      </c>
      <c r="F36" s="36">
        <v>40</v>
      </c>
      <c r="G36" s="41"/>
      <c r="H36" s="41" t="e">
        <f>#REF!</f>
        <v>#REF!</v>
      </c>
      <c r="I36" s="31" t="e">
        <f t="shared" si="5"/>
        <v>#REF!</v>
      </c>
      <c r="J36" s="31">
        <f t="shared" si="6"/>
        <v>0</v>
      </c>
      <c r="L36" s="39"/>
      <c r="M36" s="39"/>
      <c r="N36" s="32"/>
    </row>
    <row r="37" spans="1:14" s="12" customFormat="1" x14ac:dyDescent="0.25">
      <c r="A37" s="70"/>
      <c r="B37" s="69"/>
      <c r="C37" s="52" t="s">
        <v>403</v>
      </c>
      <c r="D37" s="40" t="s">
        <v>250</v>
      </c>
      <c r="E37" s="42" t="s">
        <v>8</v>
      </c>
      <c r="F37" s="36">
        <v>100</v>
      </c>
      <c r="G37" s="38"/>
      <c r="H37" s="41">
        <v>10.55</v>
      </c>
      <c r="I37" s="31">
        <f t="shared" si="5"/>
        <v>1055</v>
      </c>
      <c r="J37" s="31">
        <f t="shared" si="6"/>
        <v>0</v>
      </c>
      <c r="L37" s="39"/>
      <c r="M37" s="39"/>
      <c r="N37" s="32"/>
    </row>
    <row r="38" spans="1:14" s="12" customFormat="1" ht="24" x14ac:dyDescent="0.25">
      <c r="A38" s="70"/>
      <c r="B38" s="69"/>
      <c r="C38" s="52" t="s">
        <v>404</v>
      </c>
      <c r="D38" s="40" t="s">
        <v>251</v>
      </c>
      <c r="E38" s="42" t="s">
        <v>44</v>
      </c>
      <c r="F38" s="36">
        <v>2</v>
      </c>
      <c r="G38" s="38"/>
      <c r="H38" s="38">
        <f>H28</f>
        <v>21.9</v>
      </c>
      <c r="I38" s="31">
        <f t="shared" si="5"/>
        <v>43.8</v>
      </c>
      <c r="J38" s="31">
        <f t="shared" si="6"/>
        <v>0</v>
      </c>
      <c r="K38" s="34"/>
      <c r="L38" s="89"/>
      <c r="M38" s="39"/>
      <c r="N38" s="32"/>
    </row>
    <row r="39" spans="1:14" s="12" customFormat="1" ht="24" x14ac:dyDescent="0.25">
      <c r="A39" s="70"/>
      <c r="B39" s="69"/>
      <c r="C39" s="52" t="s">
        <v>405</v>
      </c>
      <c r="D39" s="40" t="s">
        <v>252</v>
      </c>
      <c r="E39" s="42" t="s">
        <v>44</v>
      </c>
      <c r="F39" s="36">
        <v>10</v>
      </c>
      <c r="G39" s="38"/>
      <c r="H39" s="38">
        <f>H26</f>
        <v>6.19</v>
      </c>
      <c r="I39" s="31">
        <f t="shared" si="5"/>
        <v>61.900000000000006</v>
      </c>
      <c r="J39" s="31">
        <f t="shared" si="6"/>
        <v>0</v>
      </c>
      <c r="K39" s="34"/>
      <c r="L39" s="89"/>
      <c r="M39" s="39"/>
      <c r="N39" s="32"/>
    </row>
    <row r="40" spans="1:14" s="12" customFormat="1" ht="24" x14ac:dyDescent="0.25">
      <c r="A40" s="70"/>
      <c r="B40" s="69"/>
      <c r="C40" s="52" t="s">
        <v>406</v>
      </c>
      <c r="D40" s="40" t="s">
        <v>253</v>
      </c>
      <c r="E40" s="42" t="s">
        <v>44</v>
      </c>
      <c r="F40" s="36">
        <v>6</v>
      </c>
      <c r="G40" s="38"/>
      <c r="H40" s="38" t="e">
        <f>#REF!</f>
        <v>#REF!</v>
      </c>
      <c r="I40" s="31" t="e">
        <f t="shared" si="5"/>
        <v>#REF!</v>
      </c>
      <c r="J40" s="31">
        <f t="shared" si="6"/>
        <v>0</v>
      </c>
      <c r="K40" s="34"/>
      <c r="L40" s="89"/>
      <c r="M40" s="39"/>
      <c r="N40" s="32"/>
    </row>
    <row r="41" spans="1:14" s="12" customFormat="1" x14ac:dyDescent="0.25">
      <c r="A41" s="70"/>
      <c r="B41" s="78"/>
      <c r="C41" s="79" t="s">
        <v>407</v>
      </c>
      <c r="D41" s="80" t="s">
        <v>254</v>
      </c>
      <c r="E41" s="81"/>
      <c r="F41" s="82"/>
      <c r="G41" s="83"/>
      <c r="H41" s="84"/>
      <c r="I41" s="85"/>
      <c r="J41" s="85">
        <f>SUM(J42:J44)</f>
        <v>0</v>
      </c>
      <c r="K41" s="34"/>
      <c r="L41" s="89"/>
      <c r="M41" s="39"/>
      <c r="N41" s="32"/>
    </row>
    <row r="42" spans="1:14" s="12" customFormat="1" x14ac:dyDescent="0.25">
      <c r="A42" s="70"/>
      <c r="B42" s="69"/>
      <c r="C42" s="95" t="s">
        <v>15</v>
      </c>
      <c r="D42" s="40" t="s">
        <v>255</v>
      </c>
      <c r="E42" s="97" t="s">
        <v>44</v>
      </c>
      <c r="F42" s="98">
        <v>1</v>
      </c>
      <c r="G42" s="38"/>
      <c r="H42" s="38"/>
      <c r="I42" s="31"/>
      <c r="J42" s="31">
        <f t="shared" si="6"/>
        <v>0</v>
      </c>
      <c r="K42" s="34"/>
      <c r="L42" s="89"/>
      <c r="M42" s="39"/>
      <c r="N42" s="32"/>
    </row>
    <row r="43" spans="1:14" s="12" customFormat="1" x14ac:dyDescent="0.25">
      <c r="A43" s="70"/>
      <c r="B43" s="69"/>
      <c r="C43" s="95" t="s">
        <v>68</v>
      </c>
      <c r="D43" s="40" t="s">
        <v>256</v>
      </c>
      <c r="E43" s="97" t="s">
        <v>44</v>
      </c>
      <c r="F43" s="98">
        <v>2</v>
      </c>
      <c r="G43" s="38"/>
      <c r="H43" s="38"/>
      <c r="I43" s="31"/>
      <c r="J43" s="31">
        <f t="shared" si="6"/>
        <v>0</v>
      </c>
      <c r="K43" s="34"/>
      <c r="L43" s="89"/>
      <c r="M43" s="39"/>
      <c r="N43" s="32"/>
    </row>
    <row r="44" spans="1:14" s="12" customFormat="1" x14ac:dyDescent="0.25">
      <c r="A44" s="70"/>
      <c r="B44" s="69"/>
      <c r="C44" s="95" t="s">
        <v>69</v>
      </c>
      <c r="D44" s="40" t="s">
        <v>257</v>
      </c>
      <c r="E44" s="97" t="s">
        <v>44</v>
      </c>
      <c r="F44" s="98">
        <v>6</v>
      </c>
      <c r="G44" s="38"/>
      <c r="H44" s="38"/>
      <c r="I44" s="31"/>
      <c r="J44" s="31">
        <f t="shared" si="6"/>
        <v>0</v>
      </c>
      <c r="K44" s="34"/>
      <c r="L44" s="89"/>
      <c r="M44" s="39"/>
      <c r="N44" s="32"/>
    </row>
    <row r="45" spans="1:14" s="12" customFormat="1" x14ac:dyDescent="0.25">
      <c r="A45" s="70"/>
      <c r="B45" s="78"/>
      <c r="C45" s="79" t="s">
        <v>408</v>
      </c>
      <c r="D45" s="80" t="s">
        <v>258</v>
      </c>
      <c r="E45" s="81"/>
      <c r="F45" s="82"/>
      <c r="G45" s="83"/>
      <c r="H45" s="84"/>
      <c r="I45" s="85"/>
      <c r="J45" s="85">
        <f>SUM(J46:J49)</f>
        <v>0</v>
      </c>
      <c r="K45" s="34"/>
      <c r="L45" s="89"/>
      <c r="M45" s="39"/>
      <c r="N45" s="32"/>
    </row>
    <row r="46" spans="1:14" s="12" customFormat="1" x14ac:dyDescent="0.25">
      <c r="A46" s="70"/>
      <c r="B46" s="69"/>
      <c r="C46" s="95" t="s">
        <v>16</v>
      </c>
      <c r="D46" s="40" t="s">
        <v>259</v>
      </c>
      <c r="E46" s="97" t="s">
        <v>44</v>
      </c>
      <c r="F46" s="98">
        <v>2</v>
      </c>
      <c r="G46" s="38"/>
      <c r="H46" s="38"/>
      <c r="I46" s="31"/>
      <c r="J46" s="31">
        <f t="shared" si="6"/>
        <v>0</v>
      </c>
      <c r="K46" s="34"/>
      <c r="L46" s="89"/>
      <c r="M46" s="39"/>
      <c r="N46" s="32"/>
    </row>
    <row r="47" spans="1:14" s="12" customFormat="1" x14ac:dyDescent="0.25">
      <c r="A47" s="70"/>
      <c r="B47" s="69"/>
      <c r="C47" s="95" t="s">
        <v>57</v>
      </c>
      <c r="D47" s="40" t="s">
        <v>260</v>
      </c>
      <c r="E47" s="97" t="s">
        <v>44</v>
      </c>
      <c r="F47" s="98">
        <v>2</v>
      </c>
      <c r="G47" s="38"/>
      <c r="H47" s="38"/>
      <c r="I47" s="31"/>
      <c r="J47" s="31">
        <f t="shared" si="6"/>
        <v>0</v>
      </c>
      <c r="K47" s="34"/>
      <c r="L47" s="89"/>
      <c r="M47" s="39"/>
      <c r="N47" s="32"/>
    </row>
    <row r="48" spans="1:14" s="12" customFormat="1" x14ac:dyDescent="0.25">
      <c r="A48" s="70"/>
      <c r="B48" s="69"/>
      <c r="C48" s="95" t="s">
        <v>58</v>
      </c>
      <c r="D48" s="40" t="s">
        <v>261</v>
      </c>
      <c r="E48" s="97" t="s">
        <v>44</v>
      </c>
      <c r="F48" s="98">
        <v>2</v>
      </c>
      <c r="G48" s="38"/>
      <c r="H48" s="38"/>
      <c r="I48" s="31"/>
      <c r="J48" s="31">
        <f t="shared" si="6"/>
        <v>0</v>
      </c>
      <c r="K48" s="34"/>
      <c r="L48" s="89"/>
      <c r="M48" s="39"/>
      <c r="N48" s="32"/>
    </row>
    <row r="49" spans="1:14" s="12" customFormat="1" x14ac:dyDescent="0.25">
      <c r="A49" s="70"/>
      <c r="B49" s="69"/>
      <c r="C49" s="95" t="s">
        <v>409</v>
      </c>
      <c r="D49" s="40" t="s">
        <v>262</v>
      </c>
      <c r="E49" s="97" t="s">
        <v>44</v>
      </c>
      <c r="F49" s="98">
        <v>1</v>
      </c>
      <c r="G49" s="38"/>
      <c r="H49" s="38"/>
      <c r="I49" s="31"/>
      <c r="J49" s="31">
        <f t="shared" si="6"/>
        <v>0</v>
      </c>
      <c r="K49" s="34"/>
      <c r="L49" s="89"/>
      <c r="M49" s="39"/>
      <c r="N49" s="32"/>
    </row>
    <row r="50" spans="1:14" s="12" customFormat="1" x14ac:dyDescent="0.25">
      <c r="A50" s="70"/>
      <c r="B50" s="78"/>
      <c r="C50" s="79" t="s">
        <v>410</v>
      </c>
      <c r="D50" s="80" t="s">
        <v>263</v>
      </c>
      <c r="E50" s="81"/>
      <c r="F50" s="82"/>
      <c r="G50" s="83"/>
      <c r="H50" s="84"/>
      <c r="I50" s="85"/>
      <c r="J50" s="85"/>
      <c r="K50" s="34"/>
      <c r="L50" s="89"/>
      <c r="M50" s="39"/>
      <c r="N50" s="32"/>
    </row>
    <row r="51" spans="1:14" s="12" customFormat="1" ht="36" x14ac:dyDescent="0.25">
      <c r="A51" s="70"/>
      <c r="B51" s="69"/>
      <c r="C51" s="95"/>
      <c r="D51" s="40" t="s">
        <v>264</v>
      </c>
      <c r="E51" s="97" t="s">
        <v>44</v>
      </c>
      <c r="F51" s="98">
        <v>1</v>
      </c>
      <c r="G51" s="38"/>
      <c r="H51" s="38"/>
      <c r="I51" s="31"/>
      <c r="J51" s="31">
        <f>F51*G51</f>
        <v>0</v>
      </c>
      <c r="K51" s="34"/>
      <c r="L51" s="89"/>
      <c r="M51" s="39"/>
      <c r="N51" s="32"/>
    </row>
    <row r="52" spans="1:14" s="12" customFormat="1" ht="36" x14ac:dyDescent="0.25">
      <c r="A52" s="70"/>
      <c r="B52" s="69"/>
      <c r="C52" s="95"/>
      <c r="D52" s="40" t="s">
        <v>265</v>
      </c>
      <c r="E52" s="97" t="s">
        <v>44</v>
      </c>
      <c r="F52" s="98">
        <v>1</v>
      </c>
      <c r="G52" s="38"/>
      <c r="H52" s="38"/>
      <c r="I52" s="31"/>
      <c r="J52" s="31">
        <f>F52*G52</f>
        <v>0</v>
      </c>
      <c r="K52" s="34"/>
      <c r="L52" s="89"/>
      <c r="M52" s="39"/>
      <c r="N52" s="32"/>
    </row>
    <row r="53" spans="1:14" s="12" customFormat="1" x14ac:dyDescent="0.25">
      <c r="A53" s="70"/>
      <c r="B53" s="69"/>
      <c r="C53" s="95"/>
      <c r="D53" s="40" t="s">
        <v>266</v>
      </c>
      <c r="E53" s="97" t="s">
        <v>44</v>
      </c>
      <c r="F53" s="98">
        <v>5</v>
      </c>
      <c r="G53" s="38"/>
      <c r="H53" s="38"/>
      <c r="I53" s="31"/>
      <c r="J53" s="31">
        <f>F53*G53</f>
        <v>0</v>
      </c>
      <c r="K53" s="34"/>
      <c r="L53" s="89"/>
      <c r="M53" s="39"/>
      <c r="N53" s="32"/>
    </row>
    <row r="54" spans="1:14" s="12" customFormat="1" x14ac:dyDescent="0.25">
      <c r="A54" s="70"/>
      <c r="B54" s="69"/>
      <c r="C54" s="96"/>
      <c r="D54" s="204" t="s">
        <v>267</v>
      </c>
      <c r="E54" s="205"/>
      <c r="F54" s="205"/>
      <c r="G54" s="205"/>
      <c r="H54" s="205"/>
      <c r="I54" s="205"/>
      <c r="J54" s="206"/>
      <c r="K54" s="34"/>
      <c r="L54" s="89"/>
      <c r="M54" s="39"/>
      <c r="N54" s="32"/>
    </row>
    <row r="55" spans="1:14" s="12" customFormat="1" ht="24" x14ac:dyDescent="0.25">
      <c r="A55" s="70"/>
      <c r="B55" s="69"/>
      <c r="C55" s="95"/>
      <c r="D55" s="40" t="s">
        <v>268</v>
      </c>
      <c r="E55" s="97" t="s">
        <v>8</v>
      </c>
      <c r="F55" s="98">
        <v>15</v>
      </c>
      <c r="G55" s="38"/>
      <c r="H55" s="38"/>
      <c r="I55" s="31"/>
      <c r="J55" s="31">
        <f t="shared" ref="J55:J118" si="7">F55*G55</f>
        <v>0</v>
      </c>
      <c r="K55" s="34"/>
      <c r="L55" s="89"/>
      <c r="M55" s="39"/>
      <c r="N55" s="32"/>
    </row>
    <row r="56" spans="1:14" s="12" customFormat="1" ht="24" x14ac:dyDescent="0.25">
      <c r="A56" s="70"/>
      <c r="B56" s="69"/>
      <c r="C56" s="95"/>
      <c r="D56" s="40" t="s">
        <v>269</v>
      </c>
      <c r="E56" s="97" t="s">
        <v>8</v>
      </c>
      <c r="F56" s="98">
        <v>25</v>
      </c>
      <c r="G56" s="38"/>
      <c r="H56" s="38"/>
      <c r="I56" s="31"/>
      <c r="J56" s="31">
        <f t="shared" si="7"/>
        <v>0</v>
      </c>
      <c r="K56" s="34"/>
      <c r="L56" s="89"/>
      <c r="M56" s="39"/>
      <c r="N56" s="32"/>
    </row>
    <row r="57" spans="1:14" s="12" customFormat="1" ht="24" x14ac:dyDescent="0.25">
      <c r="A57" s="70"/>
      <c r="B57" s="69"/>
      <c r="C57" s="95"/>
      <c r="D57" s="40" t="s">
        <v>270</v>
      </c>
      <c r="E57" s="97" t="s">
        <v>8</v>
      </c>
      <c r="F57" s="98">
        <v>25</v>
      </c>
      <c r="G57" s="38"/>
      <c r="H57" s="38"/>
      <c r="I57" s="31"/>
      <c r="J57" s="31">
        <f t="shared" si="7"/>
        <v>0</v>
      </c>
      <c r="K57" s="34"/>
      <c r="L57" s="89"/>
      <c r="M57" s="39"/>
      <c r="N57" s="32"/>
    </row>
    <row r="58" spans="1:14" s="12" customFormat="1" ht="24" x14ac:dyDescent="0.25">
      <c r="A58" s="70"/>
      <c r="B58" s="69"/>
      <c r="C58" s="95"/>
      <c r="D58" s="40" t="s">
        <v>271</v>
      </c>
      <c r="E58" s="97" t="s">
        <v>8</v>
      </c>
      <c r="F58" s="98">
        <v>60</v>
      </c>
      <c r="G58" s="38"/>
      <c r="H58" s="38"/>
      <c r="I58" s="31"/>
      <c r="J58" s="31">
        <f t="shared" si="7"/>
        <v>0</v>
      </c>
      <c r="K58" s="34"/>
      <c r="L58" s="89"/>
      <c r="M58" s="39"/>
      <c r="N58" s="32"/>
    </row>
    <row r="59" spans="1:14" s="12" customFormat="1" x14ac:dyDescent="0.25">
      <c r="A59" s="70"/>
      <c r="B59" s="69"/>
      <c r="C59" s="96"/>
      <c r="D59" s="204" t="s">
        <v>272</v>
      </c>
      <c r="E59" s="205"/>
      <c r="F59" s="205"/>
      <c r="G59" s="205"/>
      <c r="H59" s="205"/>
      <c r="I59" s="205"/>
      <c r="J59" s="206"/>
      <c r="K59" s="34"/>
      <c r="L59" s="89"/>
      <c r="M59" s="39"/>
      <c r="N59" s="32"/>
    </row>
    <row r="60" spans="1:14" s="12" customFormat="1" ht="24" x14ac:dyDescent="0.25">
      <c r="A60" s="70"/>
      <c r="B60" s="69"/>
      <c r="C60" s="95"/>
      <c r="D60" s="40" t="s">
        <v>273</v>
      </c>
      <c r="E60" s="97" t="s">
        <v>44</v>
      </c>
      <c r="F60" s="98">
        <v>5</v>
      </c>
      <c r="G60" s="38"/>
      <c r="H60" s="38"/>
      <c r="I60" s="31"/>
      <c r="J60" s="31">
        <f t="shared" si="7"/>
        <v>0</v>
      </c>
      <c r="K60" s="34"/>
      <c r="L60" s="89"/>
      <c r="M60" s="39"/>
      <c r="N60" s="32"/>
    </row>
    <row r="61" spans="1:14" s="12" customFormat="1" ht="24" x14ac:dyDescent="0.25">
      <c r="A61" s="70"/>
      <c r="B61" s="69"/>
      <c r="C61" s="95"/>
      <c r="D61" s="40" t="s">
        <v>274</v>
      </c>
      <c r="E61" s="97" t="s">
        <v>44</v>
      </c>
      <c r="F61" s="98">
        <v>1</v>
      </c>
      <c r="G61" s="38"/>
      <c r="H61" s="38"/>
      <c r="I61" s="31"/>
      <c r="J61" s="31">
        <f t="shared" si="7"/>
        <v>0</v>
      </c>
      <c r="K61" s="34"/>
      <c r="L61" s="89"/>
      <c r="M61" s="39"/>
      <c r="N61" s="32"/>
    </row>
    <row r="62" spans="1:14" s="12" customFormat="1" x14ac:dyDescent="0.25">
      <c r="A62" s="70"/>
      <c r="B62" s="69"/>
      <c r="C62" s="95"/>
      <c r="D62" s="40" t="s">
        <v>276</v>
      </c>
      <c r="E62" s="97" t="s">
        <v>44</v>
      </c>
      <c r="F62" s="98">
        <v>1</v>
      </c>
      <c r="G62" s="38"/>
      <c r="H62" s="38"/>
      <c r="I62" s="31"/>
      <c r="J62" s="31">
        <f t="shared" si="7"/>
        <v>0</v>
      </c>
      <c r="K62" s="34"/>
      <c r="L62" s="89"/>
      <c r="M62" s="39"/>
      <c r="N62" s="32"/>
    </row>
    <row r="63" spans="1:14" s="12" customFormat="1" x14ac:dyDescent="0.25">
      <c r="A63" s="70"/>
      <c r="B63" s="69"/>
      <c r="C63" s="95"/>
      <c r="D63" s="40" t="s">
        <v>275</v>
      </c>
      <c r="E63" s="97" t="s">
        <v>44</v>
      </c>
      <c r="F63" s="98">
        <v>6</v>
      </c>
      <c r="G63" s="38"/>
      <c r="H63" s="38"/>
      <c r="I63" s="31"/>
      <c r="J63" s="31">
        <f t="shared" si="7"/>
        <v>0</v>
      </c>
      <c r="K63" s="34"/>
      <c r="L63" s="89"/>
      <c r="M63" s="39"/>
      <c r="N63" s="32"/>
    </row>
    <row r="64" spans="1:14" s="12" customFormat="1" x14ac:dyDescent="0.25">
      <c r="A64" s="70"/>
      <c r="B64" s="69"/>
      <c r="C64" s="96"/>
      <c r="D64" s="204" t="s">
        <v>277</v>
      </c>
      <c r="E64" s="205"/>
      <c r="F64" s="205"/>
      <c r="G64" s="205"/>
      <c r="H64" s="205"/>
      <c r="I64" s="205"/>
      <c r="J64" s="206"/>
      <c r="K64" s="34"/>
      <c r="L64" s="89"/>
      <c r="M64" s="39"/>
      <c r="N64" s="32"/>
    </row>
    <row r="65" spans="1:14" s="12" customFormat="1" ht="36" x14ac:dyDescent="0.25">
      <c r="A65" s="70"/>
      <c r="B65" s="69"/>
      <c r="C65" s="95"/>
      <c r="D65" s="40" t="s">
        <v>278</v>
      </c>
      <c r="E65" s="97" t="s">
        <v>44</v>
      </c>
      <c r="F65" s="98">
        <v>2</v>
      </c>
      <c r="G65" s="38"/>
      <c r="H65" s="38"/>
      <c r="I65" s="31"/>
      <c r="J65" s="31">
        <f t="shared" si="7"/>
        <v>0</v>
      </c>
      <c r="K65" s="34"/>
      <c r="L65" s="89"/>
      <c r="M65" s="39"/>
      <c r="N65" s="32"/>
    </row>
    <row r="66" spans="1:14" s="12" customFormat="1" ht="48" x14ac:dyDescent="0.25">
      <c r="A66" s="70"/>
      <c r="B66" s="69"/>
      <c r="C66" s="95"/>
      <c r="D66" s="40" t="s">
        <v>279</v>
      </c>
      <c r="E66" s="97" t="s">
        <v>44</v>
      </c>
      <c r="F66" s="98">
        <v>2</v>
      </c>
      <c r="G66" s="38"/>
      <c r="H66" s="38"/>
      <c r="I66" s="31"/>
      <c r="J66" s="31">
        <f t="shared" si="7"/>
        <v>0</v>
      </c>
      <c r="K66" s="34"/>
      <c r="L66" s="89"/>
      <c r="M66" s="39"/>
      <c r="N66" s="32"/>
    </row>
    <row r="67" spans="1:14" s="12" customFormat="1" ht="36" x14ac:dyDescent="0.25">
      <c r="A67" s="70"/>
      <c r="B67" s="69"/>
      <c r="C67" s="95"/>
      <c r="D67" s="40" t="s">
        <v>280</v>
      </c>
      <c r="E67" s="97" t="s">
        <v>44</v>
      </c>
      <c r="F67" s="98">
        <v>1</v>
      </c>
      <c r="G67" s="38"/>
      <c r="H67" s="38"/>
      <c r="I67" s="31"/>
      <c r="J67" s="31">
        <f t="shared" si="7"/>
        <v>0</v>
      </c>
      <c r="K67" s="34"/>
      <c r="L67" s="89"/>
      <c r="M67" s="39"/>
      <c r="N67" s="32"/>
    </row>
    <row r="68" spans="1:14" s="12" customFormat="1" ht="36" x14ac:dyDescent="0.25">
      <c r="A68" s="70"/>
      <c r="B68" s="69"/>
      <c r="C68" s="95"/>
      <c r="D68" s="40" t="s">
        <v>281</v>
      </c>
      <c r="E68" s="97" t="s">
        <v>44</v>
      </c>
      <c r="F68" s="98">
        <v>1</v>
      </c>
      <c r="G68" s="38"/>
      <c r="H68" s="38"/>
      <c r="I68" s="31"/>
      <c r="J68" s="31">
        <f t="shared" si="7"/>
        <v>0</v>
      </c>
      <c r="K68" s="34"/>
      <c r="L68" s="89"/>
      <c r="M68" s="39"/>
      <c r="N68" s="32"/>
    </row>
    <row r="69" spans="1:14" s="12" customFormat="1" ht="36" x14ac:dyDescent="0.25">
      <c r="A69" s="70"/>
      <c r="B69" s="69"/>
      <c r="C69" s="95"/>
      <c r="D69" s="40" t="s">
        <v>282</v>
      </c>
      <c r="E69" s="97" t="s">
        <v>44</v>
      </c>
      <c r="F69" s="98">
        <v>2</v>
      </c>
      <c r="G69" s="38"/>
      <c r="H69" s="38"/>
      <c r="I69" s="31"/>
      <c r="J69" s="31">
        <f t="shared" si="7"/>
        <v>0</v>
      </c>
      <c r="K69" s="34"/>
      <c r="L69" s="89"/>
      <c r="M69" s="39"/>
      <c r="N69" s="32"/>
    </row>
    <row r="70" spans="1:14" s="12" customFormat="1" ht="36" x14ac:dyDescent="0.25">
      <c r="A70" s="70"/>
      <c r="B70" s="69"/>
      <c r="C70" s="95"/>
      <c r="D70" s="40" t="s">
        <v>283</v>
      </c>
      <c r="E70" s="97" t="s">
        <v>44</v>
      </c>
      <c r="F70" s="98">
        <v>1</v>
      </c>
      <c r="G70" s="38"/>
      <c r="H70" s="38"/>
      <c r="I70" s="31"/>
      <c r="J70" s="31">
        <f t="shared" si="7"/>
        <v>0</v>
      </c>
      <c r="K70" s="34"/>
      <c r="L70" s="89"/>
      <c r="M70" s="39"/>
      <c r="N70" s="32"/>
    </row>
    <row r="71" spans="1:14" s="12" customFormat="1" x14ac:dyDescent="0.25">
      <c r="A71" s="70"/>
      <c r="B71" s="69"/>
      <c r="C71" s="95"/>
      <c r="D71" s="40" t="s">
        <v>284</v>
      </c>
      <c r="E71" s="97" t="s">
        <v>44</v>
      </c>
      <c r="F71" s="98">
        <v>4</v>
      </c>
      <c r="G71" s="38"/>
      <c r="H71" s="38"/>
      <c r="I71" s="31"/>
      <c r="J71" s="31">
        <f t="shared" si="7"/>
        <v>0</v>
      </c>
      <c r="K71" s="34"/>
      <c r="L71" s="89"/>
      <c r="M71" s="39"/>
      <c r="N71" s="32"/>
    </row>
    <row r="72" spans="1:14" s="12" customFormat="1" x14ac:dyDescent="0.25">
      <c r="A72" s="70"/>
      <c r="B72" s="69"/>
      <c r="C72" s="95"/>
      <c r="D72" s="40" t="s">
        <v>285</v>
      </c>
      <c r="E72" s="97" t="s">
        <v>44</v>
      </c>
      <c r="F72" s="98">
        <v>2</v>
      </c>
      <c r="G72" s="38"/>
      <c r="H72" s="38"/>
      <c r="I72" s="31"/>
      <c r="J72" s="31">
        <f t="shared" si="7"/>
        <v>0</v>
      </c>
      <c r="K72" s="34"/>
      <c r="L72" s="89"/>
      <c r="M72" s="39"/>
      <c r="N72" s="32"/>
    </row>
    <row r="73" spans="1:14" s="12" customFormat="1" x14ac:dyDescent="0.25">
      <c r="A73" s="70"/>
      <c r="B73" s="69"/>
      <c r="C73" s="95"/>
      <c r="D73" s="40" t="s">
        <v>286</v>
      </c>
      <c r="E73" s="97" t="s">
        <v>44</v>
      </c>
      <c r="F73" s="98">
        <v>2</v>
      </c>
      <c r="G73" s="38"/>
      <c r="H73" s="38"/>
      <c r="I73" s="31"/>
      <c r="J73" s="31">
        <f t="shared" si="7"/>
        <v>0</v>
      </c>
      <c r="K73" s="34"/>
      <c r="L73" s="89"/>
      <c r="M73" s="39"/>
      <c r="N73" s="32"/>
    </row>
    <row r="74" spans="1:14" s="12" customFormat="1" x14ac:dyDescent="0.25">
      <c r="A74" s="70"/>
      <c r="B74" s="69"/>
      <c r="C74" s="96"/>
      <c r="D74" s="204" t="s">
        <v>287</v>
      </c>
      <c r="E74" s="205"/>
      <c r="F74" s="205"/>
      <c r="G74" s="205"/>
      <c r="H74" s="205"/>
      <c r="I74" s="205"/>
      <c r="J74" s="206"/>
      <c r="K74" s="34"/>
      <c r="L74" s="89"/>
      <c r="M74" s="39"/>
      <c r="N74" s="32"/>
    </row>
    <row r="75" spans="1:14" s="12" customFormat="1" ht="24" x14ac:dyDescent="0.25">
      <c r="A75" s="70"/>
      <c r="B75" s="69"/>
      <c r="C75" s="95"/>
      <c r="D75" s="40" t="s">
        <v>288</v>
      </c>
      <c r="E75" s="97" t="s">
        <v>44</v>
      </c>
      <c r="F75" s="98">
        <v>2</v>
      </c>
      <c r="G75" s="38"/>
      <c r="H75" s="38"/>
      <c r="I75" s="31"/>
      <c r="J75" s="31">
        <f t="shared" si="7"/>
        <v>0</v>
      </c>
      <c r="K75" s="34"/>
      <c r="L75" s="89"/>
      <c r="M75" s="39"/>
      <c r="N75" s="32"/>
    </row>
    <row r="76" spans="1:14" s="12" customFormat="1" x14ac:dyDescent="0.25">
      <c r="A76" s="70"/>
      <c r="B76" s="69"/>
      <c r="C76" s="95"/>
      <c r="D76" s="40" t="s">
        <v>289</v>
      </c>
      <c r="E76" s="97" t="s">
        <v>44</v>
      </c>
      <c r="F76" s="98">
        <v>4</v>
      </c>
      <c r="G76" s="38"/>
      <c r="H76" s="38"/>
      <c r="I76" s="31"/>
      <c r="J76" s="31">
        <f t="shared" si="7"/>
        <v>0</v>
      </c>
      <c r="K76" s="34"/>
      <c r="L76" s="89"/>
      <c r="M76" s="39"/>
      <c r="N76" s="32"/>
    </row>
    <row r="77" spans="1:14" s="12" customFormat="1" ht="24" x14ac:dyDescent="0.25">
      <c r="A77" s="70"/>
      <c r="B77" s="69"/>
      <c r="C77" s="95"/>
      <c r="D77" s="40" t="s">
        <v>290</v>
      </c>
      <c r="E77" s="97" t="s">
        <v>44</v>
      </c>
      <c r="F77" s="98">
        <v>4</v>
      </c>
      <c r="G77" s="38"/>
      <c r="H77" s="38"/>
      <c r="I77" s="31"/>
      <c r="J77" s="31">
        <f t="shared" si="7"/>
        <v>0</v>
      </c>
      <c r="K77" s="34"/>
      <c r="L77" s="89"/>
      <c r="M77" s="39"/>
      <c r="N77" s="32"/>
    </row>
    <row r="78" spans="1:14" s="12" customFormat="1" x14ac:dyDescent="0.25">
      <c r="A78" s="70"/>
      <c r="B78" s="69"/>
      <c r="C78" s="95"/>
      <c r="D78" s="40" t="s">
        <v>291</v>
      </c>
      <c r="E78" s="97" t="s">
        <v>44</v>
      </c>
      <c r="F78" s="98">
        <v>1</v>
      </c>
      <c r="G78" s="38"/>
      <c r="H78" s="38"/>
      <c r="I78" s="31"/>
      <c r="J78" s="31">
        <f t="shared" si="7"/>
        <v>0</v>
      </c>
      <c r="K78" s="34"/>
      <c r="L78" s="89"/>
      <c r="M78" s="39"/>
      <c r="N78" s="32"/>
    </row>
    <row r="79" spans="1:14" s="12" customFormat="1" ht="36" x14ac:dyDescent="0.25">
      <c r="A79" s="70"/>
      <c r="B79" s="69"/>
      <c r="C79" s="95"/>
      <c r="D79" s="40" t="s">
        <v>292</v>
      </c>
      <c r="E79" s="97" t="s">
        <v>44</v>
      </c>
      <c r="F79" s="98">
        <v>3</v>
      </c>
      <c r="G79" s="38"/>
      <c r="H79" s="38"/>
      <c r="I79" s="31"/>
      <c r="J79" s="31">
        <f t="shared" si="7"/>
        <v>0</v>
      </c>
      <c r="K79" s="34"/>
      <c r="L79" s="89"/>
      <c r="M79" s="39"/>
      <c r="N79" s="32"/>
    </row>
    <row r="80" spans="1:14" s="12" customFormat="1" ht="36" x14ac:dyDescent="0.25">
      <c r="A80" s="70"/>
      <c r="B80" s="69"/>
      <c r="C80" s="95"/>
      <c r="D80" s="40" t="s">
        <v>293</v>
      </c>
      <c r="E80" s="97" t="s">
        <v>44</v>
      </c>
      <c r="F80" s="98">
        <v>2</v>
      </c>
      <c r="G80" s="38"/>
      <c r="H80" s="38"/>
      <c r="I80" s="31"/>
      <c r="J80" s="31">
        <f t="shared" si="7"/>
        <v>0</v>
      </c>
      <c r="K80" s="34"/>
      <c r="L80" s="89"/>
      <c r="M80" s="39"/>
      <c r="N80" s="32"/>
    </row>
    <row r="81" spans="1:14" s="12" customFormat="1" x14ac:dyDescent="0.25">
      <c r="A81" s="70"/>
      <c r="B81" s="69"/>
      <c r="C81" s="96"/>
      <c r="D81" s="204" t="s">
        <v>294</v>
      </c>
      <c r="E81" s="205"/>
      <c r="F81" s="205"/>
      <c r="G81" s="205"/>
      <c r="H81" s="205"/>
      <c r="I81" s="205"/>
      <c r="J81" s="206"/>
      <c r="K81" s="34"/>
      <c r="L81" s="89"/>
      <c r="M81" s="39"/>
      <c r="N81" s="32"/>
    </row>
    <row r="82" spans="1:14" s="12" customFormat="1" x14ac:dyDescent="0.25">
      <c r="A82" s="70"/>
      <c r="B82" s="69"/>
      <c r="C82" s="95"/>
      <c r="D82" s="40" t="s">
        <v>295</v>
      </c>
      <c r="E82" s="97" t="s">
        <v>8</v>
      </c>
      <c r="F82" s="98">
        <v>500</v>
      </c>
      <c r="G82" s="38"/>
      <c r="H82" s="38"/>
      <c r="I82" s="31"/>
      <c r="J82" s="31">
        <f t="shared" si="7"/>
        <v>0</v>
      </c>
      <c r="K82" s="34"/>
      <c r="L82" s="89"/>
      <c r="M82" s="39"/>
      <c r="N82" s="32"/>
    </row>
    <row r="83" spans="1:14" s="12" customFormat="1" x14ac:dyDescent="0.25">
      <c r="A83" s="70"/>
      <c r="B83" s="69"/>
      <c r="C83" s="95"/>
      <c r="D83" s="40" t="s">
        <v>296</v>
      </c>
      <c r="E83" s="97" t="s">
        <v>8</v>
      </c>
      <c r="F83" s="98">
        <v>15</v>
      </c>
      <c r="G83" s="38"/>
      <c r="H83" s="38"/>
      <c r="I83" s="31"/>
      <c r="J83" s="31">
        <f t="shared" si="7"/>
        <v>0</v>
      </c>
      <c r="K83" s="34"/>
      <c r="L83" s="89"/>
      <c r="M83" s="39"/>
      <c r="N83" s="32"/>
    </row>
    <row r="84" spans="1:14" s="12" customFormat="1" x14ac:dyDescent="0.25">
      <c r="A84" s="70"/>
      <c r="B84" s="69"/>
      <c r="C84" s="96"/>
      <c r="D84" s="204" t="s">
        <v>297</v>
      </c>
      <c r="E84" s="205"/>
      <c r="F84" s="205"/>
      <c r="G84" s="205"/>
      <c r="H84" s="205"/>
      <c r="I84" s="205"/>
      <c r="J84" s="206"/>
      <c r="K84" s="34"/>
      <c r="L84" s="89"/>
      <c r="M84" s="39"/>
      <c r="N84" s="32"/>
    </row>
    <row r="85" spans="1:14" s="12" customFormat="1" x14ac:dyDescent="0.25">
      <c r="A85" s="70"/>
      <c r="B85" s="69"/>
      <c r="C85" s="95"/>
      <c r="D85" s="40" t="s">
        <v>298</v>
      </c>
      <c r="E85" s="97" t="s">
        <v>8</v>
      </c>
      <c r="F85" s="98">
        <v>600</v>
      </c>
      <c r="G85" s="38"/>
      <c r="H85" s="38"/>
      <c r="I85" s="31"/>
      <c r="J85" s="31">
        <f t="shared" si="7"/>
        <v>0</v>
      </c>
      <c r="K85" s="34"/>
      <c r="L85" s="89"/>
      <c r="M85" s="39"/>
      <c r="N85" s="32"/>
    </row>
    <row r="86" spans="1:14" s="12" customFormat="1" x14ac:dyDescent="0.25">
      <c r="A86" s="70"/>
      <c r="B86" s="69"/>
      <c r="C86" s="95"/>
      <c r="D86" s="40" t="s">
        <v>299</v>
      </c>
      <c r="E86" s="97" t="s">
        <v>8</v>
      </c>
      <c r="F86" s="98">
        <v>1200</v>
      </c>
      <c r="G86" s="38"/>
      <c r="H86" s="38"/>
      <c r="I86" s="31"/>
      <c r="J86" s="31">
        <f t="shared" si="7"/>
        <v>0</v>
      </c>
      <c r="K86" s="34"/>
      <c r="L86" s="89"/>
      <c r="M86" s="39"/>
      <c r="N86" s="32"/>
    </row>
    <row r="87" spans="1:14" s="12" customFormat="1" x14ac:dyDescent="0.25">
      <c r="A87" s="70"/>
      <c r="B87" s="69"/>
      <c r="C87" s="95"/>
      <c r="D87" s="40" t="s">
        <v>300</v>
      </c>
      <c r="E87" s="97" t="s">
        <v>8</v>
      </c>
      <c r="F87" s="98">
        <v>100</v>
      </c>
      <c r="G87" s="38"/>
      <c r="H87" s="38"/>
      <c r="I87" s="31"/>
      <c r="J87" s="31">
        <f t="shared" si="7"/>
        <v>0</v>
      </c>
      <c r="K87" s="34"/>
      <c r="L87" s="89"/>
      <c r="M87" s="39"/>
      <c r="N87" s="32"/>
    </row>
    <row r="88" spans="1:14" s="12" customFormat="1" x14ac:dyDescent="0.25">
      <c r="A88" s="70"/>
      <c r="B88" s="69"/>
      <c r="C88" s="95"/>
      <c r="D88" s="40" t="s">
        <v>301</v>
      </c>
      <c r="E88" s="97" t="s">
        <v>8</v>
      </c>
      <c r="F88" s="98">
        <v>100</v>
      </c>
      <c r="G88" s="38"/>
      <c r="H88" s="38"/>
      <c r="I88" s="31"/>
      <c r="J88" s="31">
        <f t="shared" si="7"/>
        <v>0</v>
      </c>
      <c r="K88" s="34"/>
      <c r="L88" s="89"/>
      <c r="M88" s="39"/>
      <c r="N88" s="32"/>
    </row>
    <row r="89" spans="1:14" s="12" customFormat="1" x14ac:dyDescent="0.25">
      <c r="A89" s="70"/>
      <c r="B89" s="69"/>
      <c r="C89" s="95"/>
      <c r="D89" s="40" t="s">
        <v>302</v>
      </c>
      <c r="E89" s="97" t="s">
        <v>8</v>
      </c>
      <c r="F89" s="98">
        <v>150</v>
      </c>
      <c r="G89" s="38"/>
      <c r="H89" s="38"/>
      <c r="I89" s="31"/>
      <c r="J89" s="31">
        <f t="shared" si="7"/>
        <v>0</v>
      </c>
      <c r="K89" s="34"/>
      <c r="L89" s="89"/>
      <c r="M89" s="39"/>
      <c r="N89" s="32"/>
    </row>
    <row r="90" spans="1:14" s="12" customFormat="1" x14ac:dyDescent="0.25">
      <c r="A90" s="70"/>
      <c r="B90" s="69"/>
      <c r="C90" s="95"/>
      <c r="D90" s="40" t="s">
        <v>303</v>
      </c>
      <c r="E90" s="97" t="s">
        <v>8</v>
      </c>
      <c r="F90" s="98">
        <v>50</v>
      </c>
      <c r="G90" s="38"/>
      <c r="H90" s="38"/>
      <c r="I90" s="31"/>
      <c r="J90" s="31">
        <f t="shared" si="7"/>
        <v>0</v>
      </c>
      <c r="K90" s="34"/>
      <c r="L90" s="89"/>
      <c r="M90" s="39"/>
      <c r="N90" s="32"/>
    </row>
    <row r="91" spans="1:14" s="12" customFormat="1" x14ac:dyDescent="0.25">
      <c r="A91" s="70"/>
      <c r="B91" s="69"/>
      <c r="C91" s="96"/>
      <c r="D91" s="204" t="s">
        <v>304</v>
      </c>
      <c r="E91" s="205"/>
      <c r="F91" s="205"/>
      <c r="G91" s="205"/>
      <c r="H91" s="205"/>
      <c r="I91" s="205"/>
      <c r="J91" s="206"/>
      <c r="K91" s="34"/>
      <c r="L91" s="89"/>
      <c r="M91" s="39"/>
      <c r="N91" s="32"/>
    </row>
    <row r="92" spans="1:14" s="12" customFormat="1" x14ac:dyDescent="0.25">
      <c r="A92" s="70"/>
      <c r="B92" s="69"/>
      <c r="C92" s="95"/>
      <c r="D92" s="40" t="s">
        <v>305</v>
      </c>
      <c r="E92" s="97" t="s">
        <v>8</v>
      </c>
      <c r="F92" s="98">
        <v>60</v>
      </c>
      <c r="G92" s="38"/>
      <c r="H92" s="38"/>
      <c r="I92" s="31"/>
      <c r="J92" s="31">
        <f t="shared" si="7"/>
        <v>0</v>
      </c>
      <c r="K92" s="34"/>
      <c r="L92" s="89"/>
      <c r="M92" s="39"/>
      <c r="N92" s="32"/>
    </row>
    <row r="93" spans="1:14" s="12" customFormat="1" x14ac:dyDescent="0.25">
      <c r="A93" s="70"/>
      <c r="B93" s="69"/>
      <c r="C93" s="95"/>
      <c r="D93" s="40" t="s">
        <v>306</v>
      </c>
      <c r="E93" s="97" t="s">
        <v>8</v>
      </c>
      <c r="F93" s="98">
        <v>40</v>
      </c>
      <c r="G93" s="38"/>
      <c r="H93" s="38"/>
      <c r="I93" s="31"/>
      <c r="J93" s="31">
        <f t="shared" si="7"/>
        <v>0</v>
      </c>
      <c r="K93" s="34"/>
      <c r="L93" s="89"/>
      <c r="M93" s="39"/>
      <c r="N93" s="32"/>
    </row>
    <row r="94" spans="1:14" s="12" customFormat="1" x14ac:dyDescent="0.25">
      <c r="A94" s="70"/>
      <c r="B94" s="69"/>
      <c r="C94" s="96"/>
      <c r="D94" s="204" t="s">
        <v>307</v>
      </c>
      <c r="E94" s="205"/>
      <c r="F94" s="205"/>
      <c r="G94" s="205"/>
      <c r="H94" s="205"/>
      <c r="I94" s="205"/>
      <c r="J94" s="206"/>
      <c r="K94" s="34"/>
      <c r="L94" s="89"/>
      <c r="M94" s="39"/>
      <c r="N94" s="32"/>
    </row>
    <row r="95" spans="1:14" s="12" customFormat="1" x14ac:dyDescent="0.25">
      <c r="A95" s="70"/>
      <c r="B95" s="69"/>
      <c r="C95" s="95"/>
      <c r="D95" s="40" t="s">
        <v>308</v>
      </c>
      <c r="E95" s="97" t="s">
        <v>44</v>
      </c>
      <c r="F95" s="98">
        <v>25</v>
      </c>
      <c r="G95" s="38"/>
      <c r="H95" s="38"/>
      <c r="I95" s="31"/>
      <c r="J95" s="31">
        <f t="shared" si="7"/>
        <v>0</v>
      </c>
      <c r="K95" s="34"/>
      <c r="L95" s="89"/>
      <c r="M95" s="39"/>
      <c r="N95" s="32"/>
    </row>
    <row r="96" spans="1:14" s="12" customFormat="1" x14ac:dyDescent="0.25">
      <c r="A96" s="70"/>
      <c r="B96" s="69"/>
      <c r="C96" s="95"/>
      <c r="D96" s="40" t="s">
        <v>308</v>
      </c>
      <c r="E96" s="97" t="s">
        <v>44</v>
      </c>
      <c r="F96" s="98">
        <v>8</v>
      </c>
      <c r="G96" s="38"/>
      <c r="H96" s="38"/>
      <c r="I96" s="31"/>
      <c r="J96" s="31">
        <f t="shared" si="7"/>
        <v>0</v>
      </c>
      <c r="K96" s="34"/>
      <c r="L96" s="89"/>
      <c r="M96" s="39"/>
      <c r="N96" s="32"/>
    </row>
    <row r="97" spans="1:14" s="12" customFormat="1" x14ac:dyDescent="0.25">
      <c r="A97" s="70"/>
      <c r="B97" s="69"/>
      <c r="C97" s="95"/>
      <c r="D97" s="40" t="s">
        <v>309</v>
      </c>
      <c r="E97" s="97" t="s">
        <v>44</v>
      </c>
      <c r="F97" s="98">
        <v>4</v>
      </c>
      <c r="G97" s="38"/>
      <c r="H97" s="38"/>
      <c r="I97" s="31"/>
      <c r="J97" s="31">
        <f t="shared" si="7"/>
        <v>0</v>
      </c>
      <c r="K97" s="34"/>
      <c r="L97" s="89"/>
      <c r="M97" s="39"/>
      <c r="N97" s="32"/>
    </row>
    <row r="98" spans="1:14" s="12" customFormat="1" x14ac:dyDescent="0.25">
      <c r="A98" s="70"/>
      <c r="B98" s="69"/>
      <c r="C98" s="96"/>
      <c r="D98" s="204" t="s">
        <v>310</v>
      </c>
      <c r="E98" s="205"/>
      <c r="F98" s="205"/>
      <c r="G98" s="205"/>
      <c r="H98" s="205"/>
      <c r="I98" s="205"/>
      <c r="J98" s="206"/>
      <c r="K98" s="34"/>
      <c r="L98" s="89"/>
      <c r="M98" s="39"/>
      <c r="N98" s="32"/>
    </row>
    <row r="99" spans="1:14" s="12" customFormat="1" x14ac:dyDescent="0.25">
      <c r="A99" s="70"/>
      <c r="B99" s="69"/>
      <c r="C99" s="95"/>
      <c r="D99" s="40" t="s">
        <v>311</v>
      </c>
      <c r="E99" s="97" t="s">
        <v>44</v>
      </c>
      <c r="F99" s="98">
        <v>7</v>
      </c>
      <c r="G99" s="38"/>
      <c r="H99" s="38"/>
      <c r="I99" s="31"/>
      <c r="J99" s="31">
        <f t="shared" si="7"/>
        <v>0</v>
      </c>
      <c r="K99" s="34"/>
      <c r="L99" s="89"/>
      <c r="M99" s="39"/>
      <c r="N99" s="32"/>
    </row>
    <row r="100" spans="1:14" s="12" customFormat="1" x14ac:dyDescent="0.25">
      <c r="A100" s="70"/>
      <c r="B100" s="69"/>
      <c r="C100" s="95"/>
      <c r="D100" s="40" t="s">
        <v>312</v>
      </c>
      <c r="E100" s="97" t="s">
        <v>44</v>
      </c>
      <c r="F100" s="98">
        <v>28</v>
      </c>
      <c r="G100" s="38"/>
      <c r="H100" s="38"/>
      <c r="I100" s="31"/>
      <c r="J100" s="31">
        <f t="shared" si="7"/>
        <v>0</v>
      </c>
      <c r="K100" s="34"/>
      <c r="L100" s="89"/>
      <c r="M100" s="39"/>
      <c r="N100" s="32"/>
    </row>
    <row r="101" spans="1:14" s="12" customFormat="1" x14ac:dyDescent="0.25">
      <c r="A101" s="70"/>
      <c r="B101" s="69"/>
      <c r="C101" s="95"/>
      <c r="D101" s="40" t="s">
        <v>313</v>
      </c>
      <c r="E101" s="97" t="s">
        <v>44</v>
      </c>
      <c r="F101" s="98">
        <v>4</v>
      </c>
      <c r="G101" s="38"/>
      <c r="H101" s="38"/>
      <c r="I101" s="31"/>
      <c r="J101" s="31">
        <f t="shared" si="7"/>
        <v>0</v>
      </c>
      <c r="K101" s="34"/>
      <c r="L101" s="89"/>
      <c r="M101" s="39"/>
      <c r="N101" s="32"/>
    </row>
    <row r="102" spans="1:14" s="12" customFormat="1" ht="24" x14ac:dyDescent="0.25">
      <c r="A102" s="70"/>
      <c r="B102" s="69"/>
      <c r="C102" s="95"/>
      <c r="D102" s="40" t="s">
        <v>314</v>
      </c>
      <c r="E102" s="97" t="s">
        <v>44</v>
      </c>
      <c r="F102" s="98">
        <v>60</v>
      </c>
      <c r="G102" s="38"/>
      <c r="H102" s="38"/>
      <c r="I102" s="31"/>
      <c r="J102" s="31">
        <f t="shared" si="7"/>
        <v>0</v>
      </c>
      <c r="K102" s="34"/>
      <c r="L102" s="89"/>
      <c r="M102" s="39"/>
      <c r="N102" s="32"/>
    </row>
    <row r="103" spans="1:14" s="12" customFormat="1" ht="24" x14ac:dyDescent="0.25">
      <c r="A103" s="70"/>
      <c r="B103" s="69"/>
      <c r="C103" s="95"/>
      <c r="D103" s="40" t="s">
        <v>315</v>
      </c>
      <c r="E103" s="97" t="s">
        <v>44</v>
      </c>
      <c r="F103" s="98">
        <v>5</v>
      </c>
      <c r="G103" s="38"/>
      <c r="H103" s="38"/>
      <c r="I103" s="31"/>
      <c r="J103" s="31">
        <f t="shared" si="7"/>
        <v>0</v>
      </c>
      <c r="K103" s="34"/>
      <c r="L103" s="89"/>
      <c r="M103" s="39"/>
      <c r="N103" s="32"/>
    </row>
    <row r="104" spans="1:14" s="12" customFormat="1" ht="24" x14ac:dyDescent="0.25">
      <c r="A104" s="70"/>
      <c r="B104" s="69"/>
      <c r="C104" s="95"/>
      <c r="D104" s="40" t="s">
        <v>316</v>
      </c>
      <c r="E104" s="97" t="s">
        <v>44</v>
      </c>
      <c r="F104" s="98">
        <v>60</v>
      </c>
      <c r="G104" s="38"/>
      <c r="H104" s="38"/>
      <c r="I104" s="31"/>
      <c r="J104" s="31">
        <f t="shared" si="7"/>
        <v>0</v>
      </c>
      <c r="K104" s="34"/>
      <c r="L104" s="89"/>
      <c r="M104" s="39"/>
      <c r="N104" s="32"/>
    </row>
    <row r="105" spans="1:14" s="12" customFormat="1" x14ac:dyDescent="0.25">
      <c r="A105" s="70"/>
      <c r="B105" s="69"/>
      <c r="C105" s="96"/>
      <c r="D105" s="204" t="s">
        <v>317</v>
      </c>
      <c r="E105" s="205"/>
      <c r="F105" s="205"/>
      <c r="G105" s="205"/>
      <c r="H105" s="205"/>
      <c r="I105" s="205"/>
      <c r="J105" s="206"/>
      <c r="K105" s="34"/>
      <c r="L105" s="89"/>
      <c r="M105" s="39"/>
      <c r="N105" s="32"/>
    </row>
    <row r="106" spans="1:14" s="12" customFormat="1" ht="36" x14ac:dyDescent="0.25">
      <c r="A106" s="70"/>
      <c r="B106" s="69"/>
      <c r="C106" s="95"/>
      <c r="D106" s="40" t="s">
        <v>318</v>
      </c>
      <c r="E106" s="97" t="s">
        <v>44</v>
      </c>
      <c r="F106" s="98">
        <v>1</v>
      </c>
      <c r="G106" s="38"/>
      <c r="H106" s="38"/>
      <c r="I106" s="31"/>
      <c r="J106" s="31">
        <f t="shared" si="7"/>
        <v>0</v>
      </c>
      <c r="K106" s="34"/>
      <c r="L106" s="89"/>
      <c r="M106" s="39"/>
      <c r="N106" s="32"/>
    </row>
    <row r="107" spans="1:14" s="12" customFormat="1" ht="24" x14ac:dyDescent="0.25">
      <c r="A107" s="70"/>
      <c r="B107" s="69"/>
      <c r="C107" s="95"/>
      <c r="D107" s="40" t="s">
        <v>320</v>
      </c>
      <c r="E107" s="97" t="s">
        <v>44</v>
      </c>
      <c r="F107" s="98">
        <v>1</v>
      </c>
      <c r="G107" s="38"/>
      <c r="H107" s="38"/>
      <c r="I107" s="31"/>
      <c r="J107" s="31">
        <f t="shared" si="7"/>
        <v>0</v>
      </c>
      <c r="K107" s="34"/>
      <c r="L107" s="89"/>
      <c r="M107" s="39"/>
      <c r="N107" s="32"/>
    </row>
    <row r="108" spans="1:14" s="12" customFormat="1" ht="24" x14ac:dyDescent="0.25">
      <c r="A108" s="70"/>
      <c r="B108" s="69"/>
      <c r="C108" s="95"/>
      <c r="D108" s="40" t="s">
        <v>321</v>
      </c>
      <c r="E108" s="97" t="s">
        <v>44</v>
      </c>
      <c r="F108" s="98">
        <v>3</v>
      </c>
      <c r="G108" s="38"/>
      <c r="H108" s="38"/>
      <c r="I108" s="31"/>
      <c r="J108" s="31">
        <f t="shared" si="7"/>
        <v>0</v>
      </c>
      <c r="K108" s="34"/>
      <c r="L108" s="89"/>
      <c r="M108" s="39"/>
      <c r="N108" s="32"/>
    </row>
    <row r="109" spans="1:14" s="12" customFormat="1" ht="24" x14ac:dyDescent="0.25">
      <c r="A109" s="70"/>
      <c r="B109" s="69"/>
      <c r="C109" s="95"/>
      <c r="D109" s="40" t="s">
        <v>322</v>
      </c>
      <c r="E109" s="97" t="s">
        <v>44</v>
      </c>
      <c r="F109" s="98">
        <v>3</v>
      </c>
      <c r="G109" s="38"/>
      <c r="H109" s="38"/>
      <c r="I109" s="31"/>
      <c r="J109" s="31">
        <f t="shared" si="7"/>
        <v>0</v>
      </c>
      <c r="K109" s="34"/>
      <c r="L109" s="89"/>
      <c r="M109" s="39"/>
      <c r="N109" s="32"/>
    </row>
    <row r="110" spans="1:14" s="12" customFormat="1" ht="24" x14ac:dyDescent="0.25">
      <c r="A110" s="70"/>
      <c r="B110" s="69"/>
      <c r="C110" s="95"/>
      <c r="D110" s="40" t="s">
        <v>319</v>
      </c>
      <c r="E110" s="97" t="s">
        <v>44</v>
      </c>
      <c r="F110" s="98">
        <v>1</v>
      </c>
      <c r="G110" s="38"/>
      <c r="H110" s="38"/>
      <c r="I110" s="31"/>
      <c r="J110" s="31">
        <f t="shared" si="7"/>
        <v>0</v>
      </c>
      <c r="K110" s="34"/>
      <c r="L110" s="89"/>
      <c r="M110" s="39"/>
      <c r="N110" s="32"/>
    </row>
    <row r="111" spans="1:14" s="12" customFormat="1" ht="24" x14ac:dyDescent="0.25">
      <c r="A111" s="70"/>
      <c r="B111" s="69"/>
      <c r="C111" s="95"/>
      <c r="D111" s="40" t="s">
        <v>323</v>
      </c>
      <c r="E111" s="97" t="s">
        <v>44</v>
      </c>
      <c r="F111" s="98">
        <v>1</v>
      </c>
      <c r="G111" s="38"/>
      <c r="H111" s="38"/>
      <c r="I111" s="31"/>
      <c r="J111" s="31">
        <f t="shared" si="7"/>
        <v>0</v>
      </c>
      <c r="K111" s="34"/>
      <c r="L111" s="89"/>
      <c r="M111" s="39"/>
      <c r="N111" s="32"/>
    </row>
    <row r="112" spans="1:14" s="12" customFormat="1" x14ac:dyDescent="0.25">
      <c r="A112" s="70"/>
      <c r="B112" s="69"/>
      <c r="C112" s="96"/>
      <c r="D112" s="204" t="s">
        <v>324</v>
      </c>
      <c r="E112" s="205"/>
      <c r="F112" s="205"/>
      <c r="G112" s="205"/>
      <c r="H112" s="205"/>
      <c r="I112" s="205"/>
      <c r="J112" s="206"/>
      <c r="K112" s="34"/>
      <c r="L112" s="89"/>
      <c r="M112" s="39"/>
      <c r="N112" s="32"/>
    </row>
    <row r="113" spans="1:14" s="12" customFormat="1" ht="36" x14ac:dyDescent="0.25">
      <c r="A113" s="70"/>
      <c r="B113" s="69"/>
      <c r="C113" s="95"/>
      <c r="D113" s="40" t="s">
        <v>318</v>
      </c>
      <c r="E113" s="97" t="s">
        <v>44</v>
      </c>
      <c r="F113" s="98">
        <v>1</v>
      </c>
      <c r="G113" s="38"/>
      <c r="H113" s="38"/>
      <c r="I113" s="31"/>
      <c r="J113" s="31">
        <f t="shared" si="7"/>
        <v>0</v>
      </c>
      <c r="K113" s="34"/>
      <c r="L113" s="89"/>
      <c r="M113" s="39"/>
      <c r="N113" s="32"/>
    </row>
    <row r="114" spans="1:14" s="12" customFormat="1" ht="24" x14ac:dyDescent="0.25">
      <c r="A114" s="70"/>
      <c r="B114" s="69"/>
      <c r="C114" s="95"/>
      <c r="D114" s="40" t="s">
        <v>323</v>
      </c>
      <c r="E114" s="97" t="s">
        <v>44</v>
      </c>
      <c r="F114" s="98">
        <v>1</v>
      </c>
      <c r="G114" s="38"/>
      <c r="H114" s="38"/>
      <c r="I114" s="31"/>
      <c r="J114" s="31">
        <f t="shared" si="7"/>
        <v>0</v>
      </c>
      <c r="K114" s="34"/>
      <c r="L114" s="89"/>
      <c r="M114" s="39"/>
      <c r="N114" s="32"/>
    </row>
    <row r="115" spans="1:14" s="12" customFormat="1" ht="24" x14ac:dyDescent="0.25">
      <c r="A115" s="70"/>
      <c r="B115" s="69"/>
      <c r="C115" s="95"/>
      <c r="D115" s="40" t="s">
        <v>321</v>
      </c>
      <c r="E115" s="97" t="s">
        <v>44</v>
      </c>
      <c r="F115" s="98">
        <v>2</v>
      </c>
      <c r="G115" s="38"/>
      <c r="H115" s="38"/>
      <c r="I115" s="31"/>
      <c r="J115" s="31">
        <f t="shared" si="7"/>
        <v>0</v>
      </c>
      <c r="K115" s="34"/>
      <c r="L115" s="89"/>
      <c r="M115" s="39"/>
      <c r="N115" s="32"/>
    </row>
    <row r="116" spans="1:14" s="12" customFormat="1" ht="24" x14ac:dyDescent="0.25">
      <c r="A116" s="70"/>
      <c r="B116" s="69"/>
      <c r="C116" s="95"/>
      <c r="D116" s="40" t="str">
        <f>D109</f>
        <v>Disjuntor termomagnetico monopolar 20A, padrão DIN (linha branca)</v>
      </c>
      <c r="E116" s="97" t="s">
        <v>44</v>
      </c>
      <c r="F116" s="98">
        <v>7</v>
      </c>
      <c r="G116" s="38"/>
      <c r="H116" s="38"/>
      <c r="I116" s="31"/>
      <c r="J116" s="31">
        <f t="shared" si="7"/>
        <v>0</v>
      </c>
      <c r="K116" s="34"/>
      <c r="L116" s="89"/>
      <c r="M116" s="39"/>
      <c r="N116" s="32"/>
    </row>
    <row r="117" spans="1:14" s="12" customFormat="1" x14ac:dyDescent="0.25">
      <c r="A117" s="70"/>
      <c r="B117" s="69"/>
      <c r="C117" s="96"/>
      <c r="D117" s="204" t="s">
        <v>325</v>
      </c>
      <c r="E117" s="205"/>
      <c r="F117" s="205"/>
      <c r="G117" s="205"/>
      <c r="H117" s="205"/>
      <c r="I117" s="205"/>
      <c r="J117" s="206"/>
      <c r="K117" s="34"/>
      <c r="L117" s="89"/>
      <c r="M117" s="39"/>
      <c r="N117" s="32"/>
    </row>
    <row r="118" spans="1:14" s="12" customFormat="1" ht="36" x14ac:dyDescent="0.25">
      <c r="A118" s="70"/>
      <c r="B118" s="69"/>
      <c r="C118" s="95"/>
      <c r="D118" s="40" t="s">
        <v>318</v>
      </c>
      <c r="E118" s="97" t="s">
        <v>44</v>
      </c>
      <c r="F118" s="98">
        <v>1</v>
      </c>
      <c r="G118" s="38"/>
      <c r="H118" s="38"/>
      <c r="I118" s="31"/>
      <c r="J118" s="31">
        <f t="shared" si="7"/>
        <v>0</v>
      </c>
      <c r="K118" s="34"/>
      <c r="L118" s="89"/>
      <c r="M118" s="39"/>
      <c r="N118" s="32"/>
    </row>
    <row r="119" spans="1:14" s="12" customFormat="1" ht="24" x14ac:dyDescent="0.25">
      <c r="A119" s="70"/>
      <c r="B119" s="69"/>
      <c r="C119" s="95"/>
      <c r="D119" s="40" t="s">
        <v>319</v>
      </c>
      <c r="E119" s="97" t="s">
        <v>44</v>
      </c>
      <c r="F119" s="98">
        <v>1</v>
      </c>
      <c r="G119" s="38"/>
      <c r="H119" s="38"/>
      <c r="I119" s="31"/>
      <c r="J119" s="31">
        <f t="shared" ref="J119:J132" si="8">F119*G119</f>
        <v>0</v>
      </c>
      <c r="K119" s="34"/>
      <c r="L119" s="89"/>
      <c r="M119" s="39"/>
      <c r="N119" s="32"/>
    </row>
    <row r="120" spans="1:14" s="12" customFormat="1" ht="24" x14ac:dyDescent="0.25">
      <c r="A120" s="70"/>
      <c r="B120" s="69"/>
      <c r="C120" s="95"/>
      <c r="D120" s="40" t="s">
        <v>321</v>
      </c>
      <c r="E120" s="97" t="s">
        <v>44</v>
      </c>
      <c r="F120" s="98">
        <v>2</v>
      </c>
      <c r="G120" s="38"/>
      <c r="H120" s="38"/>
      <c r="I120" s="31"/>
      <c r="J120" s="31">
        <f t="shared" si="8"/>
        <v>0</v>
      </c>
      <c r="K120" s="34"/>
      <c r="L120" s="89"/>
      <c r="M120" s="39"/>
      <c r="N120" s="32"/>
    </row>
    <row r="121" spans="1:14" s="12" customFormat="1" ht="24" x14ac:dyDescent="0.25">
      <c r="A121" s="70"/>
      <c r="B121" s="69"/>
      <c r="C121" s="95"/>
      <c r="D121" s="40" t="s">
        <v>322</v>
      </c>
      <c r="E121" s="97" t="s">
        <v>44</v>
      </c>
      <c r="F121" s="98">
        <v>1</v>
      </c>
      <c r="G121" s="38"/>
      <c r="H121" s="38"/>
      <c r="I121" s="31"/>
      <c r="J121" s="31">
        <f t="shared" si="8"/>
        <v>0</v>
      </c>
      <c r="K121" s="34"/>
      <c r="L121" s="89"/>
      <c r="M121" s="39"/>
      <c r="N121" s="32"/>
    </row>
    <row r="122" spans="1:14" s="12" customFormat="1" ht="24" x14ac:dyDescent="0.25">
      <c r="A122" s="70"/>
      <c r="B122" s="69"/>
      <c r="C122" s="95"/>
      <c r="D122" s="40" t="s">
        <v>326</v>
      </c>
      <c r="E122" s="97" t="s">
        <v>44</v>
      </c>
      <c r="F122" s="98">
        <v>1</v>
      </c>
      <c r="G122" s="38"/>
      <c r="H122" s="38"/>
      <c r="I122" s="31"/>
      <c r="J122" s="31">
        <f t="shared" si="8"/>
        <v>0</v>
      </c>
      <c r="K122" s="34"/>
      <c r="L122" s="89"/>
      <c r="M122" s="39"/>
      <c r="N122" s="32"/>
    </row>
    <row r="123" spans="1:14" s="12" customFormat="1" ht="24" x14ac:dyDescent="0.25">
      <c r="A123" s="70"/>
      <c r="B123" s="69"/>
      <c r="C123" s="95"/>
      <c r="D123" s="40" t="s">
        <v>327</v>
      </c>
      <c r="E123" s="97" t="s">
        <v>44</v>
      </c>
      <c r="F123" s="98">
        <v>4</v>
      </c>
      <c r="G123" s="38"/>
      <c r="H123" s="38"/>
      <c r="I123" s="31"/>
      <c r="J123" s="31">
        <f t="shared" si="8"/>
        <v>0</v>
      </c>
      <c r="K123" s="34"/>
      <c r="L123" s="89"/>
      <c r="M123" s="39"/>
      <c r="N123" s="32"/>
    </row>
    <row r="124" spans="1:14" s="12" customFormat="1" ht="24" x14ac:dyDescent="0.25">
      <c r="A124" s="70"/>
      <c r="B124" s="69"/>
      <c r="C124" s="95"/>
      <c r="D124" s="40" t="s">
        <v>328</v>
      </c>
      <c r="E124" s="97" t="s">
        <v>44</v>
      </c>
      <c r="F124" s="98">
        <v>40</v>
      </c>
      <c r="G124" s="38"/>
      <c r="H124" s="38"/>
      <c r="I124" s="31"/>
      <c r="J124" s="31">
        <f t="shared" si="8"/>
        <v>0</v>
      </c>
      <c r="K124" s="34"/>
      <c r="L124" s="89"/>
      <c r="M124" s="39"/>
      <c r="N124" s="32"/>
    </row>
    <row r="125" spans="1:14" s="12" customFormat="1" x14ac:dyDescent="0.25">
      <c r="A125" s="70"/>
      <c r="B125" s="69"/>
      <c r="C125" s="96"/>
      <c r="D125" s="204" t="s">
        <v>329</v>
      </c>
      <c r="E125" s="205"/>
      <c r="F125" s="205"/>
      <c r="G125" s="205"/>
      <c r="H125" s="205"/>
      <c r="I125" s="205"/>
      <c r="J125" s="206"/>
      <c r="K125" s="34"/>
      <c r="L125" s="89"/>
      <c r="M125" s="39"/>
      <c r="N125" s="32"/>
    </row>
    <row r="126" spans="1:14" s="12" customFormat="1" x14ac:dyDescent="0.25">
      <c r="A126" s="70"/>
      <c r="B126" s="69"/>
      <c r="C126" s="95"/>
      <c r="D126" s="40" t="s">
        <v>330</v>
      </c>
      <c r="E126" s="97" t="s">
        <v>8</v>
      </c>
      <c r="F126" s="98">
        <v>200</v>
      </c>
      <c r="G126" s="38"/>
      <c r="H126" s="38"/>
      <c r="I126" s="31"/>
      <c r="J126" s="31">
        <f t="shared" si="8"/>
        <v>0</v>
      </c>
      <c r="K126" s="34"/>
      <c r="L126" s="89"/>
      <c r="M126" s="39"/>
      <c r="N126" s="32"/>
    </row>
    <row r="127" spans="1:14" s="12" customFormat="1" x14ac:dyDescent="0.25">
      <c r="A127" s="70"/>
      <c r="B127" s="69"/>
      <c r="C127" s="95"/>
      <c r="D127" s="40" t="s">
        <v>331</v>
      </c>
      <c r="E127" s="97" t="s">
        <v>44</v>
      </c>
      <c r="F127" s="98">
        <v>30</v>
      </c>
      <c r="G127" s="38"/>
      <c r="H127" s="38"/>
      <c r="I127" s="31"/>
      <c r="J127" s="31">
        <f t="shared" si="8"/>
        <v>0</v>
      </c>
      <c r="K127" s="34"/>
      <c r="L127" s="89"/>
      <c r="M127" s="39"/>
      <c r="N127" s="32"/>
    </row>
    <row r="128" spans="1:14" s="12" customFormat="1" x14ac:dyDescent="0.25">
      <c r="A128" s="70"/>
      <c r="B128" s="69"/>
      <c r="C128" s="95"/>
      <c r="D128" s="40" t="s">
        <v>332</v>
      </c>
      <c r="E128" s="97" t="s">
        <v>44</v>
      </c>
      <c r="F128" s="98">
        <v>26</v>
      </c>
      <c r="G128" s="38"/>
      <c r="H128" s="38"/>
      <c r="I128" s="31"/>
      <c r="J128" s="31">
        <f t="shared" si="8"/>
        <v>0</v>
      </c>
      <c r="K128" s="34"/>
      <c r="L128" s="89"/>
      <c r="M128" s="39"/>
      <c r="N128" s="32"/>
    </row>
    <row r="129" spans="1:14" s="12" customFormat="1" x14ac:dyDescent="0.25">
      <c r="A129" s="70"/>
      <c r="B129" s="78"/>
      <c r="C129" s="79">
        <v>7</v>
      </c>
      <c r="D129" s="80" t="s">
        <v>333</v>
      </c>
      <c r="E129" s="81"/>
      <c r="F129" s="82"/>
      <c r="G129" s="83"/>
      <c r="H129" s="84"/>
      <c r="I129" s="85"/>
      <c r="J129" s="85">
        <f>SUM(J130:J132)</f>
        <v>0</v>
      </c>
      <c r="K129" s="34"/>
      <c r="L129" s="89"/>
      <c r="M129" s="39"/>
      <c r="N129" s="32"/>
    </row>
    <row r="130" spans="1:14" s="12" customFormat="1" ht="24" x14ac:dyDescent="0.25">
      <c r="A130" s="70"/>
      <c r="B130" s="69">
        <v>71360</v>
      </c>
      <c r="C130" s="95" t="s">
        <v>16</v>
      </c>
      <c r="D130" s="40" t="s">
        <v>334</v>
      </c>
      <c r="E130" s="97" t="s">
        <v>8</v>
      </c>
      <c r="F130" s="98">
        <v>800</v>
      </c>
      <c r="G130" s="38"/>
      <c r="H130" s="38"/>
      <c r="I130" s="31"/>
      <c r="J130" s="31">
        <f t="shared" si="8"/>
        <v>0</v>
      </c>
      <c r="K130" s="34"/>
      <c r="L130" s="89"/>
      <c r="M130" s="39"/>
      <c r="N130" s="32"/>
    </row>
    <row r="131" spans="1:14" s="12" customFormat="1" x14ac:dyDescent="0.25">
      <c r="A131" s="70"/>
      <c r="B131" s="69">
        <v>71497</v>
      </c>
      <c r="C131" s="95" t="s">
        <v>57</v>
      </c>
      <c r="D131" s="40" t="s">
        <v>335</v>
      </c>
      <c r="E131" s="97" t="s">
        <v>8</v>
      </c>
      <c r="F131" s="98">
        <v>160</v>
      </c>
      <c r="G131" s="38"/>
      <c r="H131" s="38"/>
      <c r="I131" s="31"/>
      <c r="J131" s="31">
        <f t="shared" si="8"/>
        <v>0</v>
      </c>
      <c r="K131" s="34"/>
      <c r="L131" s="89"/>
      <c r="M131" s="39"/>
      <c r="N131" s="32"/>
    </row>
    <row r="132" spans="1:14" s="12" customFormat="1" ht="24" x14ac:dyDescent="0.25">
      <c r="A132" s="70"/>
      <c r="B132" s="69">
        <v>902034</v>
      </c>
      <c r="C132" s="95" t="s">
        <v>58</v>
      </c>
      <c r="D132" s="40" t="s">
        <v>336</v>
      </c>
      <c r="E132" s="97" t="s">
        <v>8</v>
      </c>
      <c r="F132" s="98">
        <v>800</v>
      </c>
      <c r="G132" s="38"/>
      <c r="H132" s="38"/>
      <c r="I132" s="31"/>
      <c r="J132" s="31">
        <f t="shared" si="8"/>
        <v>0</v>
      </c>
      <c r="K132" s="34"/>
      <c r="L132" s="89"/>
      <c r="M132" s="39"/>
      <c r="N132" s="32"/>
    </row>
    <row r="133" spans="1:14" s="12" customFormat="1" x14ac:dyDescent="0.25">
      <c r="A133" s="70"/>
      <c r="B133" s="78"/>
      <c r="C133" s="79">
        <v>8</v>
      </c>
      <c r="D133" s="80" t="s">
        <v>32</v>
      </c>
      <c r="E133" s="81"/>
      <c r="F133" s="82"/>
      <c r="G133" s="83"/>
      <c r="H133" s="84"/>
      <c r="I133" s="85"/>
      <c r="J133" s="85">
        <f>SUM(J135:J137,J139)</f>
        <v>0</v>
      </c>
      <c r="K133" s="34"/>
      <c r="L133" s="89"/>
      <c r="M133" s="39"/>
      <c r="N133" s="32"/>
    </row>
    <row r="134" spans="1:14" s="12" customFormat="1" x14ac:dyDescent="0.25">
      <c r="A134" s="70"/>
      <c r="B134" s="69"/>
      <c r="C134" s="105" t="s">
        <v>35</v>
      </c>
      <c r="D134" s="204" t="s">
        <v>337</v>
      </c>
      <c r="E134" s="205"/>
      <c r="F134" s="205"/>
      <c r="G134" s="205"/>
      <c r="H134" s="205"/>
      <c r="I134" s="205"/>
      <c r="J134" s="206"/>
      <c r="K134" s="34"/>
      <c r="L134" s="89"/>
      <c r="M134" s="39"/>
      <c r="N134" s="32"/>
    </row>
    <row r="135" spans="1:14" s="12" customFormat="1" ht="24" x14ac:dyDescent="0.25">
      <c r="A135" s="70"/>
      <c r="B135" s="69" t="s">
        <v>339</v>
      </c>
      <c r="C135" s="95" t="s">
        <v>338</v>
      </c>
      <c r="D135" s="40" t="s">
        <v>340</v>
      </c>
      <c r="E135" s="97" t="s">
        <v>44</v>
      </c>
      <c r="F135" s="98">
        <v>6</v>
      </c>
      <c r="G135" s="38"/>
      <c r="H135" s="38"/>
      <c r="I135" s="31"/>
      <c r="J135" s="31">
        <f t="shared" ref="J135" si="9">F135*G135</f>
        <v>0</v>
      </c>
      <c r="K135" s="34"/>
      <c r="L135" s="89"/>
      <c r="M135" s="39"/>
      <c r="N135" s="32"/>
    </row>
    <row r="136" spans="1:14" s="12" customFormat="1" ht="24" x14ac:dyDescent="0.25">
      <c r="A136" s="70"/>
      <c r="B136" s="69">
        <v>68052</v>
      </c>
      <c r="C136" s="95" t="s">
        <v>341</v>
      </c>
      <c r="D136" s="40" t="s">
        <v>342</v>
      </c>
      <c r="E136" s="97" t="s">
        <v>44</v>
      </c>
      <c r="F136" s="98">
        <v>8</v>
      </c>
      <c r="G136" s="38"/>
      <c r="H136" s="38"/>
      <c r="I136" s="31"/>
      <c r="J136" s="31">
        <f t="shared" ref="J136:J137" si="10">F136*G136</f>
        <v>0</v>
      </c>
      <c r="K136" s="34"/>
      <c r="L136" s="89"/>
      <c r="M136" s="39"/>
      <c r="N136" s="32"/>
    </row>
    <row r="137" spans="1:14" s="12" customFormat="1" ht="24" x14ac:dyDescent="0.25">
      <c r="A137" s="70"/>
      <c r="B137" s="69" t="s">
        <v>55</v>
      </c>
      <c r="C137" s="95" t="s">
        <v>343</v>
      </c>
      <c r="D137" s="40" t="s">
        <v>344</v>
      </c>
      <c r="E137" s="97" t="s">
        <v>44</v>
      </c>
      <c r="F137" s="98">
        <v>6</v>
      </c>
      <c r="G137" s="38"/>
      <c r="H137" s="38"/>
      <c r="I137" s="31"/>
      <c r="J137" s="31">
        <f t="shared" si="10"/>
        <v>0</v>
      </c>
      <c r="K137" s="34"/>
      <c r="L137" s="89"/>
      <c r="M137" s="39"/>
      <c r="N137" s="32"/>
    </row>
    <row r="138" spans="1:14" s="12" customFormat="1" x14ac:dyDescent="0.25">
      <c r="A138" s="70"/>
      <c r="B138" s="69"/>
      <c r="C138" s="105" t="s">
        <v>345</v>
      </c>
      <c r="D138" s="204" t="s">
        <v>346</v>
      </c>
      <c r="E138" s="205"/>
      <c r="F138" s="205"/>
      <c r="G138" s="205"/>
      <c r="H138" s="205"/>
      <c r="I138" s="205"/>
      <c r="J138" s="206"/>
      <c r="K138" s="34"/>
      <c r="L138" s="89"/>
      <c r="M138" s="39"/>
      <c r="N138" s="32"/>
    </row>
    <row r="139" spans="1:14" s="12" customFormat="1" ht="36" x14ac:dyDescent="0.25">
      <c r="A139" s="70"/>
      <c r="B139" s="69">
        <v>91380</v>
      </c>
      <c r="C139" s="95" t="s">
        <v>345</v>
      </c>
      <c r="D139" s="40" t="s">
        <v>347</v>
      </c>
      <c r="E139" s="97" t="s">
        <v>7</v>
      </c>
      <c r="F139" s="98">
        <v>120</v>
      </c>
      <c r="G139" s="38"/>
      <c r="H139" s="38"/>
      <c r="I139" s="31"/>
      <c r="J139" s="31">
        <f t="shared" ref="J139:J168" si="11">F139*G139</f>
        <v>0</v>
      </c>
      <c r="K139" s="34"/>
      <c r="L139" s="89"/>
      <c r="M139" s="39"/>
      <c r="N139" s="32"/>
    </row>
    <row r="140" spans="1:14" s="12" customFormat="1" x14ac:dyDescent="0.25">
      <c r="A140" s="70"/>
      <c r="B140" s="78"/>
      <c r="C140" s="79">
        <v>9</v>
      </c>
      <c r="D140" s="80" t="s">
        <v>348</v>
      </c>
      <c r="E140" s="81"/>
      <c r="F140" s="82"/>
      <c r="G140" s="83"/>
      <c r="H140" s="84"/>
      <c r="I140" s="85"/>
      <c r="J140" s="85">
        <f>SUM(J141:J146)</f>
        <v>0</v>
      </c>
      <c r="K140" s="34"/>
      <c r="L140" s="89"/>
      <c r="M140" s="39"/>
      <c r="N140" s="32"/>
    </row>
    <row r="141" spans="1:14" s="12" customFormat="1" ht="24" x14ac:dyDescent="0.25">
      <c r="A141" s="70"/>
      <c r="B141" s="69" t="s">
        <v>349</v>
      </c>
      <c r="C141" s="95" t="s">
        <v>33</v>
      </c>
      <c r="D141" s="40" t="s">
        <v>350</v>
      </c>
      <c r="E141" s="97" t="s">
        <v>7</v>
      </c>
      <c r="F141" s="98">
        <v>800</v>
      </c>
      <c r="G141" s="38"/>
      <c r="H141" s="38"/>
      <c r="I141" s="31"/>
      <c r="J141" s="31">
        <f t="shared" si="11"/>
        <v>0</v>
      </c>
      <c r="K141" s="34"/>
      <c r="L141" s="89"/>
      <c r="M141" s="39"/>
      <c r="N141" s="32"/>
    </row>
    <row r="142" spans="1:14" s="12" customFormat="1" ht="24" x14ac:dyDescent="0.25">
      <c r="A142" s="70"/>
      <c r="B142" s="69">
        <v>5976</v>
      </c>
      <c r="C142" s="104" t="s">
        <v>38</v>
      </c>
      <c r="D142" s="40" t="s">
        <v>351</v>
      </c>
      <c r="E142" s="102" t="s">
        <v>7</v>
      </c>
      <c r="F142" s="103">
        <v>200</v>
      </c>
      <c r="G142" s="38"/>
      <c r="H142" s="38"/>
      <c r="I142" s="31"/>
      <c r="J142" s="31">
        <f t="shared" si="11"/>
        <v>0</v>
      </c>
      <c r="K142" s="34"/>
      <c r="L142" s="89"/>
      <c r="M142" s="39"/>
      <c r="N142" s="32"/>
    </row>
    <row r="143" spans="1:14" s="12" customFormat="1" ht="24" x14ac:dyDescent="0.25">
      <c r="A143" s="70"/>
      <c r="B143" s="69" t="s">
        <v>352</v>
      </c>
      <c r="C143" s="104" t="s">
        <v>39</v>
      </c>
      <c r="D143" s="40" t="s">
        <v>353</v>
      </c>
      <c r="E143" s="102" t="s">
        <v>7</v>
      </c>
      <c r="F143" s="103">
        <v>600</v>
      </c>
      <c r="G143" s="38"/>
      <c r="H143" s="38"/>
      <c r="I143" s="31"/>
      <c r="J143" s="31">
        <f t="shared" si="11"/>
        <v>0</v>
      </c>
      <c r="K143" s="34"/>
      <c r="L143" s="89"/>
      <c r="M143" s="39"/>
      <c r="N143" s="32"/>
    </row>
    <row r="144" spans="1:14" s="12" customFormat="1" ht="24" x14ac:dyDescent="0.25">
      <c r="A144" s="70"/>
      <c r="B144" s="69">
        <v>110245</v>
      </c>
      <c r="C144" s="104" t="s">
        <v>40</v>
      </c>
      <c r="D144" s="40" t="s">
        <v>354</v>
      </c>
      <c r="E144" s="102" t="s">
        <v>7</v>
      </c>
      <c r="F144" s="103">
        <v>450</v>
      </c>
      <c r="G144" s="38"/>
      <c r="H144" s="38"/>
      <c r="I144" s="31"/>
      <c r="J144" s="31">
        <f t="shared" si="11"/>
        <v>0</v>
      </c>
      <c r="K144" s="34"/>
      <c r="L144" s="89"/>
      <c r="M144" s="39"/>
      <c r="N144" s="32"/>
    </row>
    <row r="145" spans="1:14" s="12" customFormat="1" ht="24" x14ac:dyDescent="0.25">
      <c r="A145" s="70"/>
      <c r="B145" s="69">
        <v>902022</v>
      </c>
      <c r="C145" s="104" t="s">
        <v>59</v>
      </c>
      <c r="D145" s="40" t="s">
        <v>355</v>
      </c>
      <c r="E145" s="102" t="s">
        <v>7</v>
      </c>
      <c r="F145" s="103">
        <v>450</v>
      </c>
      <c r="G145" s="38"/>
      <c r="H145" s="38"/>
      <c r="I145" s="31"/>
      <c r="J145" s="31">
        <f t="shared" si="11"/>
        <v>0</v>
      </c>
      <c r="K145" s="34"/>
      <c r="L145" s="89"/>
      <c r="M145" s="39"/>
      <c r="N145" s="32"/>
    </row>
    <row r="146" spans="1:14" s="12" customFormat="1" ht="36" x14ac:dyDescent="0.25">
      <c r="A146" s="70"/>
      <c r="B146" s="69">
        <v>110505</v>
      </c>
      <c r="C146" s="104" t="s">
        <v>60</v>
      </c>
      <c r="D146" s="40" t="s">
        <v>356</v>
      </c>
      <c r="E146" s="102" t="s">
        <v>7</v>
      </c>
      <c r="F146" s="103">
        <v>600</v>
      </c>
      <c r="G146" s="38"/>
      <c r="H146" s="38"/>
      <c r="I146" s="31"/>
      <c r="J146" s="31">
        <f t="shared" si="11"/>
        <v>0</v>
      </c>
      <c r="K146" s="34"/>
      <c r="L146" s="89"/>
      <c r="M146" s="39"/>
      <c r="N146" s="32"/>
    </row>
    <row r="147" spans="1:14" s="12" customFormat="1" x14ac:dyDescent="0.25">
      <c r="A147" s="70"/>
      <c r="B147" s="78"/>
      <c r="C147" s="79">
        <v>10</v>
      </c>
      <c r="D147" s="80" t="s">
        <v>357</v>
      </c>
      <c r="E147" s="81"/>
      <c r="F147" s="82"/>
      <c r="G147" s="83"/>
      <c r="H147" s="84"/>
      <c r="I147" s="85"/>
      <c r="J147" s="85">
        <f>SUM(J148:J149)</f>
        <v>0</v>
      </c>
      <c r="K147" s="34"/>
      <c r="L147" s="89"/>
      <c r="M147" s="39"/>
      <c r="N147" s="32"/>
    </row>
    <row r="148" spans="1:14" s="12" customFormat="1" x14ac:dyDescent="0.25">
      <c r="A148" s="70"/>
      <c r="B148" s="69">
        <v>902023</v>
      </c>
      <c r="C148" s="104" t="s">
        <v>17</v>
      </c>
      <c r="D148" s="40" t="s">
        <v>358</v>
      </c>
      <c r="E148" s="102" t="s">
        <v>8</v>
      </c>
      <c r="F148" s="103">
        <v>29.8</v>
      </c>
      <c r="G148" s="38"/>
      <c r="H148" s="38"/>
      <c r="I148" s="31"/>
      <c r="J148" s="31">
        <f t="shared" si="11"/>
        <v>0</v>
      </c>
      <c r="K148" s="34"/>
      <c r="L148" s="89"/>
      <c r="M148" s="39"/>
      <c r="N148" s="32"/>
    </row>
    <row r="149" spans="1:14" s="12" customFormat="1" ht="24" x14ac:dyDescent="0.25">
      <c r="A149" s="70"/>
      <c r="B149" s="69">
        <v>902028</v>
      </c>
      <c r="C149" s="104" t="s">
        <v>18</v>
      </c>
      <c r="D149" s="40" t="s">
        <v>359</v>
      </c>
      <c r="E149" s="102" t="s">
        <v>8</v>
      </c>
      <c r="F149" s="103">
        <v>56</v>
      </c>
      <c r="G149" s="38"/>
      <c r="H149" s="38"/>
      <c r="I149" s="31"/>
      <c r="J149" s="31">
        <f t="shared" si="11"/>
        <v>0</v>
      </c>
      <c r="K149" s="34"/>
      <c r="L149" s="89"/>
      <c r="M149" s="39"/>
      <c r="N149" s="32"/>
    </row>
    <row r="150" spans="1:14" s="12" customFormat="1" x14ac:dyDescent="0.25">
      <c r="A150" s="70"/>
      <c r="B150" s="78"/>
      <c r="C150" s="79">
        <v>11</v>
      </c>
      <c r="D150" s="80" t="s">
        <v>360</v>
      </c>
      <c r="E150" s="81"/>
      <c r="F150" s="82"/>
      <c r="G150" s="83"/>
      <c r="H150" s="84"/>
      <c r="I150" s="85"/>
      <c r="J150" s="85">
        <f>SUM(J151:J153)</f>
        <v>0</v>
      </c>
      <c r="K150" s="34"/>
      <c r="L150" s="89"/>
      <c r="M150" s="39"/>
      <c r="N150" s="32"/>
    </row>
    <row r="151" spans="1:14" s="12" customFormat="1" ht="24" x14ac:dyDescent="0.25">
      <c r="A151" s="70"/>
      <c r="B151" s="69">
        <v>100226</v>
      </c>
      <c r="C151" s="104" t="s">
        <v>19</v>
      </c>
      <c r="D151" s="40" t="s">
        <v>361</v>
      </c>
      <c r="E151" s="102" t="s">
        <v>44</v>
      </c>
      <c r="F151" s="103">
        <v>20</v>
      </c>
      <c r="G151" s="38"/>
      <c r="H151" s="38"/>
      <c r="I151" s="31"/>
      <c r="J151" s="31">
        <f t="shared" si="11"/>
        <v>0</v>
      </c>
      <c r="K151" s="34"/>
      <c r="L151" s="89"/>
      <c r="M151" s="39"/>
      <c r="N151" s="32"/>
    </row>
    <row r="152" spans="1:14" s="12" customFormat="1" ht="36" x14ac:dyDescent="0.25">
      <c r="A152" s="70"/>
      <c r="B152" s="69">
        <v>100406</v>
      </c>
      <c r="C152" s="104" t="s">
        <v>20</v>
      </c>
      <c r="D152" s="40" t="s">
        <v>362</v>
      </c>
      <c r="E152" s="102" t="s">
        <v>44</v>
      </c>
      <c r="F152" s="103">
        <v>40</v>
      </c>
      <c r="G152" s="38"/>
      <c r="H152" s="38"/>
      <c r="I152" s="31"/>
      <c r="J152" s="31">
        <f t="shared" si="11"/>
        <v>0</v>
      </c>
      <c r="K152" s="34"/>
      <c r="L152" s="89"/>
      <c r="M152" s="39"/>
      <c r="N152" s="32"/>
    </row>
    <row r="153" spans="1:14" s="12" customFormat="1" x14ac:dyDescent="0.25">
      <c r="A153" s="70"/>
      <c r="B153" s="69">
        <v>101271</v>
      </c>
      <c r="C153" s="104" t="s">
        <v>21</v>
      </c>
      <c r="D153" s="40" t="s">
        <v>363</v>
      </c>
      <c r="E153" s="102" t="s">
        <v>44</v>
      </c>
      <c r="F153" s="103">
        <v>5</v>
      </c>
      <c r="G153" s="38"/>
      <c r="H153" s="38"/>
      <c r="I153" s="31"/>
      <c r="J153" s="31">
        <f t="shared" si="11"/>
        <v>0</v>
      </c>
      <c r="K153" s="34"/>
      <c r="L153" s="89"/>
      <c r="M153" s="39"/>
      <c r="N153" s="32"/>
    </row>
    <row r="154" spans="1:14" s="12" customFormat="1" x14ac:dyDescent="0.25">
      <c r="A154" s="70"/>
      <c r="B154" s="78"/>
      <c r="C154" s="79">
        <v>12</v>
      </c>
      <c r="D154" s="80" t="s">
        <v>56</v>
      </c>
      <c r="E154" s="81"/>
      <c r="F154" s="82"/>
      <c r="G154" s="83"/>
      <c r="H154" s="84"/>
      <c r="I154" s="85"/>
      <c r="J154" s="85">
        <f>SUM(J155)</f>
        <v>0</v>
      </c>
      <c r="K154" s="34"/>
      <c r="L154" s="89"/>
      <c r="M154" s="39"/>
      <c r="N154" s="32"/>
    </row>
    <row r="155" spans="1:14" s="12" customFormat="1" x14ac:dyDescent="0.25">
      <c r="A155" s="70"/>
      <c r="B155" s="69" t="s">
        <v>364</v>
      </c>
      <c r="C155" s="104" t="s">
        <v>36</v>
      </c>
      <c r="D155" s="40" t="s">
        <v>365</v>
      </c>
      <c r="E155" s="102" t="s">
        <v>7</v>
      </c>
      <c r="F155" s="103">
        <v>16.2</v>
      </c>
      <c r="G155" s="38"/>
      <c r="H155" s="38"/>
      <c r="I155" s="31"/>
      <c r="J155" s="31">
        <f t="shared" si="11"/>
        <v>0</v>
      </c>
      <c r="K155" s="34"/>
      <c r="L155" s="89"/>
      <c r="M155" s="39"/>
      <c r="N155" s="32"/>
    </row>
    <row r="156" spans="1:14" s="12" customFormat="1" x14ac:dyDescent="0.25">
      <c r="A156" s="70"/>
      <c r="B156" s="78"/>
      <c r="C156" s="79">
        <v>14</v>
      </c>
      <c r="D156" s="80" t="s">
        <v>366</v>
      </c>
      <c r="E156" s="81"/>
      <c r="F156" s="82"/>
      <c r="G156" s="83"/>
      <c r="H156" s="84"/>
      <c r="I156" s="85"/>
      <c r="J156" s="85">
        <f>SUM(J157:J159)</f>
        <v>0</v>
      </c>
      <c r="K156" s="34"/>
      <c r="L156" s="89"/>
      <c r="M156" s="39"/>
      <c r="N156" s="32"/>
    </row>
    <row r="157" spans="1:14" s="12" customFormat="1" x14ac:dyDescent="0.25">
      <c r="A157" s="70"/>
      <c r="B157" s="69" t="s">
        <v>367</v>
      </c>
      <c r="C157" s="104" t="s">
        <v>22</v>
      </c>
      <c r="D157" s="40" t="s">
        <v>368</v>
      </c>
      <c r="E157" s="102" t="s">
        <v>7</v>
      </c>
      <c r="F157" s="103">
        <v>53</v>
      </c>
      <c r="G157" s="38"/>
      <c r="H157" s="38"/>
      <c r="I157" s="31"/>
      <c r="J157" s="31">
        <f>F157*G157</f>
        <v>0</v>
      </c>
      <c r="K157" s="34"/>
      <c r="L157" s="89"/>
      <c r="M157" s="39"/>
      <c r="N157" s="32"/>
    </row>
    <row r="158" spans="1:14" s="12" customFormat="1" ht="48" x14ac:dyDescent="0.25">
      <c r="A158" s="70"/>
      <c r="B158" s="69">
        <v>902020</v>
      </c>
      <c r="C158" s="104" t="s">
        <v>37</v>
      </c>
      <c r="D158" s="40" t="s">
        <v>369</v>
      </c>
      <c r="E158" s="102" t="s">
        <v>7</v>
      </c>
      <c r="F158" s="103">
        <v>510</v>
      </c>
      <c r="G158" s="38"/>
      <c r="H158" s="38"/>
      <c r="I158" s="31"/>
      <c r="J158" s="31">
        <f t="shared" si="11"/>
        <v>0</v>
      </c>
      <c r="K158" s="34"/>
      <c r="L158" s="89"/>
      <c r="M158" s="39"/>
      <c r="N158" s="32"/>
    </row>
    <row r="159" spans="1:14" s="12" customFormat="1" ht="36" x14ac:dyDescent="0.25">
      <c r="A159" s="70"/>
      <c r="B159" s="69">
        <v>68333</v>
      </c>
      <c r="C159" s="104" t="s">
        <v>41</v>
      </c>
      <c r="D159" s="40" t="s">
        <v>370</v>
      </c>
      <c r="E159" s="102" t="s">
        <v>7</v>
      </c>
      <c r="F159" s="103">
        <v>149</v>
      </c>
      <c r="G159" s="38"/>
      <c r="H159" s="38"/>
      <c r="I159" s="31"/>
      <c r="J159" s="31">
        <f t="shared" si="11"/>
        <v>0</v>
      </c>
      <c r="K159" s="34"/>
      <c r="L159" s="89"/>
      <c r="M159" s="39"/>
      <c r="N159" s="32"/>
    </row>
    <row r="160" spans="1:14" s="12" customFormat="1" x14ac:dyDescent="0.25">
      <c r="A160" s="70"/>
      <c r="B160" s="78"/>
      <c r="C160" s="79">
        <v>15</v>
      </c>
      <c r="D160" s="80" t="s">
        <v>371</v>
      </c>
      <c r="E160" s="81"/>
      <c r="F160" s="82"/>
      <c r="G160" s="83"/>
      <c r="H160" s="84"/>
      <c r="I160" s="85"/>
      <c r="J160" s="85">
        <f>SUM(J161:J165)</f>
        <v>0</v>
      </c>
      <c r="K160" s="34"/>
      <c r="L160" s="89"/>
      <c r="M160" s="39"/>
      <c r="N160" s="32"/>
    </row>
    <row r="161" spans="1:15" s="12" customFormat="1" x14ac:dyDescent="0.25">
      <c r="A161" s="70"/>
      <c r="B161" s="69">
        <v>150253</v>
      </c>
      <c r="C161" s="104" t="s">
        <v>23</v>
      </c>
      <c r="D161" s="40" t="s">
        <v>372</v>
      </c>
      <c r="E161" s="102" t="s">
        <v>7</v>
      </c>
      <c r="F161" s="103">
        <v>800</v>
      </c>
      <c r="G161" s="38"/>
      <c r="H161" s="38"/>
      <c r="I161" s="31"/>
      <c r="J161" s="31">
        <f t="shared" si="11"/>
        <v>0</v>
      </c>
      <c r="K161" s="34"/>
      <c r="L161" s="89"/>
      <c r="M161" s="39"/>
      <c r="N161" s="32"/>
    </row>
    <row r="162" spans="1:15" s="12" customFormat="1" x14ac:dyDescent="0.25">
      <c r="A162" s="70"/>
      <c r="B162" s="69">
        <v>150180</v>
      </c>
      <c r="C162" s="104" t="s">
        <v>24</v>
      </c>
      <c r="D162" s="40" t="s">
        <v>373</v>
      </c>
      <c r="E162" s="102" t="s">
        <v>7</v>
      </c>
      <c r="F162" s="103">
        <v>400</v>
      </c>
      <c r="G162" s="38"/>
      <c r="H162" s="38"/>
      <c r="I162" s="31"/>
      <c r="J162" s="31">
        <f t="shared" si="11"/>
        <v>0</v>
      </c>
      <c r="K162" s="34"/>
      <c r="L162" s="89"/>
      <c r="M162" s="39"/>
      <c r="N162" s="32"/>
    </row>
    <row r="163" spans="1:15" s="12" customFormat="1" x14ac:dyDescent="0.25">
      <c r="A163" s="70"/>
      <c r="B163" s="69">
        <v>150730</v>
      </c>
      <c r="C163" s="104" t="s">
        <v>25</v>
      </c>
      <c r="D163" s="40" t="s">
        <v>374</v>
      </c>
      <c r="E163" s="102" t="s">
        <v>7</v>
      </c>
      <c r="F163" s="103">
        <v>500</v>
      </c>
      <c r="G163" s="38"/>
      <c r="H163" s="38"/>
      <c r="I163" s="31"/>
      <c r="J163" s="31">
        <f t="shared" si="11"/>
        <v>0</v>
      </c>
      <c r="K163" s="34"/>
      <c r="L163" s="89"/>
      <c r="M163" s="39"/>
      <c r="N163" s="32"/>
    </row>
    <row r="164" spans="1:15" s="12" customFormat="1" x14ac:dyDescent="0.25">
      <c r="A164" s="70"/>
      <c r="B164" s="69">
        <v>150606</v>
      </c>
      <c r="C164" s="104" t="s">
        <v>26</v>
      </c>
      <c r="D164" s="40" t="s">
        <v>375</v>
      </c>
      <c r="E164" s="102" t="s">
        <v>7</v>
      </c>
      <c r="F164" s="103">
        <v>80</v>
      </c>
      <c r="G164" s="38"/>
      <c r="H164" s="38"/>
      <c r="I164" s="31"/>
      <c r="J164" s="31">
        <f t="shared" si="11"/>
        <v>0</v>
      </c>
      <c r="K164" s="34"/>
      <c r="L164" s="89"/>
      <c r="M164" s="39"/>
      <c r="N164" s="32"/>
    </row>
    <row r="165" spans="1:15" s="12" customFormat="1" x14ac:dyDescent="0.25">
      <c r="A165" s="70"/>
      <c r="B165" s="69">
        <v>6067</v>
      </c>
      <c r="C165" s="104" t="s">
        <v>42</v>
      </c>
      <c r="D165" s="40" t="s">
        <v>376</v>
      </c>
      <c r="E165" s="102" t="s">
        <v>7</v>
      </c>
      <c r="F165" s="103">
        <v>240</v>
      </c>
      <c r="G165" s="38"/>
      <c r="H165" s="38"/>
      <c r="I165" s="31"/>
      <c r="J165" s="31">
        <f t="shared" si="11"/>
        <v>0</v>
      </c>
      <c r="K165" s="34"/>
      <c r="L165" s="89"/>
      <c r="M165" s="39"/>
      <c r="N165" s="32"/>
    </row>
    <row r="166" spans="1:15" s="12" customFormat="1" x14ac:dyDescent="0.25">
      <c r="A166" s="70"/>
      <c r="B166" s="78"/>
      <c r="C166" s="79">
        <v>17</v>
      </c>
      <c r="D166" s="80" t="s">
        <v>377</v>
      </c>
      <c r="E166" s="81"/>
      <c r="F166" s="82"/>
      <c r="G166" s="83"/>
      <c r="H166" s="84"/>
      <c r="I166" s="85"/>
      <c r="J166" s="85">
        <f>SUM(J167:J168)</f>
        <v>0</v>
      </c>
      <c r="K166" s="34"/>
      <c r="L166" s="89"/>
      <c r="M166" s="39"/>
      <c r="N166" s="32"/>
    </row>
    <row r="167" spans="1:15" s="12" customFormat="1" ht="24" x14ac:dyDescent="0.25">
      <c r="A167" s="70"/>
      <c r="B167" s="69">
        <v>900604</v>
      </c>
      <c r="C167" s="104" t="s">
        <v>27</v>
      </c>
      <c r="D167" s="40" t="s">
        <v>378</v>
      </c>
      <c r="E167" s="102" t="s">
        <v>7</v>
      </c>
      <c r="F167" s="103">
        <v>600</v>
      </c>
      <c r="G167" s="38"/>
      <c r="H167" s="38"/>
      <c r="I167" s="31"/>
      <c r="J167" s="31">
        <f t="shared" si="11"/>
        <v>0</v>
      </c>
      <c r="K167" s="34"/>
      <c r="L167" s="89"/>
      <c r="M167" s="39"/>
      <c r="N167" s="32"/>
    </row>
    <row r="168" spans="1:15" s="12" customFormat="1" ht="24" x14ac:dyDescent="0.25">
      <c r="A168" s="70"/>
      <c r="B168" s="69">
        <v>9537</v>
      </c>
      <c r="C168" s="104" t="s">
        <v>70</v>
      </c>
      <c r="D168" s="40" t="s">
        <v>379</v>
      </c>
      <c r="E168" s="102" t="s">
        <v>7</v>
      </c>
      <c r="F168" s="103">
        <v>120</v>
      </c>
      <c r="G168" s="38"/>
      <c r="H168" s="38"/>
      <c r="I168" s="31"/>
      <c r="J168" s="31">
        <f t="shared" si="11"/>
        <v>0</v>
      </c>
      <c r="K168" s="34"/>
      <c r="L168" s="89"/>
      <c r="M168" s="39"/>
      <c r="N168" s="32"/>
    </row>
    <row r="169" spans="1:15" s="12" customFormat="1" x14ac:dyDescent="0.25">
      <c r="A169" s="70"/>
      <c r="B169" s="78"/>
      <c r="C169" s="79">
        <v>18</v>
      </c>
      <c r="D169" s="80" t="s">
        <v>380</v>
      </c>
      <c r="E169" s="81"/>
      <c r="F169" s="82"/>
      <c r="G169" s="83"/>
      <c r="H169" s="84"/>
      <c r="I169" s="85"/>
      <c r="J169" s="85">
        <f>SUM(J171,J173:J175)</f>
        <v>0</v>
      </c>
      <c r="K169" s="34"/>
      <c r="L169" s="89"/>
      <c r="M169" s="39"/>
      <c r="N169" s="32"/>
    </row>
    <row r="170" spans="1:15" s="12" customFormat="1" x14ac:dyDescent="0.25">
      <c r="A170" s="70"/>
      <c r="B170" s="69"/>
      <c r="C170" s="105" t="s">
        <v>71</v>
      </c>
      <c r="D170" s="204" t="s">
        <v>381</v>
      </c>
      <c r="E170" s="205"/>
      <c r="F170" s="205"/>
      <c r="G170" s="205"/>
      <c r="H170" s="205"/>
      <c r="I170" s="205"/>
      <c r="J170" s="206"/>
      <c r="K170" s="34"/>
      <c r="L170" s="89"/>
      <c r="M170" s="39"/>
      <c r="N170" s="32"/>
    </row>
    <row r="171" spans="1:15" s="12" customFormat="1" x14ac:dyDescent="0.25">
      <c r="A171" s="70"/>
      <c r="B171" s="69">
        <v>901956</v>
      </c>
      <c r="C171" s="104" t="s">
        <v>382</v>
      </c>
      <c r="D171" s="40" t="s">
        <v>383</v>
      </c>
      <c r="E171" s="102" t="s">
        <v>7</v>
      </c>
      <c r="F171" s="103">
        <v>298</v>
      </c>
      <c r="G171" s="38"/>
      <c r="H171" s="38"/>
      <c r="I171" s="31"/>
      <c r="J171" s="31">
        <f t="shared" ref="J171" si="12">F171*G171</f>
        <v>0</v>
      </c>
      <c r="K171" s="34"/>
      <c r="L171" s="89"/>
      <c r="M171" s="39"/>
      <c r="N171" s="32"/>
    </row>
    <row r="172" spans="1:15" s="12" customFormat="1" x14ac:dyDescent="0.25">
      <c r="A172" s="70"/>
      <c r="B172" s="69"/>
      <c r="C172" s="105" t="s">
        <v>72</v>
      </c>
      <c r="D172" s="204" t="s">
        <v>384</v>
      </c>
      <c r="E172" s="205"/>
      <c r="F172" s="205"/>
      <c r="G172" s="205"/>
      <c r="H172" s="205"/>
      <c r="I172" s="205"/>
      <c r="J172" s="206"/>
      <c r="K172" s="34"/>
      <c r="L172" s="89"/>
      <c r="M172" s="39"/>
      <c r="N172" s="32"/>
    </row>
    <row r="173" spans="1:15" s="12" customFormat="1" x14ac:dyDescent="0.25">
      <c r="A173" s="70"/>
      <c r="B173" s="69">
        <v>30010</v>
      </c>
      <c r="C173" s="104" t="s">
        <v>385</v>
      </c>
      <c r="D173" s="40" t="s">
        <v>386</v>
      </c>
      <c r="E173" s="102" t="s">
        <v>9</v>
      </c>
      <c r="F173" s="103">
        <v>280</v>
      </c>
      <c r="G173" s="38"/>
      <c r="H173" s="38"/>
      <c r="I173" s="31"/>
      <c r="J173" s="31">
        <f t="shared" ref="J173:J175" si="13">F173*G173</f>
        <v>0</v>
      </c>
      <c r="K173" s="34"/>
      <c r="L173" s="89"/>
      <c r="M173" s="39"/>
      <c r="N173" s="32"/>
    </row>
    <row r="174" spans="1:15" s="12" customFormat="1" x14ac:dyDescent="0.25">
      <c r="A174" s="70"/>
      <c r="B174" s="69">
        <v>50196</v>
      </c>
      <c r="C174" s="104" t="s">
        <v>387</v>
      </c>
      <c r="D174" s="40" t="s">
        <v>388</v>
      </c>
      <c r="E174" s="102" t="s">
        <v>44</v>
      </c>
      <c r="F174" s="103">
        <v>1</v>
      </c>
      <c r="G174" s="38"/>
      <c r="H174" s="38"/>
      <c r="I174" s="31"/>
      <c r="J174" s="31">
        <f t="shared" si="13"/>
        <v>0</v>
      </c>
      <c r="K174" s="34"/>
      <c r="L174" s="89"/>
      <c r="M174" s="39"/>
      <c r="N174" s="32"/>
    </row>
    <row r="175" spans="1:15" s="12" customFormat="1" x14ac:dyDescent="0.25">
      <c r="A175" s="70"/>
      <c r="B175" s="69">
        <v>74007</v>
      </c>
      <c r="C175" s="104" t="s">
        <v>389</v>
      </c>
      <c r="D175" s="40" t="s">
        <v>390</v>
      </c>
      <c r="E175" s="102" t="s">
        <v>44</v>
      </c>
      <c r="F175" s="103">
        <v>2</v>
      </c>
      <c r="G175" s="38"/>
      <c r="H175" s="38"/>
      <c r="I175" s="31"/>
      <c r="J175" s="31">
        <f t="shared" si="13"/>
        <v>0</v>
      </c>
      <c r="K175" s="34"/>
      <c r="L175" s="89"/>
      <c r="M175" s="39"/>
      <c r="N175" s="32"/>
    </row>
    <row r="176" spans="1:15" s="12" customFormat="1" x14ac:dyDescent="0.25">
      <c r="A176" s="70"/>
      <c r="B176" s="69"/>
      <c r="C176" s="215" t="s">
        <v>49</v>
      </c>
      <c r="D176" s="215"/>
      <c r="E176" s="215"/>
      <c r="F176" s="215"/>
      <c r="G176" s="215"/>
      <c r="H176" s="76"/>
      <c r="I176" s="45" t="e">
        <f>I13+I18+I23+I27+#REF!+#REF!+#REF!+#REF!+#REF!+#REF!+#REF!+#REF!+#REF!+#REF!+#REF!+#REF!+#REF!+#REF!+#REF!+#REF!+#REF!+#REF!+#REF!+#REF!</f>
        <v>#REF!</v>
      </c>
      <c r="J176" s="45">
        <f>J13+J18+J23+J27+J32+J129+J133+J140+J147+J150+J154+J156+J160+J166+J169</f>
        <v>0</v>
      </c>
      <c r="L176" s="90"/>
      <c r="M176" s="100"/>
      <c r="O176" s="101"/>
    </row>
    <row r="177" spans="1:13" s="12" customFormat="1" x14ac:dyDescent="0.25">
      <c r="A177" s="44"/>
      <c r="B177" s="28"/>
      <c r="C177" s="28"/>
      <c r="D177" s="53"/>
      <c r="E177" s="28"/>
      <c r="F177" s="46"/>
      <c r="G177" s="47"/>
      <c r="H177" s="74"/>
      <c r="I177" s="44"/>
      <c r="J177" s="44"/>
      <c r="L177" s="90"/>
    </row>
    <row r="178" spans="1:13" s="12" customFormat="1" x14ac:dyDescent="0.25">
      <c r="A178" s="44"/>
      <c r="B178" s="28"/>
      <c r="C178" s="28"/>
      <c r="D178" s="53"/>
      <c r="E178" s="28"/>
      <c r="F178" s="46"/>
      <c r="G178" s="47"/>
      <c r="H178" s="74"/>
      <c r="I178" s="44">
        <v>1250909.3899999999</v>
      </c>
      <c r="J178" s="44"/>
      <c r="L178" s="90"/>
    </row>
    <row r="179" spans="1:13" s="12" customFormat="1" x14ac:dyDescent="0.25">
      <c r="A179" s="44"/>
      <c r="B179" s="28"/>
      <c r="C179" s="28"/>
      <c r="D179" s="53"/>
      <c r="E179" s="28"/>
      <c r="F179" s="46"/>
      <c r="G179" s="47"/>
      <c r="H179" s="74"/>
      <c r="I179" s="47"/>
      <c r="J179" s="47"/>
      <c r="L179" s="90"/>
    </row>
    <row r="180" spans="1:13" s="12" customFormat="1" x14ac:dyDescent="0.25">
      <c r="A180" s="44"/>
      <c r="B180" s="28"/>
      <c r="C180" s="28"/>
      <c r="D180" s="54"/>
      <c r="E180" s="28"/>
      <c r="F180" s="46"/>
      <c r="G180" s="47"/>
      <c r="H180" s="74"/>
      <c r="I180" s="77" t="e">
        <f>I178-I176</f>
        <v>#REF!</v>
      </c>
      <c r="J180" s="49"/>
      <c r="K180" s="50"/>
      <c r="L180" s="91"/>
      <c r="M180" s="51"/>
    </row>
    <row r="181" spans="1:13" s="12" customFormat="1" x14ac:dyDescent="0.25">
      <c r="A181" s="44"/>
      <c r="B181" s="28"/>
      <c r="C181" s="28"/>
      <c r="D181" s="54"/>
      <c r="E181" s="28"/>
      <c r="F181" s="46"/>
      <c r="G181" s="47"/>
      <c r="H181" s="74"/>
      <c r="I181" s="48"/>
      <c r="J181" s="47"/>
      <c r="L181" s="90"/>
    </row>
    <row r="182" spans="1:13" s="12" customFormat="1" x14ac:dyDescent="0.25">
      <c r="A182" s="44"/>
      <c r="B182" s="28"/>
      <c r="C182" s="28"/>
      <c r="D182" s="53"/>
      <c r="E182" s="28"/>
      <c r="F182" s="46"/>
      <c r="G182" s="47"/>
      <c r="H182" s="74"/>
      <c r="I182" s="44"/>
      <c r="J182" s="56"/>
      <c r="L182" s="90"/>
    </row>
    <row r="183" spans="1:13" s="12" customFormat="1" x14ac:dyDescent="0.25">
      <c r="A183" s="44"/>
      <c r="B183" s="28"/>
      <c r="C183" s="28"/>
      <c r="D183" s="53"/>
      <c r="E183" s="28"/>
      <c r="F183" s="46"/>
      <c r="G183" s="47"/>
      <c r="H183" s="74"/>
      <c r="I183" s="87" t="e">
        <f>I13+I18+I23+I27+#REF!+#REF!+#REF!+#REF!+#REF!+#REF!+#REF!+#REF!+#REF!+#REF!+#REF!+#REF!+#REF!+#REF!+#REF!+#REF!+#REF!+#REF!+#REF!+#REF!</f>
        <v>#REF!</v>
      </c>
      <c r="J183" s="87"/>
      <c r="L183" s="90"/>
    </row>
  </sheetData>
  <mergeCells count="35">
    <mergeCell ref="D172:J172"/>
    <mergeCell ref="D112:J112"/>
    <mergeCell ref="D117:J117"/>
    <mergeCell ref="D125:J125"/>
    <mergeCell ref="A6:J6"/>
    <mergeCell ref="A7:D7"/>
    <mergeCell ref="H11:H12"/>
    <mergeCell ref="D134:J134"/>
    <mergeCell ref="D138:J138"/>
    <mergeCell ref="D170:J170"/>
    <mergeCell ref="C176:G176"/>
    <mergeCell ref="I11:I12"/>
    <mergeCell ref="L11:L12"/>
    <mergeCell ref="D54:J54"/>
    <mergeCell ref="D59:J59"/>
    <mergeCell ref="D64:J64"/>
    <mergeCell ref="D74:J74"/>
    <mergeCell ref="D81:J81"/>
    <mergeCell ref="D84:J84"/>
    <mergeCell ref="D91:J91"/>
    <mergeCell ref="D94:J94"/>
    <mergeCell ref="D98:J98"/>
    <mergeCell ref="D11:D12"/>
    <mergeCell ref="D105:J105"/>
    <mergeCell ref="B1:K4"/>
    <mergeCell ref="A8:F8"/>
    <mergeCell ref="F5:I5"/>
    <mergeCell ref="A11:A12"/>
    <mergeCell ref="E11:E12"/>
    <mergeCell ref="F11:F12"/>
    <mergeCell ref="B11:B12"/>
    <mergeCell ref="A9:I9"/>
    <mergeCell ref="C11:C12"/>
    <mergeCell ref="G11:G12"/>
    <mergeCell ref="A5:D5"/>
  </mergeCells>
  <printOptions horizontalCentered="1"/>
  <pageMargins left="0.59055118110236227" right="0.39370078740157483" top="0.39370078740157483" bottom="0.59055118110236227" header="0.31496062992125984" footer="0.31496062992125984"/>
  <pageSetup paperSize="9" scale="84" fitToHeight="0" orientation="portrait" horizontalDpi="4294967295" verticalDpi="4294967295" r:id="rId1"/>
  <rowBreaks count="2" manualBreakCount="2">
    <brk id="78" min="1" max="10" man="1"/>
    <brk id="111" min="1" max="10" man="1"/>
  </rowBreaks>
  <ignoredErrors>
    <ignoredError sqref="J18 J23 J27 J129 J140 J147 J150 J154 J156 J160 J166 J41 J4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3" zoomScaleNormal="100" workbookViewId="0">
      <selection activeCell="B41" sqref="B41"/>
    </sheetView>
  </sheetViews>
  <sheetFormatPr defaultRowHeight="12.75" x14ac:dyDescent="0.25"/>
  <cols>
    <col min="1" max="1" width="5.7109375" style="115" customWidth="1"/>
    <col min="2" max="2" width="65.7109375" style="115" customWidth="1"/>
    <col min="3" max="4" width="6.7109375" style="115" customWidth="1"/>
    <col min="5" max="5" width="9.140625" style="115"/>
    <col min="6" max="6" width="9.85546875" style="115" bestFit="1" customWidth="1"/>
    <col min="7" max="256" width="9.140625" style="115"/>
    <col min="257" max="257" width="5.7109375" style="115" customWidth="1"/>
    <col min="258" max="258" width="65.7109375" style="115" customWidth="1"/>
    <col min="259" max="260" width="6.7109375" style="115" customWidth="1"/>
    <col min="261" max="261" width="9.140625" style="115"/>
    <col min="262" max="262" width="9.85546875" style="115" bestFit="1" customWidth="1"/>
    <col min="263" max="512" width="9.140625" style="115"/>
    <col min="513" max="513" width="5.7109375" style="115" customWidth="1"/>
    <col min="514" max="514" width="65.7109375" style="115" customWidth="1"/>
    <col min="515" max="516" width="6.7109375" style="115" customWidth="1"/>
    <col min="517" max="517" width="9.140625" style="115"/>
    <col min="518" max="518" width="9.85546875" style="115" bestFit="1" customWidth="1"/>
    <col min="519" max="768" width="9.140625" style="115"/>
    <col min="769" max="769" width="5.7109375" style="115" customWidth="1"/>
    <col min="770" max="770" width="65.7109375" style="115" customWidth="1"/>
    <col min="771" max="772" width="6.7109375" style="115" customWidth="1"/>
    <col min="773" max="773" width="9.140625" style="115"/>
    <col min="774" max="774" width="9.85546875" style="115" bestFit="1" customWidth="1"/>
    <col min="775" max="1024" width="9.140625" style="115"/>
    <col min="1025" max="1025" width="5.7109375" style="115" customWidth="1"/>
    <col min="1026" max="1026" width="65.7109375" style="115" customWidth="1"/>
    <col min="1027" max="1028" width="6.7109375" style="115" customWidth="1"/>
    <col min="1029" max="1029" width="9.140625" style="115"/>
    <col min="1030" max="1030" width="9.85546875" style="115" bestFit="1" customWidth="1"/>
    <col min="1031" max="1280" width="9.140625" style="115"/>
    <col min="1281" max="1281" width="5.7109375" style="115" customWidth="1"/>
    <col min="1282" max="1282" width="65.7109375" style="115" customWidth="1"/>
    <col min="1283" max="1284" width="6.7109375" style="115" customWidth="1"/>
    <col min="1285" max="1285" width="9.140625" style="115"/>
    <col min="1286" max="1286" width="9.85546875" style="115" bestFit="1" customWidth="1"/>
    <col min="1287" max="1536" width="9.140625" style="115"/>
    <col min="1537" max="1537" width="5.7109375" style="115" customWidth="1"/>
    <col min="1538" max="1538" width="65.7109375" style="115" customWidth="1"/>
    <col min="1539" max="1540" width="6.7109375" style="115" customWidth="1"/>
    <col min="1541" max="1541" width="9.140625" style="115"/>
    <col min="1542" max="1542" width="9.85546875" style="115" bestFit="1" customWidth="1"/>
    <col min="1543" max="1792" width="9.140625" style="115"/>
    <col min="1793" max="1793" width="5.7109375" style="115" customWidth="1"/>
    <col min="1794" max="1794" width="65.7109375" style="115" customWidth="1"/>
    <col min="1795" max="1796" width="6.7109375" style="115" customWidth="1"/>
    <col min="1797" max="1797" width="9.140625" style="115"/>
    <col min="1798" max="1798" width="9.85546875" style="115" bestFit="1" customWidth="1"/>
    <col min="1799" max="2048" width="9.140625" style="115"/>
    <col min="2049" max="2049" width="5.7109375" style="115" customWidth="1"/>
    <col min="2050" max="2050" width="65.7109375" style="115" customWidth="1"/>
    <col min="2051" max="2052" width="6.7109375" style="115" customWidth="1"/>
    <col min="2053" max="2053" width="9.140625" style="115"/>
    <col min="2054" max="2054" width="9.85546875" style="115" bestFit="1" customWidth="1"/>
    <col min="2055" max="2304" width="9.140625" style="115"/>
    <col min="2305" max="2305" width="5.7109375" style="115" customWidth="1"/>
    <col min="2306" max="2306" width="65.7109375" style="115" customWidth="1"/>
    <col min="2307" max="2308" width="6.7109375" style="115" customWidth="1"/>
    <col min="2309" max="2309" width="9.140625" style="115"/>
    <col min="2310" max="2310" width="9.85546875" style="115" bestFit="1" customWidth="1"/>
    <col min="2311" max="2560" width="9.140625" style="115"/>
    <col min="2561" max="2561" width="5.7109375" style="115" customWidth="1"/>
    <col min="2562" max="2562" width="65.7109375" style="115" customWidth="1"/>
    <col min="2563" max="2564" width="6.7109375" style="115" customWidth="1"/>
    <col min="2565" max="2565" width="9.140625" style="115"/>
    <col min="2566" max="2566" width="9.85546875" style="115" bestFit="1" customWidth="1"/>
    <col min="2567" max="2816" width="9.140625" style="115"/>
    <col min="2817" max="2817" width="5.7109375" style="115" customWidth="1"/>
    <col min="2818" max="2818" width="65.7109375" style="115" customWidth="1"/>
    <col min="2819" max="2820" width="6.7109375" style="115" customWidth="1"/>
    <col min="2821" max="2821" width="9.140625" style="115"/>
    <col min="2822" max="2822" width="9.85546875" style="115" bestFit="1" customWidth="1"/>
    <col min="2823" max="3072" width="9.140625" style="115"/>
    <col min="3073" max="3073" width="5.7109375" style="115" customWidth="1"/>
    <col min="3074" max="3074" width="65.7109375" style="115" customWidth="1"/>
    <col min="3075" max="3076" width="6.7109375" style="115" customWidth="1"/>
    <col min="3077" max="3077" width="9.140625" style="115"/>
    <col min="3078" max="3078" width="9.85546875" style="115" bestFit="1" customWidth="1"/>
    <col min="3079" max="3328" width="9.140625" style="115"/>
    <col min="3329" max="3329" width="5.7109375" style="115" customWidth="1"/>
    <col min="3330" max="3330" width="65.7109375" style="115" customWidth="1"/>
    <col min="3331" max="3332" width="6.7109375" style="115" customWidth="1"/>
    <col min="3333" max="3333" width="9.140625" style="115"/>
    <col min="3334" max="3334" width="9.85546875" style="115" bestFit="1" customWidth="1"/>
    <col min="3335" max="3584" width="9.140625" style="115"/>
    <col min="3585" max="3585" width="5.7109375" style="115" customWidth="1"/>
    <col min="3586" max="3586" width="65.7109375" style="115" customWidth="1"/>
    <col min="3587" max="3588" width="6.7109375" style="115" customWidth="1"/>
    <col min="3589" max="3589" width="9.140625" style="115"/>
    <col min="3590" max="3590" width="9.85546875" style="115" bestFit="1" customWidth="1"/>
    <col min="3591" max="3840" width="9.140625" style="115"/>
    <col min="3841" max="3841" width="5.7109375" style="115" customWidth="1"/>
    <col min="3842" max="3842" width="65.7109375" style="115" customWidth="1"/>
    <col min="3843" max="3844" width="6.7109375" style="115" customWidth="1"/>
    <col min="3845" max="3845" width="9.140625" style="115"/>
    <col min="3846" max="3846" width="9.85546875" style="115" bestFit="1" customWidth="1"/>
    <col min="3847" max="4096" width="9.140625" style="115"/>
    <col min="4097" max="4097" width="5.7109375" style="115" customWidth="1"/>
    <col min="4098" max="4098" width="65.7109375" style="115" customWidth="1"/>
    <col min="4099" max="4100" width="6.7109375" style="115" customWidth="1"/>
    <col min="4101" max="4101" width="9.140625" style="115"/>
    <col min="4102" max="4102" width="9.85546875" style="115" bestFit="1" customWidth="1"/>
    <col min="4103" max="4352" width="9.140625" style="115"/>
    <col min="4353" max="4353" width="5.7109375" style="115" customWidth="1"/>
    <col min="4354" max="4354" width="65.7109375" style="115" customWidth="1"/>
    <col min="4355" max="4356" width="6.7109375" style="115" customWidth="1"/>
    <col min="4357" max="4357" width="9.140625" style="115"/>
    <col min="4358" max="4358" width="9.85546875" style="115" bestFit="1" customWidth="1"/>
    <col min="4359" max="4608" width="9.140625" style="115"/>
    <col min="4609" max="4609" width="5.7109375" style="115" customWidth="1"/>
    <col min="4610" max="4610" width="65.7109375" style="115" customWidth="1"/>
    <col min="4611" max="4612" width="6.7109375" style="115" customWidth="1"/>
    <col min="4613" max="4613" width="9.140625" style="115"/>
    <col min="4614" max="4614" width="9.85546875" style="115" bestFit="1" customWidth="1"/>
    <col min="4615" max="4864" width="9.140625" style="115"/>
    <col min="4865" max="4865" width="5.7109375" style="115" customWidth="1"/>
    <col min="4866" max="4866" width="65.7109375" style="115" customWidth="1"/>
    <col min="4867" max="4868" width="6.7109375" style="115" customWidth="1"/>
    <col min="4869" max="4869" width="9.140625" style="115"/>
    <col min="4870" max="4870" width="9.85546875" style="115" bestFit="1" customWidth="1"/>
    <col min="4871" max="5120" width="9.140625" style="115"/>
    <col min="5121" max="5121" width="5.7109375" style="115" customWidth="1"/>
    <col min="5122" max="5122" width="65.7109375" style="115" customWidth="1"/>
    <col min="5123" max="5124" width="6.7109375" style="115" customWidth="1"/>
    <col min="5125" max="5125" width="9.140625" style="115"/>
    <col min="5126" max="5126" width="9.85546875" style="115" bestFit="1" customWidth="1"/>
    <col min="5127" max="5376" width="9.140625" style="115"/>
    <col min="5377" max="5377" width="5.7109375" style="115" customWidth="1"/>
    <col min="5378" max="5378" width="65.7109375" style="115" customWidth="1"/>
    <col min="5379" max="5380" width="6.7109375" style="115" customWidth="1"/>
    <col min="5381" max="5381" width="9.140625" style="115"/>
    <col min="5382" max="5382" width="9.85546875" style="115" bestFit="1" customWidth="1"/>
    <col min="5383" max="5632" width="9.140625" style="115"/>
    <col min="5633" max="5633" width="5.7109375" style="115" customWidth="1"/>
    <col min="5634" max="5634" width="65.7109375" style="115" customWidth="1"/>
    <col min="5635" max="5636" width="6.7109375" style="115" customWidth="1"/>
    <col min="5637" max="5637" width="9.140625" style="115"/>
    <col min="5638" max="5638" width="9.85546875" style="115" bestFit="1" customWidth="1"/>
    <col min="5639" max="5888" width="9.140625" style="115"/>
    <col min="5889" max="5889" width="5.7109375" style="115" customWidth="1"/>
    <col min="5890" max="5890" width="65.7109375" style="115" customWidth="1"/>
    <col min="5891" max="5892" width="6.7109375" style="115" customWidth="1"/>
    <col min="5893" max="5893" width="9.140625" style="115"/>
    <col min="5894" max="5894" width="9.85546875" style="115" bestFit="1" customWidth="1"/>
    <col min="5895" max="6144" width="9.140625" style="115"/>
    <col min="6145" max="6145" width="5.7109375" style="115" customWidth="1"/>
    <col min="6146" max="6146" width="65.7109375" style="115" customWidth="1"/>
    <col min="6147" max="6148" width="6.7109375" style="115" customWidth="1"/>
    <col min="6149" max="6149" width="9.140625" style="115"/>
    <col min="6150" max="6150" width="9.85546875" style="115" bestFit="1" customWidth="1"/>
    <col min="6151" max="6400" width="9.140625" style="115"/>
    <col min="6401" max="6401" width="5.7109375" style="115" customWidth="1"/>
    <col min="6402" max="6402" width="65.7109375" style="115" customWidth="1"/>
    <col min="6403" max="6404" width="6.7109375" style="115" customWidth="1"/>
    <col min="6405" max="6405" width="9.140625" style="115"/>
    <col min="6406" max="6406" width="9.85546875" style="115" bestFit="1" customWidth="1"/>
    <col min="6407" max="6656" width="9.140625" style="115"/>
    <col min="6657" max="6657" width="5.7109375" style="115" customWidth="1"/>
    <col min="6658" max="6658" width="65.7109375" style="115" customWidth="1"/>
    <col min="6659" max="6660" width="6.7109375" style="115" customWidth="1"/>
    <col min="6661" max="6661" width="9.140625" style="115"/>
    <col min="6662" max="6662" width="9.85546875" style="115" bestFit="1" customWidth="1"/>
    <col min="6663" max="6912" width="9.140625" style="115"/>
    <col min="6913" max="6913" width="5.7109375" style="115" customWidth="1"/>
    <col min="6914" max="6914" width="65.7109375" style="115" customWidth="1"/>
    <col min="6915" max="6916" width="6.7109375" style="115" customWidth="1"/>
    <col min="6917" max="6917" width="9.140625" style="115"/>
    <col min="6918" max="6918" width="9.85546875" style="115" bestFit="1" customWidth="1"/>
    <col min="6919" max="7168" width="9.140625" style="115"/>
    <col min="7169" max="7169" width="5.7109375" style="115" customWidth="1"/>
    <col min="7170" max="7170" width="65.7109375" style="115" customWidth="1"/>
    <col min="7171" max="7172" width="6.7109375" style="115" customWidth="1"/>
    <col min="7173" max="7173" width="9.140625" style="115"/>
    <col min="7174" max="7174" width="9.85546875" style="115" bestFit="1" customWidth="1"/>
    <col min="7175" max="7424" width="9.140625" style="115"/>
    <col min="7425" max="7425" width="5.7109375" style="115" customWidth="1"/>
    <col min="7426" max="7426" width="65.7109375" style="115" customWidth="1"/>
    <col min="7427" max="7428" width="6.7109375" style="115" customWidth="1"/>
    <col min="7429" max="7429" width="9.140625" style="115"/>
    <col min="7430" max="7430" width="9.85546875" style="115" bestFit="1" customWidth="1"/>
    <col min="7431" max="7680" width="9.140625" style="115"/>
    <col min="7681" max="7681" width="5.7109375" style="115" customWidth="1"/>
    <col min="7682" max="7682" width="65.7109375" style="115" customWidth="1"/>
    <col min="7683" max="7684" width="6.7109375" style="115" customWidth="1"/>
    <col min="7685" max="7685" width="9.140625" style="115"/>
    <col min="7686" max="7686" width="9.85546875" style="115" bestFit="1" customWidth="1"/>
    <col min="7687" max="7936" width="9.140625" style="115"/>
    <col min="7937" max="7937" width="5.7109375" style="115" customWidth="1"/>
    <col min="7938" max="7938" width="65.7109375" style="115" customWidth="1"/>
    <col min="7939" max="7940" width="6.7109375" style="115" customWidth="1"/>
    <col min="7941" max="7941" width="9.140625" style="115"/>
    <col min="7942" max="7942" width="9.85546875" style="115" bestFit="1" customWidth="1"/>
    <col min="7943" max="8192" width="9.140625" style="115"/>
    <col min="8193" max="8193" width="5.7109375" style="115" customWidth="1"/>
    <col min="8194" max="8194" width="65.7109375" style="115" customWidth="1"/>
    <col min="8195" max="8196" width="6.7109375" style="115" customWidth="1"/>
    <col min="8197" max="8197" width="9.140625" style="115"/>
    <col min="8198" max="8198" width="9.85546875" style="115" bestFit="1" customWidth="1"/>
    <col min="8199" max="8448" width="9.140625" style="115"/>
    <col min="8449" max="8449" width="5.7109375" style="115" customWidth="1"/>
    <col min="8450" max="8450" width="65.7109375" style="115" customWidth="1"/>
    <col min="8451" max="8452" width="6.7109375" style="115" customWidth="1"/>
    <col min="8453" max="8453" width="9.140625" style="115"/>
    <col min="8454" max="8454" width="9.85546875" style="115" bestFit="1" customWidth="1"/>
    <col min="8455" max="8704" width="9.140625" style="115"/>
    <col min="8705" max="8705" width="5.7109375" style="115" customWidth="1"/>
    <col min="8706" max="8706" width="65.7109375" style="115" customWidth="1"/>
    <col min="8707" max="8708" width="6.7109375" style="115" customWidth="1"/>
    <col min="8709" max="8709" width="9.140625" style="115"/>
    <col min="8710" max="8710" width="9.85546875" style="115" bestFit="1" customWidth="1"/>
    <col min="8711" max="8960" width="9.140625" style="115"/>
    <col min="8961" max="8961" width="5.7109375" style="115" customWidth="1"/>
    <col min="8962" max="8962" width="65.7109375" style="115" customWidth="1"/>
    <col min="8963" max="8964" width="6.7109375" style="115" customWidth="1"/>
    <col min="8965" max="8965" width="9.140625" style="115"/>
    <col min="8966" max="8966" width="9.85546875" style="115" bestFit="1" customWidth="1"/>
    <col min="8967" max="9216" width="9.140625" style="115"/>
    <col min="9217" max="9217" width="5.7109375" style="115" customWidth="1"/>
    <col min="9218" max="9218" width="65.7109375" style="115" customWidth="1"/>
    <col min="9219" max="9220" width="6.7109375" style="115" customWidth="1"/>
    <col min="9221" max="9221" width="9.140625" style="115"/>
    <col min="9222" max="9222" width="9.85546875" style="115" bestFit="1" customWidth="1"/>
    <col min="9223" max="9472" width="9.140625" style="115"/>
    <col min="9473" max="9473" width="5.7109375" style="115" customWidth="1"/>
    <col min="9474" max="9474" width="65.7109375" style="115" customWidth="1"/>
    <col min="9475" max="9476" width="6.7109375" style="115" customWidth="1"/>
    <col min="9477" max="9477" width="9.140625" style="115"/>
    <col min="9478" max="9478" width="9.85546875" style="115" bestFit="1" customWidth="1"/>
    <col min="9479" max="9728" width="9.140625" style="115"/>
    <col min="9729" max="9729" width="5.7109375" style="115" customWidth="1"/>
    <col min="9730" max="9730" width="65.7109375" style="115" customWidth="1"/>
    <col min="9731" max="9732" width="6.7109375" style="115" customWidth="1"/>
    <col min="9733" max="9733" width="9.140625" style="115"/>
    <col min="9734" max="9734" width="9.85546875" style="115" bestFit="1" customWidth="1"/>
    <col min="9735" max="9984" width="9.140625" style="115"/>
    <col min="9985" max="9985" width="5.7109375" style="115" customWidth="1"/>
    <col min="9986" max="9986" width="65.7109375" style="115" customWidth="1"/>
    <col min="9987" max="9988" width="6.7109375" style="115" customWidth="1"/>
    <col min="9989" max="9989" width="9.140625" style="115"/>
    <col min="9990" max="9990" width="9.85546875" style="115" bestFit="1" customWidth="1"/>
    <col min="9991" max="10240" width="9.140625" style="115"/>
    <col min="10241" max="10241" width="5.7109375" style="115" customWidth="1"/>
    <col min="10242" max="10242" width="65.7109375" style="115" customWidth="1"/>
    <col min="10243" max="10244" width="6.7109375" style="115" customWidth="1"/>
    <col min="10245" max="10245" width="9.140625" style="115"/>
    <col min="10246" max="10246" width="9.85546875" style="115" bestFit="1" customWidth="1"/>
    <col min="10247" max="10496" width="9.140625" style="115"/>
    <col min="10497" max="10497" width="5.7109375" style="115" customWidth="1"/>
    <col min="10498" max="10498" width="65.7109375" style="115" customWidth="1"/>
    <col min="10499" max="10500" width="6.7109375" style="115" customWidth="1"/>
    <col min="10501" max="10501" width="9.140625" style="115"/>
    <col min="10502" max="10502" width="9.85546875" style="115" bestFit="1" customWidth="1"/>
    <col min="10503" max="10752" width="9.140625" style="115"/>
    <col min="10753" max="10753" width="5.7109375" style="115" customWidth="1"/>
    <col min="10754" max="10754" width="65.7109375" style="115" customWidth="1"/>
    <col min="10755" max="10756" width="6.7109375" style="115" customWidth="1"/>
    <col min="10757" max="10757" width="9.140625" style="115"/>
    <col min="10758" max="10758" width="9.85546875" style="115" bestFit="1" customWidth="1"/>
    <col min="10759" max="11008" width="9.140625" style="115"/>
    <col min="11009" max="11009" width="5.7109375" style="115" customWidth="1"/>
    <col min="11010" max="11010" width="65.7109375" style="115" customWidth="1"/>
    <col min="11011" max="11012" width="6.7109375" style="115" customWidth="1"/>
    <col min="11013" max="11013" width="9.140625" style="115"/>
    <col min="11014" max="11014" width="9.85546875" style="115" bestFit="1" customWidth="1"/>
    <col min="11015" max="11264" width="9.140625" style="115"/>
    <col min="11265" max="11265" width="5.7109375" style="115" customWidth="1"/>
    <col min="11266" max="11266" width="65.7109375" style="115" customWidth="1"/>
    <col min="11267" max="11268" width="6.7109375" style="115" customWidth="1"/>
    <col min="11269" max="11269" width="9.140625" style="115"/>
    <col min="11270" max="11270" width="9.85546875" style="115" bestFit="1" customWidth="1"/>
    <col min="11271" max="11520" width="9.140625" style="115"/>
    <col min="11521" max="11521" width="5.7109375" style="115" customWidth="1"/>
    <col min="11522" max="11522" width="65.7109375" style="115" customWidth="1"/>
    <col min="11523" max="11524" width="6.7109375" style="115" customWidth="1"/>
    <col min="11525" max="11525" width="9.140625" style="115"/>
    <col min="11526" max="11526" width="9.85546875" style="115" bestFit="1" customWidth="1"/>
    <col min="11527" max="11776" width="9.140625" style="115"/>
    <col min="11777" max="11777" width="5.7109375" style="115" customWidth="1"/>
    <col min="11778" max="11778" width="65.7109375" style="115" customWidth="1"/>
    <col min="11779" max="11780" width="6.7109375" style="115" customWidth="1"/>
    <col min="11781" max="11781" width="9.140625" style="115"/>
    <col min="11782" max="11782" width="9.85546875" style="115" bestFit="1" customWidth="1"/>
    <col min="11783" max="12032" width="9.140625" style="115"/>
    <col min="12033" max="12033" width="5.7109375" style="115" customWidth="1"/>
    <col min="12034" max="12034" width="65.7109375" style="115" customWidth="1"/>
    <col min="12035" max="12036" width="6.7109375" style="115" customWidth="1"/>
    <col min="12037" max="12037" width="9.140625" style="115"/>
    <col min="12038" max="12038" width="9.85546875" style="115" bestFit="1" customWidth="1"/>
    <col min="12039" max="12288" width="9.140625" style="115"/>
    <col min="12289" max="12289" width="5.7109375" style="115" customWidth="1"/>
    <col min="12290" max="12290" width="65.7109375" style="115" customWidth="1"/>
    <col min="12291" max="12292" width="6.7109375" style="115" customWidth="1"/>
    <col min="12293" max="12293" width="9.140625" style="115"/>
    <col min="12294" max="12294" width="9.85546875" style="115" bestFit="1" customWidth="1"/>
    <col min="12295" max="12544" width="9.140625" style="115"/>
    <col min="12545" max="12545" width="5.7109375" style="115" customWidth="1"/>
    <col min="12546" max="12546" width="65.7109375" style="115" customWidth="1"/>
    <col min="12547" max="12548" width="6.7109375" style="115" customWidth="1"/>
    <col min="12549" max="12549" width="9.140625" style="115"/>
    <col min="12550" max="12550" width="9.85546875" style="115" bestFit="1" customWidth="1"/>
    <col min="12551" max="12800" width="9.140625" style="115"/>
    <col min="12801" max="12801" width="5.7109375" style="115" customWidth="1"/>
    <col min="12802" max="12802" width="65.7109375" style="115" customWidth="1"/>
    <col min="12803" max="12804" width="6.7109375" style="115" customWidth="1"/>
    <col min="12805" max="12805" width="9.140625" style="115"/>
    <col min="12806" max="12806" width="9.85546875" style="115" bestFit="1" customWidth="1"/>
    <col min="12807" max="13056" width="9.140625" style="115"/>
    <col min="13057" max="13057" width="5.7109375" style="115" customWidth="1"/>
    <col min="13058" max="13058" width="65.7109375" style="115" customWidth="1"/>
    <col min="13059" max="13060" width="6.7109375" style="115" customWidth="1"/>
    <col min="13061" max="13061" width="9.140625" style="115"/>
    <col min="13062" max="13062" width="9.85546875" style="115" bestFit="1" customWidth="1"/>
    <col min="13063" max="13312" width="9.140625" style="115"/>
    <col min="13313" max="13313" width="5.7109375" style="115" customWidth="1"/>
    <col min="13314" max="13314" width="65.7109375" style="115" customWidth="1"/>
    <col min="13315" max="13316" width="6.7109375" style="115" customWidth="1"/>
    <col min="13317" max="13317" width="9.140625" style="115"/>
    <col min="13318" max="13318" width="9.85546875" style="115" bestFit="1" customWidth="1"/>
    <col min="13319" max="13568" width="9.140625" style="115"/>
    <col min="13569" max="13569" width="5.7109375" style="115" customWidth="1"/>
    <col min="13570" max="13570" width="65.7109375" style="115" customWidth="1"/>
    <col min="13571" max="13572" width="6.7109375" style="115" customWidth="1"/>
    <col min="13573" max="13573" width="9.140625" style="115"/>
    <col min="13574" max="13574" width="9.85546875" style="115" bestFit="1" customWidth="1"/>
    <col min="13575" max="13824" width="9.140625" style="115"/>
    <col min="13825" max="13825" width="5.7109375" style="115" customWidth="1"/>
    <col min="13826" max="13826" width="65.7109375" style="115" customWidth="1"/>
    <col min="13827" max="13828" width="6.7109375" style="115" customWidth="1"/>
    <col min="13829" max="13829" width="9.140625" style="115"/>
    <col min="13830" max="13830" width="9.85546875" style="115" bestFit="1" customWidth="1"/>
    <col min="13831" max="14080" width="9.140625" style="115"/>
    <col min="14081" max="14081" width="5.7109375" style="115" customWidth="1"/>
    <col min="14082" max="14082" width="65.7109375" style="115" customWidth="1"/>
    <col min="14083" max="14084" width="6.7109375" style="115" customWidth="1"/>
    <col min="14085" max="14085" width="9.140625" style="115"/>
    <col min="14086" max="14086" width="9.85546875" style="115" bestFit="1" customWidth="1"/>
    <col min="14087" max="14336" width="9.140625" style="115"/>
    <col min="14337" max="14337" width="5.7109375" style="115" customWidth="1"/>
    <col min="14338" max="14338" width="65.7109375" style="115" customWidth="1"/>
    <col min="14339" max="14340" width="6.7109375" style="115" customWidth="1"/>
    <col min="14341" max="14341" width="9.140625" style="115"/>
    <col min="14342" max="14342" width="9.85546875" style="115" bestFit="1" customWidth="1"/>
    <col min="14343" max="14592" width="9.140625" style="115"/>
    <col min="14593" max="14593" width="5.7109375" style="115" customWidth="1"/>
    <col min="14594" max="14594" width="65.7109375" style="115" customWidth="1"/>
    <col min="14595" max="14596" width="6.7109375" style="115" customWidth="1"/>
    <col min="14597" max="14597" width="9.140625" style="115"/>
    <col min="14598" max="14598" width="9.85546875" style="115" bestFit="1" customWidth="1"/>
    <col min="14599" max="14848" width="9.140625" style="115"/>
    <col min="14849" max="14849" width="5.7109375" style="115" customWidth="1"/>
    <col min="14850" max="14850" width="65.7109375" style="115" customWidth="1"/>
    <col min="14851" max="14852" width="6.7109375" style="115" customWidth="1"/>
    <col min="14853" max="14853" width="9.140625" style="115"/>
    <col min="14854" max="14854" width="9.85546875" style="115" bestFit="1" customWidth="1"/>
    <col min="14855" max="15104" width="9.140625" style="115"/>
    <col min="15105" max="15105" width="5.7109375" style="115" customWidth="1"/>
    <col min="15106" max="15106" width="65.7109375" style="115" customWidth="1"/>
    <col min="15107" max="15108" width="6.7109375" style="115" customWidth="1"/>
    <col min="15109" max="15109" width="9.140625" style="115"/>
    <col min="15110" max="15110" width="9.85546875" style="115" bestFit="1" customWidth="1"/>
    <col min="15111" max="15360" width="9.140625" style="115"/>
    <col min="15361" max="15361" width="5.7109375" style="115" customWidth="1"/>
    <col min="15362" max="15362" width="65.7109375" style="115" customWidth="1"/>
    <col min="15363" max="15364" width="6.7109375" style="115" customWidth="1"/>
    <col min="15365" max="15365" width="9.140625" style="115"/>
    <col min="15366" max="15366" width="9.85546875" style="115" bestFit="1" customWidth="1"/>
    <col min="15367" max="15616" width="9.140625" style="115"/>
    <col min="15617" max="15617" width="5.7109375" style="115" customWidth="1"/>
    <col min="15618" max="15618" width="65.7109375" style="115" customWidth="1"/>
    <col min="15619" max="15620" width="6.7109375" style="115" customWidth="1"/>
    <col min="15621" max="15621" width="9.140625" style="115"/>
    <col min="15622" max="15622" width="9.85546875" style="115" bestFit="1" customWidth="1"/>
    <col min="15623" max="15872" width="9.140625" style="115"/>
    <col min="15873" max="15873" width="5.7109375" style="115" customWidth="1"/>
    <col min="15874" max="15874" width="65.7109375" style="115" customWidth="1"/>
    <col min="15875" max="15876" width="6.7109375" style="115" customWidth="1"/>
    <col min="15877" max="15877" width="9.140625" style="115"/>
    <col min="15878" max="15878" width="9.85546875" style="115" bestFit="1" customWidth="1"/>
    <col min="15879" max="16128" width="9.140625" style="115"/>
    <col min="16129" max="16129" width="5.7109375" style="115" customWidth="1"/>
    <col min="16130" max="16130" width="65.7109375" style="115" customWidth="1"/>
    <col min="16131" max="16132" width="6.7109375" style="115" customWidth="1"/>
    <col min="16133" max="16133" width="9.140625" style="115"/>
    <col min="16134" max="16134" width="9.85546875" style="115" bestFit="1" customWidth="1"/>
    <col min="16135" max="16384" width="9.140625" style="115"/>
  </cols>
  <sheetData>
    <row r="1" spans="1:6" s="109" customFormat="1" ht="12.75" customHeight="1" x14ac:dyDescent="0.25">
      <c r="A1" s="241" t="s">
        <v>75</v>
      </c>
      <c r="B1" s="241"/>
      <c r="C1" s="241"/>
      <c r="D1" s="241"/>
    </row>
    <row r="2" spans="1:6" s="109" customFormat="1" ht="12.75" customHeight="1" x14ac:dyDescent="0.25">
      <c r="A2" s="241"/>
      <c r="B2" s="241"/>
      <c r="C2" s="241"/>
      <c r="D2" s="241"/>
    </row>
    <row r="3" spans="1:6" s="109" customFormat="1" ht="12.75" customHeight="1" x14ac:dyDescent="0.25">
      <c r="A3" s="241"/>
      <c r="B3" s="241"/>
      <c r="C3" s="241"/>
      <c r="D3" s="241"/>
    </row>
    <row r="4" spans="1:6" s="109" customFormat="1" ht="12.75" customHeight="1" x14ac:dyDescent="0.25">
      <c r="A4" s="241"/>
      <c r="B4" s="241"/>
      <c r="C4" s="241"/>
      <c r="D4" s="241"/>
    </row>
    <row r="5" spans="1:6" s="109" customFormat="1" ht="12.75" customHeight="1" x14ac:dyDescent="0.25"/>
    <row r="6" spans="1:6" s="109" customFormat="1" ht="12.75" customHeight="1" x14ac:dyDescent="0.25"/>
    <row r="7" spans="1:6" s="109" customFormat="1" ht="15.75" customHeight="1" x14ac:dyDescent="0.25">
      <c r="A7" s="242" t="s">
        <v>76</v>
      </c>
      <c r="B7" s="242"/>
      <c r="C7" s="242"/>
      <c r="D7" s="242"/>
    </row>
    <row r="8" spans="1:6" s="109" customFormat="1" ht="12.75" customHeight="1" x14ac:dyDescent="0.25"/>
    <row r="9" spans="1:6" s="109" customFormat="1" ht="12.75" customHeight="1" x14ac:dyDescent="0.25"/>
    <row r="10" spans="1:6" s="112" customFormat="1" ht="16.5" customHeight="1" x14ac:dyDescent="0.2">
      <c r="A10" s="243" t="s">
        <v>77</v>
      </c>
      <c r="B10" s="243"/>
      <c r="C10" s="110"/>
      <c r="D10" s="111"/>
      <c r="E10" s="111"/>
      <c r="F10" s="111"/>
    </row>
    <row r="11" spans="1:6" s="112" customFormat="1" ht="16.5" customHeight="1" x14ac:dyDescent="0.2">
      <c r="A11" s="243" t="s">
        <v>78</v>
      </c>
      <c r="B11" s="243"/>
      <c r="C11" s="110"/>
      <c r="D11" s="111"/>
      <c r="E11" s="111"/>
      <c r="F11" s="111"/>
    </row>
    <row r="12" spans="1:6" s="112" customFormat="1" ht="25.5" customHeight="1" x14ac:dyDescent="0.2">
      <c r="A12" s="244" t="s">
        <v>79</v>
      </c>
      <c r="B12" s="244"/>
      <c r="C12" s="244"/>
      <c r="D12" s="244"/>
      <c r="E12" s="113"/>
      <c r="F12" s="113"/>
    </row>
    <row r="13" spans="1:6" x14ac:dyDescent="0.25">
      <c r="A13" s="114"/>
      <c r="B13" s="114"/>
      <c r="C13" s="114"/>
      <c r="D13" s="114"/>
    </row>
    <row r="14" spans="1:6" ht="13.5" thickBot="1" x14ac:dyDescent="0.3"/>
    <row r="15" spans="1:6" ht="13.5" thickBot="1" x14ac:dyDescent="0.3">
      <c r="A15" s="245" t="s">
        <v>80</v>
      </c>
      <c r="B15" s="246"/>
      <c r="C15" s="246"/>
      <c r="D15" s="247"/>
    </row>
    <row r="16" spans="1:6" x14ac:dyDescent="0.25">
      <c r="A16" s="248" t="s">
        <v>81</v>
      </c>
      <c r="B16" s="249"/>
      <c r="C16" s="250" t="s">
        <v>82</v>
      </c>
      <c r="D16" s="251"/>
    </row>
    <row r="17" spans="1:6" x14ac:dyDescent="0.25">
      <c r="A17" s="116" t="s">
        <v>3</v>
      </c>
      <c r="B17" s="117" t="s">
        <v>83</v>
      </c>
      <c r="C17" s="237">
        <v>6.5000000000000006E-3</v>
      </c>
      <c r="D17" s="238"/>
    </row>
    <row r="18" spans="1:6" x14ac:dyDescent="0.25">
      <c r="A18" s="116" t="s">
        <v>4</v>
      </c>
      <c r="B18" s="117" t="s">
        <v>84</v>
      </c>
      <c r="C18" s="237">
        <v>0.05</v>
      </c>
      <c r="D18" s="238"/>
    </row>
    <row r="19" spans="1:6" x14ac:dyDescent="0.25">
      <c r="A19" s="116" t="s">
        <v>5</v>
      </c>
      <c r="B19" s="117" t="s">
        <v>85</v>
      </c>
      <c r="C19" s="237">
        <v>0.03</v>
      </c>
      <c r="D19" s="238"/>
    </row>
    <row r="20" spans="1:6" x14ac:dyDescent="0.25">
      <c r="A20" s="116" t="s">
        <v>6</v>
      </c>
      <c r="B20" s="118" t="s">
        <v>86</v>
      </c>
      <c r="C20" s="237">
        <v>0.02</v>
      </c>
      <c r="D20" s="238"/>
    </row>
    <row r="21" spans="1:6" x14ac:dyDescent="0.25">
      <c r="A21" s="116" t="s">
        <v>51</v>
      </c>
      <c r="B21" s="118" t="s">
        <v>87</v>
      </c>
      <c r="C21" s="237">
        <v>0</v>
      </c>
      <c r="D21" s="238"/>
    </row>
    <row r="22" spans="1:6" x14ac:dyDescent="0.25">
      <c r="A22" s="116" t="s">
        <v>61</v>
      </c>
      <c r="B22" s="118" t="s">
        <v>88</v>
      </c>
      <c r="C22" s="237">
        <v>0</v>
      </c>
      <c r="D22" s="238"/>
    </row>
    <row r="23" spans="1:6" x14ac:dyDescent="0.25">
      <c r="A23" s="234"/>
      <c r="B23" s="235"/>
      <c r="C23" s="236">
        <f>SUM(C17:D22)</f>
        <v>0.1065</v>
      </c>
      <c r="D23" s="227"/>
    </row>
    <row r="24" spans="1:6" x14ac:dyDescent="0.25">
      <c r="A24" s="224" t="s">
        <v>89</v>
      </c>
      <c r="B24" s="225"/>
      <c r="C24" s="226" t="s">
        <v>82</v>
      </c>
      <c r="D24" s="227"/>
    </row>
    <row r="25" spans="1:6" x14ac:dyDescent="0.25">
      <c r="A25" s="116" t="s">
        <v>10</v>
      </c>
      <c r="B25" s="118" t="s">
        <v>90</v>
      </c>
      <c r="C25" s="239">
        <v>0.03</v>
      </c>
      <c r="D25" s="240"/>
    </row>
    <row r="26" spans="1:6" x14ac:dyDescent="0.25">
      <c r="A26" s="116" t="s">
        <v>11</v>
      </c>
      <c r="B26" s="118" t="s">
        <v>91</v>
      </c>
      <c r="C26" s="237">
        <v>5.8999999999999999E-3</v>
      </c>
      <c r="D26" s="238"/>
    </row>
    <row r="27" spans="1:6" x14ac:dyDescent="0.25">
      <c r="A27" s="116" t="s">
        <v>48</v>
      </c>
      <c r="B27" s="118" t="s">
        <v>92</v>
      </c>
      <c r="C27" s="237">
        <v>8.0000000000000002E-3</v>
      </c>
      <c r="D27" s="238"/>
    </row>
    <row r="28" spans="1:6" x14ac:dyDescent="0.25">
      <c r="A28" s="116" t="s">
        <v>62</v>
      </c>
      <c r="B28" s="118" t="s">
        <v>93</v>
      </c>
      <c r="C28" s="239">
        <v>9.7000000000000003E-3</v>
      </c>
      <c r="D28" s="240"/>
    </row>
    <row r="29" spans="1:6" x14ac:dyDescent="0.25">
      <c r="A29" s="116" t="s">
        <v>63</v>
      </c>
      <c r="B29" s="118" t="s">
        <v>94</v>
      </c>
      <c r="C29" s="237">
        <v>0</v>
      </c>
      <c r="D29" s="238"/>
    </row>
    <row r="30" spans="1:6" x14ac:dyDescent="0.25">
      <c r="A30" s="234"/>
      <c r="B30" s="235"/>
      <c r="C30" s="236">
        <f>SUM(C25:D29)</f>
        <v>5.3600000000000002E-2</v>
      </c>
      <c r="D30" s="227"/>
    </row>
    <row r="31" spans="1:6" x14ac:dyDescent="0.25">
      <c r="A31" s="224" t="s">
        <v>95</v>
      </c>
      <c r="B31" s="225"/>
      <c r="C31" s="226" t="s">
        <v>82</v>
      </c>
      <c r="D31" s="227"/>
    </row>
    <row r="32" spans="1:6" ht="13.5" thickBot="1" x14ac:dyDescent="0.3">
      <c r="A32" s="119" t="s">
        <v>12</v>
      </c>
      <c r="B32" s="120" t="s">
        <v>96</v>
      </c>
      <c r="C32" s="228">
        <v>9.2100000000000001E-2</v>
      </c>
      <c r="D32" s="229"/>
      <c r="F32" s="121"/>
    </row>
    <row r="33" spans="1:4" ht="13.5" thickBot="1" x14ac:dyDescent="0.3">
      <c r="A33" s="230"/>
      <c r="B33" s="231"/>
      <c r="C33" s="232">
        <f>(C23+C30+C32)</f>
        <v>0.25219999999999998</v>
      </c>
      <c r="D33" s="233"/>
    </row>
    <row r="39" spans="1:4" ht="12.75" customHeight="1" x14ac:dyDescent="0.25"/>
    <row r="40" spans="1:4" ht="12.75" customHeight="1" x14ac:dyDescent="0.25"/>
    <row r="41" spans="1:4" ht="12.75" customHeight="1" x14ac:dyDescent="0.25"/>
    <row r="42" spans="1:4" ht="12.75" customHeight="1" x14ac:dyDescent="0.25"/>
    <row r="43" spans="1:4" ht="12.75" customHeight="1" x14ac:dyDescent="0.25"/>
    <row r="44" spans="1:4" ht="12.75" customHeight="1" x14ac:dyDescent="0.25"/>
    <row r="45" spans="1:4" s="109" customFormat="1" ht="20.100000000000001" customHeight="1" x14ac:dyDescent="0.25"/>
    <row r="46" spans="1:4" ht="12.75" customHeight="1" x14ac:dyDescent="0.25"/>
    <row r="47" spans="1:4" ht="12.75" customHeight="1" x14ac:dyDescent="0.25"/>
    <row r="48" spans="1:4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</sheetData>
  <mergeCells count="30">
    <mergeCell ref="C20:D20"/>
    <mergeCell ref="A1:D4"/>
    <mergeCell ref="A7:D7"/>
    <mergeCell ref="A10:B10"/>
    <mergeCell ref="A11:B11"/>
    <mergeCell ref="A12:D12"/>
    <mergeCell ref="A15:D15"/>
    <mergeCell ref="A16:B16"/>
    <mergeCell ref="C16:D16"/>
    <mergeCell ref="C17:D17"/>
    <mergeCell ref="C18:D18"/>
    <mergeCell ref="C19:D19"/>
    <mergeCell ref="A30:B30"/>
    <mergeCell ref="C30:D30"/>
    <mergeCell ref="C21:D21"/>
    <mergeCell ref="C22:D22"/>
    <mergeCell ref="A23:B23"/>
    <mergeCell ref="C23:D23"/>
    <mergeCell ref="A24:B24"/>
    <mergeCell ref="C24:D24"/>
    <mergeCell ref="C25:D25"/>
    <mergeCell ref="C26:D26"/>
    <mergeCell ref="C27:D27"/>
    <mergeCell ref="C28:D28"/>
    <mergeCell ref="C29:D29"/>
    <mergeCell ref="A31:B31"/>
    <mergeCell ref="C31:D31"/>
    <mergeCell ref="C32:D32"/>
    <mergeCell ref="A33:B33"/>
    <mergeCell ref="C33:D33"/>
  </mergeCells>
  <printOptions horizontalCentered="1"/>
  <pageMargins left="0.78740157480314965" right="0.78740157480314965" top="0.98425196850393704" bottom="0.98425196850393704" header="0.51181102362204722" footer="0.51181102362204722"/>
  <pageSetup paperSize="9" scale="96" orientation="portrait" horizontalDpi="12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topLeftCell="A14" zoomScaleNormal="100" workbookViewId="0">
      <selection activeCell="C39" sqref="C39"/>
    </sheetView>
  </sheetViews>
  <sheetFormatPr defaultRowHeight="12.75" x14ac:dyDescent="0.25"/>
  <cols>
    <col min="1" max="1" width="8.140625" style="125" customWidth="1"/>
    <col min="2" max="2" width="63.28515625" style="125" customWidth="1"/>
    <col min="3" max="3" width="15.140625" style="125" customWidth="1"/>
    <col min="4" max="4" width="7" style="125" hidden="1" customWidth="1"/>
    <col min="5" max="5" width="47.140625" style="125" hidden="1" customWidth="1"/>
    <col min="6" max="6" width="10.28515625" style="125" hidden="1" customWidth="1"/>
    <col min="7" max="7" width="8.5703125" style="125" hidden="1" customWidth="1"/>
    <col min="8" max="8" width="15.140625" style="125" hidden="1" customWidth="1"/>
    <col min="9" max="10" width="9.140625" style="115" customWidth="1"/>
    <col min="11" max="256" width="9.140625" style="115"/>
    <col min="257" max="257" width="8.140625" style="115" customWidth="1"/>
    <col min="258" max="258" width="63.28515625" style="115" customWidth="1"/>
    <col min="259" max="259" width="15.140625" style="115" customWidth="1"/>
    <col min="260" max="264" width="0" style="115" hidden="1" customWidth="1"/>
    <col min="265" max="266" width="9.140625" style="115" customWidth="1"/>
    <col min="267" max="512" width="9.140625" style="115"/>
    <col min="513" max="513" width="8.140625" style="115" customWidth="1"/>
    <col min="514" max="514" width="63.28515625" style="115" customWidth="1"/>
    <col min="515" max="515" width="15.140625" style="115" customWidth="1"/>
    <col min="516" max="520" width="0" style="115" hidden="1" customWidth="1"/>
    <col min="521" max="522" width="9.140625" style="115" customWidth="1"/>
    <col min="523" max="768" width="9.140625" style="115"/>
    <col min="769" max="769" width="8.140625" style="115" customWidth="1"/>
    <col min="770" max="770" width="63.28515625" style="115" customWidth="1"/>
    <col min="771" max="771" width="15.140625" style="115" customWidth="1"/>
    <col min="772" max="776" width="0" style="115" hidden="1" customWidth="1"/>
    <col min="777" max="778" width="9.140625" style="115" customWidth="1"/>
    <col min="779" max="1024" width="9.140625" style="115"/>
    <col min="1025" max="1025" width="8.140625" style="115" customWidth="1"/>
    <col min="1026" max="1026" width="63.28515625" style="115" customWidth="1"/>
    <col min="1027" max="1027" width="15.140625" style="115" customWidth="1"/>
    <col min="1028" max="1032" width="0" style="115" hidden="1" customWidth="1"/>
    <col min="1033" max="1034" width="9.140625" style="115" customWidth="1"/>
    <col min="1035" max="1280" width="9.140625" style="115"/>
    <col min="1281" max="1281" width="8.140625" style="115" customWidth="1"/>
    <col min="1282" max="1282" width="63.28515625" style="115" customWidth="1"/>
    <col min="1283" max="1283" width="15.140625" style="115" customWidth="1"/>
    <col min="1284" max="1288" width="0" style="115" hidden="1" customWidth="1"/>
    <col min="1289" max="1290" width="9.140625" style="115" customWidth="1"/>
    <col min="1291" max="1536" width="9.140625" style="115"/>
    <col min="1537" max="1537" width="8.140625" style="115" customWidth="1"/>
    <col min="1538" max="1538" width="63.28515625" style="115" customWidth="1"/>
    <col min="1539" max="1539" width="15.140625" style="115" customWidth="1"/>
    <col min="1540" max="1544" width="0" style="115" hidden="1" customWidth="1"/>
    <col min="1545" max="1546" width="9.140625" style="115" customWidth="1"/>
    <col min="1547" max="1792" width="9.140625" style="115"/>
    <col min="1793" max="1793" width="8.140625" style="115" customWidth="1"/>
    <col min="1794" max="1794" width="63.28515625" style="115" customWidth="1"/>
    <col min="1795" max="1795" width="15.140625" style="115" customWidth="1"/>
    <col min="1796" max="1800" width="0" style="115" hidden="1" customWidth="1"/>
    <col min="1801" max="1802" width="9.140625" style="115" customWidth="1"/>
    <col min="1803" max="2048" width="9.140625" style="115"/>
    <col min="2049" max="2049" width="8.140625" style="115" customWidth="1"/>
    <col min="2050" max="2050" width="63.28515625" style="115" customWidth="1"/>
    <col min="2051" max="2051" width="15.140625" style="115" customWidth="1"/>
    <col min="2052" max="2056" width="0" style="115" hidden="1" customWidth="1"/>
    <col min="2057" max="2058" width="9.140625" style="115" customWidth="1"/>
    <col min="2059" max="2304" width="9.140625" style="115"/>
    <col min="2305" max="2305" width="8.140625" style="115" customWidth="1"/>
    <col min="2306" max="2306" width="63.28515625" style="115" customWidth="1"/>
    <col min="2307" max="2307" width="15.140625" style="115" customWidth="1"/>
    <col min="2308" max="2312" width="0" style="115" hidden="1" customWidth="1"/>
    <col min="2313" max="2314" width="9.140625" style="115" customWidth="1"/>
    <col min="2315" max="2560" width="9.140625" style="115"/>
    <col min="2561" max="2561" width="8.140625" style="115" customWidth="1"/>
    <col min="2562" max="2562" width="63.28515625" style="115" customWidth="1"/>
    <col min="2563" max="2563" width="15.140625" style="115" customWidth="1"/>
    <col min="2564" max="2568" width="0" style="115" hidden="1" customWidth="1"/>
    <col min="2569" max="2570" width="9.140625" style="115" customWidth="1"/>
    <col min="2571" max="2816" width="9.140625" style="115"/>
    <col min="2817" max="2817" width="8.140625" style="115" customWidth="1"/>
    <col min="2818" max="2818" width="63.28515625" style="115" customWidth="1"/>
    <col min="2819" max="2819" width="15.140625" style="115" customWidth="1"/>
    <col min="2820" max="2824" width="0" style="115" hidden="1" customWidth="1"/>
    <col min="2825" max="2826" width="9.140625" style="115" customWidth="1"/>
    <col min="2827" max="3072" width="9.140625" style="115"/>
    <col min="3073" max="3073" width="8.140625" style="115" customWidth="1"/>
    <col min="3074" max="3074" width="63.28515625" style="115" customWidth="1"/>
    <col min="3075" max="3075" width="15.140625" style="115" customWidth="1"/>
    <col min="3076" max="3080" width="0" style="115" hidden="1" customWidth="1"/>
    <col min="3081" max="3082" width="9.140625" style="115" customWidth="1"/>
    <col min="3083" max="3328" width="9.140625" style="115"/>
    <col min="3329" max="3329" width="8.140625" style="115" customWidth="1"/>
    <col min="3330" max="3330" width="63.28515625" style="115" customWidth="1"/>
    <col min="3331" max="3331" width="15.140625" style="115" customWidth="1"/>
    <col min="3332" max="3336" width="0" style="115" hidden="1" customWidth="1"/>
    <col min="3337" max="3338" width="9.140625" style="115" customWidth="1"/>
    <col min="3339" max="3584" width="9.140625" style="115"/>
    <col min="3585" max="3585" width="8.140625" style="115" customWidth="1"/>
    <col min="3586" max="3586" width="63.28515625" style="115" customWidth="1"/>
    <col min="3587" max="3587" width="15.140625" style="115" customWidth="1"/>
    <col min="3588" max="3592" width="0" style="115" hidden="1" customWidth="1"/>
    <col min="3593" max="3594" width="9.140625" style="115" customWidth="1"/>
    <col min="3595" max="3840" width="9.140625" style="115"/>
    <col min="3841" max="3841" width="8.140625" style="115" customWidth="1"/>
    <col min="3842" max="3842" width="63.28515625" style="115" customWidth="1"/>
    <col min="3843" max="3843" width="15.140625" style="115" customWidth="1"/>
    <col min="3844" max="3848" width="0" style="115" hidden="1" customWidth="1"/>
    <col min="3849" max="3850" width="9.140625" style="115" customWidth="1"/>
    <col min="3851" max="4096" width="9.140625" style="115"/>
    <col min="4097" max="4097" width="8.140625" style="115" customWidth="1"/>
    <col min="4098" max="4098" width="63.28515625" style="115" customWidth="1"/>
    <col min="4099" max="4099" width="15.140625" style="115" customWidth="1"/>
    <col min="4100" max="4104" width="0" style="115" hidden="1" customWidth="1"/>
    <col min="4105" max="4106" width="9.140625" style="115" customWidth="1"/>
    <col min="4107" max="4352" width="9.140625" style="115"/>
    <col min="4353" max="4353" width="8.140625" style="115" customWidth="1"/>
    <col min="4354" max="4354" width="63.28515625" style="115" customWidth="1"/>
    <col min="4355" max="4355" width="15.140625" style="115" customWidth="1"/>
    <col min="4356" max="4360" width="0" style="115" hidden="1" customWidth="1"/>
    <col min="4361" max="4362" width="9.140625" style="115" customWidth="1"/>
    <col min="4363" max="4608" width="9.140625" style="115"/>
    <col min="4609" max="4609" width="8.140625" style="115" customWidth="1"/>
    <col min="4610" max="4610" width="63.28515625" style="115" customWidth="1"/>
    <col min="4611" max="4611" width="15.140625" style="115" customWidth="1"/>
    <col min="4612" max="4616" width="0" style="115" hidden="1" customWidth="1"/>
    <col min="4617" max="4618" width="9.140625" style="115" customWidth="1"/>
    <col min="4619" max="4864" width="9.140625" style="115"/>
    <col min="4865" max="4865" width="8.140625" style="115" customWidth="1"/>
    <col min="4866" max="4866" width="63.28515625" style="115" customWidth="1"/>
    <col min="4867" max="4867" width="15.140625" style="115" customWidth="1"/>
    <col min="4868" max="4872" width="0" style="115" hidden="1" customWidth="1"/>
    <col min="4873" max="4874" width="9.140625" style="115" customWidth="1"/>
    <col min="4875" max="5120" width="9.140625" style="115"/>
    <col min="5121" max="5121" width="8.140625" style="115" customWidth="1"/>
    <col min="5122" max="5122" width="63.28515625" style="115" customWidth="1"/>
    <col min="5123" max="5123" width="15.140625" style="115" customWidth="1"/>
    <col min="5124" max="5128" width="0" style="115" hidden="1" customWidth="1"/>
    <col min="5129" max="5130" width="9.140625" style="115" customWidth="1"/>
    <col min="5131" max="5376" width="9.140625" style="115"/>
    <col min="5377" max="5377" width="8.140625" style="115" customWidth="1"/>
    <col min="5378" max="5378" width="63.28515625" style="115" customWidth="1"/>
    <col min="5379" max="5379" width="15.140625" style="115" customWidth="1"/>
    <col min="5380" max="5384" width="0" style="115" hidden="1" customWidth="1"/>
    <col min="5385" max="5386" width="9.140625" style="115" customWidth="1"/>
    <col min="5387" max="5632" width="9.140625" style="115"/>
    <col min="5633" max="5633" width="8.140625" style="115" customWidth="1"/>
    <col min="5634" max="5634" width="63.28515625" style="115" customWidth="1"/>
    <col min="5635" max="5635" width="15.140625" style="115" customWidth="1"/>
    <col min="5636" max="5640" width="0" style="115" hidden="1" customWidth="1"/>
    <col min="5641" max="5642" width="9.140625" style="115" customWidth="1"/>
    <col min="5643" max="5888" width="9.140625" style="115"/>
    <col min="5889" max="5889" width="8.140625" style="115" customWidth="1"/>
    <col min="5890" max="5890" width="63.28515625" style="115" customWidth="1"/>
    <col min="5891" max="5891" width="15.140625" style="115" customWidth="1"/>
    <col min="5892" max="5896" width="0" style="115" hidden="1" customWidth="1"/>
    <col min="5897" max="5898" width="9.140625" style="115" customWidth="1"/>
    <col min="5899" max="6144" width="9.140625" style="115"/>
    <col min="6145" max="6145" width="8.140625" style="115" customWidth="1"/>
    <col min="6146" max="6146" width="63.28515625" style="115" customWidth="1"/>
    <col min="6147" max="6147" width="15.140625" style="115" customWidth="1"/>
    <col min="6148" max="6152" width="0" style="115" hidden="1" customWidth="1"/>
    <col min="6153" max="6154" width="9.140625" style="115" customWidth="1"/>
    <col min="6155" max="6400" width="9.140625" style="115"/>
    <col min="6401" max="6401" width="8.140625" style="115" customWidth="1"/>
    <col min="6402" max="6402" width="63.28515625" style="115" customWidth="1"/>
    <col min="6403" max="6403" width="15.140625" style="115" customWidth="1"/>
    <col min="6404" max="6408" width="0" style="115" hidden="1" customWidth="1"/>
    <col min="6409" max="6410" width="9.140625" style="115" customWidth="1"/>
    <col min="6411" max="6656" width="9.140625" style="115"/>
    <col min="6657" max="6657" width="8.140625" style="115" customWidth="1"/>
    <col min="6658" max="6658" width="63.28515625" style="115" customWidth="1"/>
    <col min="6659" max="6659" width="15.140625" style="115" customWidth="1"/>
    <col min="6660" max="6664" width="0" style="115" hidden="1" customWidth="1"/>
    <col min="6665" max="6666" width="9.140625" style="115" customWidth="1"/>
    <col min="6667" max="6912" width="9.140625" style="115"/>
    <col min="6913" max="6913" width="8.140625" style="115" customWidth="1"/>
    <col min="6914" max="6914" width="63.28515625" style="115" customWidth="1"/>
    <col min="6915" max="6915" width="15.140625" style="115" customWidth="1"/>
    <col min="6916" max="6920" width="0" style="115" hidden="1" customWidth="1"/>
    <col min="6921" max="6922" width="9.140625" style="115" customWidth="1"/>
    <col min="6923" max="7168" width="9.140625" style="115"/>
    <col min="7169" max="7169" width="8.140625" style="115" customWidth="1"/>
    <col min="7170" max="7170" width="63.28515625" style="115" customWidth="1"/>
    <col min="7171" max="7171" width="15.140625" style="115" customWidth="1"/>
    <col min="7172" max="7176" width="0" style="115" hidden="1" customWidth="1"/>
    <col min="7177" max="7178" width="9.140625" style="115" customWidth="1"/>
    <col min="7179" max="7424" width="9.140625" style="115"/>
    <col min="7425" max="7425" width="8.140625" style="115" customWidth="1"/>
    <col min="7426" max="7426" width="63.28515625" style="115" customWidth="1"/>
    <col min="7427" max="7427" width="15.140625" style="115" customWidth="1"/>
    <col min="7428" max="7432" width="0" style="115" hidden="1" customWidth="1"/>
    <col min="7433" max="7434" width="9.140625" style="115" customWidth="1"/>
    <col min="7435" max="7680" width="9.140625" style="115"/>
    <col min="7681" max="7681" width="8.140625" style="115" customWidth="1"/>
    <col min="7682" max="7682" width="63.28515625" style="115" customWidth="1"/>
    <col min="7683" max="7683" width="15.140625" style="115" customWidth="1"/>
    <col min="7684" max="7688" width="0" style="115" hidden="1" customWidth="1"/>
    <col min="7689" max="7690" width="9.140625" style="115" customWidth="1"/>
    <col min="7691" max="7936" width="9.140625" style="115"/>
    <col min="7937" max="7937" width="8.140625" style="115" customWidth="1"/>
    <col min="7938" max="7938" width="63.28515625" style="115" customWidth="1"/>
    <col min="7939" max="7939" width="15.140625" style="115" customWidth="1"/>
    <col min="7940" max="7944" width="0" style="115" hidden="1" customWidth="1"/>
    <col min="7945" max="7946" width="9.140625" style="115" customWidth="1"/>
    <col min="7947" max="8192" width="9.140625" style="115"/>
    <col min="8193" max="8193" width="8.140625" style="115" customWidth="1"/>
    <col min="8194" max="8194" width="63.28515625" style="115" customWidth="1"/>
    <col min="8195" max="8195" width="15.140625" style="115" customWidth="1"/>
    <col min="8196" max="8200" width="0" style="115" hidden="1" customWidth="1"/>
    <col min="8201" max="8202" width="9.140625" style="115" customWidth="1"/>
    <col min="8203" max="8448" width="9.140625" style="115"/>
    <col min="8449" max="8449" width="8.140625" style="115" customWidth="1"/>
    <col min="8450" max="8450" width="63.28515625" style="115" customWidth="1"/>
    <col min="8451" max="8451" width="15.140625" style="115" customWidth="1"/>
    <col min="8452" max="8456" width="0" style="115" hidden="1" customWidth="1"/>
    <col min="8457" max="8458" width="9.140625" style="115" customWidth="1"/>
    <col min="8459" max="8704" width="9.140625" style="115"/>
    <col min="8705" max="8705" width="8.140625" style="115" customWidth="1"/>
    <col min="8706" max="8706" width="63.28515625" style="115" customWidth="1"/>
    <col min="8707" max="8707" width="15.140625" style="115" customWidth="1"/>
    <col min="8708" max="8712" width="0" style="115" hidden="1" customWidth="1"/>
    <col min="8713" max="8714" width="9.140625" style="115" customWidth="1"/>
    <col min="8715" max="8960" width="9.140625" style="115"/>
    <col min="8961" max="8961" width="8.140625" style="115" customWidth="1"/>
    <col min="8962" max="8962" width="63.28515625" style="115" customWidth="1"/>
    <col min="8963" max="8963" width="15.140625" style="115" customWidth="1"/>
    <col min="8964" max="8968" width="0" style="115" hidden="1" customWidth="1"/>
    <col min="8969" max="8970" width="9.140625" style="115" customWidth="1"/>
    <col min="8971" max="9216" width="9.140625" style="115"/>
    <col min="9217" max="9217" width="8.140625" style="115" customWidth="1"/>
    <col min="9218" max="9218" width="63.28515625" style="115" customWidth="1"/>
    <col min="9219" max="9219" width="15.140625" style="115" customWidth="1"/>
    <col min="9220" max="9224" width="0" style="115" hidden="1" customWidth="1"/>
    <col min="9225" max="9226" width="9.140625" style="115" customWidth="1"/>
    <col min="9227" max="9472" width="9.140625" style="115"/>
    <col min="9473" max="9473" width="8.140625" style="115" customWidth="1"/>
    <col min="9474" max="9474" width="63.28515625" style="115" customWidth="1"/>
    <col min="9475" max="9475" width="15.140625" style="115" customWidth="1"/>
    <col min="9476" max="9480" width="0" style="115" hidden="1" customWidth="1"/>
    <col min="9481" max="9482" width="9.140625" style="115" customWidth="1"/>
    <col min="9483" max="9728" width="9.140625" style="115"/>
    <col min="9729" max="9729" width="8.140625" style="115" customWidth="1"/>
    <col min="9730" max="9730" width="63.28515625" style="115" customWidth="1"/>
    <col min="9731" max="9731" width="15.140625" style="115" customWidth="1"/>
    <col min="9732" max="9736" width="0" style="115" hidden="1" customWidth="1"/>
    <col min="9737" max="9738" width="9.140625" style="115" customWidth="1"/>
    <col min="9739" max="9984" width="9.140625" style="115"/>
    <col min="9985" max="9985" width="8.140625" style="115" customWidth="1"/>
    <col min="9986" max="9986" width="63.28515625" style="115" customWidth="1"/>
    <col min="9987" max="9987" width="15.140625" style="115" customWidth="1"/>
    <col min="9988" max="9992" width="0" style="115" hidden="1" customWidth="1"/>
    <col min="9993" max="9994" width="9.140625" style="115" customWidth="1"/>
    <col min="9995" max="10240" width="9.140625" style="115"/>
    <col min="10241" max="10241" width="8.140625" style="115" customWidth="1"/>
    <col min="10242" max="10242" width="63.28515625" style="115" customWidth="1"/>
    <col min="10243" max="10243" width="15.140625" style="115" customWidth="1"/>
    <col min="10244" max="10248" width="0" style="115" hidden="1" customWidth="1"/>
    <col min="10249" max="10250" width="9.140625" style="115" customWidth="1"/>
    <col min="10251" max="10496" width="9.140625" style="115"/>
    <col min="10497" max="10497" width="8.140625" style="115" customWidth="1"/>
    <col min="10498" max="10498" width="63.28515625" style="115" customWidth="1"/>
    <col min="10499" max="10499" width="15.140625" style="115" customWidth="1"/>
    <col min="10500" max="10504" width="0" style="115" hidden="1" customWidth="1"/>
    <col min="10505" max="10506" width="9.140625" style="115" customWidth="1"/>
    <col min="10507" max="10752" width="9.140625" style="115"/>
    <col min="10753" max="10753" width="8.140625" style="115" customWidth="1"/>
    <col min="10754" max="10754" width="63.28515625" style="115" customWidth="1"/>
    <col min="10755" max="10755" width="15.140625" style="115" customWidth="1"/>
    <col min="10756" max="10760" width="0" style="115" hidden="1" customWidth="1"/>
    <col min="10761" max="10762" width="9.140625" style="115" customWidth="1"/>
    <col min="10763" max="11008" width="9.140625" style="115"/>
    <col min="11009" max="11009" width="8.140625" style="115" customWidth="1"/>
    <col min="11010" max="11010" width="63.28515625" style="115" customWidth="1"/>
    <col min="11011" max="11011" width="15.140625" style="115" customWidth="1"/>
    <col min="11012" max="11016" width="0" style="115" hidden="1" customWidth="1"/>
    <col min="11017" max="11018" width="9.140625" style="115" customWidth="1"/>
    <col min="11019" max="11264" width="9.140625" style="115"/>
    <col min="11265" max="11265" width="8.140625" style="115" customWidth="1"/>
    <col min="11266" max="11266" width="63.28515625" style="115" customWidth="1"/>
    <col min="11267" max="11267" width="15.140625" style="115" customWidth="1"/>
    <col min="11268" max="11272" width="0" style="115" hidden="1" customWidth="1"/>
    <col min="11273" max="11274" width="9.140625" style="115" customWidth="1"/>
    <col min="11275" max="11520" width="9.140625" style="115"/>
    <col min="11521" max="11521" width="8.140625" style="115" customWidth="1"/>
    <col min="11522" max="11522" width="63.28515625" style="115" customWidth="1"/>
    <col min="11523" max="11523" width="15.140625" style="115" customWidth="1"/>
    <col min="11524" max="11528" width="0" style="115" hidden="1" customWidth="1"/>
    <col min="11529" max="11530" width="9.140625" style="115" customWidth="1"/>
    <col min="11531" max="11776" width="9.140625" style="115"/>
    <col min="11777" max="11777" width="8.140625" style="115" customWidth="1"/>
    <col min="11778" max="11778" width="63.28515625" style="115" customWidth="1"/>
    <col min="11779" max="11779" width="15.140625" style="115" customWidth="1"/>
    <col min="11780" max="11784" width="0" style="115" hidden="1" customWidth="1"/>
    <col min="11785" max="11786" width="9.140625" style="115" customWidth="1"/>
    <col min="11787" max="12032" width="9.140625" style="115"/>
    <col min="12033" max="12033" width="8.140625" style="115" customWidth="1"/>
    <col min="12034" max="12034" width="63.28515625" style="115" customWidth="1"/>
    <col min="12035" max="12035" width="15.140625" style="115" customWidth="1"/>
    <col min="12036" max="12040" width="0" style="115" hidden="1" customWidth="1"/>
    <col min="12041" max="12042" width="9.140625" style="115" customWidth="1"/>
    <col min="12043" max="12288" width="9.140625" style="115"/>
    <col min="12289" max="12289" width="8.140625" style="115" customWidth="1"/>
    <col min="12290" max="12290" width="63.28515625" style="115" customWidth="1"/>
    <col min="12291" max="12291" width="15.140625" style="115" customWidth="1"/>
    <col min="12292" max="12296" width="0" style="115" hidden="1" customWidth="1"/>
    <col min="12297" max="12298" width="9.140625" style="115" customWidth="1"/>
    <col min="12299" max="12544" width="9.140625" style="115"/>
    <col min="12545" max="12545" width="8.140625" style="115" customWidth="1"/>
    <col min="12546" max="12546" width="63.28515625" style="115" customWidth="1"/>
    <col min="12547" max="12547" width="15.140625" style="115" customWidth="1"/>
    <col min="12548" max="12552" width="0" style="115" hidden="1" customWidth="1"/>
    <col min="12553" max="12554" width="9.140625" style="115" customWidth="1"/>
    <col min="12555" max="12800" width="9.140625" style="115"/>
    <col min="12801" max="12801" width="8.140625" style="115" customWidth="1"/>
    <col min="12802" max="12802" width="63.28515625" style="115" customWidth="1"/>
    <col min="12803" max="12803" width="15.140625" style="115" customWidth="1"/>
    <col min="12804" max="12808" width="0" style="115" hidden="1" customWidth="1"/>
    <col min="12809" max="12810" width="9.140625" style="115" customWidth="1"/>
    <col min="12811" max="13056" width="9.140625" style="115"/>
    <col min="13057" max="13057" width="8.140625" style="115" customWidth="1"/>
    <col min="13058" max="13058" width="63.28515625" style="115" customWidth="1"/>
    <col min="13059" max="13059" width="15.140625" style="115" customWidth="1"/>
    <col min="13060" max="13064" width="0" style="115" hidden="1" customWidth="1"/>
    <col min="13065" max="13066" width="9.140625" style="115" customWidth="1"/>
    <col min="13067" max="13312" width="9.140625" style="115"/>
    <col min="13313" max="13313" width="8.140625" style="115" customWidth="1"/>
    <col min="13314" max="13314" width="63.28515625" style="115" customWidth="1"/>
    <col min="13315" max="13315" width="15.140625" style="115" customWidth="1"/>
    <col min="13316" max="13320" width="0" style="115" hidden="1" customWidth="1"/>
    <col min="13321" max="13322" width="9.140625" style="115" customWidth="1"/>
    <col min="13323" max="13568" width="9.140625" style="115"/>
    <col min="13569" max="13569" width="8.140625" style="115" customWidth="1"/>
    <col min="13570" max="13570" width="63.28515625" style="115" customWidth="1"/>
    <col min="13571" max="13571" width="15.140625" style="115" customWidth="1"/>
    <col min="13572" max="13576" width="0" style="115" hidden="1" customWidth="1"/>
    <col min="13577" max="13578" width="9.140625" style="115" customWidth="1"/>
    <col min="13579" max="13824" width="9.140625" style="115"/>
    <col min="13825" max="13825" width="8.140625" style="115" customWidth="1"/>
    <col min="13826" max="13826" width="63.28515625" style="115" customWidth="1"/>
    <col min="13827" max="13827" width="15.140625" style="115" customWidth="1"/>
    <col min="13828" max="13832" width="0" style="115" hidden="1" customWidth="1"/>
    <col min="13833" max="13834" width="9.140625" style="115" customWidth="1"/>
    <col min="13835" max="14080" width="9.140625" style="115"/>
    <col min="14081" max="14081" width="8.140625" style="115" customWidth="1"/>
    <col min="14082" max="14082" width="63.28515625" style="115" customWidth="1"/>
    <col min="14083" max="14083" width="15.140625" style="115" customWidth="1"/>
    <col min="14084" max="14088" width="0" style="115" hidden="1" customWidth="1"/>
    <col min="14089" max="14090" width="9.140625" style="115" customWidth="1"/>
    <col min="14091" max="14336" width="9.140625" style="115"/>
    <col min="14337" max="14337" width="8.140625" style="115" customWidth="1"/>
    <col min="14338" max="14338" width="63.28515625" style="115" customWidth="1"/>
    <col min="14339" max="14339" width="15.140625" style="115" customWidth="1"/>
    <col min="14340" max="14344" width="0" style="115" hidden="1" customWidth="1"/>
    <col min="14345" max="14346" width="9.140625" style="115" customWidth="1"/>
    <col min="14347" max="14592" width="9.140625" style="115"/>
    <col min="14593" max="14593" width="8.140625" style="115" customWidth="1"/>
    <col min="14594" max="14594" width="63.28515625" style="115" customWidth="1"/>
    <col min="14595" max="14595" width="15.140625" style="115" customWidth="1"/>
    <col min="14596" max="14600" width="0" style="115" hidden="1" customWidth="1"/>
    <col min="14601" max="14602" width="9.140625" style="115" customWidth="1"/>
    <col min="14603" max="14848" width="9.140625" style="115"/>
    <col min="14849" max="14849" width="8.140625" style="115" customWidth="1"/>
    <col min="14850" max="14850" width="63.28515625" style="115" customWidth="1"/>
    <col min="14851" max="14851" width="15.140625" style="115" customWidth="1"/>
    <col min="14852" max="14856" width="0" style="115" hidden="1" customWidth="1"/>
    <col min="14857" max="14858" width="9.140625" style="115" customWidth="1"/>
    <col min="14859" max="15104" width="9.140625" style="115"/>
    <col min="15105" max="15105" width="8.140625" style="115" customWidth="1"/>
    <col min="15106" max="15106" width="63.28515625" style="115" customWidth="1"/>
    <col min="15107" max="15107" width="15.140625" style="115" customWidth="1"/>
    <col min="15108" max="15112" width="0" style="115" hidden="1" customWidth="1"/>
    <col min="15113" max="15114" width="9.140625" style="115" customWidth="1"/>
    <col min="15115" max="15360" width="9.140625" style="115"/>
    <col min="15361" max="15361" width="8.140625" style="115" customWidth="1"/>
    <col min="15362" max="15362" width="63.28515625" style="115" customWidth="1"/>
    <col min="15363" max="15363" width="15.140625" style="115" customWidth="1"/>
    <col min="15364" max="15368" width="0" style="115" hidden="1" customWidth="1"/>
    <col min="15369" max="15370" width="9.140625" style="115" customWidth="1"/>
    <col min="15371" max="15616" width="9.140625" style="115"/>
    <col min="15617" max="15617" width="8.140625" style="115" customWidth="1"/>
    <col min="15618" max="15618" width="63.28515625" style="115" customWidth="1"/>
    <col min="15619" max="15619" width="15.140625" style="115" customWidth="1"/>
    <col min="15620" max="15624" width="0" style="115" hidden="1" customWidth="1"/>
    <col min="15625" max="15626" width="9.140625" style="115" customWidth="1"/>
    <col min="15627" max="15872" width="9.140625" style="115"/>
    <col min="15873" max="15873" width="8.140625" style="115" customWidth="1"/>
    <col min="15874" max="15874" width="63.28515625" style="115" customWidth="1"/>
    <col min="15875" max="15875" width="15.140625" style="115" customWidth="1"/>
    <col min="15876" max="15880" width="0" style="115" hidden="1" customWidth="1"/>
    <col min="15881" max="15882" width="9.140625" style="115" customWidth="1"/>
    <col min="15883" max="16128" width="9.140625" style="115"/>
    <col min="16129" max="16129" width="8.140625" style="115" customWidth="1"/>
    <col min="16130" max="16130" width="63.28515625" style="115" customWidth="1"/>
    <col min="16131" max="16131" width="15.140625" style="115" customWidth="1"/>
    <col min="16132" max="16136" width="0" style="115" hidden="1" customWidth="1"/>
    <col min="16137" max="16138" width="9.140625" style="115" customWidth="1"/>
    <col min="16139" max="16384" width="9.140625" style="115"/>
  </cols>
  <sheetData>
    <row r="1" spans="1:8" s="109" customFormat="1" ht="12.75" customHeight="1" x14ac:dyDescent="0.25">
      <c r="A1" s="241" t="s">
        <v>97</v>
      </c>
      <c r="B1" s="241"/>
      <c r="C1" s="241"/>
      <c r="D1" s="241"/>
    </row>
    <row r="2" spans="1:8" s="109" customFormat="1" ht="12.75" customHeight="1" x14ac:dyDescent="0.25">
      <c r="A2" s="241"/>
      <c r="B2" s="241"/>
      <c r="C2" s="241"/>
      <c r="D2" s="241"/>
    </row>
    <row r="3" spans="1:8" s="109" customFormat="1" ht="12.75" customHeight="1" x14ac:dyDescent="0.25">
      <c r="A3" s="241"/>
      <c r="B3" s="241"/>
      <c r="C3" s="241"/>
      <c r="D3" s="241"/>
    </row>
    <row r="4" spans="1:8" s="109" customFormat="1" ht="12.75" customHeight="1" x14ac:dyDescent="0.25">
      <c r="A4" s="241"/>
      <c r="B4" s="241"/>
      <c r="C4" s="241"/>
      <c r="D4" s="241"/>
    </row>
    <row r="5" spans="1:8" s="109" customFormat="1" ht="12.75" customHeight="1" x14ac:dyDescent="0.25"/>
    <row r="6" spans="1:8" s="109" customFormat="1" ht="12.75" hidden="1" customHeight="1" x14ac:dyDescent="0.25"/>
    <row r="7" spans="1:8" ht="15.75" x14ac:dyDescent="0.25">
      <c r="A7" s="257" t="s">
        <v>98</v>
      </c>
      <c r="B7" s="257"/>
      <c r="C7" s="257"/>
      <c r="D7" s="122"/>
      <c r="E7" s="123" t="s">
        <v>99</v>
      </c>
      <c r="F7" s="115"/>
      <c r="G7" s="115"/>
      <c r="H7" s="115"/>
    </row>
    <row r="8" spans="1:8" ht="15" x14ac:dyDescent="0.25">
      <c r="A8" s="258" t="s">
        <v>100</v>
      </c>
      <c r="B8" s="258"/>
      <c r="C8" s="258"/>
      <c r="D8" s="124"/>
      <c r="E8" s="125" t="s">
        <v>101</v>
      </c>
      <c r="F8" s="126">
        <f>220</f>
        <v>220</v>
      </c>
      <c r="G8" s="127"/>
      <c r="H8" s="125" t="s">
        <v>102</v>
      </c>
    </row>
    <row r="9" spans="1:8" hidden="1" x14ac:dyDescent="0.25">
      <c r="E9" s="125" t="s">
        <v>103</v>
      </c>
      <c r="F9" s="126">
        <v>30</v>
      </c>
      <c r="G9" s="127">
        <f>F8/F9</f>
        <v>7.333333333333333</v>
      </c>
      <c r="H9" s="125" t="s">
        <v>104</v>
      </c>
    </row>
    <row r="10" spans="1:8" x14ac:dyDescent="0.25">
      <c r="E10" s="128" t="s">
        <v>105</v>
      </c>
    </row>
    <row r="11" spans="1:8" ht="15.75" x14ac:dyDescent="0.25">
      <c r="A11" s="259" t="s">
        <v>106</v>
      </c>
      <c r="B11" s="259"/>
      <c r="C11" s="259"/>
      <c r="D11" s="129"/>
      <c r="E11" s="130" t="s">
        <v>107</v>
      </c>
      <c r="F11" s="131">
        <v>52</v>
      </c>
      <c r="G11" s="132">
        <f>((((F67/F21)*F20)-F9)/7)*(F21/F67)*G9</f>
        <v>361.98956022878372</v>
      </c>
      <c r="H11" s="125" t="s">
        <v>108</v>
      </c>
    </row>
    <row r="12" spans="1:8" x14ac:dyDescent="0.2">
      <c r="A12" s="260" t="s">
        <v>109</v>
      </c>
      <c r="B12" s="260"/>
      <c r="C12" s="133" t="s">
        <v>31</v>
      </c>
      <c r="D12" s="134"/>
      <c r="E12" s="135" t="s">
        <v>110</v>
      </c>
      <c r="F12" s="136" t="s">
        <v>111</v>
      </c>
      <c r="G12" s="137">
        <f>(((F67/F21)*F12)*((F67-1)/F67)*(F21/F67))*G9</f>
        <v>86.646768111162686</v>
      </c>
      <c r="H12" s="125" t="s">
        <v>108</v>
      </c>
    </row>
    <row r="13" spans="1:8" x14ac:dyDescent="0.2">
      <c r="A13" s="138" t="s">
        <v>112</v>
      </c>
      <c r="B13" s="139" t="s">
        <v>113</v>
      </c>
      <c r="C13" s="140">
        <v>20</v>
      </c>
      <c r="D13" s="141"/>
      <c r="E13" s="135" t="s">
        <v>114</v>
      </c>
      <c r="F13" s="142">
        <v>15</v>
      </c>
      <c r="G13" s="137">
        <f>((F13*3.4%)+2)*G9</f>
        <v>18.406666666666663</v>
      </c>
      <c r="H13" s="125" t="s">
        <v>108</v>
      </c>
    </row>
    <row r="14" spans="1:8" x14ac:dyDescent="0.2">
      <c r="A14" s="138" t="s">
        <v>115</v>
      </c>
      <c r="B14" s="139" t="s">
        <v>116</v>
      </c>
      <c r="C14" s="140">
        <v>8</v>
      </c>
      <c r="D14" s="141"/>
      <c r="E14" s="135" t="s">
        <v>117</v>
      </c>
      <c r="F14" s="142">
        <v>5</v>
      </c>
      <c r="G14" s="137">
        <f>F14*(92.36%*85.64%*5.93%)*G9</f>
        <v>1.7198346979733334</v>
      </c>
      <c r="H14" s="125" t="s">
        <v>108</v>
      </c>
    </row>
    <row r="15" spans="1:8" x14ac:dyDescent="0.2">
      <c r="A15" s="138" t="s">
        <v>118</v>
      </c>
      <c r="B15" s="139" t="s">
        <v>119</v>
      </c>
      <c r="C15" s="140">
        <v>2.5</v>
      </c>
      <c r="D15" s="141"/>
      <c r="E15" s="143" t="s">
        <v>120</v>
      </c>
      <c r="F15" s="125">
        <v>120</v>
      </c>
      <c r="G15" s="127">
        <f>(4.33%*7.64%*82.4%*(F15/F20)*(F9+F19))*G9</f>
        <v>0.45972588147296367</v>
      </c>
      <c r="H15" s="125" t="s">
        <v>108</v>
      </c>
    </row>
    <row r="16" spans="1:8" x14ac:dyDescent="0.2">
      <c r="A16" s="138" t="s">
        <v>121</v>
      </c>
      <c r="B16" s="139" t="s">
        <v>122</v>
      </c>
      <c r="C16" s="140">
        <v>1.5</v>
      </c>
      <c r="D16" s="141"/>
      <c r="E16" s="144" t="s">
        <v>123</v>
      </c>
      <c r="F16" s="131">
        <v>2</v>
      </c>
      <c r="G16" s="145">
        <f>F16*G9</f>
        <v>14.666666666666666</v>
      </c>
      <c r="H16" s="125" t="s">
        <v>108</v>
      </c>
    </row>
    <row r="17" spans="1:8" x14ac:dyDescent="0.2">
      <c r="A17" s="138" t="s">
        <v>124</v>
      </c>
      <c r="B17" s="139" t="s">
        <v>125</v>
      </c>
      <c r="C17" s="140">
        <v>1</v>
      </c>
      <c r="D17" s="141"/>
      <c r="E17" s="146" t="s">
        <v>126</v>
      </c>
      <c r="F17" s="131">
        <v>190</v>
      </c>
      <c r="G17" s="145">
        <f>(F17*((F20-107.42)/F20)*20%*20%)*G9</f>
        <v>39.342163814738754</v>
      </c>
      <c r="H17" s="125" t="s">
        <v>108</v>
      </c>
    </row>
    <row r="18" spans="1:8" x14ac:dyDescent="0.2">
      <c r="A18" s="138" t="s">
        <v>127</v>
      </c>
      <c r="B18" s="139" t="s">
        <v>128</v>
      </c>
      <c r="C18" s="140">
        <v>0.6</v>
      </c>
      <c r="D18" s="141"/>
      <c r="E18" s="146" t="s">
        <v>129</v>
      </c>
      <c r="F18" s="131">
        <v>15</v>
      </c>
      <c r="G18" s="145">
        <f>(F18*3.5%)*G9</f>
        <v>3.85</v>
      </c>
      <c r="H18" s="125" t="s">
        <v>108</v>
      </c>
    </row>
    <row r="19" spans="1:8" x14ac:dyDescent="0.2">
      <c r="A19" s="138" t="s">
        <v>130</v>
      </c>
      <c r="B19" s="139" t="s">
        <v>131</v>
      </c>
      <c r="C19" s="140">
        <v>0.2</v>
      </c>
      <c r="D19" s="147"/>
      <c r="E19" s="144" t="s">
        <v>132</v>
      </c>
      <c r="F19" s="148">
        <v>40</v>
      </c>
      <c r="G19" s="149">
        <f>F19*(F21/F67)*G9</f>
        <v>192.76410453135199</v>
      </c>
      <c r="H19" s="143" t="s">
        <v>108</v>
      </c>
    </row>
    <row r="20" spans="1:8" x14ac:dyDescent="0.2">
      <c r="A20" s="138" t="s">
        <v>133</v>
      </c>
      <c r="B20" s="139" t="s">
        <v>134</v>
      </c>
      <c r="C20" s="140">
        <v>3</v>
      </c>
      <c r="D20" s="141"/>
      <c r="E20" s="128" t="s">
        <v>135</v>
      </c>
      <c r="F20" s="150">
        <f>365.25</f>
        <v>365.25</v>
      </c>
      <c r="G20" s="151">
        <f>F20*G9</f>
        <v>2678.5</v>
      </c>
      <c r="H20" s="143" t="s">
        <v>108</v>
      </c>
    </row>
    <row r="21" spans="1:8" x14ac:dyDescent="0.2">
      <c r="A21" s="138" t="s">
        <v>136</v>
      </c>
      <c r="B21" s="139" t="s">
        <v>137</v>
      </c>
      <c r="C21" s="152">
        <v>0</v>
      </c>
      <c r="D21" s="141"/>
      <c r="E21" s="128" t="s">
        <v>138</v>
      </c>
      <c r="F21" s="136" t="s">
        <v>139</v>
      </c>
      <c r="G21" s="151">
        <f>G20-SUM(G11:G19)</f>
        <v>1958.6545094011831</v>
      </c>
      <c r="H21" s="143" t="s">
        <v>108</v>
      </c>
    </row>
    <row r="22" spans="1:8" x14ac:dyDescent="0.25">
      <c r="A22" s="254" t="s">
        <v>140</v>
      </c>
      <c r="B22" s="254"/>
      <c r="C22" s="153">
        <f>SUM(C13:C21)</f>
        <v>36.800000000000004</v>
      </c>
      <c r="D22" s="154"/>
      <c r="E22" s="144" t="s">
        <v>141</v>
      </c>
      <c r="F22" s="148">
        <v>30</v>
      </c>
      <c r="G22" s="149">
        <f>F22*G9</f>
        <v>220</v>
      </c>
      <c r="H22" s="143" t="s">
        <v>108</v>
      </c>
    </row>
    <row r="23" spans="1:8" x14ac:dyDescent="0.25">
      <c r="A23" s="253" t="s">
        <v>142</v>
      </c>
      <c r="B23" s="253"/>
      <c r="C23" s="253"/>
      <c r="D23" s="155"/>
      <c r="E23" s="156" t="s">
        <v>143</v>
      </c>
      <c r="F23" s="157">
        <v>33</v>
      </c>
      <c r="G23" s="158">
        <f>(F23*F64*F68*90%)*G9</f>
        <v>121.76466312665308</v>
      </c>
      <c r="H23" s="143" t="s">
        <v>108</v>
      </c>
    </row>
    <row r="24" spans="1:8" x14ac:dyDescent="0.2">
      <c r="A24" s="138" t="s">
        <v>144</v>
      </c>
      <c r="B24" s="159" t="s">
        <v>145</v>
      </c>
      <c r="C24" s="152">
        <f>(SUM(G11:G12)/G21)*100</f>
        <v>22.905332522227589</v>
      </c>
      <c r="D24" s="155"/>
      <c r="E24" s="156" t="s">
        <v>146</v>
      </c>
      <c r="F24" s="157">
        <v>7</v>
      </c>
      <c r="G24" s="160">
        <f>((F24*F64*F68*10%)+(F24*F65*20%*50%))*G9</f>
        <v>6.6346537718642953</v>
      </c>
      <c r="H24" s="143" t="s">
        <v>108</v>
      </c>
    </row>
    <row r="25" spans="1:8" x14ac:dyDescent="0.2">
      <c r="A25" s="138" t="s">
        <v>147</v>
      </c>
      <c r="B25" s="159" t="s">
        <v>148</v>
      </c>
      <c r="C25" s="152">
        <f>(G13/G21)*100</f>
        <v>0.93976076833959388</v>
      </c>
      <c r="D25" s="155"/>
      <c r="E25" s="161" t="s">
        <v>149</v>
      </c>
      <c r="F25" s="157">
        <v>6</v>
      </c>
      <c r="G25" s="160">
        <f>(F19*(F25/F67)*F68)*G9</f>
        <v>81.996406145894326</v>
      </c>
      <c r="H25" s="143" t="s">
        <v>108</v>
      </c>
    </row>
    <row r="26" spans="1:8" x14ac:dyDescent="0.2">
      <c r="A26" s="138" t="s">
        <v>150</v>
      </c>
      <c r="B26" s="159" t="s">
        <v>151</v>
      </c>
      <c r="C26" s="152">
        <f>(G15/G21)*100</f>
        <v>2.3471514719230147E-2</v>
      </c>
      <c r="D26" s="155"/>
      <c r="E26" s="161" t="s">
        <v>152</v>
      </c>
      <c r="F26" s="157"/>
      <c r="G26" s="160">
        <f>((F20+F19)*(F67/F21)*(F64*C14%*50%*F68))*G9</f>
        <v>101.13071770922944</v>
      </c>
      <c r="H26" s="143" t="s">
        <v>108</v>
      </c>
    </row>
    <row r="27" spans="1:8" x14ac:dyDescent="0.2">
      <c r="A27" s="138" t="s">
        <v>153</v>
      </c>
      <c r="B27" s="159" t="s">
        <v>154</v>
      </c>
      <c r="C27" s="152">
        <f>(G22/G21)*100</f>
        <v>11.232200418401524</v>
      </c>
      <c r="D27" s="155"/>
      <c r="E27" s="161" t="s">
        <v>155</v>
      </c>
      <c r="F27" s="158">
        <v>8.3333333333333304</v>
      </c>
      <c r="G27" s="160">
        <f>(F27%*F9*F64*F68)*G9</f>
        <v>10.249550768236785</v>
      </c>
      <c r="H27" s="143" t="s">
        <v>108</v>
      </c>
    </row>
    <row r="28" spans="1:8" ht="38.25" x14ac:dyDescent="0.25">
      <c r="A28" s="138" t="s">
        <v>156</v>
      </c>
      <c r="B28" s="162" t="s">
        <v>157</v>
      </c>
      <c r="C28" s="163">
        <f>SUM(G16:G18)/G21</f>
        <v>2.954008999733931E-2</v>
      </c>
      <c r="D28" s="155"/>
      <c r="E28" s="161"/>
      <c r="F28" s="157"/>
      <c r="G28" s="164"/>
      <c r="H28" s="155"/>
    </row>
    <row r="29" spans="1:8" x14ac:dyDescent="0.25">
      <c r="A29" s="254" t="s">
        <v>158</v>
      </c>
      <c r="B29" s="254"/>
      <c r="C29" s="153">
        <f>SUM(C24:C28)</f>
        <v>35.130305313685277</v>
      </c>
      <c r="D29" s="155"/>
      <c r="E29" s="255" t="s">
        <v>159</v>
      </c>
      <c r="F29" s="255"/>
      <c r="G29" s="164"/>
      <c r="H29" s="155"/>
    </row>
    <row r="30" spans="1:8" x14ac:dyDescent="0.25">
      <c r="A30" s="253" t="s">
        <v>160</v>
      </c>
      <c r="B30" s="253"/>
      <c r="C30" s="253"/>
      <c r="D30" s="155"/>
      <c r="E30" s="143"/>
      <c r="F30" s="143"/>
      <c r="G30" s="164"/>
      <c r="H30" s="155"/>
    </row>
    <row r="31" spans="1:8" ht="25.5" x14ac:dyDescent="0.2">
      <c r="A31" s="138" t="s">
        <v>161</v>
      </c>
      <c r="B31" s="165" t="s">
        <v>162</v>
      </c>
      <c r="C31" s="152">
        <f>50%*(C14+(C14*C29%))</f>
        <v>5.4052122125474114</v>
      </c>
      <c r="D31" s="155"/>
      <c r="E31" s="166" t="s">
        <v>163</v>
      </c>
      <c r="F31" s="166" t="s">
        <v>164</v>
      </c>
      <c r="G31" s="167"/>
      <c r="H31" s="155"/>
    </row>
    <row r="32" spans="1:8" x14ac:dyDescent="0.2">
      <c r="A32" s="138" t="s">
        <v>165</v>
      </c>
      <c r="B32" s="168" t="s">
        <v>166</v>
      </c>
      <c r="C32" s="152">
        <f>(G25/G21)*100</f>
        <v>4.1863639428151611</v>
      </c>
      <c r="D32" s="155"/>
      <c r="E32" s="166" t="s">
        <v>167</v>
      </c>
      <c r="F32" s="169">
        <v>6.25</v>
      </c>
      <c r="G32" s="155"/>
      <c r="H32" s="155"/>
    </row>
    <row r="33" spans="1:10" x14ac:dyDescent="0.2">
      <c r="A33" s="138" t="s">
        <v>168</v>
      </c>
      <c r="B33" s="139" t="s">
        <v>169</v>
      </c>
      <c r="C33" s="152">
        <f>(G23/G21)*100</f>
        <v>6.2167504550805148</v>
      </c>
      <c r="D33" s="155"/>
      <c r="E33" s="166" t="s">
        <v>170</v>
      </c>
      <c r="F33" s="170">
        <v>96</v>
      </c>
      <c r="G33" s="155"/>
      <c r="H33" s="155"/>
    </row>
    <row r="34" spans="1:10" x14ac:dyDescent="0.2">
      <c r="A34" s="254" t="s">
        <v>171</v>
      </c>
      <c r="B34" s="254"/>
      <c r="C34" s="152">
        <f>SUM(C31:C33)</f>
        <v>15.808326610443087</v>
      </c>
      <c r="D34" s="155"/>
      <c r="E34" s="166" t="s">
        <v>172</v>
      </c>
      <c r="F34" s="169">
        <v>1.502</v>
      </c>
      <c r="G34" s="155"/>
      <c r="H34" s="155"/>
    </row>
    <row r="35" spans="1:10" x14ac:dyDescent="0.25">
      <c r="A35" s="253" t="s">
        <v>173</v>
      </c>
      <c r="B35" s="253"/>
      <c r="C35" s="253"/>
      <c r="D35" s="155"/>
      <c r="E35" s="166" t="s">
        <v>174</v>
      </c>
      <c r="F35" s="169">
        <v>7.5</v>
      </c>
      <c r="G35" s="155"/>
      <c r="H35" s="155"/>
    </row>
    <row r="36" spans="1:10" x14ac:dyDescent="0.2">
      <c r="A36" s="138" t="s">
        <v>175</v>
      </c>
      <c r="B36" s="168" t="s">
        <v>176</v>
      </c>
      <c r="C36" s="152">
        <f>C22*C29%</f>
        <v>12.927952355436183</v>
      </c>
      <c r="D36" s="155"/>
      <c r="E36" s="166" t="s">
        <v>177</v>
      </c>
      <c r="F36" s="171">
        <v>24</v>
      </c>
      <c r="G36" s="155"/>
      <c r="H36" s="155"/>
    </row>
    <row r="37" spans="1:10" hidden="1" x14ac:dyDescent="0.2">
      <c r="A37" s="138" t="s">
        <v>178</v>
      </c>
      <c r="B37" s="168" t="s">
        <v>179</v>
      </c>
      <c r="C37" s="152">
        <f>C14*0%</f>
        <v>0</v>
      </c>
      <c r="D37" s="155"/>
      <c r="E37" s="166"/>
      <c r="F37" s="169"/>
      <c r="G37" s="155"/>
      <c r="H37" s="155"/>
    </row>
    <row r="38" spans="1:10" x14ac:dyDescent="0.2">
      <c r="A38" s="254" t="s">
        <v>180</v>
      </c>
      <c r="B38" s="254"/>
      <c r="C38" s="152">
        <f>SUM(C36:C37)</f>
        <v>12.927952355436183</v>
      </c>
      <c r="D38" s="155"/>
      <c r="E38" s="166" t="s">
        <v>181</v>
      </c>
      <c r="F38" s="169">
        <v>19.5</v>
      </c>
      <c r="G38" s="141"/>
      <c r="H38" s="141"/>
    </row>
    <row r="39" spans="1:10" x14ac:dyDescent="0.2">
      <c r="A39" s="253" t="s">
        <v>182</v>
      </c>
      <c r="B39" s="253"/>
      <c r="C39" s="152">
        <f>(C22+C34+C29+C38)</f>
        <v>100.66658427956455</v>
      </c>
      <c r="D39" s="141"/>
      <c r="E39" s="166" t="s">
        <v>183</v>
      </c>
      <c r="F39" s="169">
        <v>28.8</v>
      </c>
      <c r="G39" s="155"/>
      <c r="H39" s="155"/>
    </row>
    <row r="40" spans="1:10" x14ac:dyDescent="0.2">
      <c r="A40" s="256" t="s">
        <v>184</v>
      </c>
      <c r="B40" s="256"/>
      <c r="C40" s="256"/>
      <c r="E40" s="166" t="s">
        <v>185</v>
      </c>
      <c r="F40" s="169">
        <v>600</v>
      </c>
      <c r="G40" s="141"/>
      <c r="H40" s="141"/>
    </row>
    <row r="41" spans="1:10" x14ac:dyDescent="0.2">
      <c r="A41" s="172" t="s">
        <v>186</v>
      </c>
      <c r="B41" s="173" t="s">
        <v>187</v>
      </c>
      <c r="C41" s="163">
        <f>((F32*F33*6%)/F40)*100</f>
        <v>6</v>
      </c>
      <c r="E41" s="171" t="s">
        <v>188</v>
      </c>
      <c r="F41" s="171">
        <v>12</v>
      </c>
      <c r="G41" s="141"/>
      <c r="H41" s="141"/>
    </row>
    <row r="42" spans="1:10" x14ac:dyDescent="0.25">
      <c r="A42" s="172" t="s">
        <v>189</v>
      </c>
      <c r="B42" s="173" t="s">
        <v>190</v>
      </c>
      <c r="C42" s="163">
        <f>((F34*F36-F40/30*F36*1%)/F40)*100</f>
        <v>5.2080000000000002</v>
      </c>
      <c r="G42" s="174"/>
      <c r="H42" s="174"/>
    </row>
    <row r="43" spans="1:10" x14ac:dyDescent="0.25">
      <c r="A43" s="138" t="s">
        <v>191</v>
      </c>
      <c r="B43" s="159" t="s">
        <v>192</v>
      </c>
      <c r="C43" s="163">
        <f>((F35*F36*0.95)/F40)*100</f>
        <v>28.499999999999996</v>
      </c>
    </row>
    <row r="44" spans="1:10" x14ac:dyDescent="0.25">
      <c r="A44" s="138" t="s">
        <v>193</v>
      </c>
      <c r="B44" s="159" t="s">
        <v>194</v>
      </c>
      <c r="C44" s="163">
        <f>(F38/F40)*100</f>
        <v>3.25</v>
      </c>
    </row>
    <row r="45" spans="1:10" ht="12.75" customHeight="1" x14ac:dyDescent="0.25">
      <c r="A45" s="138" t="s">
        <v>195</v>
      </c>
      <c r="B45" s="159" t="s">
        <v>196</v>
      </c>
      <c r="C45" s="163">
        <f>(F39/F40)*100</f>
        <v>4.8</v>
      </c>
    </row>
    <row r="46" spans="1:10" s="125" customFormat="1" ht="12.75" customHeight="1" x14ac:dyDescent="0.25">
      <c r="A46" s="138" t="s">
        <v>197</v>
      </c>
      <c r="B46" s="159" t="s">
        <v>188</v>
      </c>
      <c r="C46" s="163">
        <f>(F41/F40)*100</f>
        <v>2</v>
      </c>
      <c r="E46" s="175" t="s">
        <v>198</v>
      </c>
      <c r="F46" s="175"/>
      <c r="I46" s="115"/>
      <c r="J46" s="115"/>
    </row>
    <row r="47" spans="1:10" x14ac:dyDescent="0.25">
      <c r="A47" s="253" t="s">
        <v>199</v>
      </c>
      <c r="B47" s="253"/>
      <c r="C47" s="163">
        <f>SUM(C41:C45)</f>
        <v>47.757999999999996</v>
      </c>
      <c r="E47" s="176"/>
      <c r="F47" s="176"/>
    </row>
    <row r="48" spans="1:10" x14ac:dyDescent="0.25">
      <c r="A48" s="253" t="s">
        <v>200</v>
      </c>
      <c r="B48" s="253"/>
      <c r="C48" s="153">
        <f>C47+C39</f>
        <v>148.42458427956456</v>
      </c>
      <c r="E48" s="159" t="s">
        <v>201</v>
      </c>
      <c r="F48" s="177">
        <f>SUM(F49:F56)</f>
        <v>72807</v>
      </c>
    </row>
    <row r="49" spans="1:6" x14ac:dyDescent="0.25">
      <c r="A49" s="252"/>
      <c r="B49" s="252"/>
      <c r="C49" s="252"/>
      <c r="E49" s="159" t="s">
        <v>202</v>
      </c>
      <c r="F49" s="177">
        <v>882</v>
      </c>
    </row>
    <row r="50" spans="1:6" x14ac:dyDescent="0.25">
      <c r="E50" s="159" t="s">
        <v>203</v>
      </c>
      <c r="F50" s="177">
        <v>55380</v>
      </c>
    </row>
    <row r="51" spans="1:6" x14ac:dyDescent="0.25">
      <c r="E51" s="159" t="s">
        <v>204</v>
      </c>
      <c r="F51" s="177">
        <v>7553</v>
      </c>
    </row>
    <row r="52" spans="1:6" ht="12.75" customHeight="1" x14ac:dyDescent="0.25">
      <c r="D52" s="178"/>
      <c r="E52" s="159" t="s">
        <v>205</v>
      </c>
      <c r="F52" s="177">
        <v>2241</v>
      </c>
    </row>
    <row r="53" spans="1:6" x14ac:dyDescent="0.25">
      <c r="D53" s="178"/>
      <c r="E53" s="159" t="s">
        <v>206</v>
      </c>
      <c r="F53" s="177">
        <v>6593</v>
      </c>
    </row>
    <row r="54" spans="1:6" x14ac:dyDescent="0.25">
      <c r="E54" s="159" t="s">
        <v>207</v>
      </c>
      <c r="F54" s="177">
        <v>10</v>
      </c>
    </row>
    <row r="55" spans="1:6" x14ac:dyDescent="0.25">
      <c r="E55" s="159" t="s">
        <v>208</v>
      </c>
      <c r="F55" s="177">
        <v>148</v>
      </c>
    </row>
    <row r="56" spans="1:6" x14ac:dyDescent="0.25">
      <c r="E56" s="159" t="s">
        <v>209</v>
      </c>
      <c r="F56" s="177">
        <v>0</v>
      </c>
    </row>
    <row r="57" spans="1:6" x14ac:dyDescent="0.25">
      <c r="E57" s="159" t="s">
        <v>210</v>
      </c>
      <c r="F57" s="177"/>
    </row>
    <row r="58" spans="1:6" x14ac:dyDescent="0.25">
      <c r="E58" s="159" t="s">
        <v>211</v>
      </c>
      <c r="F58" s="177">
        <v>95230</v>
      </c>
    </row>
    <row r="59" spans="1:6" x14ac:dyDescent="0.25">
      <c r="E59" s="159" t="s">
        <v>212</v>
      </c>
      <c r="F59" s="177">
        <v>102886</v>
      </c>
    </row>
    <row r="60" spans="1:6" x14ac:dyDescent="0.25">
      <c r="E60" s="159" t="s">
        <v>213</v>
      </c>
      <c r="F60" s="177">
        <f>SUM(F58:F59)/COUNT(F58:F59)</f>
        <v>99058</v>
      </c>
    </row>
    <row r="61" spans="1:6" ht="38.25" x14ac:dyDescent="0.25">
      <c r="E61" s="162" t="s">
        <v>214</v>
      </c>
      <c r="F61" s="177">
        <f>F48-(F51+F54+F55+F56)</f>
        <v>65096</v>
      </c>
    </row>
    <row r="62" spans="1:6" ht="25.5" x14ac:dyDescent="0.25">
      <c r="E62" s="162" t="s">
        <v>215</v>
      </c>
      <c r="F62" s="177">
        <f>F48-(F54+F55+F56)</f>
        <v>72649</v>
      </c>
    </row>
    <row r="64" spans="1:6" ht="25.5" x14ac:dyDescent="0.25">
      <c r="E64" s="162" t="s">
        <v>216</v>
      </c>
      <c r="F64" s="179">
        <f>(F61/F60)*1</f>
        <v>0.65715035635688179</v>
      </c>
    </row>
    <row r="65" spans="5:6" x14ac:dyDescent="0.25">
      <c r="E65" s="162" t="s">
        <v>217</v>
      </c>
      <c r="F65" s="179">
        <f>(F62/F60)*1</f>
        <v>0.73339861495285585</v>
      </c>
    </row>
    <row r="66" spans="5:6" x14ac:dyDescent="0.25">
      <c r="E66" s="162" t="s">
        <v>218</v>
      </c>
      <c r="F66" s="179">
        <f>(F51/F48)*1</f>
        <v>0.10374002499759638</v>
      </c>
    </row>
    <row r="67" spans="5:6" x14ac:dyDescent="0.25">
      <c r="E67" s="162" t="s">
        <v>219</v>
      </c>
      <c r="F67" s="180">
        <f>12/F64</f>
        <v>18.260661177338086</v>
      </c>
    </row>
    <row r="68" spans="5:6" x14ac:dyDescent="0.25">
      <c r="E68" s="159" t="s">
        <v>220</v>
      </c>
      <c r="F68" s="179">
        <f>(F50/F61)*1</f>
        <v>0.85074351726680597</v>
      </c>
    </row>
    <row r="69" spans="5:6" x14ac:dyDescent="0.25">
      <c r="E69" s="181"/>
      <c r="F69" s="181"/>
    </row>
  </sheetData>
  <mergeCells count="18">
    <mergeCell ref="A22:B22"/>
    <mergeCell ref="A1:D4"/>
    <mergeCell ref="A7:C7"/>
    <mergeCell ref="A8:C8"/>
    <mergeCell ref="A11:C11"/>
    <mergeCell ref="A12:B12"/>
    <mergeCell ref="A49:C49"/>
    <mergeCell ref="A23:C23"/>
    <mergeCell ref="A29:B29"/>
    <mergeCell ref="E29:F29"/>
    <mergeCell ref="A30:C30"/>
    <mergeCell ref="A34:B34"/>
    <mergeCell ref="A35:C35"/>
    <mergeCell ref="A38:B38"/>
    <mergeCell ref="A39:B39"/>
    <mergeCell ref="A40:C40"/>
    <mergeCell ref="A47:B47"/>
    <mergeCell ref="A48:B48"/>
  </mergeCells>
  <printOptions horizontalCentered="1"/>
  <pageMargins left="0.56999999999999995" right="0.34" top="0.98425196850393704" bottom="0.98425196850393704" header="0.51181102362204722" footer="0.51181102362204722"/>
  <pageSetup paperSize="9" orientation="portrait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"/>
  <sheetViews>
    <sheetView topLeftCell="A22" zoomScaleNormal="100" workbookViewId="0">
      <selection activeCell="C45" sqref="C45"/>
    </sheetView>
  </sheetViews>
  <sheetFormatPr defaultRowHeight="12.75" x14ac:dyDescent="0.25"/>
  <cols>
    <col min="1" max="1" width="8.140625" style="125" customWidth="1"/>
    <col min="2" max="2" width="63.28515625" style="125" customWidth="1"/>
    <col min="3" max="3" width="15.140625" style="125" customWidth="1"/>
    <col min="4" max="4" width="7" style="125" hidden="1" customWidth="1"/>
    <col min="5" max="5" width="47.140625" style="125" hidden="1" customWidth="1"/>
    <col min="6" max="6" width="10.28515625" style="125" hidden="1" customWidth="1"/>
    <col min="7" max="7" width="8.5703125" style="125" hidden="1" customWidth="1"/>
    <col min="8" max="8" width="15.140625" style="125" hidden="1" customWidth="1"/>
    <col min="9" max="9" width="0" style="115" hidden="1" customWidth="1"/>
    <col min="10" max="256" width="9.140625" style="115"/>
    <col min="257" max="257" width="8.140625" style="115" customWidth="1"/>
    <col min="258" max="258" width="63.28515625" style="115" customWidth="1"/>
    <col min="259" max="259" width="15.140625" style="115" customWidth="1"/>
    <col min="260" max="265" width="0" style="115" hidden="1" customWidth="1"/>
    <col min="266" max="512" width="9.140625" style="115"/>
    <col min="513" max="513" width="8.140625" style="115" customWidth="1"/>
    <col min="514" max="514" width="63.28515625" style="115" customWidth="1"/>
    <col min="515" max="515" width="15.140625" style="115" customWidth="1"/>
    <col min="516" max="521" width="0" style="115" hidden="1" customWidth="1"/>
    <col min="522" max="768" width="9.140625" style="115"/>
    <col min="769" max="769" width="8.140625" style="115" customWidth="1"/>
    <col min="770" max="770" width="63.28515625" style="115" customWidth="1"/>
    <col min="771" max="771" width="15.140625" style="115" customWidth="1"/>
    <col min="772" max="777" width="0" style="115" hidden="1" customWidth="1"/>
    <col min="778" max="1024" width="9.140625" style="115"/>
    <col min="1025" max="1025" width="8.140625" style="115" customWidth="1"/>
    <col min="1026" max="1026" width="63.28515625" style="115" customWidth="1"/>
    <col min="1027" max="1027" width="15.140625" style="115" customWidth="1"/>
    <col min="1028" max="1033" width="0" style="115" hidden="1" customWidth="1"/>
    <col min="1034" max="1280" width="9.140625" style="115"/>
    <col min="1281" max="1281" width="8.140625" style="115" customWidth="1"/>
    <col min="1282" max="1282" width="63.28515625" style="115" customWidth="1"/>
    <col min="1283" max="1283" width="15.140625" style="115" customWidth="1"/>
    <col min="1284" max="1289" width="0" style="115" hidden="1" customWidth="1"/>
    <col min="1290" max="1536" width="9.140625" style="115"/>
    <col min="1537" max="1537" width="8.140625" style="115" customWidth="1"/>
    <col min="1538" max="1538" width="63.28515625" style="115" customWidth="1"/>
    <col min="1539" max="1539" width="15.140625" style="115" customWidth="1"/>
    <col min="1540" max="1545" width="0" style="115" hidden="1" customWidth="1"/>
    <col min="1546" max="1792" width="9.140625" style="115"/>
    <col min="1793" max="1793" width="8.140625" style="115" customWidth="1"/>
    <col min="1794" max="1794" width="63.28515625" style="115" customWidth="1"/>
    <col min="1795" max="1795" width="15.140625" style="115" customWidth="1"/>
    <col min="1796" max="1801" width="0" style="115" hidden="1" customWidth="1"/>
    <col min="1802" max="2048" width="9.140625" style="115"/>
    <col min="2049" max="2049" width="8.140625" style="115" customWidth="1"/>
    <col min="2050" max="2050" width="63.28515625" style="115" customWidth="1"/>
    <col min="2051" max="2051" width="15.140625" style="115" customWidth="1"/>
    <col min="2052" max="2057" width="0" style="115" hidden="1" customWidth="1"/>
    <col min="2058" max="2304" width="9.140625" style="115"/>
    <col min="2305" max="2305" width="8.140625" style="115" customWidth="1"/>
    <col min="2306" max="2306" width="63.28515625" style="115" customWidth="1"/>
    <col min="2307" max="2307" width="15.140625" style="115" customWidth="1"/>
    <col min="2308" max="2313" width="0" style="115" hidden="1" customWidth="1"/>
    <col min="2314" max="2560" width="9.140625" style="115"/>
    <col min="2561" max="2561" width="8.140625" style="115" customWidth="1"/>
    <col min="2562" max="2562" width="63.28515625" style="115" customWidth="1"/>
    <col min="2563" max="2563" width="15.140625" style="115" customWidth="1"/>
    <col min="2564" max="2569" width="0" style="115" hidden="1" customWidth="1"/>
    <col min="2570" max="2816" width="9.140625" style="115"/>
    <col min="2817" max="2817" width="8.140625" style="115" customWidth="1"/>
    <col min="2818" max="2818" width="63.28515625" style="115" customWidth="1"/>
    <col min="2819" max="2819" width="15.140625" style="115" customWidth="1"/>
    <col min="2820" max="2825" width="0" style="115" hidden="1" customWidth="1"/>
    <col min="2826" max="3072" width="9.140625" style="115"/>
    <col min="3073" max="3073" width="8.140625" style="115" customWidth="1"/>
    <col min="3074" max="3074" width="63.28515625" style="115" customWidth="1"/>
    <col min="3075" max="3075" width="15.140625" style="115" customWidth="1"/>
    <col min="3076" max="3081" width="0" style="115" hidden="1" customWidth="1"/>
    <col min="3082" max="3328" width="9.140625" style="115"/>
    <col min="3329" max="3329" width="8.140625" style="115" customWidth="1"/>
    <col min="3330" max="3330" width="63.28515625" style="115" customWidth="1"/>
    <col min="3331" max="3331" width="15.140625" style="115" customWidth="1"/>
    <col min="3332" max="3337" width="0" style="115" hidden="1" customWidth="1"/>
    <col min="3338" max="3584" width="9.140625" style="115"/>
    <col min="3585" max="3585" width="8.140625" style="115" customWidth="1"/>
    <col min="3586" max="3586" width="63.28515625" style="115" customWidth="1"/>
    <col min="3587" max="3587" width="15.140625" style="115" customWidth="1"/>
    <col min="3588" max="3593" width="0" style="115" hidden="1" customWidth="1"/>
    <col min="3594" max="3840" width="9.140625" style="115"/>
    <col min="3841" max="3841" width="8.140625" style="115" customWidth="1"/>
    <col min="3842" max="3842" width="63.28515625" style="115" customWidth="1"/>
    <col min="3843" max="3843" width="15.140625" style="115" customWidth="1"/>
    <col min="3844" max="3849" width="0" style="115" hidden="1" customWidth="1"/>
    <col min="3850" max="4096" width="9.140625" style="115"/>
    <col min="4097" max="4097" width="8.140625" style="115" customWidth="1"/>
    <col min="4098" max="4098" width="63.28515625" style="115" customWidth="1"/>
    <col min="4099" max="4099" width="15.140625" style="115" customWidth="1"/>
    <col min="4100" max="4105" width="0" style="115" hidden="1" customWidth="1"/>
    <col min="4106" max="4352" width="9.140625" style="115"/>
    <col min="4353" max="4353" width="8.140625" style="115" customWidth="1"/>
    <col min="4354" max="4354" width="63.28515625" style="115" customWidth="1"/>
    <col min="4355" max="4355" width="15.140625" style="115" customWidth="1"/>
    <col min="4356" max="4361" width="0" style="115" hidden="1" customWidth="1"/>
    <col min="4362" max="4608" width="9.140625" style="115"/>
    <col min="4609" max="4609" width="8.140625" style="115" customWidth="1"/>
    <col min="4610" max="4610" width="63.28515625" style="115" customWidth="1"/>
    <col min="4611" max="4611" width="15.140625" style="115" customWidth="1"/>
    <col min="4612" max="4617" width="0" style="115" hidden="1" customWidth="1"/>
    <col min="4618" max="4864" width="9.140625" style="115"/>
    <col min="4865" max="4865" width="8.140625" style="115" customWidth="1"/>
    <col min="4866" max="4866" width="63.28515625" style="115" customWidth="1"/>
    <col min="4867" max="4867" width="15.140625" style="115" customWidth="1"/>
    <col min="4868" max="4873" width="0" style="115" hidden="1" customWidth="1"/>
    <col min="4874" max="5120" width="9.140625" style="115"/>
    <col min="5121" max="5121" width="8.140625" style="115" customWidth="1"/>
    <col min="5122" max="5122" width="63.28515625" style="115" customWidth="1"/>
    <col min="5123" max="5123" width="15.140625" style="115" customWidth="1"/>
    <col min="5124" max="5129" width="0" style="115" hidden="1" customWidth="1"/>
    <col min="5130" max="5376" width="9.140625" style="115"/>
    <col min="5377" max="5377" width="8.140625" style="115" customWidth="1"/>
    <col min="5378" max="5378" width="63.28515625" style="115" customWidth="1"/>
    <col min="5379" max="5379" width="15.140625" style="115" customWidth="1"/>
    <col min="5380" max="5385" width="0" style="115" hidden="1" customWidth="1"/>
    <col min="5386" max="5632" width="9.140625" style="115"/>
    <col min="5633" max="5633" width="8.140625" style="115" customWidth="1"/>
    <col min="5634" max="5634" width="63.28515625" style="115" customWidth="1"/>
    <col min="5635" max="5635" width="15.140625" style="115" customWidth="1"/>
    <col min="5636" max="5641" width="0" style="115" hidden="1" customWidth="1"/>
    <col min="5642" max="5888" width="9.140625" style="115"/>
    <col min="5889" max="5889" width="8.140625" style="115" customWidth="1"/>
    <col min="5890" max="5890" width="63.28515625" style="115" customWidth="1"/>
    <col min="5891" max="5891" width="15.140625" style="115" customWidth="1"/>
    <col min="5892" max="5897" width="0" style="115" hidden="1" customWidth="1"/>
    <col min="5898" max="6144" width="9.140625" style="115"/>
    <col min="6145" max="6145" width="8.140625" style="115" customWidth="1"/>
    <col min="6146" max="6146" width="63.28515625" style="115" customWidth="1"/>
    <col min="6147" max="6147" width="15.140625" style="115" customWidth="1"/>
    <col min="6148" max="6153" width="0" style="115" hidden="1" customWidth="1"/>
    <col min="6154" max="6400" width="9.140625" style="115"/>
    <col min="6401" max="6401" width="8.140625" style="115" customWidth="1"/>
    <col min="6402" max="6402" width="63.28515625" style="115" customWidth="1"/>
    <col min="6403" max="6403" width="15.140625" style="115" customWidth="1"/>
    <col min="6404" max="6409" width="0" style="115" hidden="1" customWidth="1"/>
    <col min="6410" max="6656" width="9.140625" style="115"/>
    <col min="6657" max="6657" width="8.140625" style="115" customWidth="1"/>
    <col min="6658" max="6658" width="63.28515625" style="115" customWidth="1"/>
    <col min="6659" max="6659" width="15.140625" style="115" customWidth="1"/>
    <col min="6660" max="6665" width="0" style="115" hidden="1" customWidth="1"/>
    <col min="6666" max="6912" width="9.140625" style="115"/>
    <col min="6913" max="6913" width="8.140625" style="115" customWidth="1"/>
    <col min="6914" max="6914" width="63.28515625" style="115" customWidth="1"/>
    <col min="6915" max="6915" width="15.140625" style="115" customWidth="1"/>
    <col min="6916" max="6921" width="0" style="115" hidden="1" customWidth="1"/>
    <col min="6922" max="7168" width="9.140625" style="115"/>
    <col min="7169" max="7169" width="8.140625" style="115" customWidth="1"/>
    <col min="7170" max="7170" width="63.28515625" style="115" customWidth="1"/>
    <col min="7171" max="7171" width="15.140625" style="115" customWidth="1"/>
    <col min="7172" max="7177" width="0" style="115" hidden="1" customWidth="1"/>
    <col min="7178" max="7424" width="9.140625" style="115"/>
    <col min="7425" max="7425" width="8.140625" style="115" customWidth="1"/>
    <col min="7426" max="7426" width="63.28515625" style="115" customWidth="1"/>
    <col min="7427" max="7427" width="15.140625" style="115" customWidth="1"/>
    <col min="7428" max="7433" width="0" style="115" hidden="1" customWidth="1"/>
    <col min="7434" max="7680" width="9.140625" style="115"/>
    <col min="7681" max="7681" width="8.140625" style="115" customWidth="1"/>
    <col min="7682" max="7682" width="63.28515625" style="115" customWidth="1"/>
    <col min="7683" max="7683" width="15.140625" style="115" customWidth="1"/>
    <col min="7684" max="7689" width="0" style="115" hidden="1" customWidth="1"/>
    <col min="7690" max="7936" width="9.140625" style="115"/>
    <col min="7937" max="7937" width="8.140625" style="115" customWidth="1"/>
    <col min="7938" max="7938" width="63.28515625" style="115" customWidth="1"/>
    <col min="7939" max="7939" width="15.140625" style="115" customWidth="1"/>
    <col min="7940" max="7945" width="0" style="115" hidden="1" customWidth="1"/>
    <col min="7946" max="8192" width="9.140625" style="115"/>
    <col min="8193" max="8193" width="8.140625" style="115" customWidth="1"/>
    <col min="8194" max="8194" width="63.28515625" style="115" customWidth="1"/>
    <col min="8195" max="8195" width="15.140625" style="115" customWidth="1"/>
    <col min="8196" max="8201" width="0" style="115" hidden="1" customWidth="1"/>
    <col min="8202" max="8448" width="9.140625" style="115"/>
    <col min="8449" max="8449" width="8.140625" style="115" customWidth="1"/>
    <col min="8450" max="8450" width="63.28515625" style="115" customWidth="1"/>
    <col min="8451" max="8451" width="15.140625" style="115" customWidth="1"/>
    <col min="8452" max="8457" width="0" style="115" hidden="1" customWidth="1"/>
    <col min="8458" max="8704" width="9.140625" style="115"/>
    <col min="8705" max="8705" width="8.140625" style="115" customWidth="1"/>
    <col min="8706" max="8706" width="63.28515625" style="115" customWidth="1"/>
    <col min="8707" max="8707" width="15.140625" style="115" customWidth="1"/>
    <col min="8708" max="8713" width="0" style="115" hidden="1" customWidth="1"/>
    <col min="8714" max="8960" width="9.140625" style="115"/>
    <col min="8961" max="8961" width="8.140625" style="115" customWidth="1"/>
    <col min="8962" max="8962" width="63.28515625" style="115" customWidth="1"/>
    <col min="8963" max="8963" width="15.140625" style="115" customWidth="1"/>
    <col min="8964" max="8969" width="0" style="115" hidden="1" customWidth="1"/>
    <col min="8970" max="9216" width="9.140625" style="115"/>
    <col min="9217" max="9217" width="8.140625" style="115" customWidth="1"/>
    <col min="9218" max="9218" width="63.28515625" style="115" customWidth="1"/>
    <col min="9219" max="9219" width="15.140625" style="115" customWidth="1"/>
    <col min="9220" max="9225" width="0" style="115" hidden="1" customWidth="1"/>
    <col min="9226" max="9472" width="9.140625" style="115"/>
    <col min="9473" max="9473" width="8.140625" style="115" customWidth="1"/>
    <col min="9474" max="9474" width="63.28515625" style="115" customWidth="1"/>
    <col min="9475" max="9475" width="15.140625" style="115" customWidth="1"/>
    <col min="9476" max="9481" width="0" style="115" hidden="1" customWidth="1"/>
    <col min="9482" max="9728" width="9.140625" style="115"/>
    <col min="9729" max="9729" width="8.140625" style="115" customWidth="1"/>
    <col min="9730" max="9730" width="63.28515625" style="115" customWidth="1"/>
    <col min="9731" max="9731" width="15.140625" style="115" customWidth="1"/>
    <col min="9732" max="9737" width="0" style="115" hidden="1" customWidth="1"/>
    <col min="9738" max="9984" width="9.140625" style="115"/>
    <col min="9985" max="9985" width="8.140625" style="115" customWidth="1"/>
    <col min="9986" max="9986" width="63.28515625" style="115" customWidth="1"/>
    <col min="9987" max="9987" width="15.140625" style="115" customWidth="1"/>
    <col min="9988" max="9993" width="0" style="115" hidden="1" customWidth="1"/>
    <col min="9994" max="10240" width="9.140625" style="115"/>
    <col min="10241" max="10241" width="8.140625" style="115" customWidth="1"/>
    <col min="10242" max="10242" width="63.28515625" style="115" customWidth="1"/>
    <col min="10243" max="10243" width="15.140625" style="115" customWidth="1"/>
    <col min="10244" max="10249" width="0" style="115" hidden="1" customWidth="1"/>
    <col min="10250" max="10496" width="9.140625" style="115"/>
    <col min="10497" max="10497" width="8.140625" style="115" customWidth="1"/>
    <col min="10498" max="10498" width="63.28515625" style="115" customWidth="1"/>
    <col min="10499" max="10499" width="15.140625" style="115" customWidth="1"/>
    <col min="10500" max="10505" width="0" style="115" hidden="1" customWidth="1"/>
    <col min="10506" max="10752" width="9.140625" style="115"/>
    <col min="10753" max="10753" width="8.140625" style="115" customWidth="1"/>
    <col min="10754" max="10754" width="63.28515625" style="115" customWidth="1"/>
    <col min="10755" max="10755" width="15.140625" style="115" customWidth="1"/>
    <col min="10756" max="10761" width="0" style="115" hidden="1" customWidth="1"/>
    <col min="10762" max="11008" width="9.140625" style="115"/>
    <col min="11009" max="11009" width="8.140625" style="115" customWidth="1"/>
    <col min="11010" max="11010" width="63.28515625" style="115" customWidth="1"/>
    <col min="11011" max="11011" width="15.140625" style="115" customWidth="1"/>
    <col min="11012" max="11017" width="0" style="115" hidden="1" customWidth="1"/>
    <col min="11018" max="11264" width="9.140625" style="115"/>
    <col min="11265" max="11265" width="8.140625" style="115" customWidth="1"/>
    <col min="11266" max="11266" width="63.28515625" style="115" customWidth="1"/>
    <col min="11267" max="11267" width="15.140625" style="115" customWidth="1"/>
    <col min="11268" max="11273" width="0" style="115" hidden="1" customWidth="1"/>
    <col min="11274" max="11520" width="9.140625" style="115"/>
    <col min="11521" max="11521" width="8.140625" style="115" customWidth="1"/>
    <col min="11522" max="11522" width="63.28515625" style="115" customWidth="1"/>
    <col min="11523" max="11523" width="15.140625" style="115" customWidth="1"/>
    <col min="11524" max="11529" width="0" style="115" hidden="1" customWidth="1"/>
    <col min="11530" max="11776" width="9.140625" style="115"/>
    <col min="11777" max="11777" width="8.140625" style="115" customWidth="1"/>
    <col min="11778" max="11778" width="63.28515625" style="115" customWidth="1"/>
    <col min="11779" max="11779" width="15.140625" style="115" customWidth="1"/>
    <col min="11780" max="11785" width="0" style="115" hidden="1" customWidth="1"/>
    <col min="11786" max="12032" width="9.140625" style="115"/>
    <col min="12033" max="12033" width="8.140625" style="115" customWidth="1"/>
    <col min="12034" max="12034" width="63.28515625" style="115" customWidth="1"/>
    <col min="12035" max="12035" width="15.140625" style="115" customWidth="1"/>
    <col min="12036" max="12041" width="0" style="115" hidden="1" customWidth="1"/>
    <col min="12042" max="12288" width="9.140625" style="115"/>
    <col min="12289" max="12289" width="8.140625" style="115" customWidth="1"/>
    <col min="12290" max="12290" width="63.28515625" style="115" customWidth="1"/>
    <col min="12291" max="12291" width="15.140625" style="115" customWidth="1"/>
    <col min="12292" max="12297" width="0" style="115" hidden="1" customWidth="1"/>
    <col min="12298" max="12544" width="9.140625" style="115"/>
    <col min="12545" max="12545" width="8.140625" style="115" customWidth="1"/>
    <col min="12546" max="12546" width="63.28515625" style="115" customWidth="1"/>
    <col min="12547" max="12547" width="15.140625" style="115" customWidth="1"/>
    <col min="12548" max="12553" width="0" style="115" hidden="1" customWidth="1"/>
    <col min="12554" max="12800" width="9.140625" style="115"/>
    <col min="12801" max="12801" width="8.140625" style="115" customWidth="1"/>
    <col min="12802" max="12802" width="63.28515625" style="115" customWidth="1"/>
    <col min="12803" max="12803" width="15.140625" style="115" customWidth="1"/>
    <col min="12804" max="12809" width="0" style="115" hidden="1" customWidth="1"/>
    <col min="12810" max="13056" width="9.140625" style="115"/>
    <col min="13057" max="13057" width="8.140625" style="115" customWidth="1"/>
    <col min="13058" max="13058" width="63.28515625" style="115" customWidth="1"/>
    <col min="13059" max="13059" width="15.140625" style="115" customWidth="1"/>
    <col min="13060" max="13065" width="0" style="115" hidden="1" customWidth="1"/>
    <col min="13066" max="13312" width="9.140625" style="115"/>
    <col min="13313" max="13313" width="8.140625" style="115" customWidth="1"/>
    <col min="13314" max="13314" width="63.28515625" style="115" customWidth="1"/>
    <col min="13315" max="13315" width="15.140625" style="115" customWidth="1"/>
    <col min="13316" max="13321" width="0" style="115" hidden="1" customWidth="1"/>
    <col min="13322" max="13568" width="9.140625" style="115"/>
    <col min="13569" max="13569" width="8.140625" style="115" customWidth="1"/>
    <col min="13570" max="13570" width="63.28515625" style="115" customWidth="1"/>
    <col min="13571" max="13571" width="15.140625" style="115" customWidth="1"/>
    <col min="13572" max="13577" width="0" style="115" hidden="1" customWidth="1"/>
    <col min="13578" max="13824" width="9.140625" style="115"/>
    <col min="13825" max="13825" width="8.140625" style="115" customWidth="1"/>
    <col min="13826" max="13826" width="63.28515625" style="115" customWidth="1"/>
    <col min="13827" max="13827" width="15.140625" style="115" customWidth="1"/>
    <col min="13828" max="13833" width="0" style="115" hidden="1" customWidth="1"/>
    <col min="13834" max="14080" width="9.140625" style="115"/>
    <col min="14081" max="14081" width="8.140625" style="115" customWidth="1"/>
    <col min="14082" max="14082" width="63.28515625" style="115" customWidth="1"/>
    <col min="14083" max="14083" width="15.140625" style="115" customWidth="1"/>
    <col min="14084" max="14089" width="0" style="115" hidden="1" customWidth="1"/>
    <col min="14090" max="14336" width="9.140625" style="115"/>
    <col min="14337" max="14337" width="8.140625" style="115" customWidth="1"/>
    <col min="14338" max="14338" width="63.28515625" style="115" customWidth="1"/>
    <col min="14339" max="14339" width="15.140625" style="115" customWidth="1"/>
    <col min="14340" max="14345" width="0" style="115" hidden="1" customWidth="1"/>
    <col min="14346" max="14592" width="9.140625" style="115"/>
    <col min="14593" max="14593" width="8.140625" style="115" customWidth="1"/>
    <col min="14594" max="14594" width="63.28515625" style="115" customWidth="1"/>
    <col min="14595" max="14595" width="15.140625" style="115" customWidth="1"/>
    <col min="14596" max="14601" width="0" style="115" hidden="1" customWidth="1"/>
    <col min="14602" max="14848" width="9.140625" style="115"/>
    <col min="14849" max="14849" width="8.140625" style="115" customWidth="1"/>
    <col min="14850" max="14850" width="63.28515625" style="115" customWidth="1"/>
    <col min="14851" max="14851" width="15.140625" style="115" customWidth="1"/>
    <col min="14852" max="14857" width="0" style="115" hidden="1" customWidth="1"/>
    <col min="14858" max="15104" width="9.140625" style="115"/>
    <col min="15105" max="15105" width="8.140625" style="115" customWidth="1"/>
    <col min="15106" max="15106" width="63.28515625" style="115" customWidth="1"/>
    <col min="15107" max="15107" width="15.140625" style="115" customWidth="1"/>
    <col min="15108" max="15113" width="0" style="115" hidden="1" customWidth="1"/>
    <col min="15114" max="15360" width="9.140625" style="115"/>
    <col min="15361" max="15361" width="8.140625" style="115" customWidth="1"/>
    <col min="15362" max="15362" width="63.28515625" style="115" customWidth="1"/>
    <col min="15363" max="15363" width="15.140625" style="115" customWidth="1"/>
    <col min="15364" max="15369" width="0" style="115" hidden="1" customWidth="1"/>
    <col min="15370" max="15616" width="9.140625" style="115"/>
    <col min="15617" max="15617" width="8.140625" style="115" customWidth="1"/>
    <col min="15618" max="15618" width="63.28515625" style="115" customWidth="1"/>
    <col min="15619" max="15619" width="15.140625" style="115" customWidth="1"/>
    <col min="15620" max="15625" width="0" style="115" hidden="1" customWidth="1"/>
    <col min="15626" max="15872" width="9.140625" style="115"/>
    <col min="15873" max="15873" width="8.140625" style="115" customWidth="1"/>
    <col min="15874" max="15874" width="63.28515625" style="115" customWidth="1"/>
    <col min="15875" max="15875" width="15.140625" style="115" customWidth="1"/>
    <col min="15876" max="15881" width="0" style="115" hidden="1" customWidth="1"/>
    <col min="15882" max="16128" width="9.140625" style="115"/>
    <col min="16129" max="16129" width="8.140625" style="115" customWidth="1"/>
    <col min="16130" max="16130" width="63.28515625" style="115" customWidth="1"/>
    <col min="16131" max="16131" width="15.140625" style="115" customWidth="1"/>
    <col min="16132" max="16137" width="0" style="115" hidden="1" customWidth="1"/>
    <col min="16138" max="16384" width="9.140625" style="115"/>
  </cols>
  <sheetData>
    <row r="1" spans="1:8" x14ac:dyDescent="0.25">
      <c r="A1" s="241" t="s">
        <v>97</v>
      </c>
      <c r="B1" s="241"/>
      <c r="C1" s="241"/>
      <c r="D1" s="241"/>
      <c r="E1" s="123" t="s">
        <v>99</v>
      </c>
      <c r="F1" s="115"/>
      <c r="G1" s="115"/>
      <c r="H1" s="115"/>
    </row>
    <row r="2" spans="1:8" x14ac:dyDescent="0.25">
      <c r="A2" s="241"/>
      <c r="B2" s="241"/>
      <c r="C2" s="241"/>
      <c r="D2" s="241"/>
      <c r="E2" s="123"/>
      <c r="F2" s="115"/>
      <c r="G2" s="115"/>
      <c r="H2" s="115"/>
    </row>
    <row r="3" spans="1:8" x14ac:dyDescent="0.25">
      <c r="A3" s="241"/>
      <c r="B3" s="241"/>
      <c r="C3" s="241"/>
      <c r="D3" s="241"/>
      <c r="E3" s="123"/>
      <c r="F3" s="115"/>
      <c r="G3" s="115"/>
      <c r="H3" s="115"/>
    </row>
    <row r="4" spans="1:8" x14ac:dyDescent="0.25">
      <c r="A4" s="241"/>
      <c r="B4" s="241"/>
      <c r="C4" s="241"/>
      <c r="D4" s="241"/>
      <c r="E4" s="125" t="s">
        <v>101</v>
      </c>
      <c r="F4" s="126">
        <f>220</f>
        <v>220</v>
      </c>
      <c r="G4" s="127"/>
      <c r="H4" s="125" t="s">
        <v>102</v>
      </c>
    </row>
    <row r="5" spans="1:8" x14ac:dyDescent="0.25">
      <c r="A5" s="109"/>
      <c r="B5" s="109"/>
      <c r="C5" s="109"/>
      <c r="E5" s="125" t="s">
        <v>103</v>
      </c>
      <c r="F5" s="126">
        <v>30</v>
      </c>
      <c r="G5" s="127">
        <f>F4/F5</f>
        <v>7.333333333333333</v>
      </c>
      <c r="H5" s="125" t="s">
        <v>104</v>
      </c>
    </row>
    <row r="6" spans="1:8" ht="15.75" x14ac:dyDescent="0.25">
      <c r="A6" s="257" t="s">
        <v>221</v>
      </c>
      <c r="B6" s="257"/>
      <c r="C6" s="257"/>
      <c r="D6" s="122"/>
      <c r="E6" s="130" t="s">
        <v>107</v>
      </c>
      <c r="F6" s="131">
        <v>52</v>
      </c>
      <c r="G6" s="132">
        <f>((((F70/F16)*F15)-F5)/7)*(F16/F70)*G5</f>
        <v>361.98956022878372</v>
      </c>
      <c r="H6" s="125" t="s">
        <v>108</v>
      </c>
    </row>
    <row r="7" spans="1:8" ht="15" x14ac:dyDescent="0.2">
      <c r="A7" s="258" t="s">
        <v>100</v>
      </c>
      <c r="B7" s="258"/>
      <c r="C7" s="258"/>
      <c r="D7" s="124"/>
      <c r="E7" s="135" t="s">
        <v>110</v>
      </c>
      <c r="F7" s="136" t="s">
        <v>111</v>
      </c>
      <c r="G7" s="137">
        <f>(((F70/F16)*F7)*((F70-1)/F70)*(F16/F70))*G5</f>
        <v>86.646768111162686</v>
      </c>
      <c r="H7" s="125" t="s">
        <v>108</v>
      </c>
    </row>
    <row r="8" spans="1:8" hidden="1" x14ac:dyDescent="0.2">
      <c r="E8" s="135" t="s">
        <v>114</v>
      </c>
      <c r="F8" s="142">
        <v>15</v>
      </c>
      <c r="G8" s="137">
        <f>((F8*3.4%)+2)*G5</f>
        <v>18.406666666666663</v>
      </c>
      <c r="H8" s="125" t="s">
        <v>108</v>
      </c>
    </row>
    <row r="9" spans="1:8" x14ac:dyDescent="0.2">
      <c r="E9" s="135" t="s">
        <v>117</v>
      </c>
      <c r="F9" s="142">
        <v>5</v>
      </c>
      <c r="G9" s="137">
        <f>F9*(92.36%*85.64%*5.93%)*G5</f>
        <v>1.7198346979733334</v>
      </c>
      <c r="H9" s="125" t="s">
        <v>108</v>
      </c>
    </row>
    <row r="10" spans="1:8" ht="15.75" x14ac:dyDescent="0.25">
      <c r="A10" s="259" t="s">
        <v>222</v>
      </c>
      <c r="B10" s="259"/>
      <c r="C10" s="259"/>
      <c r="D10" s="129"/>
      <c r="E10" s="143" t="s">
        <v>120</v>
      </c>
      <c r="F10" s="125">
        <v>120</v>
      </c>
      <c r="G10" s="127">
        <f>(4.33%*7.64%*82.4%*(F10/F15)*(F5+F14))*G5</f>
        <v>0.45972588147296367</v>
      </c>
      <c r="H10" s="125" t="s">
        <v>108</v>
      </c>
    </row>
    <row r="11" spans="1:8" x14ac:dyDescent="0.2">
      <c r="A11" s="260" t="s">
        <v>109</v>
      </c>
      <c r="B11" s="260"/>
      <c r="C11" s="133" t="s">
        <v>31</v>
      </c>
      <c r="D11" s="134"/>
      <c r="E11" s="144" t="s">
        <v>123</v>
      </c>
      <c r="F11" s="131">
        <v>2</v>
      </c>
      <c r="G11" s="145">
        <f>F11*G5</f>
        <v>14.666666666666666</v>
      </c>
      <c r="H11" s="125" t="s">
        <v>108</v>
      </c>
    </row>
    <row r="12" spans="1:8" x14ac:dyDescent="0.2">
      <c r="A12" s="138" t="s">
        <v>112</v>
      </c>
      <c r="B12" s="139" t="s">
        <v>113</v>
      </c>
      <c r="C12" s="140">
        <v>20</v>
      </c>
      <c r="D12" s="141"/>
      <c r="E12" s="146" t="s">
        <v>126</v>
      </c>
      <c r="F12" s="131">
        <v>190</v>
      </c>
      <c r="G12" s="145">
        <f>(F12*((F15-107.42)/F15)*20%*20%)*G5</f>
        <v>39.342163814738754</v>
      </c>
      <c r="H12" s="125" t="s">
        <v>108</v>
      </c>
    </row>
    <row r="13" spans="1:8" x14ac:dyDescent="0.2">
      <c r="A13" s="138" t="s">
        <v>115</v>
      </c>
      <c r="B13" s="139" t="s">
        <v>116</v>
      </c>
      <c r="C13" s="140">
        <v>8</v>
      </c>
      <c r="D13" s="141"/>
      <c r="E13" s="146" t="s">
        <v>129</v>
      </c>
      <c r="F13" s="131">
        <v>15</v>
      </c>
      <c r="G13" s="145">
        <f>(F13*3.5%)*G5</f>
        <v>3.85</v>
      </c>
      <c r="H13" s="125" t="s">
        <v>108</v>
      </c>
    </row>
    <row r="14" spans="1:8" x14ac:dyDescent="0.2">
      <c r="A14" s="138" t="s">
        <v>118</v>
      </c>
      <c r="B14" s="139" t="s">
        <v>119</v>
      </c>
      <c r="C14" s="140">
        <v>2.5</v>
      </c>
      <c r="D14" s="141"/>
      <c r="E14" s="144" t="s">
        <v>132</v>
      </c>
      <c r="F14" s="148">
        <v>40</v>
      </c>
      <c r="G14" s="149">
        <f>F14*(F16/F70)*G5</f>
        <v>192.76410453135199</v>
      </c>
      <c r="H14" s="143" t="s">
        <v>108</v>
      </c>
    </row>
    <row r="15" spans="1:8" x14ac:dyDescent="0.2">
      <c r="A15" s="138" t="s">
        <v>121</v>
      </c>
      <c r="B15" s="139" t="s">
        <v>122</v>
      </c>
      <c r="C15" s="140">
        <v>1.5</v>
      </c>
      <c r="D15" s="141"/>
      <c r="E15" s="128" t="s">
        <v>135</v>
      </c>
      <c r="F15" s="150">
        <f>365.25</f>
        <v>365.25</v>
      </c>
      <c r="G15" s="151">
        <f>F15*G5</f>
        <v>2678.5</v>
      </c>
      <c r="H15" s="143" t="s">
        <v>108</v>
      </c>
    </row>
    <row r="16" spans="1:8" x14ac:dyDescent="0.2">
      <c r="A16" s="138" t="s">
        <v>124</v>
      </c>
      <c r="B16" s="139" t="s">
        <v>125</v>
      </c>
      <c r="C16" s="140">
        <v>1</v>
      </c>
      <c r="D16" s="141"/>
      <c r="E16" s="128" t="s">
        <v>138</v>
      </c>
      <c r="F16" s="136" t="s">
        <v>139</v>
      </c>
      <c r="G16" s="151">
        <f>G15-SUM(G6:G14)</f>
        <v>1958.6545094011831</v>
      </c>
      <c r="H16" s="143" t="s">
        <v>108</v>
      </c>
    </row>
    <row r="17" spans="1:8" x14ac:dyDescent="0.2">
      <c r="A17" s="138" t="s">
        <v>127</v>
      </c>
      <c r="B17" s="139" t="s">
        <v>128</v>
      </c>
      <c r="C17" s="140">
        <v>0.6</v>
      </c>
      <c r="D17" s="141"/>
      <c r="E17" s="144" t="s">
        <v>141</v>
      </c>
      <c r="F17" s="148">
        <v>30</v>
      </c>
      <c r="G17" s="149">
        <f>F17*G5</f>
        <v>220</v>
      </c>
      <c r="H17" s="143" t="s">
        <v>108</v>
      </c>
    </row>
    <row r="18" spans="1:8" x14ac:dyDescent="0.2">
      <c r="A18" s="138" t="s">
        <v>130</v>
      </c>
      <c r="B18" s="139" t="s">
        <v>131</v>
      </c>
      <c r="C18" s="140">
        <v>0.2</v>
      </c>
      <c r="D18" s="147"/>
      <c r="E18" s="156" t="s">
        <v>143</v>
      </c>
      <c r="F18" s="157">
        <v>33</v>
      </c>
      <c r="G18" s="158">
        <f>(F18*F67*F71*90%)*G5</f>
        <v>121.76466312665308</v>
      </c>
      <c r="H18" s="143" t="s">
        <v>108</v>
      </c>
    </row>
    <row r="19" spans="1:8" x14ac:dyDescent="0.2">
      <c r="A19" s="138" t="s">
        <v>133</v>
      </c>
      <c r="B19" s="139" t="s">
        <v>134</v>
      </c>
      <c r="C19" s="140">
        <v>3</v>
      </c>
      <c r="D19" s="141"/>
      <c r="E19" s="156" t="s">
        <v>146</v>
      </c>
      <c r="F19" s="157">
        <v>7</v>
      </c>
      <c r="G19" s="160">
        <f>((F19*F67*F71*10%)+(F19*F68*20%*50%))*G5</f>
        <v>6.6346537718642953</v>
      </c>
      <c r="H19" s="143" t="s">
        <v>108</v>
      </c>
    </row>
    <row r="20" spans="1:8" x14ac:dyDescent="0.2">
      <c r="A20" s="138" t="s">
        <v>136</v>
      </c>
      <c r="B20" s="139" t="s">
        <v>137</v>
      </c>
      <c r="C20" s="152">
        <v>0</v>
      </c>
      <c r="D20" s="141"/>
      <c r="E20" s="161" t="s">
        <v>149</v>
      </c>
      <c r="F20" s="157">
        <v>6</v>
      </c>
      <c r="G20" s="160">
        <f>(F14*(F20/F70)*F71)*G5</f>
        <v>81.996406145894326</v>
      </c>
      <c r="H20" s="143" t="s">
        <v>108</v>
      </c>
    </row>
    <row r="21" spans="1:8" x14ac:dyDescent="0.25">
      <c r="A21" s="254" t="s">
        <v>140</v>
      </c>
      <c r="B21" s="254"/>
      <c r="C21" s="153">
        <f>SUM(C12:C20)</f>
        <v>36.800000000000004</v>
      </c>
      <c r="D21" s="154"/>
      <c r="E21" s="161" t="s">
        <v>152</v>
      </c>
      <c r="F21" s="157"/>
      <c r="G21" s="160">
        <f>((F15+F14)*(F70/F16)*(F67*C13%*50%*F71))*G5</f>
        <v>101.13071770922944</v>
      </c>
      <c r="H21" s="143" t="s">
        <v>108</v>
      </c>
    </row>
    <row r="22" spans="1:8" x14ac:dyDescent="0.25">
      <c r="A22" s="253" t="s">
        <v>142</v>
      </c>
      <c r="B22" s="253"/>
      <c r="C22" s="253"/>
      <c r="D22" s="155"/>
      <c r="E22" s="161" t="s">
        <v>155</v>
      </c>
      <c r="F22" s="158">
        <v>8.3333333333333304</v>
      </c>
      <c r="G22" s="160">
        <f>(F22%*F5*F67*F71)*G5</f>
        <v>10.249550768236785</v>
      </c>
      <c r="H22" s="143" t="s">
        <v>108</v>
      </c>
    </row>
    <row r="23" spans="1:8" x14ac:dyDescent="0.2">
      <c r="A23" s="138" t="s">
        <v>144</v>
      </c>
      <c r="B23" s="159" t="s">
        <v>223</v>
      </c>
      <c r="C23" s="152">
        <f>(G17/G16)*100</f>
        <v>11.232200418401524</v>
      </c>
      <c r="D23" s="155"/>
    </row>
    <row r="24" spans="1:8" x14ac:dyDescent="0.25">
      <c r="A24" s="254" t="s">
        <v>158</v>
      </c>
      <c r="B24" s="254"/>
      <c r="C24" s="153">
        <f>SUM(C23)</f>
        <v>11.232200418401524</v>
      </c>
      <c r="D24" s="155"/>
      <c r="E24" s="115"/>
      <c r="F24" s="115"/>
      <c r="G24" s="164"/>
      <c r="H24" s="155"/>
    </row>
    <row r="25" spans="1:8" x14ac:dyDescent="0.25">
      <c r="A25" s="253" t="s">
        <v>160</v>
      </c>
      <c r="B25" s="253"/>
      <c r="C25" s="253"/>
      <c r="D25" s="155"/>
      <c r="E25" s="115"/>
      <c r="F25" s="115"/>
      <c r="G25" s="164"/>
      <c r="H25" s="155"/>
    </row>
    <row r="26" spans="1:8" ht="25.5" x14ac:dyDescent="0.2">
      <c r="A26" s="138" t="s">
        <v>161</v>
      </c>
      <c r="B26" s="165" t="s">
        <v>162</v>
      </c>
      <c r="C26" s="152">
        <f>50%*(C13+(C13*C24%))</f>
        <v>4.4492880167360607</v>
      </c>
      <c r="D26" s="155"/>
      <c r="E26" s="115"/>
      <c r="F26" s="115"/>
      <c r="G26" s="167"/>
      <c r="H26" s="115"/>
    </row>
    <row r="27" spans="1:8" ht="38.25" hidden="1" x14ac:dyDescent="0.25">
      <c r="A27" s="138" t="s">
        <v>165</v>
      </c>
      <c r="B27" s="162" t="s">
        <v>157</v>
      </c>
      <c r="C27" s="163">
        <f>SUM(G11:G13)/G16</f>
        <v>2.954008999733931E-2</v>
      </c>
      <c r="D27" s="155"/>
      <c r="E27" s="182" t="s">
        <v>159</v>
      </c>
      <c r="F27" s="182"/>
      <c r="G27" s="167"/>
      <c r="H27" s="115"/>
    </row>
    <row r="28" spans="1:8" x14ac:dyDescent="0.2">
      <c r="A28" s="138" t="s">
        <v>165</v>
      </c>
      <c r="B28" s="168" t="s">
        <v>166</v>
      </c>
      <c r="C28" s="152">
        <f>(G20/G16)*100</f>
        <v>4.1863639428151611</v>
      </c>
      <c r="D28" s="155"/>
      <c r="E28" s="143"/>
      <c r="F28" s="143"/>
      <c r="G28" s="155"/>
      <c r="H28" s="115"/>
    </row>
    <row r="29" spans="1:8" x14ac:dyDescent="0.2">
      <c r="A29" s="138" t="s">
        <v>168</v>
      </c>
      <c r="B29" s="139" t="s">
        <v>169</v>
      </c>
      <c r="C29" s="152">
        <f>(G18/G16)*100</f>
        <v>6.2167504550805148</v>
      </c>
      <c r="D29" s="155"/>
      <c r="E29" s="166" t="s">
        <v>163</v>
      </c>
      <c r="F29" s="166" t="s">
        <v>164</v>
      </c>
      <c r="G29" s="155"/>
      <c r="H29" s="115"/>
    </row>
    <row r="30" spans="1:8" x14ac:dyDescent="0.2">
      <c r="A30" s="254" t="s">
        <v>171</v>
      </c>
      <c r="B30" s="254"/>
      <c r="C30" s="152">
        <f>SUM(C26:C29)</f>
        <v>14.881942504629077</v>
      </c>
      <c r="D30" s="155"/>
      <c r="E30" s="166" t="s">
        <v>167</v>
      </c>
      <c r="F30" s="169">
        <v>6.25</v>
      </c>
      <c r="G30" s="155"/>
      <c r="H30" s="115"/>
    </row>
    <row r="31" spans="1:8" x14ac:dyDescent="0.25">
      <c r="A31" s="253" t="s">
        <v>173</v>
      </c>
      <c r="B31" s="253"/>
      <c r="C31" s="253"/>
      <c r="D31" s="155"/>
      <c r="E31" s="166" t="s">
        <v>170</v>
      </c>
      <c r="F31" s="171">
        <v>96</v>
      </c>
      <c r="G31" s="155"/>
      <c r="H31" s="115"/>
    </row>
    <row r="32" spans="1:8" x14ac:dyDescent="0.2">
      <c r="A32" s="138" t="s">
        <v>175</v>
      </c>
      <c r="B32" s="168" t="s">
        <v>176</v>
      </c>
      <c r="C32" s="152">
        <f>C21*C24%</f>
        <v>4.1334497539717612</v>
      </c>
      <c r="D32" s="155"/>
      <c r="E32" s="166" t="s">
        <v>172</v>
      </c>
      <c r="F32" s="169">
        <v>1.502</v>
      </c>
      <c r="G32" s="155"/>
      <c r="H32" s="115"/>
    </row>
    <row r="33" spans="1:10" ht="12.75" customHeight="1" x14ac:dyDescent="0.2">
      <c r="A33" s="138" t="s">
        <v>178</v>
      </c>
      <c r="B33" s="168" t="s">
        <v>224</v>
      </c>
      <c r="C33" s="152">
        <f>C13*C29%</f>
        <v>0.4973400364064412</v>
      </c>
      <c r="D33" s="155"/>
      <c r="E33" s="166" t="s">
        <v>174</v>
      </c>
      <c r="F33" s="169">
        <v>3</v>
      </c>
      <c r="G33" s="155"/>
      <c r="H33" s="115"/>
    </row>
    <row r="34" spans="1:10" x14ac:dyDescent="0.2">
      <c r="A34" s="254" t="s">
        <v>180</v>
      </c>
      <c r="B34" s="254"/>
      <c r="C34" s="152">
        <f>SUM(C32:C33)</f>
        <v>4.630789790378202</v>
      </c>
      <c r="D34" s="155"/>
      <c r="E34" s="166" t="s">
        <v>174</v>
      </c>
      <c r="F34" s="169">
        <v>7.5</v>
      </c>
      <c r="G34" s="141"/>
      <c r="H34" s="115"/>
    </row>
    <row r="35" spans="1:10" x14ac:dyDescent="0.2">
      <c r="A35" s="253" t="s">
        <v>182</v>
      </c>
      <c r="B35" s="253"/>
      <c r="C35" s="152">
        <f>(C21+C30+C24+C34)</f>
        <v>67.544932713408798</v>
      </c>
      <c r="D35" s="141"/>
      <c r="E35" s="166" t="s">
        <v>177</v>
      </c>
      <c r="F35" s="171">
        <v>24</v>
      </c>
      <c r="G35" s="155"/>
      <c r="H35" s="115"/>
    </row>
    <row r="36" spans="1:10" ht="12.75" hidden="1" customHeight="1" x14ac:dyDescent="0.2">
      <c r="A36" s="183"/>
      <c r="B36" s="183"/>
      <c r="C36" s="183"/>
      <c r="D36" s="141"/>
      <c r="E36" s="166"/>
      <c r="F36" s="169"/>
      <c r="G36" s="141"/>
      <c r="H36" s="115"/>
    </row>
    <row r="37" spans="1:10" x14ac:dyDescent="0.2">
      <c r="A37" s="256" t="s">
        <v>184</v>
      </c>
      <c r="B37" s="256"/>
      <c r="C37" s="256"/>
      <c r="E37" s="166" t="s">
        <v>181</v>
      </c>
      <c r="F37" s="169">
        <v>19.5</v>
      </c>
      <c r="G37" s="141"/>
      <c r="H37" s="115"/>
    </row>
    <row r="38" spans="1:10" x14ac:dyDescent="0.2">
      <c r="A38" s="172" t="s">
        <v>186</v>
      </c>
      <c r="B38" s="173" t="s">
        <v>187</v>
      </c>
      <c r="C38" s="163">
        <f>((F30*F31*6%)/F39)*100</f>
        <v>6</v>
      </c>
      <c r="E38" s="166" t="s">
        <v>183</v>
      </c>
      <c r="F38" s="169">
        <v>28.8</v>
      </c>
      <c r="G38" s="141"/>
      <c r="H38" s="115"/>
    </row>
    <row r="39" spans="1:10" x14ac:dyDescent="0.25">
      <c r="A39" s="172" t="s">
        <v>189</v>
      </c>
      <c r="B39" s="173" t="s">
        <v>190</v>
      </c>
      <c r="C39" s="163">
        <f>((F32*F35-F39/30*F35*1%)/F39)*100</f>
        <v>5.2080000000000002</v>
      </c>
      <c r="E39" s="166" t="s">
        <v>185</v>
      </c>
      <c r="F39" s="169">
        <v>600</v>
      </c>
      <c r="G39" s="174"/>
      <c r="H39" s="115"/>
    </row>
    <row r="40" spans="1:10" x14ac:dyDescent="0.25">
      <c r="A40" s="138" t="s">
        <v>191</v>
      </c>
      <c r="B40" s="159" t="s">
        <v>192</v>
      </c>
      <c r="C40" s="163">
        <f>((F34*F35*0.95)/F39)*100</f>
        <v>28.499999999999996</v>
      </c>
      <c r="E40" s="171" t="s">
        <v>188</v>
      </c>
      <c r="F40" s="171">
        <v>12</v>
      </c>
      <c r="H40" s="115"/>
    </row>
    <row r="41" spans="1:10" ht="12.75" customHeight="1" x14ac:dyDescent="0.25">
      <c r="A41" s="138" t="s">
        <v>193</v>
      </c>
      <c r="B41" s="159" t="s">
        <v>194</v>
      </c>
      <c r="C41" s="163">
        <f>(F37/F39)*100</f>
        <v>3.25</v>
      </c>
      <c r="E41" s="115"/>
      <c r="F41" s="115"/>
      <c r="H41" s="115"/>
    </row>
    <row r="42" spans="1:10" s="125" customFormat="1" ht="12.75" customHeight="1" x14ac:dyDescent="0.25">
      <c r="A42" s="138" t="s">
        <v>195</v>
      </c>
      <c r="B42" s="159" t="s">
        <v>196</v>
      </c>
      <c r="C42" s="163">
        <f>(F38/F39)*100</f>
        <v>4.8</v>
      </c>
      <c r="E42" s="175" t="s">
        <v>198</v>
      </c>
      <c r="F42" s="175"/>
      <c r="I42" s="115"/>
      <c r="J42" s="115"/>
    </row>
    <row r="43" spans="1:10" s="125" customFormat="1" ht="12.75" customHeight="1" x14ac:dyDescent="0.25">
      <c r="A43" s="138" t="s">
        <v>197</v>
      </c>
      <c r="B43" s="159" t="s">
        <v>188</v>
      </c>
      <c r="C43" s="163">
        <f>(F40/F39)*100</f>
        <v>2</v>
      </c>
      <c r="E43" s="175"/>
      <c r="F43" s="175"/>
      <c r="I43" s="115"/>
      <c r="J43" s="115"/>
    </row>
    <row r="44" spans="1:10" x14ac:dyDescent="0.25">
      <c r="A44" s="253" t="s">
        <v>199</v>
      </c>
      <c r="B44" s="253"/>
      <c r="C44" s="163">
        <f>SUM(C38:C42)</f>
        <v>47.757999999999996</v>
      </c>
      <c r="E44" s="176"/>
      <c r="F44" s="176"/>
    </row>
    <row r="45" spans="1:10" x14ac:dyDescent="0.25">
      <c r="A45" s="253" t="s">
        <v>200</v>
      </c>
      <c r="B45" s="253"/>
      <c r="C45" s="153">
        <f>C44+C35</f>
        <v>115.30293271340879</v>
      </c>
      <c r="E45" s="159" t="s">
        <v>201</v>
      </c>
      <c r="F45" s="177">
        <f>SUM(F46:F59)</f>
        <v>72807</v>
      </c>
    </row>
    <row r="46" spans="1:10" x14ac:dyDescent="0.25">
      <c r="A46" s="252"/>
      <c r="B46" s="252"/>
      <c r="C46" s="252"/>
      <c r="E46" s="159" t="s">
        <v>202</v>
      </c>
      <c r="F46" s="177">
        <v>882</v>
      </c>
    </row>
    <row r="47" spans="1:10" s="187" customFormat="1" x14ac:dyDescent="0.25">
      <c r="A47" s="176"/>
      <c r="B47" s="176"/>
      <c r="C47" s="176"/>
      <c r="D47" s="184"/>
      <c r="E47" s="185"/>
      <c r="F47" s="186"/>
      <c r="G47" s="184"/>
      <c r="H47" s="184"/>
    </row>
    <row r="48" spans="1:10" s="187" customFormat="1" x14ac:dyDescent="0.25">
      <c r="A48" s="176"/>
      <c r="B48" s="176"/>
      <c r="C48" s="176"/>
      <c r="D48" s="184"/>
      <c r="E48" s="185"/>
      <c r="F48" s="186"/>
      <c r="G48" s="184"/>
      <c r="H48" s="184"/>
    </row>
    <row r="49" spans="1:10" s="187" customFormat="1" x14ac:dyDescent="0.25">
      <c r="A49" s="176"/>
      <c r="B49" s="176"/>
      <c r="C49" s="176"/>
      <c r="D49" s="184"/>
      <c r="E49" s="185"/>
      <c r="F49" s="186"/>
      <c r="G49" s="184"/>
      <c r="H49" s="184"/>
    </row>
    <row r="50" spans="1:10" s="187" customFormat="1" x14ac:dyDescent="0.25">
      <c r="A50" s="176"/>
      <c r="B50" s="176"/>
      <c r="C50" s="176"/>
      <c r="D50" s="184"/>
      <c r="E50" s="185"/>
      <c r="F50" s="186"/>
      <c r="G50" s="184"/>
      <c r="H50" s="184"/>
    </row>
    <row r="51" spans="1:10" s="187" customFormat="1" x14ac:dyDescent="0.25">
      <c r="A51" s="176"/>
      <c r="B51" s="176"/>
      <c r="C51" s="176"/>
      <c r="D51" s="184"/>
      <c r="E51" s="185"/>
      <c r="F51" s="186"/>
      <c r="G51" s="184"/>
      <c r="H51" s="184"/>
    </row>
    <row r="52" spans="1:10" s="187" customFormat="1" x14ac:dyDescent="0.25">
      <c r="A52" s="176"/>
      <c r="B52" s="176"/>
      <c r="C52" s="176"/>
      <c r="D52" s="184"/>
      <c r="E52" s="185"/>
      <c r="F52" s="186"/>
      <c r="G52" s="184"/>
      <c r="H52" s="184"/>
    </row>
    <row r="53" spans="1:10" x14ac:dyDescent="0.25">
      <c r="E53" s="159" t="s">
        <v>203</v>
      </c>
      <c r="F53" s="177">
        <v>55380</v>
      </c>
    </row>
    <row r="54" spans="1:10" s="125" customFormat="1" ht="12.75" customHeight="1" x14ac:dyDescent="0.25">
      <c r="E54" s="159" t="s">
        <v>204</v>
      </c>
      <c r="F54" s="177">
        <v>7553</v>
      </c>
      <c r="I54" s="115"/>
      <c r="J54" s="115"/>
    </row>
    <row r="55" spans="1:10" s="125" customFormat="1" x14ac:dyDescent="0.25">
      <c r="E55" s="159" t="s">
        <v>205</v>
      </c>
      <c r="F55" s="177">
        <v>2241</v>
      </c>
      <c r="I55" s="115"/>
      <c r="J55" s="115"/>
    </row>
    <row r="56" spans="1:10" s="125" customFormat="1" x14ac:dyDescent="0.25">
      <c r="E56" s="159" t="s">
        <v>206</v>
      </c>
      <c r="F56" s="177">
        <v>6593</v>
      </c>
      <c r="I56" s="115"/>
      <c r="J56" s="115"/>
    </row>
    <row r="57" spans="1:10" s="125" customFormat="1" x14ac:dyDescent="0.25">
      <c r="E57" s="159" t="s">
        <v>207</v>
      </c>
      <c r="F57" s="177">
        <v>10</v>
      </c>
      <c r="I57" s="115"/>
      <c r="J57" s="115"/>
    </row>
    <row r="58" spans="1:10" s="125" customFormat="1" x14ac:dyDescent="0.25">
      <c r="E58" s="159" t="s">
        <v>208</v>
      </c>
      <c r="F58" s="177">
        <v>148</v>
      </c>
      <c r="I58" s="115"/>
      <c r="J58" s="115"/>
    </row>
    <row r="59" spans="1:10" s="125" customFormat="1" x14ac:dyDescent="0.25">
      <c r="E59" s="159" t="s">
        <v>209</v>
      </c>
      <c r="F59" s="177">
        <v>0</v>
      </c>
      <c r="I59" s="115"/>
      <c r="J59" s="115"/>
    </row>
    <row r="60" spans="1:10" s="125" customFormat="1" x14ac:dyDescent="0.25">
      <c r="E60" s="159" t="s">
        <v>210</v>
      </c>
      <c r="F60" s="177"/>
      <c r="I60" s="115"/>
      <c r="J60" s="115"/>
    </row>
    <row r="61" spans="1:10" s="125" customFormat="1" x14ac:dyDescent="0.25">
      <c r="E61" s="159" t="s">
        <v>211</v>
      </c>
      <c r="F61" s="177">
        <v>95230</v>
      </c>
      <c r="I61" s="115"/>
      <c r="J61" s="115"/>
    </row>
    <row r="62" spans="1:10" s="125" customFormat="1" x14ac:dyDescent="0.25">
      <c r="E62" s="159" t="s">
        <v>212</v>
      </c>
      <c r="F62" s="177">
        <v>102886</v>
      </c>
      <c r="I62" s="115"/>
      <c r="J62" s="115"/>
    </row>
    <row r="63" spans="1:10" s="125" customFormat="1" x14ac:dyDescent="0.25">
      <c r="E63" s="159" t="s">
        <v>213</v>
      </c>
      <c r="F63" s="177">
        <f>SUM(F61:F62)/COUNT(F61:F62)</f>
        <v>99058</v>
      </c>
      <c r="I63" s="115"/>
      <c r="J63" s="115"/>
    </row>
    <row r="64" spans="1:10" s="125" customFormat="1" ht="38.25" x14ac:dyDescent="0.25">
      <c r="E64" s="162" t="s">
        <v>214</v>
      </c>
      <c r="F64" s="177">
        <f>F45-(F54+F57+F58+F59)</f>
        <v>65096</v>
      </c>
      <c r="I64" s="115"/>
      <c r="J64" s="115"/>
    </row>
    <row r="65" spans="5:10" s="125" customFormat="1" ht="25.5" x14ac:dyDescent="0.25">
      <c r="E65" s="162" t="s">
        <v>215</v>
      </c>
      <c r="F65" s="177">
        <f>F45-(F57+F58+F59)</f>
        <v>72649</v>
      </c>
      <c r="I65" s="115"/>
      <c r="J65" s="115"/>
    </row>
    <row r="67" spans="5:10" s="125" customFormat="1" ht="25.5" x14ac:dyDescent="0.25">
      <c r="E67" s="162" t="s">
        <v>216</v>
      </c>
      <c r="F67" s="179">
        <f>(F64/F63)*1</f>
        <v>0.65715035635688179</v>
      </c>
      <c r="I67" s="115"/>
      <c r="J67" s="115"/>
    </row>
    <row r="68" spans="5:10" s="125" customFormat="1" x14ac:dyDescent="0.25">
      <c r="E68" s="162" t="s">
        <v>217</v>
      </c>
      <c r="F68" s="179">
        <f>(F65/F63)*1</f>
        <v>0.73339861495285585</v>
      </c>
      <c r="I68" s="115"/>
      <c r="J68" s="115"/>
    </row>
    <row r="69" spans="5:10" s="125" customFormat="1" x14ac:dyDescent="0.25">
      <c r="E69" s="162" t="s">
        <v>218</v>
      </c>
      <c r="F69" s="179">
        <f>(F54/F45)*1</f>
        <v>0.10374002499759638</v>
      </c>
      <c r="I69" s="115"/>
      <c r="J69" s="115"/>
    </row>
    <row r="70" spans="5:10" s="125" customFormat="1" x14ac:dyDescent="0.25">
      <c r="E70" s="162" t="s">
        <v>219</v>
      </c>
      <c r="F70" s="180">
        <f>12/F67</f>
        <v>18.260661177338086</v>
      </c>
      <c r="I70" s="115"/>
      <c r="J70" s="115"/>
    </row>
    <row r="71" spans="5:10" s="125" customFormat="1" x14ac:dyDescent="0.25">
      <c r="E71" s="159" t="s">
        <v>220</v>
      </c>
      <c r="F71" s="179">
        <f>(F53/F64)*1</f>
        <v>0.85074351726680597</v>
      </c>
      <c r="I71" s="115"/>
      <c r="J71" s="115"/>
    </row>
    <row r="72" spans="5:10" s="125" customFormat="1" x14ac:dyDescent="0.25">
      <c r="E72" s="181"/>
      <c r="F72" s="181"/>
      <c r="I72" s="115"/>
      <c r="J72" s="115"/>
    </row>
  </sheetData>
  <mergeCells count="17">
    <mergeCell ref="A34:B34"/>
    <mergeCell ref="A1:D4"/>
    <mergeCell ref="A6:C6"/>
    <mergeCell ref="A7:C7"/>
    <mergeCell ref="A10:C10"/>
    <mergeCell ref="A11:B11"/>
    <mergeCell ref="A21:B21"/>
    <mergeCell ref="A22:C22"/>
    <mergeCell ref="A24:B24"/>
    <mergeCell ref="A25:C25"/>
    <mergeCell ref="A30:B30"/>
    <mergeCell ref="A31:C31"/>
    <mergeCell ref="A35:B35"/>
    <mergeCell ref="A37:C37"/>
    <mergeCell ref="A44:B44"/>
    <mergeCell ref="A45:B45"/>
    <mergeCell ref="A46:C46"/>
  </mergeCells>
  <printOptions horizontalCentered="1"/>
  <pageMargins left="0.56999999999999995" right="0.34" top="0.98425196850393704" bottom="0.98425196850393704" header="0.51181102362204722" footer="0.51181102362204722"/>
  <pageSetup paperSize="9" orientation="portrait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6</vt:i4>
      </vt:variant>
    </vt:vector>
  </HeadingPairs>
  <TitlesOfParts>
    <vt:vector size="12" baseType="lpstr">
      <vt:lpstr>Resumo Geral</vt:lpstr>
      <vt:lpstr>orçamento</vt:lpstr>
      <vt:lpstr>BDI</vt:lpstr>
      <vt:lpstr>Enc. Soc. (Horista)</vt:lpstr>
      <vt:lpstr>Enc. Soc. (Mensalista)</vt:lpstr>
      <vt:lpstr>Plan1</vt:lpstr>
      <vt:lpstr>'Enc. Soc. (Horista)'!Area_de_impressao</vt:lpstr>
      <vt:lpstr>'Enc. Soc. (Mensalista)'!Area_de_impressao</vt:lpstr>
      <vt:lpstr>orçamento!Area_de_impressao</vt:lpstr>
      <vt:lpstr>'Resumo Geral'!Area_de_impressao</vt:lpstr>
      <vt:lpstr>orçamento!Titulos_de_impressao</vt:lpstr>
      <vt:lpstr>'Resumo Geral'!Titulos_de_impressao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 Viana Pereira Lima</dc:creator>
  <cp:lastModifiedBy>Osorio</cp:lastModifiedBy>
  <cp:lastPrinted>2015-08-31T10:37:38Z</cp:lastPrinted>
  <dcterms:created xsi:type="dcterms:W3CDTF">2014-12-05T14:57:45Z</dcterms:created>
  <dcterms:modified xsi:type="dcterms:W3CDTF">2015-09-02T17:32:34Z</dcterms:modified>
</cp:coreProperties>
</file>