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55" windowWidth="20115" windowHeight="7305"/>
  </bookViews>
  <sheets>
    <sheet name="QUADRA DE ESPORTE - GINASIO" sheetId="3" r:id="rId1"/>
    <sheet name="CRO " sheetId="2" r:id="rId2"/>
  </sheets>
  <externalReferences>
    <externalReference r:id="rId3"/>
  </externalReferences>
  <definedNames>
    <definedName name="_xlnm.Print_Area" localSheetId="1">'CRO '!$A$4:$AR$52</definedName>
    <definedName name="_xlnm.Print_Area" localSheetId="0">'QUADRA DE ESPORTE - GINASIO'!$A$8:$N$311</definedName>
    <definedName name="_xlnm.Print_Titles" localSheetId="1">'CRO '!$B:$F,'CRO '!$5:$19</definedName>
  </definedNames>
  <calcPr calcId="144525"/>
</workbook>
</file>

<file path=xl/calcChain.xml><?xml version="1.0" encoding="utf-8"?>
<calcChain xmlns="http://schemas.openxmlformats.org/spreadsheetml/2006/main">
  <c r="G41" i="2" l="1"/>
  <c r="E39" i="2" l="1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K33" i="3"/>
  <c r="K34" i="3"/>
  <c r="K35" i="3"/>
  <c r="K36" i="3"/>
  <c r="O301" i="3" l="1"/>
  <c r="E41" i="2" l="1"/>
  <c r="I51" i="2" l="1"/>
  <c r="B51" i="2"/>
  <c r="H49" i="2"/>
  <c r="H48" i="2"/>
  <c r="I13" i="2"/>
  <c r="D13" i="2"/>
  <c r="D12" i="2"/>
  <c r="D11" i="2"/>
  <c r="D10" i="2"/>
  <c r="D9" i="2"/>
  <c r="K98" i="3"/>
  <c r="K49" i="3"/>
  <c r="K48" i="3"/>
  <c r="K47" i="3"/>
  <c r="K46" i="3"/>
  <c r="K44" i="3"/>
  <c r="K43" i="3"/>
  <c r="K42" i="3"/>
  <c r="K41" i="3"/>
  <c r="K40" i="3"/>
  <c r="K296" i="3"/>
  <c r="K297" i="3" s="1"/>
  <c r="L296" i="3" s="1"/>
  <c r="L297" i="3" s="1"/>
  <c r="K293" i="3"/>
  <c r="K292" i="3"/>
  <c r="K291" i="3"/>
  <c r="K290" i="3"/>
  <c r="K289" i="3"/>
  <c r="K288" i="3"/>
  <c r="K285" i="3"/>
  <c r="K284" i="3"/>
  <c r="K283" i="3"/>
  <c r="K282" i="3"/>
  <c r="K281" i="3"/>
  <c r="K280" i="3"/>
  <c r="K286" i="3" s="1"/>
  <c r="K277" i="3"/>
  <c r="K276" i="3"/>
  <c r="K275" i="3"/>
  <c r="K274" i="3"/>
  <c r="K273" i="3"/>
  <c r="K272" i="3"/>
  <c r="K270" i="3"/>
  <c r="K269" i="3"/>
  <c r="K268" i="3"/>
  <c r="K267" i="3"/>
  <c r="K264" i="3"/>
  <c r="K263" i="3"/>
  <c r="K262" i="3"/>
  <c r="K261" i="3"/>
  <c r="K260" i="3"/>
  <c r="K259" i="3"/>
  <c r="K258" i="3"/>
  <c r="K257" i="3"/>
  <c r="K256" i="3"/>
  <c r="K251" i="3"/>
  <c r="K250" i="3"/>
  <c r="K249" i="3"/>
  <c r="K248" i="3"/>
  <c r="K247" i="3"/>
  <c r="K246" i="3"/>
  <c r="K245" i="3"/>
  <c r="K244" i="3"/>
  <c r="K255" i="3"/>
  <c r="K254" i="3"/>
  <c r="K253" i="3"/>
  <c r="K252" i="3"/>
  <c r="K242" i="3"/>
  <c r="K241" i="3"/>
  <c r="K240" i="3"/>
  <c r="K239" i="3"/>
  <c r="K238" i="3"/>
  <c r="K237" i="3"/>
  <c r="K236" i="3"/>
  <c r="K232" i="3"/>
  <c r="K231" i="3"/>
  <c r="K230" i="3"/>
  <c r="K229" i="3"/>
  <c r="K228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6" i="3"/>
  <c r="K205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48" i="3"/>
  <c r="K145" i="3"/>
  <c r="K144" i="3"/>
  <c r="K143" i="3"/>
  <c r="K142" i="3"/>
  <c r="K141" i="3"/>
  <c r="K140" i="3"/>
  <c r="K139" i="3"/>
  <c r="K136" i="3"/>
  <c r="K135" i="3"/>
  <c r="K133" i="3"/>
  <c r="K132" i="3"/>
  <c r="K131" i="3"/>
  <c r="K130" i="3"/>
  <c r="K129" i="3"/>
  <c r="K128" i="3"/>
  <c r="K105" i="3"/>
  <c r="K104" i="3"/>
  <c r="K125" i="3"/>
  <c r="K124" i="3"/>
  <c r="K123" i="3"/>
  <c r="K122" i="3"/>
  <c r="K120" i="3"/>
  <c r="K119" i="3"/>
  <c r="K118" i="3"/>
  <c r="K114" i="3"/>
  <c r="K115" i="3"/>
  <c r="K116" i="3"/>
  <c r="K101" i="3"/>
  <c r="K100" i="3"/>
  <c r="K90" i="3"/>
  <c r="K89" i="3"/>
  <c r="K91" i="3"/>
  <c r="K92" i="3"/>
  <c r="K93" i="3"/>
  <c r="K95" i="3"/>
  <c r="K96" i="3"/>
  <c r="K85" i="3"/>
  <c r="K83" i="3"/>
  <c r="K80" i="3"/>
  <c r="K81" i="3"/>
  <c r="K79" i="3"/>
  <c r="K60" i="3"/>
  <c r="K30" i="3"/>
  <c r="K294" i="3" l="1"/>
  <c r="L290" i="3" s="1"/>
  <c r="L283" i="3"/>
  <c r="K102" i="3"/>
  <c r="L98" i="3" s="1"/>
  <c r="K278" i="3"/>
  <c r="K207" i="3"/>
  <c r="L206" i="3" s="1"/>
  <c r="K226" i="3"/>
  <c r="L214" i="3" s="1"/>
  <c r="K146" i="3"/>
  <c r="L145" i="3" s="1"/>
  <c r="K203" i="3"/>
  <c r="L197" i="3" s="1"/>
  <c r="K233" i="3"/>
  <c r="L232" i="3" s="1"/>
  <c r="K137" i="3"/>
  <c r="L131" i="3" s="1"/>
  <c r="K184" i="3"/>
  <c r="K106" i="3"/>
  <c r="K86" i="3"/>
  <c r="L83" i="3" s="1"/>
  <c r="K59" i="3"/>
  <c r="F71" i="3"/>
  <c r="F63" i="3"/>
  <c r="D16" i="3"/>
  <c r="X50" i="2"/>
  <c r="T50" i="2"/>
  <c r="H50" i="2"/>
  <c r="L50" i="2" s="1"/>
  <c r="X49" i="2"/>
  <c r="T49" i="2"/>
  <c r="L49" i="2"/>
  <c r="X48" i="2"/>
  <c r="T48" i="2"/>
  <c r="L48" i="2"/>
  <c r="I39" i="2"/>
  <c r="K39" i="2" s="1"/>
  <c r="M39" i="2" s="1"/>
  <c r="O39" i="2" s="1"/>
  <c r="Q39" i="2" s="1"/>
  <c r="S39" i="2" s="1"/>
  <c r="U39" i="2" s="1"/>
  <c r="W39" i="2" s="1"/>
  <c r="Y39" i="2" s="1"/>
  <c r="AA39" i="2" s="1"/>
  <c r="AC39" i="2" s="1"/>
  <c r="AE39" i="2" s="1"/>
  <c r="AG39" i="2" s="1"/>
  <c r="AI39" i="2" s="1"/>
  <c r="AK39" i="2" s="1"/>
  <c r="AM39" i="2" s="1"/>
  <c r="AO39" i="2" s="1"/>
  <c r="AQ39" i="2" s="1"/>
  <c r="U38" i="2"/>
  <c r="W38" i="2" s="1"/>
  <c r="Y38" i="2" s="1"/>
  <c r="AA38" i="2" s="1"/>
  <c r="AC38" i="2" s="1"/>
  <c r="AE38" i="2" s="1"/>
  <c r="AG38" i="2" s="1"/>
  <c r="AI38" i="2" s="1"/>
  <c r="AK38" i="2" s="1"/>
  <c r="AM38" i="2" s="1"/>
  <c r="AO38" i="2" s="1"/>
  <c r="AQ38" i="2" s="1"/>
  <c r="U37" i="2"/>
  <c r="W37" i="2" s="1"/>
  <c r="Y37" i="2" s="1"/>
  <c r="AA37" i="2" s="1"/>
  <c r="AC37" i="2" s="1"/>
  <c r="AE37" i="2" s="1"/>
  <c r="AG37" i="2" s="1"/>
  <c r="AI37" i="2" s="1"/>
  <c r="AK37" i="2" s="1"/>
  <c r="AM37" i="2" s="1"/>
  <c r="AO37" i="2" s="1"/>
  <c r="AQ37" i="2" s="1"/>
  <c r="U36" i="2"/>
  <c r="W36" i="2" s="1"/>
  <c r="Y36" i="2" s="1"/>
  <c r="AA36" i="2" s="1"/>
  <c r="AC36" i="2" s="1"/>
  <c r="AE36" i="2" s="1"/>
  <c r="AG36" i="2" s="1"/>
  <c r="AI36" i="2" s="1"/>
  <c r="AK36" i="2" s="1"/>
  <c r="AM36" i="2" s="1"/>
  <c r="AO36" i="2" s="1"/>
  <c r="AQ36" i="2" s="1"/>
  <c r="U35" i="2"/>
  <c r="W35" i="2" s="1"/>
  <c r="Y35" i="2" s="1"/>
  <c r="AA35" i="2" s="1"/>
  <c r="AC35" i="2" s="1"/>
  <c r="AE35" i="2" s="1"/>
  <c r="AG35" i="2" s="1"/>
  <c r="AI35" i="2" s="1"/>
  <c r="AK35" i="2" s="1"/>
  <c r="AM35" i="2" s="1"/>
  <c r="AO35" i="2" s="1"/>
  <c r="AQ35" i="2" s="1"/>
  <c r="U34" i="2"/>
  <c r="W34" i="2" s="1"/>
  <c r="Y34" i="2" s="1"/>
  <c r="AA34" i="2" s="1"/>
  <c r="AC34" i="2" s="1"/>
  <c r="AE34" i="2" s="1"/>
  <c r="AG34" i="2" s="1"/>
  <c r="AI34" i="2" s="1"/>
  <c r="AK34" i="2" s="1"/>
  <c r="AM34" i="2" s="1"/>
  <c r="AO34" i="2" s="1"/>
  <c r="AQ34" i="2" s="1"/>
  <c r="U32" i="2"/>
  <c r="W32" i="2" s="1"/>
  <c r="Y32" i="2" s="1"/>
  <c r="AA32" i="2" s="1"/>
  <c r="AC32" i="2" s="1"/>
  <c r="AE32" i="2" s="1"/>
  <c r="AG32" i="2" s="1"/>
  <c r="AI32" i="2" s="1"/>
  <c r="AK32" i="2" s="1"/>
  <c r="AM32" i="2" s="1"/>
  <c r="AO32" i="2" s="1"/>
  <c r="AQ32" i="2" s="1"/>
  <c r="U31" i="2"/>
  <c r="W31" i="2" s="1"/>
  <c r="Y31" i="2" s="1"/>
  <c r="AA31" i="2" s="1"/>
  <c r="AC31" i="2" s="1"/>
  <c r="AE31" i="2" s="1"/>
  <c r="AG31" i="2" s="1"/>
  <c r="AI31" i="2" s="1"/>
  <c r="AK31" i="2" s="1"/>
  <c r="AM31" i="2" s="1"/>
  <c r="AO31" i="2" s="1"/>
  <c r="AQ31" i="2" s="1"/>
  <c r="U30" i="2"/>
  <c r="W30" i="2" s="1"/>
  <c r="Y30" i="2" s="1"/>
  <c r="AA30" i="2" s="1"/>
  <c r="AC30" i="2" s="1"/>
  <c r="AE30" i="2" s="1"/>
  <c r="AG30" i="2" s="1"/>
  <c r="AI30" i="2" s="1"/>
  <c r="AK30" i="2" s="1"/>
  <c r="AM30" i="2" s="1"/>
  <c r="AO30" i="2" s="1"/>
  <c r="AQ30" i="2" s="1"/>
  <c r="U28" i="2"/>
  <c r="W28" i="2" s="1"/>
  <c r="Y28" i="2" s="1"/>
  <c r="AA28" i="2" s="1"/>
  <c r="AC28" i="2" s="1"/>
  <c r="AE28" i="2" s="1"/>
  <c r="AG28" i="2" s="1"/>
  <c r="AI28" i="2" s="1"/>
  <c r="AK28" i="2" s="1"/>
  <c r="AM28" i="2" s="1"/>
  <c r="AO28" i="2" s="1"/>
  <c r="AQ28" i="2" s="1"/>
  <c r="U27" i="2"/>
  <c r="W27" i="2" s="1"/>
  <c r="Y27" i="2" s="1"/>
  <c r="AA27" i="2" s="1"/>
  <c r="AC27" i="2" s="1"/>
  <c r="AE27" i="2" s="1"/>
  <c r="AG27" i="2" s="1"/>
  <c r="AI27" i="2" s="1"/>
  <c r="AK27" i="2" s="1"/>
  <c r="AM27" i="2" s="1"/>
  <c r="AO27" i="2" s="1"/>
  <c r="AQ27" i="2" s="1"/>
  <c r="U26" i="2"/>
  <c r="W26" i="2" s="1"/>
  <c r="Y26" i="2" s="1"/>
  <c r="AA26" i="2" s="1"/>
  <c r="AC26" i="2" s="1"/>
  <c r="AE26" i="2" s="1"/>
  <c r="AG26" i="2" s="1"/>
  <c r="AI26" i="2" s="1"/>
  <c r="AK26" i="2" s="1"/>
  <c r="AM26" i="2" s="1"/>
  <c r="AO26" i="2" s="1"/>
  <c r="AQ26" i="2" s="1"/>
  <c r="U25" i="2"/>
  <c r="W25" i="2" s="1"/>
  <c r="Y25" i="2" s="1"/>
  <c r="AA25" i="2" s="1"/>
  <c r="AC25" i="2" s="1"/>
  <c r="AE25" i="2" s="1"/>
  <c r="AG25" i="2" s="1"/>
  <c r="AI25" i="2" s="1"/>
  <c r="AK25" i="2" s="1"/>
  <c r="AM25" i="2" s="1"/>
  <c r="AO25" i="2" s="1"/>
  <c r="AQ25" i="2" s="1"/>
  <c r="U24" i="2"/>
  <c r="W24" i="2" s="1"/>
  <c r="Y24" i="2" s="1"/>
  <c r="AA24" i="2" s="1"/>
  <c r="AC24" i="2" s="1"/>
  <c r="AE24" i="2" s="1"/>
  <c r="AG24" i="2" s="1"/>
  <c r="AI24" i="2" s="1"/>
  <c r="AK24" i="2" s="1"/>
  <c r="AM24" i="2" s="1"/>
  <c r="AO24" i="2" s="1"/>
  <c r="AQ24" i="2" s="1"/>
  <c r="U22" i="2"/>
  <c r="W22" i="2" s="1"/>
  <c r="Y22" i="2" s="1"/>
  <c r="AA22" i="2" s="1"/>
  <c r="AC22" i="2" s="1"/>
  <c r="AE22" i="2" s="1"/>
  <c r="AG22" i="2" s="1"/>
  <c r="AI22" i="2" s="1"/>
  <c r="AK22" i="2" s="1"/>
  <c r="AM22" i="2" s="1"/>
  <c r="AO22" i="2" s="1"/>
  <c r="AQ22" i="2" s="1"/>
  <c r="U21" i="2"/>
  <c r="W21" i="2" s="1"/>
  <c r="Y21" i="2" s="1"/>
  <c r="AA21" i="2" s="1"/>
  <c r="AC21" i="2" s="1"/>
  <c r="AE21" i="2" s="1"/>
  <c r="AG21" i="2" s="1"/>
  <c r="AI21" i="2" s="1"/>
  <c r="AK21" i="2" s="1"/>
  <c r="AM21" i="2" s="1"/>
  <c r="AO21" i="2" s="1"/>
  <c r="AQ21" i="2" s="1"/>
  <c r="U20" i="2"/>
  <c r="W20" i="2" s="1"/>
  <c r="Y20" i="2" s="1"/>
  <c r="AA20" i="2" s="1"/>
  <c r="AC20" i="2" s="1"/>
  <c r="AE20" i="2" s="1"/>
  <c r="AG20" i="2" s="1"/>
  <c r="AI20" i="2" s="1"/>
  <c r="AK20" i="2" s="1"/>
  <c r="AM20" i="2" s="1"/>
  <c r="AO20" i="2" s="1"/>
  <c r="AQ20" i="2" s="1"/>
  <c r="V13" i="2"/>
  <c r="W13" i="2"/>
  <c r="Z13" i="2"/>
  <c r="V12" i="2"/>
  <c r="W12" i="2"/>
  <c r="I12" i="2"/>
  <c r="V11" i="2"/>
  <c r="V10" i="2"/>
  <c r="W10" i="2"/>
  <c r="V9" i="2"/>
  <c r="W9" i="2"/>
  <c r="U6" i="2"/>
  <c r="L192" i="3" l="1"/>
  <c r="L282" i="3"/>
  <c r="L289" i="3"/>
  <c r="L291" i="3"/>
  <c r="L292" i="3"/>
  <c r="L288" i="3"/>
  <c r="L293" i="3"/>
  <c r="L284" i="3"/>
  <c r="L285" i="3"/>
  <c r="L281" i="3"/>
  <c r="L280" i="3"/>
  <c r="L229" i="3"/>
  <c r="L228" i="3"/>
  <c r="L223" i="3"/>
  <c r="L225" i="3"/>
  <c r="L224" i="3"/>
  <c r="L195" i="3"/>
  <c r="L193" i="3"/>
  <c r="L201" i="3"/>
  <c r="L142" i="3"/>
  <c r="L140" i="3"/>
  <c r="L141" i="3"/>
  <c r="L132" i="3"/>
  <c r="L136" i="3"/>
  <c r="L96" i="3"/>
  <c r="L105" i="3"/>
  <c r="L209" i="3"/>
  <c r="L210" i="3"/>
  <c r="L219" i="3"/>
  <c r="L231" i="3"/>
  <c r="L217" i="3"/>
  <c r="L216" i="3"/>
  <c r="L215" i="3"/>
  <c r="L218" i="3"/>
  <c r="L221" i="3"/>
  <c r="L220" i="3"/>
  <c r="L222" i="3"/>
  <c r="L276" i="3"/>
  <c r="L272" i="3"/>
  <c r="L267" i="3"/>
  <c r="L261" i="3"/>
  <c r="L257" i="3"/>
  <c r="L253" i="3"/>
  <c r="L249" i="3"/>
  <c r="L245" i="3"/>
  <c r="L239" i="3"/>
  <c r="L236" i="3"/>
  <c r="L277" i="3"/>
  <c r="L273" i="3"/>
  <c r="L268" i="3"/>
  <c r="L262" i="3"/>
  <c r="L258" i="3"/>
  <c r="L254" i="3"/>
  <c r="L250" i="3"/>
  <c r="L246" i="3"/>
  <c r="L238" i="3"/>
  <c r="L242" i="3"/>
  <c r="L275" i="3"/>
  <c r="L270" i="3"/>
  <c r="L264" i="3"/>
  <c r="L260" i="3"/>
  <c r="L256" i="3"/>
  <c r="L252" i="3"/>
  <c r="L248" i="3"/>
  <c r="L244" i="3"/>
  <c r="L240" i="3"/>
  <c r="L274" i="3"/>
  <c r="L269" i="3"/>
  <c r="L263" i="3"/>
  <c r="L259" i="3"/>
  <c r="L255" i="3"/>
  <c r="L251" i="3"/>
  <c r="L247" i="3"/>
  <c r="L237" i="3"/>
  <c r="L241" i="3"/>
  <c r="L205" i="3"/>
  <c r="L207" i="3" s="1"/>
  <c r="L213" i="3"/>
  <c r="L212" i="3"/>
  <c r="L211" i="3"/>
  <c r="L190" i="3"/>
  <c r="L196" i="3"/>
  <c r="L189" i="3"/>
  <c r="L188" i="3"/>
  <c r="L187" i="3"/>
  <c r="L139" i="3"/>
  <c r="L144" i="3"/>
  <c r="L194" i="3"/>
  <c r="L230" i="3"/>
  <c r="L191" i="3"/>
  <c r="L186" i="3"/>
  <c r="L202" i="3"/>
  <c r="L143" i="3"/>
  <c r="L198" i="3"/>
  <c r="L200" i="3"/>
  <c r="L199" i="3"/>
  <c r="L135" i="3"/>
  <c r="L130" i="3"/>
  <c r="L133" i="3"/>
  <c r="L128" i="3"/>
  <c r="L149" i="3"/>
  <c r="L153" i="3"/>
  <c r="L157" i="3"/>
  <c r="L161" i="3"/>
  <c r="L165" i="3"/>
  <c r="L169" i="3"/>
  <c r="L173" i="3"/>
  <c r="L177" i="3"/>
  <c r="L181" i="3"/>
  <c r="L150" i="3"/>
  <c r="L154" i="3"/>
  <c r="L158" i="3"/>
  <c r="L162" i="3"/>
  <c r="L166" i="3"/>
  <c r="L170" i="3"/>
  <c r="L174" i="3"/>
  <c r="L178" i="3"/>
  <c r="L182" i="3"/>
  <c r="L151" i="3"/>
  <c r="L155" i="3"/>
  <c r="L159" i="3"/>
  <c r="L163" i="3"/>
  <c r="L167" i="3"/>
  <c r="L171" i="3"/>
  <c r="L175" i="3"/>
  <c r="L179" i="3"/>
  <c r="L183" i="3"/>
  <c r="L152" i="3"/>
  <c r="L156" i="3"/>
  <c r="L160" i="3"/>
  <c r="L164" i="3"/>
  <c r="L168" i="3"/>
  <c r="L172" i="3"/>
  <c r="L176" i="3"/>
  <c r="L180" i="3"/>
  <c r="L148" i="3"/>
  <c r="L104" i="3"/>
  <c r="L129" i="3"/>
  <c r="L90" i="3"/>
  <c r="L93" i="3"/>
  <c r="L100" i="3"/>
  <c r="L95" i="3"/>
  <c r="L89" i="3"/>
  <c r="L92" i="3"/>
  <c r="L91" i="3"/>
  <c r="L101" i="3"/>
  <c r="L85" i="3"/>
  <c r="L79" i="3"/>
  <c r="L80" i="3"/>
  <c r="L81" i="3"/>
  <c r="K112" i="3"/>
  <c r="K55" i="3"/>
  <c r="K24" i="3"/>
  <c r="K54" i="3"/>
  <c r="K27" i="3"/>
  <c r="K58" i="3"/>
  <c r="K68" i="3"/>
  <c r="K74" i="3"/>
  <c r="K61" i="3"/>
  <c r="K65" i="3"/>
  <c r="K108" i="3"/>
  <c r="K109" i="3" s="1"/>
  <c r="K113" i="3"/>
  <c r="K76" i="3"/>
  <c r="K23" i="3"/>
  <c r="K25" i="3"/>
  <c r="K28" i="3"/>
  <c r="K29" i="3"/>
  <c r="K64" i="3"/>
  <c r="K73" i="3"/>
  <c r="K22" i="3"/>
  <c r="K26" i="3"/>
  <c r="K53" i="3"/>
  <c r="K56" i="3"/>
  <c r="K62" i="3"/>
  <c r="K66" i="3"/>
  <c r="K70" i="3"/>
  <c r="K72" i="3"/>
  <c r="K75" i="3"/>
  <c r="K67" i="3"/>
  <c r="L286" i="3" l="1"/>
  <c r="K31" i="3"/>
  <c r="L106" i="3"/>
  <c r="L294" i="3"/>
  <c r="L233" i="3"/>
  <c r="L146" i="3"/>
  <c r="L102" i="3"/>
  <c r="L184" i="3"/>
  <c r="L137" i="3"/>
  <c r="L226" i="3"/>
  <c r="L278" i="3"/>
  <c r="L203" i="3"/>
  <c r="L108" i="3"/>
  <c r="L109" i="3" s="1"/>
  <c r="K126" i="3"/>
  <c r="L86" i="3"/>
  <c r="K77" i="3"/>
  <c r="L53" i="3" s="1"/>
  <c r="K50" i="3"/>
  <c r="K37" i="3"/>
  <c r="L48" i="3" l="1"/>
  <c r="L42" i="3"/>
  <c r="L47" i="3"/>
  <c r="L43" i="3"/>
  <c r="L46" i="3"/>
  <c r="L44" i="3"/>
  <c r="L49" i="3"/>
  <c r="L41" i="3"/>
  <c r="L40" i="3"/>
  <c r="K299" i="3"/>
  <c r="K303" i="3" s="1"/>
  <c r="L123" i="3"/>
  <c r="L118" i="3"/>
  <c r="L116" i="3"/>
  <c r="L125" i="3"/>
  <c r="L114" i="3"/>
  <c r="L124" i="3"/>
  <c r="L119" i="3"/>
  <c r="L115" i="3"/>
  <c r="L122" i="3"/>
  <c r="L113" i="3"/>
  <c r="L112" i="3"/>
  <c r="L120" i="3"/>
  <c r="L62" i="3"/>
  <c r="L73" i="3"/>
  <c r="L55" i="3"/>
  <c r="L72" i="3"/>
  <c r="L58" i="3"/>
  <c r="L59" i="3"/>
  <c r="L74" i="3"/>
  <c r="L56" i="3"/>
  <c r="L67" i="3"/>
  <c r="L61" i="3"/>
  <c r="L65" i="3"/>
  <c r="L66" i="3"/>
  <c r="L76" i="3"/>
  <c r="L70" i="3"/>
  <c r="L54" i="3"/>
  <c r="L75" i="3"/>
  <c r="L60" i="3"/>
  <c r="L64" i="3"/>
  <c r="L68" i="3"/>
  <c r="L33" i="3"/>
  <c r="L35" i="3"/>
  <c r="L34" i="3"/>
  <c r="L30" i="3"/>
  <c r="L36" i="3"/>
  <c r="L26" i="3"/>
  <c r="L28" i="3"/>
  <c r="L22" i="3"/>
  <c r="L24" i="3"/>
  <c r="L29" i="3"/>
  <c r="L27" i="3"/>
  <c r="L25" i="3"/>
  <c r="L23" i="3"/>
  <c r="AN41" i="2"/>
  <c r="AJ41" i="2"/>
  <c r="AD41" i="2"/>
  <c r="X41" i="2"/>
  <c r="P41" i="2"/>
  <c r="F41" i="2"/>
  <c r="AP41" i="2"/>
  <c r="AH41" i="2"/>
  <c r="AB41" i="2"/>
  <c r="J41" i="2"/>
  <c r="AF41" i="2"/>
  <c r="V41" i="2"/>
  <c r="N41" i="2"/>
  <c r="T41" i="2"/>
  <c r="L41" i="2"/>
  <c r="H41" i="2"/>
  <c r="Z41" i="2"/>
  <c r="R41" i="2"/>
  <c r="AL41" i="2"/>
  <c r="R303" i="3" l="1"/>
  <c r="S303" i="3" s="1"/>
  <c r="M126" i="3"/>
  <c r="M297" i="3"/>
  <c r="M278" i="3"/>
  <c r="M286" i="3"/>
  <c r="M294" i="3"/>
  <c r="L126" i="3"/>
  <c r="M226" i="3"/>
  <c r="M233" i="3"/>
  <c r="M146" i="3"/>
  <c r="M207" i="3"/>
  <c r="M203" i="3"/>
  <c r="M184" i="3"/>
  <c r="M137" i="3"/>
  <c r="M109" i="3"/>
  <c r="L77" i="3"/>
  <c r="L50" i="3"/>
  <c r="L37" i="3"/>
  <c r="L31" i="3"/>
  <c r="I41" i="2"/>
  <c r="M106" i="3" l="1"/>
  <c r="M86" i="3"/>
  <c r="M102" i="3"/>
  <c r="M50" i="3"/>
  <c r="M77" i="3"/>
  <c r="K41" i="2"/>
  <c r="M41" i="2" s="1"/>
  <c r="K305" i="3"/>
  <c r="M37" i="3"/>
  <c r="M31" i="3"/>
  <c r="M299" i="3" l="1"/>
  <c r="O41" i="2"/>
  <c r="Q41" i="2" l="1"/>
  <c r="S41" i="2" l="1"/>
  <c r="AG18" i="2" l="1"/>
  <c r="AI18" i="2" l="1"/>
  <c r="U18" i="2" l="1"/>
  <c r="U41" i="2"/>
  <c r="W41" i="2" l="1"/>
  <c r="W18" i="2"/>
  <c r="Y41" i="2" l="1"/>
  <c r="Y18" i="2"/>
  <c r="AA41" i="2" l="1"/>
  <c r="AA18" i="2"/>
  <c r="AC41" i="2" l="1"/>
  <c r="AC18" i="2"/>
  <c r="AE41" i="2" l="1"/>
  <c r="AG41" i="2" s="1"/>
  <c r="AI41" i="2" s="1"/>
  <c r="AE18" i="2"/>
  <c r="AK18" i="2" l="1"/>
  <c r="AK41" i="2"/>
  <c r="AM18" i="2" l="1"/>
  <c r="AM41" i="2"/>
  <c r="AO18" i="2" l="1"/>
  <c r="AO41" i="2"/>
  <c r="AQ18" i="2" l="1"/>
  <c r="AQ41" i="2"/>
</calcChain>
</file>

<file path=xl/sharedStrings.xml><?xml version="1.0" encoding="utf-8"?>
<sst xmlns="http://schemas.openxmlformats.org/spreadsheetml/2006/main" count="941" uniqueCount="590">
  <si>
    <t xml:space="preserve">ORÇAMENTO DISCRIMINATIVO </t>
  </si>
  <si>
    <t xml:space="preserve">Proponente  </t>
  </si>
  <si>
    <t>PROF. RESP.:</t>
  </si>
  <si>
    <t>Construtora</t>
  </si>
  <si>
    <t>CREA :</t>
  </si>
  <si>
    <t>Empreendimento</t>
  </si>
  <si>
    <t>Endereço</t>
  </si>
  <si>
    <t>Unid.</t>
  </si>
  <si>
    <t>Quant.</t>
  </si>
  <si>
    <t>Custo Unitário</t>
  </si>
  <si>
    <t>Custo Total</t>
  </si>
  <si>
    <t>% Ítem</t>
  </si>
  <si>
    <t>% Total</t>
  </si>
  <si>
    <t>1.1</t>
  </si>
  <si>
    <t>1.2</t>
  </si>
  <si>
    <t>1.3</t>
  </si>
  <si>
    <t>1.4</t>
  </si>
  <si>
    <t>1.5</t>
  </si>
  <si>
    <t>1.6</t>
  </si>
  <si>
    <t>1.7</t>
  </si>
  <si>
    <t>1.8</t>
  </si>
  <si>
    <t>CUSTO TOTAL DO ÍTEM</t>
  </si>
  <si>
    <t>m²</t>
  </si>
  <si>
    <t>2.2</t>
  </si>
  <si>
    <t>m³</t>
  </si>
  <si>
    <t>kg</t>
  </si>
  <si>
    <t>m</t>
  </si>
  <si>
    <t>3.1</t>
  </si>
  <si>
    <t>3.2</t>
  </si>
  <si>
    <t>3.3</t>
  </si>
  <si>
    <t>4.1.2</t>
  </si>
  <si>
    <t>Tijolo maciço 02 ferros de 6,3mm - cintamento</t>
  </si>
  <si>
    <t>4.1.3</t>
  </si>
  <si>
    <t>Bloco estrutural</t>
  </si>
  <si>
    <t>4.1.4</t>
  </si>
  <si>
    <t>Paredes de Concreto</t>
  </si>
  <si>
    <t>4.1.5</t>
  </si>
  <si>
    <t>Vergas de Concreto</t>
  </si>
  <si>
    <t>4.1.6</t>
  </si>
  <si>
    <t>Contravergas de Concreto</t>
  </si>
  <si>
    <t>4.1.7</t>
  </si>
  <si>
    <t>SUBTOTAL</t>
  </si>
  <si>
    <t>4.2.1.1</t>
  </si>
  <si>
    <t>Janelas</t>
  </si>
  <si>
    <t>4.2.1.2</t>
  </si>
  <si>
    <t>Portas</t>
  </si>
  <si>
    <t>4.2.1.3</t>
  </si>
  <si>
    <t>4.2.1.4</t>
  </si>
  <si>
    <t>Gradis</t>
  </si>
  <si>
    <t>4.2.1.5</t>
  </si>
  <si>
    <t>Portões</t>
  </si>
  <si>
    <t xml:space="preserve">4.2.1.6 </t>
  </si>
  <si>
    <t>4.2.2.1</t>
  </si>
  <si>
    <t>Janelas correr Veneziana completa</t>
  </si>
  <si>
    <t>4.2.2.2</t>
  </si>
  <si>
    <t>Janela de correr p/ vidro</t>
  </si>
  <si>
    <t>4.2.2.3</t>
  </si>
  <si>
    <t>Portas 0,80x2,10</t>
  </si>
  <si>
    <t>4.2.2.4</t>
  </si>
  <si>
    <t>Portas 0,70x2,10</t>
  </si>
  <si>
    <t>4.2.2.5</t>
  </si>
  <si>
    <t>5.1.2</t>
  </si>
  <si>
    <t>Telhas</t>
  </si>
  <si>
    <t>5.1.3</t>
  </si>
  <si>
    <t>Calhas e Rufos</t>
  </si>
  <si>
    <t>5.1.4</t>
  </si>
  <si>
    <t>Capote</t>
  </si>
  <si>
    <t>5.1.5</t>
  </si>
  <si>
    <t>Emboco</t>
  </si>
  <si>
    <t>Chapisco</t>
  </si>
  <si>
    <t>6.1.2</t>
  </si>
  <si>
    <t>Emboço</t>
  </si>
  <si>
    <t>6.1</t>
  </si>
  <si>
    <t>6.1.5</t>
  </si>
  <si>
    <t>Reboco pronto</t>
  </si>
  <si>
    <t>6.1.6</t>
  </si>
  <si>
    <t>Gesso</t>
  </si>
  <si>
    <t>6.1.7</t>
  </si>
  <si>
    <t>6.2.1</t>
  </si>
  <si>
    <t>6.2.2</t>
  </si>
  <si>
    <t>6.2.3</t>
  </si>
  <si>
    <t>Azulejo Branco</t>
  </si>
  <si>
    <t>6.2</t>
  </si>
  <si>
    <t>6.3</t>
  </si>
  <si>
    <t>6.4</t>
  </si>
  <si>
    <t>6.5</t>
  </si>
  <si>
    <t>6.6</t>
  </si>
  <si>
    <t>7.1.2</t>
  </si>
  <si>
    <t>Tacos</t>
  </si>
  <si>
    <t>9.1</t>
  </si>
  <si>
    <t>9.2</t>
  </si>
  <si>
    <t>9.3</t>
  </si>
  <si>
    <t>CUSTO DIRETO DA CONSTRUÇÃO</t>
  </si>
  <si>
    <t>BDI (%)</t>
  </si>
  <si>
    <t>CUSTO TOTAL DA CONSTRUÇÃO</t>
  </si>
  <si>
    <t>CRONOGRAMA FÍSICO - FINANCEIRO</t>
  </si>
  <si>
    <t>1 - IDENTIFICAÇÃO</t>
  </si>
  <si>
    <t xml:space="preserve"> </t>
  </si>
  <si>
    <t>CPF/CGC:</t>
  </si>
  <si>
    <t>CGC</t>
  </si>
  <si>
    <t>Responsável Técnico</t>
  </si>
  <si>
    <t>CREA</t>
  </si>
  <si>
    <t>CPF</t>
  </si>
  <si>
    <t>SERVIÇOS A EXECUTAR</t>
  </si>
  <si>
    <t>ITEM</t>
  </si>
  <si>
    <t xml:space="preserve">MÊS - </t>
  </si>
  <si>
    <t>MÊS -</t>
  </si>
  <si>
    <t>SIMPL.%</t>
  </si>
  <si>
    <t>ACUM. %</t>
  </si>
  <si>
    <t>4.1</t>
  </si>
  <si>
    <t>4.2</t>
  </si>
  <si>
    <t>4.3</t>
  </si>
  <si>
    <t>4.4</t>
  </si>
  <si>
    <t>4.5</t>
  </si>
  <si>
    <t>5.1</t>
  </si>
  <si>
    <t>5.2</t>
  </si>
  <si>
    <t>5.3</t>
  </si>
  <si>
    <t>7.1</t>
  </si>
  <si>
    <t>7.2</t>
  </si>
  <si>
    <t>8.1</t>
  </si>
  <si>
    <t>Data</t>
  </si>
  <si>
    <t>Responsável Técnico - CREA - CPF</t>
  </si>
  <si>
    <t>Proponente</t>
  </si>
  <si>
    <t>Responsável Técnico pela análise</t>
  </si>
  <si>
    <t xml:space="preserve">LC CARVALHAES - ENGENHARIA - ME </t>
  </si>
  <si>
    <t xml:space="preserve">OSORIO HENRIQUE DE SOUZA  NETO </t>
  </si>
  <si>
    <t>20272/D GO</t>
  </si>
  <si>
    <t xml:space="preserve">PROJETO PADRÃO  FNDE - QUADRA COBEERTA  COM VESTIÁRIO </t>
  </si>
  <si>
    <t>DESCRIÇÃO DOS SERVIÇO</t>
  </si>
  <si>
    <t xml:space="preserve">1 SERVIÇOS PRELIMINARES </t>
  </si>
  <si>
    <t>1.9</t>
  </si>
  <si>
    <t>Barracão para escritório de obra porte pequeno</t>
  </si>
  <si>
    <t>Locação de construção de edificação com gabarito de madeira</t>
  </si>
  <si>
    <t>Ligação provisória de energia elétrica em canteiro de obra</t>
  </si>
  <si>
    <t xml:space="preserve">Instalação provisória de água </t>
  </si>
  <si>
    <t>Instalações provisórias de esgoto</t>
  </si>
  <si>
    <t>Sondagem de terreno (1 furo a cada 200m²)</t>
  </si>
  <si>
    <t>Limpeza de terreno com remoção de camada vegetal</t>
  </si>
  <si>
    <t>Placa de obra em chapa zincada, instalada</t>
  </si>
  <si>
    <t>Tapume de chapa de madeira compensada com 6mm, com altura de 2,20m</t>
  </si>
  <si>
    <t>un</t>
  </si>
  <si>
    <t>2 MOVIMENTO DE TERRAS PARA FUNDAÇÕES</t>
  </si>
  <si>
    <t>2.1</t>
  </si>
  <si>
    <t>2.3</t>
  </si>
  <si>
    <t>2.4</t>
  </si>
  <si>
    <t>Aterro apiloado em camadas de 0,20 m com material argiloso - arenoso (entre baldrames)</t>
  </si>
  <si>
    <t xml:space="preserve">3 FUNDAÇÕES </t>
  </si>
  <si>
    <t>3.4</t>
  </si>
  <si>
    <t>3.5</t>
  </si>
  <si>
    <t>3.6</t>
  </si>
  <si>
    <t>3.7</t>
  </si>
  <si>
    <t>3.8</t>
  </si>
  <si>
    <t>3.9</t>
  </si>
  <si>
    <t xml:space="preserve">4      SUPERESTRUTURA </t>
  </si>
  <si>
    <t>CONCRETO ARMADO  - VIGAS</t>
  </si>
  <si>
    <t xml:space="preserve">Escavação manual de valas em qualquer terreno exceto rocha até h=1,50 m </t>
  </si>
  <si>
    <t xml:space="preserve">Regularização e compactação do fundo de valas </t>
  </si>
  <si>
    <t xml:space="preserve">Reaterro apiloado de vala com material da obra  </t>
  </si>
  <si>
    <t>CONCRETO ARMADO PARA FUNDAÇÕES - SAPATA</t>
  </si>
  <si>
    <t>Lastro de concreto magro (e=3,0 cm) - preparo mecânico</t>
  </si>
  <si>
    <t>Forma de madeira comum para Fundações  - reaproveitamento 5X</t>
  </si>
  <si>
    <t>Armação aço CA-50, Diam. 6,3 (1/4) á 12,5mm(1/2) -Fornecimento/corte perda de 10%) / dobra / colocação.</t>
  </si>
  <si>
    <t>Armação de aço  CA-60 Diam. 3,4 a 6,0mm-Fornecimento/corte perda de 10%) / dobra / colocação.</t>
  </si>
  <si>
    <t>Concreto para Fundação fck=25MPa, incluindo preparo, lançamento, adensamento.</t>
  </si>
  <si>
    <t>CONCRETO ARMADO PARA FUNDAÇÕES - VIGAS BALDRAMES</t>
  </si>
  <si>
    <t>Forma de madeira comum para Fundções  - reaproveitamento 5X</t>
  </si>
  <si>
    <t>Forma de madeira para estrutura de concreto  - reaproveitamento 5X</t>
  </si>
  <si>
    <t>Concreto para Estrutura fck=25MPa, incluindo preparo, lançamento, adensamento.</t>
  </si>
  <si>
    <t>CONCRETO ARMADO - LAJES E PILARES</t>
  </si>
  <si>
    <t>Laje pré-moldada para forro</t>
  </si>
  <si>
    <t>CONCRETO ARMADO - ARQUIBANCADAS E BANCO</t>
  </si>
  <si>
    <t>Aterro compactado</t>
  </si>
  <si>
    <t>CONCRETO ARMADO PARA VERGAS</t>
  </si>
  <si>
    <t>Verga pré-moldada em concreto armado fck=15Mpa = 10x10</t>
  </si>
  <si>
    <t>CONCRETO ARMADO - LAJE DE PISO</t>
  </si>
  <si>
    <t>Latro de brita 1 compactada,  e=5cm</t>
  </si>
  <si>
    <t>Fornecimento e instalação de lona plastica preta</t>
  </si>
  <si>
    <t>Armação em tela de aço Q-92, aço CA-60, 4,2mm, malha 15X15cm</t>
  </si>
  <si>
    <t>Concreto para Estrutura fck=25MPa, incluindo preparo, lançamento, adensamento, e=4cm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</si>
  <si>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</si>
  <si>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</si>
  <si>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</si>
  <si>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</si>
  <si>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</si>
  <si>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</si>
  <si>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</si>
  <si>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</si>
  <si>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</si>
  <si>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</si>
  <si>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</si>
  <si>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</si>
  <si>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</si>
  <si>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</si>
  <si>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</si>
  <si>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5 SISTEMA DE VEDAÇÃO VERTICAL INTERNO E EXTERNO (PAREDES)</t>
  </si>
  <si>
    <t xml:space="preserve">Alvenaria de vedação de 1/2 vez em tijolos cerâmicos de 08 furos (dimensões nominais: 19x19x09); assentamento em argamassa no traço 1:2:8 (cimento, cal e areia) </t>
  </si>
  <si>
    <t>Encunhamento (aperto de alvenaria) em tijolo cerâmicos maciços 5x10x20cm 1 vez (esp. 20cm), assentamento c/ argamassa traço1:6 (cimento e areia)</t>
  </si>
  <si>
    <t>Elemento vazado de concreto (50x50x10cm) anti-chuva assentados com argamassa (cimento e areia traço 1:3)</t>
  </si>
  <si>
    <t>ALVENARIA - ARQUIBANCADAS</t>
  </si>
  <si>
    <t>ALVENARIA - DIVISÓRIAS VESTIÁRIOS</t>
  </si>
  <si>
    <t>Alvenaria de tijolo cerâmico (9x19x24)cm, e= 0,19m, com argamassa (traço 1:2:8 - cimento/cal/areia), junta de 2,0 cm</t>
  </si>
  <si>
    <t>5.4</t>
  </si>
  <si>
    <t>5.5</t>
  </si>
  <si>
    <t>6  ESQUADRIAS</t>
  </si>
  <si>
    <t>PORTAS DE MADEIRA</t>
  </si>
  <si>
    <t>Porta de madeira (1,00x2,10 m) e chapa - inclusive ferragens, conforme projeto</t>
  </si>
  <si>
    <t>Bandeiras para porta (1,00x0,80 m) para vidro</t>
  </si>
  <si>
    <t>Porta de madeira (0,90x2,10 m) - inclusive ferragens, conforme projeto</t>
  </si>
  <si>
    <t>Porta de abrir- Box  em madeira Laminado 0,60x1,70m (PNE), incluso marco, dobradiças e tarjeta tipo LIVRE/OCUPADOconforme projeto</t>
  </si>
  <si>
    <t>Porta de abrir- Box  em madeira Laminado 0,90x1,70m, incluso marco, dobradiças e tarjeta tipo LIVRE/OCUPADOconforme projeto</t>
  </si>
  <si>
    <t>FERRAGENS E ACESSÓRIOS</t>
  </si>
  <si>
    <t>Fechadura de embutir completa, para portas externas</t>
  </si>
  <si>
    <t>Fechadura de embutir completa, para portas de banheiro</t>
  </si>
  <si>
    <t>JANELAS DE ALUMÍNIO</t>
  </si>
  <si>
    <t>Janela de Alumínio, basculante 100x40cm, inclusive ferragens</t>
  </si>
  <si>
    <t>VIDROS</t>
  </si>
  <si>
    <t>Vidro miniboreal incolor, espessura 6mm- fornecimento e instalação</t>
  </si>
  <si>
    <t xml:space="preserve">Espelho cristal esp. 4mm com moldura de madeira - 60x90 cm </t>
  </si>
  <si>
    <t>6.7</t>
  </si>
  <si>
    <t>6.8</t>
  </si>
  <si>
    <t>6.9</t>
  </si>
  <si>
    <t>6.10</t>
  </si>
  <si>
    <t>7 SISTEMAS DE COBERTURA</t>
  </si>
  <si>
    <t>Cobertura em telha metálica ondulada 5mm - pré pintada - cor: branca</t>
  </si>
  <si>
    <t xml:space="preserve">Fornecimento e montagem de estrutura metálica conf. Projeto espec. </t>
  </si>
  <si>
    <t xml:space="preserve">8 IMPERMEABILIZAÇÃO </t>
  </si>
  <si>
    <t xml:space="preserve">Impermeabilização com tinta betuminosa em fundações, baldrames </t>
  </si>
  <si>
    <t>REVESTIMENTOS INTERNOS E EXTERNOS</t>
  </si>
  <si>
    <t>9.4</t>
  </si>
  <si>
    <t>9.5</t>
  </si>
  <si>
    <t>Chapisco em paredes em geral com argamassa traço - 1:3 (cimento / areia)</t>
  </si>
  <si>
    <t>Chapisco em teto com argamassa traço - 1:3 (cimento / areia)</t>
  </si>
  <si>
    <t>Emboço de paredes em geral, com argamassa traço - 1:2:9 (cimento / cal / areia), espessura 1,5 cm</t>
  </si>
  <si>
    <t>Reboco de parede, com argamassa traço - 1:2:6 (cimento / cal / areia), espessura 2,0 cm (massa única)</t>
  </si>
  <si>
    <t>Reboco de teto, com argamassa traço - 1:2:9 (cimento / cal / areia), espessura 1,5 cm</t>
  </si>
  <si>
    <t>REVESTIMENTO - ARQUIBANCADAS</t>
  </si>
  <si>
    <t>Chapisco em paredes com argamassa traço - 1:3 (cimento / areia)</t>
  </si>
  <si>
    <t>9.6</t>
  </si>
  <si>
    <t>9.7</t>
  </si>
  <si>
    <t>9.8</t>
  </si>
  <si>
    <t>REVESTIMENTO CERÂMICOS</t>
  </si>
  <si>
    <t xml:space="preserve">Revestimento cerâmico de paredes PEI IV- cerâmica 30 x 40 cm aplicado com argamassa industrializada- incl. rejunte - conforme projeto   </t>
  </si>
  <si>
    <t>Revestimento cerâmico de paredes PEI IV - cerâmica 10 x 10 cm aplicado com argamassa industrializada- incl. rejunte - BRANCO - conforme projeto</t>
  </si>
  <si>
    <t>Revestimento cerâmico de paredes PEI IV - cerâmica 10 x 10 cm aplicado com argamassa industrializada- incl. rejunte - AMARELO - conforme projeto</t>
  </si>
  <si>
    <t>Revestimento cerâmico de paredes PEI IV - cerâmica 10 x 10 cm aplicado com argamassa industrializada- incl. rejunte - AZUL - conforme projeto</t>
  </si>
  <si>
    <t>9 REVESTIMENTOS INTERNOS E EXTERNOS</t>
  </si>
  <si>
    <t>9.9</t>
  </si>
  <si>
    <t>9.10</t>
  </si>
  <si>
    <t>9.11</t>
  </si>
  <si>
    <t>9.12</t>
  </si>
  <si>
    <t>10 SISTEMAS DE PISOS INTERNOS E EXTERNOS (PAVIMENTAÇÃO)</t>
  </si>
  <si>
    <t xml:space="preserve">Camada impermeabilizadora e=5cm </t>
  </si>
  <si>
    <t xml:space="preserve">Camada regularizadora e=3cm </t>
  </si>
  <si>
    <t>Piso cerâmico esmaltado PEI V - 40 x 40 cm  aplicado com argamassa industrializada - incl. rejunte - Branco antiderrapante - conforme projeto</t>
  </si>
  <si>
    <t>Piso tátil de alerta/direcional em placas pré-moldadas - 5MPa</t>
  </si>
  <si>
    <t xml:space="preserve">Soleira em granito cinza andorinha, L=15cm, E=2cm </t>
  </si>
  <si>
    <t>Piso industrial em concreto polido - incluso juntas de dilatação plastica e polimento mecanizado e=1cm</t>
  </si>
  <si>
    <t>PAVIMENTAÇÃO EXTERNA</t>
  </si>
  <si>
    <t>Piso de cimento desempenado com juntas de dilatação e=10cm</t>
  </si>
  <si>
    <t>Rampa de acesso em concreto não estrutural</t>
  </si>
  <si>
    <t>10.1</t>
  </si>
  <si>
    <t>10.2</t>
  </si>
  <si>
    <t>10.3</t>
  </si>
  <si>
    <t>10.4</t>
  </si>
  <si>
    <t>10.5</t>
  </si>
  <si>
    <t>10.6</t>
  </si>
  <si>
    <t>10.7</t>
  </si>
  <si>
    <t>10.8</t>
  </si>
  <si>
    <t xml:space="preserve">Emassamento de paredes internas com massa PVA - 02 demãos </t>
  </si>
  <si>
    <t xml:space="preserve">Emassamento de lajes internas com massa PVA - 02 demãos </t>
  </si>
  <si>
    <t>Pintura em latex acrílico 02 demãos sobre paredes internas e externas</t>
  </si>
  <si>
    <t xml:space="preserve">Pintura em latex PVA 02 demãos sobre lajes internas e externas </t>
  </si>
  <si>
    <t>Pintura epoxi para piso</t>
  </si>
  <si>
    <t>Pintura esmalte 02 demãos  para estrutura metálica e alambrado</t>
  </si>
  <si>
    <t>Pintura prime epoxi 02 demãos para estrutura metálica</t>
  </si>
  <si>
    <t>11 PINTURA</t>
  </si>
  <si>
    <t>11.1</t>
  </si>
  <si>
    <t>11.2</t>
  </si>
  <si>
    <t>11.3</t>
  </si>
  <si>
    <t>11.4</t>
  </si>
  <si>
    <t>11.5</t>
  </si>
  <si>
    <t>11.6</t>
  </si>
  <si>
    <t>11.7</t>
  </si>
  <si>
    <t>Registro de gaveta bruto, Ø 3/4"</t>
  </si>
  <si>
    <t>Registro de gaveta bruto, Ø 1 1/2"</t>
  </si>
  <si>
    <t>Registro de gaveta com canopla cromada 1 1/2"</t>
  </si>
  <si>
    <t>Registro de gaveta com canopla cromada 1 1/4"</t>
  </si>
  <si>
    <t>Registro de gaveta com canopla cromada 1"</t>
  </si>
  <si>
    <t>Registro de gaveta com canopla cromada 3/4"</t>
  </si>
  <si>
    <t>Registro de pressao com canopla Ø 3/4"</t>
  </si>
  <si>
    <t>Engate flexível plástico 1/2 - 30cm</t>
  </si>
  <si>
    <t>Luva soldável com rosca 25mm - 3/4"</t>
  </si>
  <si>
    <t>Luva soldável 32mm</t>
  </si>
  <si>
    <t>Luva redução soldável 40mm - 32mm</t>
  </si>
  <si>
    <t>Luva redução soldável 50mm - 40mm</t>
  </si>
  <si>
    <t>Tubo PVC soldável Ø 20 mm, inclusive conexões</t>
  </si>
  <si>
    <t>Tubo PVC soldável Ø 25 mm, inclusive conexões</t>
  </si>
  <si>
    <t>Tubo PVC soldável Ø 32 mm, inclusive conexões</t>
  </si>
  <si>
    <t>Tubo PVC soldável Ø 40 mm, inclusive conexões</t>
  </si>
  <si>
    <t>Tubo PVC soldável Ø 50 mm, inclusive conexões</t>
  </si>
  <si>
    <t>Adaptador PVC soldavel curto com bolsa rosca para registro 40mm</t>
  </si>
  <si>
    <t>Adaptador PVC soldavel curto com bolsa rosca para registro 25mm</t>
  </si>
  <si>
    <t>Adaptador PVC soldavel curto com bolsa rosca para registro 32mm</t>
  </si>
  <si>
    <t>Adaptador PVC soldavel curto com bolsa rosca para registro 50mm</t>
  </si>
  <si>
    <t>Bucha PVC de redução soldável curta 50mm - 40mm</t>
  </si>
  <si>
    <t>Bucha PVC de redução soldável longa 40mm - 25mm</t>
  </si>
  <si>
    <t>Válvula de descarga p/ vaso sanitário de 1.1/2"</t>
  </si>
  <si>
    <t>Joelho PCV soldavel 90º agua fria 25mm</t>
  </si>
  <si>
    <t>Joelho PCV soldavel 90º agua fria 50mm</t>
  </si>
  <si>
    <t>Joelho PCV soldavel 90º agua fria 32mm</t>
  </si>
  <si>
    <t>Joelho PCV de redução 90º soldavel 32mm - 25mm</t>
  </si>
  <si>
    <t>Joelho PVC soldável 90º com bucha de latão 40mm - 1 1/4"</t>
  </si>
  <si>
    <t>Joelho PVC de redução 90º soldável com bucha de latão 25mm - 1/2"</t>
  </si>
  <si>
    <t>Tê PVC de redução 90º soldável 32mm - 25mm</t>
  </si>
  <si>
    <t>Tê PVC de redução 90º soldável 50mm - 40mm</t>
  </si>
  <si>
    <t>União soldável 20mm</t>
  </si>
  <si>
    <t>União soldável 50mm</t>
  </si>
  <si>
    <t>Flange para caixa d'agua 25mm</t>
  </si>
  <si>
    <t>Flange para caixa d'agua 50mm</t>
  </si>
  <si>
    <t>12.1</t>
  </si>
  <si>
    <t>12.2</t>
  </si>
  <si>
    <t>12.3</t>
  </si>
  <si>
    <t>12.4</t>
  </si>
  <si>
    <t>12.5</t>
  </si>
  <si>
    <t>12.6</t>
  </si>
  <si>
    <t>12.7</t>
  </si>
  <si>
    <t>12.8</t>
  </si>
  <si>
    <t>12.9</t>
  </si>
  <si>
    <t>12.10</t>
  </si>
  <si>
    <t>12.11</t>
  </si>
  <si>
    <t>12.12</t>
  </si>
  <si>
    <t>12.13</t>
  </si>
  <si>
    <t>12.14</t>
  </si>
  <si>
    <t>12.15</t>
  </si>
  <si>
    <t>12.16</t>
  </si>
  <si>
    <t>12.17</t>
  </si>
  <si>
    <t>12.19</t>
  </si>
  <si>
    <t>12.20</t>
  </si>
  <si>
    <t>12.21</t>
  </si>
  <si>
    <t>12.22</t>
  </si>
  <si>
    <t>12.23</t>
  </si>
  <si>
    <t>12.24</t>
  </si>
  <si>
    <t>12.25</t>
  </si>
  <si>
    <t>12.26</t>
  </si>
  <si>
    <t>12.27</t>
  </si>
  <si>
    <t>12.28</t>
  </si>
  <si>
    <t>12.29</t>
  </si>
  <si>
    <t>12.30</t>
  </si>
  <si>
    <t>12.31</t>
  </si>
  <si>
    <t>12.32</t>
  </si>
  <si>
    <t>12.33</t>
  </si>
  <si>
    <t>12.34</t>
  </si>
  <si>
    <t>12.35</t>
  </si>
  <si>
    <t>12.36</t>
  </si>
  <si>
    <t>12.18</t>
  </si>
  <si>
    <t>12        INSTALAÇÕES HIDRÁULICA</t>
  </si>
  <si>
    <t>Caixa Sifonada 150x150x50mm</t>
  </si>
  <si>
    <t>Ralo Seco PVC 100mm - 40mm</t>
  </si>
  <si>
    <t>Terminal de Ventilação Série Normal 50mm</t>
  </si>
  <si>
    <t>Tubo de PVC Série Normal 100mm, fornec. e instalação, inclusive conexões</t>
  </si>
  <si>
    <t>Tubo de PVC Série Normal 40mm, fornec. e instalação, inclusive conexões</t>
  </si>
  <si>
    <t>Tubo de PVC Série Normal 50mm , fornec. e instalação, inclusive conexões</t>
  </si>
  <si>
    <t>Curva PVC 45º curta 100mm</t>
  </si>
  <si>
    <t>Curva PVC 90º curta 40mm</t>
  </si>
  <si>
    <t>Joelho PCV 45º esgoto 40 mm</t>
  </si>
  <si>
    <t>Joelho PCV 90º esgoto 100 mm</t>
  </si>
  <si>
    <t>Joelho PVC 90º com anel 40mm - 1 1/2"</t>
  </si>
  <si>
    <t>Junção PVC esgoto 100mm - 50mm</t>
  </si>
  <si>
    <t>Junção PVC esgoto 100mm - 100mm</t>
  </si>
  <si>
    <t>Junção PVC esgoto 50mm - 40 mm</t>
  </si>
  <si>
    <t>Caixa de inspeção de esgoto em alvenaria 60x60cm</t>
  </si>
  <si>
    <t>Sifão de copo 1" - 1 1/2"</t>
  </si>
  <si>
    <t>Válvula para lavatorio 1"</t>
  </si>
  <si>
    <t>13.1</t>
  </si>
  <si>
    <t>13.2</t>
  </si>
  <si>
    <t>13.3</t>
  </si>
  <si>
    <t>13.4</t>
  </si>
  <si>
    <t>13.5</t>
  </si>
  <si>
    <t>13.6</t>
  </si>
  <si>
    <t>13.7</t>
  </si>
  <si>
    <t>13.8</t>
  </si>
  <si>
    <t>13.9</t>
  </si>
  <si>
    <t>13.10</t>
  </si>
  <si>
    <t>13.11</t>
  </si>
  <si>
    <t>13.12</t>
  </si>
  <si>
    <t>13.13</t>
  </si>
  <si>
    <t>13.14</t>
  </si>
  <si>
    <t>13.15</t>
  </si>
  <si>
    <t>13.16</t>
  </si>
  <si>
    <t>13.17</t>
  </si>
  <si>
    <t>13 INSTALAÇÃO SANITÁRIA</t>
  </si>
  <si>
    <t>Grelha de fofo 40 X 500 X 1000mm</t>
  </si>
  <si>
    <t>Brita nº 2 para calha</t>
  </si>
  <si>
    <t>14 INSTALAÇÕES DE AGUAS PLUVIAIS</t>
  </si>
  <si>
    <t>14.1</t>
  </si>
  <si>
    <t>14.2</t>
  </si>
  <si>
    <t>Bacia Sanitária Vogue Plus, Linha Conforto com abertura, cor Branco Gelo, código: P.51,  DECA, ou equivalente p/ de descarga, com acessórios, bolsa de borracha para ligacao, tubo pvc ligacao - fornecimento e instalacao</t>
  </si>
  <si>
    <t>Assento Poliéster com abertura frontal Vogue Plus, Linha Conforto, cor Branco Gelo,c código AP.52, DECA, ou equivalente</t>
  </si>
  <si>
    <t>Ducha Higiênica com registro e derivação Izy, código 1984.C37. ACT.CR, DECA, ou equivalente</t>
  </si>
  <si>
    <t>Bacia Sanitária Convencional Izy,com caixa acoplada, cor Branco Gelo, código P.11, DECA, ou equivalente</t>
  </si>
  <si>
    <t>Assento plástico Izy, código AP.01, DECA</t>
  </si>
  <si>
    <t>Lavatório Pequeno Ravena/Izy cor Branco Gelo, código: L.915, DECA, ou equivalente, sem coluna,(válvula, sifao e engate flexível cromados), exceto Torneira</t>
  </si>
  <si>
    <t>Cuba de Embutir Oval cor Branco Gelo, código L.37, DECA, ou equivalente, em bancada  e complementos (válvula, sifao e engate flexível cromados), exceto torneira.</t>
  </si>
  <si>
    <t>Torneira para lavatório de mesa bica baixa Izy, código 1193.C37, Deca ou equivalente</t>
  </si>
  <si>
    <t>Papeleira Metálica Linha Izy, código 2020.C37, DECA ou equivalente</t>
  </si>
  <si>
    <t>Barra de apoio, Linha conforto, código 2305.C, cor cromado, DECA ou equivalente</t>
  </si>
  <si>
    <t>Barra de apoio para lavatório " L ", Linha conforto, aço polido, DECA, ou equivalente</t>
  </si>
  <si>
    <t>Barra de apoio para porta, linha conforto, código 2305,C, cor cromado, DECA ou equivalente</t>
  </si>
  <si>
    <t>Dispenser Toalha Linha Excellence, código 7007, Melhoramentos ou equivalente.</t>
  </si>
  <si>
    <t>Saboneteira Linha Excellence, código 7009, Melhoramentos ou equivalente</t>
  </si>
  <si>
    <t xml:space="preserve">Chuveiro Maxi Ducha, LORENZETTI, com Mangueira plástica/desviador para duchas elétricas, cógigo 8010-A, LORENZETTI,  ou equivalente </t>
  </si>
  <si>
    <t>Torneira de parede de uso geral com bico para mangueira Izy, código 1153.C37, DECA, ou equivalente</t>
  </si>
  <si>
    <t>Banco retratil para PNE 40x70cm aço inox</t>
  </si>
  <si>
    <t>15.1</t>
  </si>
  <si>
    <t>15.2</t>
  </si>
  <si>
    <t>15.3</t>
  </si>
  <si>
    <t>15.4</t>
  </si>
  <si>
    <t>15.5</t>
  </si>
  <si>
    <t>15.6</t>
  </si>
  <si>
    <t>15.7</t>
  </si>
  <si>
    <t>15.8</t>
  </si>
  <si>
    <t>15.9</t>
  </si>
  <si>
    <t>15.10</t>
  </si>
  <si>
    <t>15.11</t>
  </si>
  <si>
    <t>15.12</t>
  </si>
  <si>
    <t>15.13</t>
  </si>
  <si>
    <t>15.14</t>
  </si>
  <si>
    <t>15.16</t>
  </si>
  <si>
    <t>15.17</t>
  </si>
  <si>
    <t>15.15</t>
  </si>
  <si>
    <t>15   LOUÇAS E METAIS</t>
  </si>
  <si>
    <t>Extintor PQS - 6KG</t>
  </si>
  <si>
    <t>Luminária de emergência de 31 Leds autonomia minima de 1 hora</t>
  </si>
  <si>
    <t>Marcação no Piso - 1 x 1m para hidrante</t>
  </si>
  <si>
    <t>Placa de sinalização em pvc cod 17 - (316x158) Mensagem "Saída"</t>
  </si>
  <si>
    <t>Placa de sinalização em pvc cod 23 - (300x300) Extintor de Incêndio</t>
  </si>
  <si>
    <t>16 SISTEMA DE PROTEÇÃO CONTRA INCÊNCIO</t>
  </si>
  <si>
    <t>16.1</t>
  </si>
  <si>
    <t>16.2</t>
  </si>
  <si>
    <t>16.3</t>
  </si>
  <si>
    <t>16.4</t>
  </si>
  <si>
    <t>16.5</t>
  </si>
  <si>
    <t>QUADRO DE DISTRIBUIÇÃO</t>
  </si>
  <si>
    <t>Quadro de distribuição de sobrepor, com barramento, para até 12 disjuntores padrão europeu (linha branca), exclusive disjuntores</t>
  </si>
  <si>
    <t>Disjuntor unipolar termomagnetico 10 A</t>
  </si>
  <si>
    <t>Disjuntor bipolar termomagnetico 20 A</t>
  </si>
  <si>
    <t>Disjuntor bipolar termomagnetico 25 A</t>
  </si>
  <si>
    <t>Disjuntor tripolar termomagnetico 150 A</t>
  </si>
  <si>
    <t>Disjuntor tripolar termomagnetico 175 A</t>
  </si>
  <si>
    <t>Dispositivo Direfencial Residual 30mA</t>
  </si>
  <si>
    <t>ELETRODUTOS E ACESSÓRIOS</t>
  </si>
  <si>
    <t>Eletroduto PVC flexível corrugado reforçado, Ø25mm (DN 3/4"), inclusive curvas</t>
  </si>
  <si>
    <t>Eletroduto PVC flexível corrugado reforçado, Ø32mm (DN 1"), inclusive curvas</t>
  </si>
  <si>
    <t>Eletroduto PVC rígido roscavel, Ø40mm (DN 1 1/2"), inclusive conexões</t>
  </si>
  <si>
    <t>Eletroduto de aço galvanizado Ø25mm (DN 3/4"), inclusive conexões</t>
  </si>
  <si>
    <t>Eletroduto de aço galvanizado Ø32mm (DN 1"), inclusive conexões</t>
  </si>
  <si>
    <t>Eletroduto de aço galvanizado Ø40mm (DN 1 1/2"), inclusive conexões</t>
  </si>
  <si>
    <t>Caixa de passagem  de ferro esmaltada 4x2" - fornecimento e instalação</t>
  </si>
  <si>
    <t>Caixa de passagem octogonal de ferro esmaltada 4x4" - fornecimento e instalação</t>
  </si>
  <si>
    <t>Condulete em aluminio tipo T de 3/4", inclusive acessórios</t>
  </si>
  <si>
    <t>Condulete em aluminio tipo L de 3/4", inclusive acessórios</t>
  </si>
  <si>
    <t>Condulete em aluminio tipo TA de 3/4", inclusive acessórios</t>
  </si>
  <si>
    <t>Condulete em aluminio tipo XA de 3/4", inclusive acessórios</t>
  </si>
  <si>
    <t>Abraçadeira metálica tipo D de 3\4"</t>
  </si>
  <si>
    <t>Abraçadeira metálica tipo D de 1"</t>
  </si>
  <si>
    <t>Abraçadeira metálica tipo D de 1 1/2"</t>
  </si>
  <si>
    <t>Luva de aço galvanizado 3/4"</t>
  </si>
  <si>
    <t>Luva de aço galvanizado 1"</t>
  </si>
  <si>
    <t>Luva de aço galvanizado 1 1/2"</t>
  </si>
  <si>
    <t>Bucha e arruema de aço galvanizado 3/4"</t>
  </si>
  <si>
    <t>Bucha e arruela de aço galvanizado 1"</t>
  </si>
  <si>
    <t>Bucha e arruelade aço galvanizado 1 1/2"</t>
  </si>
  <si>
    <t>CABOS E FIOS (CONDUTORES)</t>
  </si>
  <si>
    <t>Condutor de cobre unipolar, isolação em PVC/70ºC, camada de proteção em PVC, não propagador de chamas, classe de tensão 750V, encordoamento classe 5, flexível, com as seguintes seções nominais:</t>
  </si>
  <si>
    <t>#2,5 mm²</t>
  </si>
  <si>
    <t>#4 mm²</t>
  </si>
  <si>
    <t>#16 mm²</t>
  </si>
  <si>
    <t>#35 mm²</t>
  </si>
  <si>
    <t>ILUMINAÇÃO E TOMADAS</t>
  </si>
  <si>
    <t>Tomada universal, 2P+T, 15A/250v, cor branca, completa</t>
  </si>
  <si>
    <t>Tomada universal, 2P+T, 20A/250V, cor branca, completa</t>
  </si>
  <si>
    <t>Interruptor simples 10 A, completa</t>
  </si>
  <si>
    <t>Luminárias 2x40W completa</t>
  </si>
  <si>
    <t>Luminárias 1x40W completa</t>
  </si>
  <si>
    <t>Luminária industrial de aluminio, refletor 17", soqueteira cilíndrica com gradil de aramado</t>
  </si>
  <si>
    <t>cj</t>
  </si>
  <si>
    <t>17.1</t>
  </si>
  <si>
    <t>17.2</t>
  </si>
  <si>
    <t>17.3</t>
  </si>
  <si>
    <t>17.4</t>
  </si>
  <si>
    <t>17.5</t>
  </si>
  <si>
    <t>17.6</t>
  </si>
  <si>
    <t>17.7</t>
  </si>
  <si>
    <t>17.8</t>
  </si>
  <si>
    <t>17.9</t>
  </si>
  <si>
    <t>17.10</t>
  </si>
  <si>
    <t>17.11</t>
  </si>
  <si>
    <t>17.12</t>
  </si>
  <si>
    <t>17.13</t>
  </si>
  <si>
    <t>17.14</t>
  </si>
  <si>
    <t>17.15</t>
  </si>
  <si>
    <t>17.16</t>
  </si>
  <si>
    <t>17.17</t>
  </si>
  <si>
    <t>17.18</t>
  </si>
  <si>
    <t>17.19</t>
  </si>
  <si>
    <t>17.20</t>
  </si>
  <si>
    <t>17.21</t>
  </si>
  <si>
    <t>17.22</t>
  </si>
  <si>
    <t>17.23</t>
  </si>
  <si>
    <t>17.24</t>
  </si>
  <si>
    <t>17.25</t>
  </si>
  <si>
    <t>17.26</t>
  </si>
  <si>
    <t>17.27</t>
  </si>
  <si>
    <t>17.28</t>
  </si>
  <si>
    <t>17.29</t>
  </si>
  <si>
    <t>17.30</t>
  </si>
  <si>
    <t>17.31</t>
  </si>
  <si>
    <t>17.32</t>
  </si>
  <si>
    <t>17.33</t>
  </si>
  <si>
    <t>17.34</t>
  </si>
  <si>
    <t>17.35</t>
  </si>
  <si>
    <t>17.36</t>
  </si>
  <si>
    <t>17.37</t>
  </si>
  <si>
    <t>17.38</t>
  </si>
  <si>
    <t>17   INSTALAÇÕES ELÉTRICAS E TELEFÔNICAS 110V</t>
  </si>
  <si>
    <t>Caixa de inspeção 30x30 com tampa de ferro fundido</t>
  </si>
  <si>
    <t>Conector de bronze para haste 5/8"</t>
  </si>
  <si>
    <t>Cordoalha de cobre nu 35 mm²</t>
  </si>
  <si>
    <t>Tubo PVC 2"</t>
  </si>
  <si>
    <t>Terminal de pressão tipo prensa com 4 parafusos</t>
  </si>
  <si>
    <t>Haste tipo coopperweld 5/8" x 3m</t>
  </si>
  <si>
    <t>18.1</t>
  </si>
  <si>
    <t>18.2</t>
  </si>
  <si>
    <t>18.3</t>
  </si>
  <si>
    <t>18.4</t>
  </si>
  <si>
    <t>18.5</t>
  </si>
  <si>
    <t>18.6</t>
  </si>
  <si>
    <t>18 SISTEMA DE PROTEÇÃO CONTRA DESCARGAS ATMOSFÉRICAS (SPDA)</t>
  </si>
  <si>
    <t>Bancada em granito cinza andorinha - espessura 2cm, conforme projeto</t>
  </si>
  <si>
    <t>Estrutura metálica c/ tabelas de basquete</t>
  </si>
  <si>
    <t>Estrutura metálica de traves de futsal</t>
  </si>
  <si>
    <t>Estrutura metálica p/ rede de voley</t>
  </si>
  <si>
    <t>Corrimão da rampa em tubo de aço galvanizado 1 1/2"</t>
  </si>
  <si>
    <t>Alambrado para quadra poliesportiva, estruturado por tubos de aço galvanizado 2", com tela de arame galvanizado</t>
  </si>
  <si>
    <t>19.1</t>
  </si>
  <si>
    <t>19.2</t>
  </si>
  <si>
    <t>19.3</t>
  </si>
  <si>
    <t>19.4</t>
  </si>
  <si>
    <t>19.5</t>
  </si>
  <si>
    <t>19.6</t>
  </si>
  <si>
    <t>19 SERVIÇOS COMPLEMENTARES</t>
  </si>
  <si>
    <t>20  SERVIÇOS FINAIS</t>
  </si>
  <si>
    <t>Limpeza geral</t>
  </si>
  <si>
    <t>20.1</t>
  </si>
  <si>
    <t>CNPJ : 13.173.632/0001-07</t>
  </si>
  <si>
    <t>13.173.632/0001-07</t>
  </si>
  <si>
    <t>024.930.361-23</t>
  </si>
  <si>
    <t>SERVIÇOS PRELIMINARES</t>
  </si>
  <si>
    <t xml:space="preserve"> MOVIMENTO DE TERRAS PARA FUNDAÇÕES</t>
  </si>
  <si>
    <t>DISCRIMINAÇÃO   DE SERVIÇOS</t>
  </si>
  <si>
    <t>VALOR DOS  SERVIÇOS (R$)</t>
  </si>
  <si>
    <t>PESO          %</t>
  </si>
  <si>
    <t>MÊS -  01</t>
  </si>
  <si>
    <t>MÊS - 02</t>
  </si>
  <si>
    <t>MÊS - 03</t>
  </si>
  <si>
    <t>MÊS - 04</t>
  </si>
  <si>
    <t>MÊS - 05</t>
  </si>
  <si>
    <t>MÊS -  06</t>
  </si>
  <si>
    <t>EXECUTADO      %</t>
  </si>
  <si>
    <t xml:space="preserve"> FUNDAÇÕES </t>
  </si>
  <si>
    <t xml:space="preserve"> SUPERESTRUTURA </t>
  </si>
  <si>
    <t xml:space="preserve">  2 - CRONOGRAMA FÍSICO - FINANCEIRO</t>
  </si>
  <si>
    <t>SISTEMA DE VEDAÇÃO VERTICAL INTERNO E EXTERNO (PAREDES)</t>
  </si>
  <si>
    <t>ESQUADRIAS</t>
  </si>
  <si>
    <t>SISTEMAS DE COBERTURA</t>
  </si>
  <si>
    <t xml:space="preserve"> IMPERMEABILIZAÇÃO </t>
  </si>
  <si>
    <t xml:space="preserve"> SISTEMAS DE PISOS INTERNOS E EXTERNOS (PAVIMENTAÇÃO)</t>
  </si>
  <si>
    <t>PINTURA</t>
  </si>
  <si>
    <t xml:space="preserve"> INSTALAÇÕES HIDRÁULICA</t>
  </si>
  <si>
    <t>INSTALAÇÃO SANITÁRIA</t>
  </si>
  <si>
    <t xml:space="preserve"> INSTALAÇÕES DE AGUAS PLUVIAIS</t>
  </si>
  <si>
    <t xml:space="preserve"> LOUÇAS E METAIS</t>
  </si>
  <si>
    <t xml:space="preserve"> SISTEMA DE PROTEÇÃO CONTRA INCÊNCIO</t>
  </si>
  <si>
    <t>INSTALAÇÕES ELÉTRICAS E TELEFÔNICAS 110V</t>
  </si>
  <si>
    <t>SISTEMA DE PROTEÇÃO CONTRA DESCARGAS ATMOSFÉRICAS (SPDA)</t>
  </si>
  <si>
    <t>SERVIÇOS COMPLEMENTARES</t>
  </si>
  <si>
    <t xml:space="preserve"> SERVIÇOS FINAIS</t>
  </si>
  <si>
    <t>PREÇO/M2</t>
  </si>
  <si>
    <t>TOTAL GERAL COM BDI</t>
  </si>
  <si>
    <t>BAIRRO DO AEROPORTO - CAMETA - PARA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</si>
</sst>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R$&quot;\ * #,##0.00_-;\-&quot;R$&quot;\ * #,##0.00_-;_-&quot;R$&quot;\ * &quot;-&quot;??_-;_-@_-"/>
    <numFmt numFmtId="164" formatCode="_ * #,##0.00_ ;_ * \-#,##0.00_ ;_ * &quot;-&quot;??_ ;_ @_ "/>
    <numFmt numFmtId="165" formatCode="0.00_)"/>
    <numFmt numFmtId="166" formatCode="_(* #,##0.00_);_(* \(#,##0.00\);_(* &quot;-&quot;??_);_(@_)"/>
    <numFmt numFmtId="167" formatCode="&quot;R$&quot;#,##0.00_);[Red]\(&quot;R$&quot;#,##0.00\)"/>
    <numFmt numFmtId="168" formatCode="0.00000"/>
  </numFmts>
  <fonts count="27" x14ac:knownFonts="1">
    <font>
      <sz val="10"/>
      <name val="Arial"/>
    </font>
    <font>
      <sz val="8"/>
      <name val="MS Sans Serif"/>
      <family val="2"/>
    </font>
    <font>
      <sz val="7"/>
      <name val="MS Sans Serif"/>
      <family val="2"/>
    </font>
    <font>
      <sz val="10"/>
      <name val="Arial"/>
      <family val="2"/>
    </font>
    <font>
      <sz val="6"/>
      <name val="MS Sans Serif"/>
      <family val="2"/>
    </font>
    <font>
      <b/>
      <sz val="10"/>
      <name val="MS Sans Serif"/>
      <family val="2"/>
    </font>
    <font>
      <b/>
      <sz val="10"/>
      <name val="Arial"/>
      <family val="2"/>
    </font>
    <font>
      <sz val="6.5"/>
      <name val="Arial"/>
      <family val="2"/>
    </font>
    <font>
      <sz val="8"/>
      <name val="Arial"/>
      <family val="2"/>
    </font>
    <font>
      <b/>
      <sz val="8.5"/>
      <name val="MS Sans Serif"/>
      <family val="2"/>
    </font>
    <font>
      <sz val="10"/>
      <name val="MS Sans Serif"/>
      <family val="2"/>
    </font>
    <font>
      <b/>
      <sz val="7"/>
      <name val="Arial"/>
      <family val="2"/>
    </font>
    <font>
      <b/>
      <sz val="8"/>
      <name val="MS Sans Serif"/>
      <family val="2"/>
    </font>
    <font>
      <sz val="9"/>
      <name val="Arial"/>
      <family val="2"/>
    </font>
    <font>
      <b/>
      <sz val="6.5"/>
      <name val="Arial"/>
      <family val="2"/>
    </font>
    <font>
      <sz val="18"/>
      <name val="Arial"/>
      <family val="2"/>
    </font>
    <font>
      <sz val="20"/>
      <name val="Arial"/>
      <family val="2"/>
    </font>
    <font>
      <b/>
      <sz val="14"/>
      <name val="Arial"/>
      <family val="2"/>
    </font>
    <font>
      <b/>
      <sz val="10"/>
      <color indexed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.5"/>
      <name val="Arial"/>
      <family val="2"/>
    </font>
    <font>
      <b/>
      <sz val="7"/>
      <name val="MS Sans Serif"/>
      <family val="2"/>
    </font>
    <font>
      <sz val="11"/>
      <color indexed="8"/>
      <name val="Calibri"/>
      <family val="2"/>
    </font>
    <font>
      <sz val="11"/>
      <color indexed="8"/>
      <name val="Arial"/>
      <family val="2"/>
    </font>
    <font>
      <sz val="10"/>
      <name val="Arial"/>
    </font>
    <font>
      <sz val="8.5"/>
      <name val="MS Sans Serif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lightDown">
        <bgColor indexed="43"/>
      </patternFill>
    </fill>
    <fill>
      <patternFill patternType="lightDown"/>
    </fill>
    <fill>
      <patternFill patternType="solid">
        <fgColor indexed="65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</borders>
  <cellStyleXfs count="10">
    <xf numFmtId="0" fontId="0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3" fillId="0" borderId="0"/>
    <xf numFmtId="166" fontId="3" fillId="0" borderId="0" applyFont="0" applyFill="0" applyBorder="0" applyAlignment="0" applyProtection="0"/>
    <xf numFmtId="166" fontId="24" fillId="0" borderId="0" applyFont="0" applyFill="0" applyBorder="0" applyAlignment="0" applyProtection="0"/>
    <xf numFmtId="44" fontId="25" fillId="0" borderId="0" applyFont="0" applyFill="0" applyBorder="0" applyAlignment="0" applyProtection="0"/>
  </cellStyleXfs>
  <cellXfs count="371">
    <xf numFmtId="0" fontId="0" fillId="0" borderId="0" xfId="0"/>
    <xf numFmtId="0" fontId="1" fillId="0" borderId="0" xfId="0" applyFont="1" applyFill="1" applyAlignment="1" applyProtection="1">
      <alignment horizontal="left" vertical="center"/>
    </xf>
    <xf numFmtId="0" fontId="1" fillId="0" borderId="0" xfId="0" applyFont="1" applyFill="1" applyAlignment="1" applyProtection="1">
      <alignment vertical="center"/>
    </xf>
    <xf numFmtId="0" fontId="2" fillId="0" borderId="0" xfId="0" applyFont="1" applyFill="1" applyAlignment="1" applyProtection="1">
      <alignment vertical="center"/>
    </xf>
    <xf numFmtId="0" fontId="1" fillId="0" borderId="0" xfId="0" applyFont="1" applyFill="1" applyAlignment="1" applyProtection="1">
      <alignment horizontal="center" vertical="center"/>
    </xf>
    <xf numFmtId="164" fontId="1" fillId="0" borderId="0" xfId="1" applyFont="1" applyFill="1" applyAlignment="1" applyProtection="1">
      <alignment vertical="center"/>
    </xf>
    <xf numFmtId="4" fontId="1" fillId="0" borderId="0" xfId="0" applyNumberFormat="1" applyFont="1" applyFill="1" applyAlignment="1" applyProtection="1">
      <alignment vertical="center"/>
    </xf>
    <xf numFmtId="2" fontId="4" fillId="0" borderId="0" xfId="0" applyNumberFormat="1" applyFont="1" applyFill="1" applyAlignment="1" applyProtection="1">
      <alignment horizontal="right" vertical="center"/>
    </xf>
    <xf numFmtId="0" fontId="5" fillId="0" borderId="0" xfId="0" applyFont="1" applyFill="1" applyAlignment="1" applyProtection="1">
      <alignment vertical="center"/>
    </xf>
    <xf numFmtId="0" fontId="1" fillId="0" borderId="0" xfId="0" applyFont="1" applyFill="1" applyAlignment="1" applyProtection="1">
      <alignment horizontal="centerContinuous" vertical="center"/>
    </xf>
    <xf numFmtId="0" fontId="2" fillId="0" borderId="0" xfId="0" applyFont="1" applyFill="1" applyAlignment="1" applyProtection="1">
      <alignment horizontal="centerContinuous" vertical="center"/>
    </xf>
    <xf numFmtId="164" fontId="1" fillId="0" borderId="0" xfId="1" applyFont="1" applyFill="1" applyAlignment="1" applyProtection="1">
      <alignment horizontal="centerContinuous" vertical="center"/>
    </xf>
    <xf numFmtId="4" fontId="1" fillId="0" borderId="0" xfId="0" applyNumberFormat="1" applyFont="1" applyFill="1" applyAlignment="1" applyProtection="1">
      <alignment horizontal="centerContinuous" vertical="center"/>
    </xf>
    <xf numFmtId="2" fontId="4" fillId="0" borderId="0" xfId="0" applyNumberFormat="1" applyFont="1" applyFill="1" applyAlignment="1" applyProtection="1">
      <alignment horizontal="centerContinuous" vertical="center"/>
    </xf>
    <xf numFmtId="0" fontId="3" fillId="0" borderId="0" xfId="0" applyFont="1" applyFill="1" applyAlignment="1">
      <alignment vertical="center"/>
    </xf>
    <xf numFmtId="164" fontId="3" fillId="0" borderId="0" xfId="1" applyFont="1" applyFill="1" applyAlignment="1">
      <alignment vertical="center"/>
    </xf>
    <xf numFmtId="0" fontId="3" fillId="0" borderId="0" xfId="0" applyFont="1" applyFill="1" applyAlignment="1" applyProtection="1">
      <alignment vertical="center"/>
      <protection locked="0"/>
    </xf>
    <xf numFmtId="0" fontId="7" fillId="0" borderId="0" xfId="0" applyFont="1" applyFill="1" applyBorder="1" applyAlignment="1">
      <alignment vertical="center"/>
    </xf>
    <xf numFmtId="0" fontId="1" fillId="0" borderId="0" xfId="0" applyFont="1" applyFill="1" applyBorder="1" applyAlignment="1" applyProtection="1">
      <alignment vertical="center"/>
    </xf>
    <xf numFmtId="0" fontId="3" fillId="0" borderId="0" xfId="0" applyFont="1" applyFill="1" applyBorder="1" applyAlignment="1">
      <alignment vertical="center"/>
    </xf>
    <xf numFmtId="0" fontId="1" fillId="0" borderId="0" xfId="0" applyFont="1" applyFill="1" applyBorder="1"/>
    <xf numFmtId="0" fontId="12" fillId="0" borderId="0" xfId="0" applyFont="1" applyFill="1" applyBorder="1"/>
    <xf numFmtId="0" fontId="8" fillId="0" borderId="0" xfId="0" applyFont="1" applyFill="1" applyBorder="1" applyAlignment="1" applyProtection="1">
      <alignment vertical="center"/>
      <protection locked="0"/>
    </xf>
    <xf numFmtId="164" fontId="11" fillId="0" borderId="0" xfId="1" quotePrefix="1" applyFont="1" applyFill="1" applyBorder="1" applyAlignment="1" applyProtection="1">
      <alignment horizontal="right" vertical="center"/>
      <protection locked="0"/>
    </xf>
    <xf numFmtId="2" fontId="9" fillId="0" borderId="0" xfId="0" applyNumberFormat="1" applyFont="1" applyFill="1" applyBorder="1" applyAlignment="1">
      <alignment vertical="center"/>
    </xf>
    <xf numFmtId="4" fontId="1" fillId="0" borderId="13" xfId="0" applyNumberFormat="1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vertical="center"/>
    </xf>
    <xf numFmtId="0" fontId="2" fillId="0" borderId="1" xfId="0" applyFont="1" applyFill="1" applyBorder="1" applyAlignment="1" applyProtection="1">
      <alignment vertical="center"/>
    </xf>
    <xf numFmtId="4" fontId="1" fillId="0" borderId="13" xfId="0" applyNumberFormat="1" applyFont="1" applyFill="1" applyBorder="1" applyAlignment="1" applyProtection="1">
      <alignment vertical="center"/>
      <protection locked="0"/>
    </xf>
    <xf numFmtId="2" fontId="4" fillId="0" borderId="19" xfId="0" applyNumberFormat="1" applyFont="1" applyFill="1" applyBorder="1" applyAlignment="1" applyProtection="1">
      <alignment horizontal="right" vertical="center"/>
    </xf>
    <xf numFmtId="4" fontId="5" fillId="0" borderId="16" xfId="0" applyNumberFormat="1" applyFont="1" applyFill="1" applyBorder="1" applyAlignment="1" applyProtection="1">
      <alignment vertical="center"/>
    </xf>
    <xf numFmtId="0" fontId="2" fillId="0" borderId="18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vertical="center"/>
    </xf>
    <xf numFmtId="0" fontId="1" fillId="0" borderId="0" xfId="0" applyFont="1" applyFill="1" applyBorder="1" applyAlignment="1" applyProtection="1">
      <alignment horizontal="center" vertical="center"/>
    </xf>
    <xf numFmtId="4" fontId="1" fillId="0" borderId="0" xfId="0" applyNumberFormat="1" applyFont="1" applyFill="1" applyBorder="1" applyAlignment="1" applyProtection="1">
      <alignment vertical="center"/>
    </xf>
    <xf numFmtId="2" fontId="4" fillId="0" borderId="0" xfId="0" applyNumberFormat="1" applyFont="1" applyFill="1" applyBorder="1" applyAlignment="1" applyProtection="1">
      <alignment horizontal="right" vertical="center"/>
    </xf>
    <xf numFmtId="4" fontId="1" fillId="0" borderId="15" xfId="0" applyNumberFormat="1" applyFont="1" applyFill="1" applyBorder="1" applyAlignment="1" applyProtection="1">
      <alignment vertical="center"/>
    </xf>
    <xf numFmtId="0" fontId="12" fillId="0" borderId="1" xfId="0" applyFont="1" applyFill="1" applyBorder="1" applyAlignment="1" applyProtection="1">
      <alignment horizontal="left" vertical="center"/>
    </xf>
    <xf numFmtId="0" fontId="2" fillId="0" borderId="1" xfId="0" applyFont="1" applyFill="1" applyBorder="1" applyAlignment="1">
      <alignment vertical="center"/>
    </xf>
    <xf numFmtId="164" fontId="1" fillId="0" borderId="1" xfId="1" applyFont="1" applyFill="1" applyBorder="1" applyAlignment="1" applyProtection="1">
      <alignment vertical="center"/>
    </xf>
    <xf numFmtId="2" fontId="4" fillId="0" borderId="15" xfId="0" applyNumberFormat="1" applyFont="1" applyFill="1" applyBorder="1" applyAlignment="1" applyProtection="1">
      <alignment horizontal="right" vertical="center"/>
    </xf>
    <xf numFmtId="0" fontId="12" fillId="0" borderId="18" xfId="0" applyFont="1" applyFill="1" applyBorder="1" applyAlignment="1" applyProtection="1">
      <alignment vertical="center"/>
    </xf>
    <xf numFmtId="164" fontId="1" fillId="0" borderId="18" xfId="1" applyFont="1" applyFill="1" applyBorder="1" applyAlignment="1" applyProtection="1">
      <alignment vertical="center"/>
    </xf>
    <xf numFmtId="4" fontId="1" fillId="0" borderId="18" xfId="0" applyNumberFormat="1" applyFont="1" applyFill="1" applyBorder="1" applyAlignment="1" applyProtection="1">
      <alignment vertical="center"/>
    </xf>
    <xf numFmtId="4" fontId="9" fillId="0" borderId="19" xfId="0" applyNumberFormat="1" applyFont="1" applyFill="1" applyBorder="1" applyAlignment="1" applyProtection="1">
      <alignment vertical="center"/>
      <protection locked="0"/>
    </xf>
    <xf numFmtId="0" fontId="12" fillId="0" borderId="18" xfId="0" applyFont="1" applyFill="1" applyBorder="1" applyAlignment="1" applyProtection="1">
      <alignment horizontal="left" vertical="center"/>
    </xf>
    <xf numFmtId="4" fontId="5" fillId="0" borderId="19" xfId="0" applyNumberFormat="1" applyFont="1" applyFill="1" applyBorder="1" applyAlignment="1" applyProtection="1">
      <alignment vertical="center"/>
    </xf>
    <xf numFmtId="0" fontId="1" fillId="0" borderId="23" xfId="0" applyFont="1" applyFill="1" applyBorder="1" applyAlignment="1" applyProtection="1">
      <alignment vertical="center"/>
    </xf>
    <xf numFmtId="4" fontId="1" fillId="0" borderId="0" xfId="0" applyNumberFormat="1" applyFont="1" applyFill="1" applyBorder="1" applyAlignment="1" applyProtection="1">
      <alignment vertical="center"/>
      <protection locked="0"/>
    </xf>
    <xf numFmtId="0" fontId="14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right" vertical="center"/>
    </xf>
    <xf numFmtId="2" fontId="0" fillId="0" borderId="0" xfId="0" applyNumberFormat="1"/>
    <xf numFmtId="2" fontId="0" fillId="0" borderId="0" xfId="0" applyNumberFormat="1" applyAlignment="1">
      <alignment horizontal="centerContinuous"/>
    </xf>
    <xf numFmtId="2" fontId="15" fillId="0" borderId="0" xfId="0" applyNumberFormat="1" applyFont="1" applyAlignment="1">
      <alignment horizontal="centerContinuous"/>
    </xf>
    <xf numFmtId="0" fontId="0" fillId="0" borderId="0" xfId="0" applyAlignment="1">
      <alignment horizontal="centerContinuous"/>
    </xf>
    <xf numFmtId="2" fontId="16" fillId="0" borderId="0" xfId="0" applyNumberFormat="1" applyFont="1" applyAlignment="1">
      <alignment horizontal="centerContinuous"/>
    </xf>
    <xf numFmtId="2" fontId="0" fillId="0" borderId="0" xfId="0" applyNumberFormat="1" applyBorder="1" applyAlignment="1">
      <alignment horizontal="centerContinuous"/>
    </xf>
    <xf numFmtId="2" fontId="17" fillId="0" borderId="0" xfId="0" applyNumberFormat="1" applyFont="1" applyAlignment="1">
      <alignment horizontal="centerContinuous"/>
    </xf>
    <xf numFmtId="2" fontId="16" fillId="0" borderId="0" xfId="0" applyNumberFormat="1" applyFont="1" applyBorder="1" applyAlignment="1">
      <alignment horizontal="centerContinuous"/>
    </xf>
    <xf numFmtId="2" fontId="0" fillId="0" borderId="0" xfId="0" applyNumberFormat="1" applyBorder="1"/>
    <xf numFmtId="0" fontId="0" fillId="0" borderId="0" xfId="0" applyBorder="1"/>
    <xf numFmtId="2" fontId="0" fillId="0" borderId="0" xfId="0" applyNumberFormat="1" applyAlignment="1"/>
    <xf numFmtId="2" fontId="6" fillId="0" borderId="0" xfId="0" applyNumberFormat="1" applyFont="1" applyAlignment="1" applyProtection="1">
      <alignment horizontal="left" vertical="center"/>
    </xf>
    <xf numFmtId="2" fontId="0" fillId="0" borderId="15" xfId="0" applyNumberFormat="1" applyBorder="1"/>
    <xf numFmtId="2" fontId="0" fillId="0" borderId="0" xfId="0" applyNumberFormat="1" applyAlignment="1">
      <alignment horizontal="center"/>
    </xf>
    <xf numFmtId="2" fontId="0" fillId="0" borderId="20" xfId="0" applyNumberFormat="1" applyBorder="1"/>
    <xf numFmtId="2" fontId="0" fillId="0" borderId="0" xfId="0" applyNumberFormat="1" applyProtection="1"/>
    <xf numFmtId="2" fontId="19" fillId="0" borderId="0" xfId="0" applyNumberFormat="1" applyFont="1" applyProtection="1"/>
    <xf numFmtId="2" fontId="8" fillId="0" borderId="0" xfId="0" applyNumberFormat="1" applyFont="1" applyAlignment="1" applyProtection="1">
      <alignment horizontal="right"/>
    </xf>
    <xf numFmtId="2" fontId="0" fillId="0" borderId="0" xfId="0" applyNumberFormat="1" applyBorder="1" applyProtection="1"/>
    <xf numFmtId="2" fontId="0" fillId="0" borderId="20" xfId="0" applyNumberFormat="1" applyBorder="1" applyProtection="1"/>
    <xf numFmtId="0" fontId="0" fillId="0" borderId="0" xfId="0" applyProtection="1"/>
    <xf numFmtId="2" fontId="8" fillId="0" borderId="0" xfId="0" applyNumberFormat="1" applyFont="1" applyBorder="1" applyAlignment="1" applyProtection="1">
      <alignment horizontal="right"/>
    </xf>
    <xf numFmtId="2" fontId="19" fillId="0" borderId="0" xfId="0" quotePrefix="1" applyNumberFormat="1" applyFont="1" applyProtection="1"/>
    <xf numFmtId="2" fontId="19" fillId="0" borderId="0" xfId="0" quotePrefix="1" applyNumberFormat="1" applyFont="1" applyProtection="1">
      <protection locked="0"/>
    </xf>
    <xf numFmtId="2" fontId="6" fillId="0" borderId="0" xfId="0" applyNumberFormat="1" applyFont="1" applyBorder="1" applyProtection="1"/>
    <xf numFmtId="2" fontId="19" fillId="0" borderId="0" xfId="0" applyNumberFormat="1" applyFont="1" applyBorder="1" applyProtection="1">
      <protection locked="0"/>
    </xf>
    <xf numFmtId="2" fontId="0" fillId="0" borderId="0" xfId="0" quotePrefix="1" applyNumberFormat="1" applyBorder="1" applyAlignment="1" applyProtection="1">
      <alignment horizontal="left"/>
    </xf>
    <xf numFmtId="0" fontId="0" fillId="0" borderId="0" xfId="0" applyBorder="1" applyProtection="1"/>
    <xf numFmtId="2" fontId="19" fillId="0" borderId="0" xfId="0" quotePrefix="1" applyNumberFormat="1" applyFont="1" applyBorder="1" applyProtection="1"/>
    <xf numFmtId="0" fontId="0" fillId="0" borderId="20" xfId="0" applyBorder="1" applyProtection="1"/>
    <xf numFmtId="2" fontId="0" fillId="0" borderId="1" xfId="0" applyNumberFormat="1" applyBorder="1" applyProtection="1"/>
    <xf numFmtId="2" fontId="0" fillId="0" borderId="1" xfId="0" applyNumberFormat="1" applyBorder="1" applyAlignment="1" applyProtection="1">
      <alignment horizontal="center"/>
    </xf>
    <xf numFmtId="2" fontId="0" fillId="0" borderId="1" xfId="0" applyNumberFormat="1" applyBorder="1" applyAlignment="1" applyProtection="1"/>
    <xf numFmtId="2" fontId="0" fillId="0" borderId="0" xfId="0" applyNumberFormat="1" applyBorder="1" applyAlignment="1" applyProtection="1">
      <alignment horizontal="center"/>
    </xf>
    <xf numFmtId="2" fontId="0" fillId="0" borderId="12" xfId="0" applyNumberFormat="1" applyBorder="1" applyProtection="1"/>
    <xf numFmtId="2" fontId="0" fillId="0" borderId="11" xfId="0" applyNumberFormat="1" applyBorder="1" applyAlignment="1">
      <alignment horizontal="centerContinuous"/>
    </xf>
    <xf numFmtId="2" fontId="20" fillId="0" borderId="11" xfId="0" applyNumberFormat="1" applyFont="1" applyBorder="1" applyAlignment="1">
      <alignment horizontal="centerContinuous"/>
    </xf>
    <xf numFmtId="2" fontId="0" fillId="0" borderId="12" xfId="0" applyNumberFormat="1" applyBorder="1" applyAlignment="1">
      <alignment horizontal="left"/>
    </xf>
    <xf numFmtId="2" fontId="19" fillId="0" borderId="24" xfId="0" applyNumberFormat="1" applyFont="1" applyBorder="1" applyAlignment="1" applyProtection="1">
      <alignment horizontal="right"/>
    </xf>
    <xf numFmtId="1" fontId="19" fillId="0" borderId="24" xfId="0" applyNumberFormat="1" applyFont="1" applyBorder="1" applyAlignment="1" applyProtection="1">
      <alignment horizontal="left"/>
    </xf>
    <xf numFmtId="2" fontId="19" fillId="0" borderId="25" xfId="0" applyNumberFormat="1" applyFont="1" applyBorder="1" applyAlignment="1" applyProtection="1">
      <alignment horizontal="right"/>
    </xf>
    <xf numFmtId="1" fontId="19" fillId="0" borderId="26" xfId="0" applyNumberFormat="1" applyFont="1" applyBorder="1" applyAlignment="1" applyProtection="1">
      <alignment horizontal="left"/>
    </xf>
    <xf numFmtId="1" fontId="19" fillId="0" borderId="27" xfId="0" applyNumberFormat="1" applyFont="1" applyBorder="1" applyAlignment="1" applyProtection="1">
      <alignment horizontal="left"/>
    </xf>
    <xf numFmtId="2" fontId="19" fillId="0" borderId="26" xfId="0" applyNumberFormat="1" applyFont="1" applyBorder="1" applyAlignment="1">
      <alignment horizontal="centerContinuous"/>
    </xf>
    <xf numFmtId="2" fontId="19" fillId="0" borderId="28" xfId="0" applyNumberFormat="1" applyFont="1" applyBorder="1" applyAlignment="1">
      <alignment horizontal="centerContinuous"/>
    </xf>
    <xf numFmtId="2" fontId="19" fillId="0" borderId="29" xfId="0" applyNumberFormat="1" applyFont="1" applyBorder="1" applyAlignment="1">
      <alignment horizontal="centerContinuous"/>
    </xf>
    <xf numFmtId="2" fontId="13" fillId="0" borderId="28" xfId="0" applyNumberFormat="1" applyFont="1" applyBorder="1" applyAlignment="1" applyProtection="1">
      <alignment horizontal="center"/>
      <protection locked="0"/>
    </xf>
    <xf numFmtId="2" fontId="13" fillId="2" borderId="28" xfId="0" applyNumberFormat="1" applyFont="1" applyFill="1" applyBorder="1" applyAlignment="1">
      <alignment horizontal="center"/>
    </xf>
    <xf numFmtId="2" fontId="13" fillId="2" borderId="28" xfId="0" applyNumberFormat="1" applyFont="1" applyFill="1" applyBorder="1"/>
    <xf numFmtId="2" fontId="13" fillId="0" borderId="28" xfId="0" applyNumberFormat="1" applyFont="1" applyBorder="1" applyProtection="1">
      <protection locked="0"/>
    </xf>
    <xf numFmtId="2" fontId="13" fillId="0" borderId="26" xfId="0" applyNumberFormat="1" applyFont="1" applyBorder="1" applyProtection="1">
      <protection locked="0"/>
    </xf>
    <xf numFmtId="2" fontId="0" fillId="4" borderId="28" xfId="0" applyNumberFormat="1" applyFill="1" applyBorder="1" applyAlignment="1" applyProtection="1">
      <alignment horizontal="center"/>
    </xf>
    <xf numFmtId="2" fontId="0" fillId="3" borderId="28" xfId="0" applyNumberFormat="1" applyFill="1" applyBorder="1" applyAlignment="1" applyProtection="1">
      <alignment horizontal="center"/>
    </xf>
    <xf numFmtId="2" fontId="0" fillId="4" borderId="26" xfId="0" applyNumberFormat="1" applyFill="1" applyBorder="1" applyProtection="1"/>
    <xf numFmtId="2" fontId="0" fillId="3" borderId="28" xfId="0" applyNumberFormat="1" applyFill="1" applyBorder="1" applyProtection="1"/>
    <xf numFmtId="2" fontId="0" fillId="4" borderId="28" xfId="0" applyNumberFormat="1" applyFill="1" applyBorder="1" applyProtection="1"/>
    <xf numFmtId="2" fontId="0" fillId="5" borderId="0" xfId="0" applyNumberFormat="1" applyFill="1" applyBorder="1"/>
    <xf numFmtId="2" fontId="0" fillId="5" borderId="0" xfId="0" applyNumberFormat="1" applyFill="1" applyBorder="1" applyProtection="1">
      <protection locked="0"/>
    </xf>
    <xf numFmtId="2" fontId="0" fillId="5" borderId="20" xfId="0" applyNumberFormat="1" applyFill="1" applyBorder="1"/>
    <xf numFmtId="2" fontId="13" fillId="5" borderId="31" xfId="0" applyNumberFormat="1" applyFont="1" applyFill="1" applyBorder="1" applyAlignment="1">
      <alignment horizontal="centerContinuous"/>
    </xf>
    <xf numFmtId="2" fontId="20" fillId="2" borderId="31" xfId="0" applyNumberFormat="1" applyFont="1" applyFill="1" applyBorder="1"/>
    <xf numFmtId="14" fontId="8" fillId="0" borderId="0" xfId="0" applyNumberFormat="1" applyFont="1" applyBorder="1" applyAlignment="1" applyProtection="1">
      <alignment horizontal="center"/>
      <protection locked="0"/>
    </xf>
    <xf numFmtId="2" fontId="7" fillId="0" borderId="23" xfId="0" applyNumberFormat="1" applyFont="1" applyBorder="1" applyAlignment="1">
      <alignment horizontal="center"/>
    </xf>
    <xf numFmtId="0" fontId="8" fillId="0" borderId="23" xfId="0" applyFont="1" applyBorder="1"/>
    <xf numFmtId="0" fontId="0" fillId="0" borderId="23" xfId="0" applyBorder="1"/>
    <xf numFmtId="2" fontId="0" fillId="0" borderId="23" xfId="0" applyNumberFormat="1" applyBorder="1"/>
    <xf numFmtId="2" fontId="8" fillId="0" borderId="23" xfId="0" applyNumberFormat="1" applyFont="1" applyBorder="1"/>
    <xf numFmtId="0" fontId="8" fillId="0" borderId="0" xfId="0" applyFont="1" applyBorder="1"/>
    <xf numFmtId="0" fontId="8" fillId="0" borderId="0" xfId="0" applyFont="1"/>
    <xf numFmtId="2" fontId="8" fillId="0" borderId="0" xfId="0" applyNumberFormat="1" applyFont="1"/>
    <xf numFmtId="2" fontId="0" fillId="0" borderId="0" xfId="0" applyNumberFormat="1" applyBorder="1" applyProtection="1">
      <protection locked="0"/>
    </xf>
    <xf numFmtId="2" fontId="8" fillId="0" borderId="0" xfId="0" applyNumberFormat="1" applyFont="1" applyBorder="1"/>
    <xf numFmtId="0" fontId="7" fillId="0" borderId="0" xfId="0" applyFont="1" applyAlignment="1">
      <alignment horizontal="centerContinuous"/>
    </xf>
    <xf numFmtId="2" fontId="7" fillId="0" borderId="0" xfId="0" applyNumberFormat="1" applyFont="1" applyBorder="1" applyAlignment="1"/>
    <xf numFmtId="2" fontId="0" fillId="0" borderId="0" xfId="0" applyNumberFormat="1" applyBorder="1" applyAlignment="1"/>
    <xf numFmtId="0" fontId="0" fillId="0" borderId="0" xfId="0" applyBorder="1" applyAlignment="1"/>
    <xf numFmtId="2" fontId="7" fillId="0" borderId="0" xfId="0" applyNumberFormat="1" applyFont="1" applyBorder="1" applyAlignment="1">
      <alignment horizontal="centerContinuous"/>
    </xf>
    <xf numFmtId="2" fontId="21" fillId="0" borderId="0" xfId="0" applyNumberFormat="1" applyFont="1" applyBorder="1" applyAlignment="1"/>
    <xf numFmtId="168" fontId="0" fillId="0" borderId="0" xfId="0" applyNumberFormat="1"/>
    <xf numFmtId="0" fontId="6" fillId="0" borderId="0" xfId="0" applyFont="1" applyFill="1" applyAlignment="1" applyProtection="1">
      <alignment horizontal="center" vertical="center"/>
      <protection locked="0"/>
    </xf>
    <xf numFmtId="164" fontId="7" fillId="0" borderId="0" xfId="1" applyFont="1" applyFill="1" applyBorder="1" applyAlignment="1">
      <alignment vertical="center"/>
    </xf>
    <xf numFmtId="4" fontId="1" fillId="0" borderId="13" xfId="0" applyNumberFormat="1" applyFont="1" applyFill="1" applyBorder="1" applyAlignment="1" applyProtection="1">
      <alignment horizontal="right" vertical="center"/>
    </xf>
    <xf numFmtId="4" fontId="1" fillId="0" borderId="13" xfId="0" applyNumberFormat="1" applyFont="1" applyFill="1" applyBorder="1" applyAlignment="1" applyProtection="1">
      <alignment horizontal="right" vertical="center"/>
      <protection locked="0"/>
    </xf>
    <xf numFmtId="0" fontId="1" fillId="0" borderId="19" xfId="0" applyFont="1" applyFill="1" applyBorder="1" applyAlignment="1" applyProtection="1">
      <alignment horizontal="left" vertical="center"/>
    </xf>
    <xf numFmtId="4" fontId="2" fillId="0" borderId="13" xfId="0" applyNumberFormat="1" applyFont="1" applyFill="1" applyBorder="1" applyAlignment="1" applyProtection="1">
      <alignment horizontal="right" vertical="center"/>
    </xf>
    <xf numFmtId="4" fontId="1" fillId="0" borderId="21" xfId="0" applyNumberFormat="1" applyFont="1" applyFill="1" applyBorder="1" applyAlignment="1" applyProtection="1">
      <alignment horizontal="right" vertical="center"/>
    </xf>
    <xf numFmtId="0" fontId="1" fillId="0" borderId="19" xfId="0" applyFont="1" applyFill="1" applyBorder="1" applyAlignment="1" applyProtection="1">
      <alignment vertical="center"/>
    </xf>
    <xf numFmtId="0" fontId="1" fillId="0" borderId="19" xfId="0" applyFont="1" applyFill="1" applyBorder="1" applyAlignment="1">
      <alignment vertical="center"/>
    </xf>
    <xf numFmtId="4" fontId="1" fillId="0" borderId="19" xfId="0" applyNumberFormat="1" applyFont="1" applyFill="1" applyBorder="1" applyAlignment="1" applyProtection="1">
      <alignment horizontal="right" vertical="center"/>
    </xf>
    <xf numFmtId="0" fontId="10" fillId="0" borderId="19" xfId="0" applyFont="1" applyFill="1" applyBorder="1" applyAlignment="1">
      <alignment vertical="center"/>
    </xf>
    <xf numFmtId="0" fontId="1" fillId="0" borderId="22" xfId="0" applyFont="1" applyFill="1" applyBorder="1" applyAlignment="1" applyProtection="1">
      <alignment horizontal="left" vertical="center"/>
    </xf>
    <xf numFmtId="0" fontId="1" fillId="0" borderId="19" xfId="0" applyFont="1" applyFill="1" applyBorder="1" applyAlignment="1" applyProtection="1">
      <alignment horizontal="center" vertical="center" wrapText="1"/>
    </xf>
    <xf numFmtId="0" fontId="1" fillId="0" borderId="0" xfId="0" applyFont="1" applyFill="1" applyAlignment="1" applyProtection="1">
      <alignment vertical="center" wrapText="1"/>
    </xf>
    <xf numFmtId="0" fontId="9" fillId="0" borderId="0" xfId="0" applyFont="1" applyFill="1" applyBorder="1" applyProtection="1">
      <protection locked="0"/>
    </xf>
    <xf numFmtId="2" fontId="9" fillId="0" borderId="0" xfId="0" applyNumberFormat="1" applyFont="1" applyFill="1" applyBorder="1" applyProtection="1">
      <protection locked="0"/>
    </xf>
    <xf numFmtId="4" fontId="8" fillId="0" borderId="23" xfId="0" applyNumberFormat="1" applyFont="1" applyBorder="1"/>
    <xf numFmtId="2" fontId="13" fillId="0" borderId="26" xfId="0" applyNumberFormat="1" applyFont="1" applyBorder="1" applyAlignment="1" applyProtection="1">
      <alignment horizontal="center"/>
      <protection locked="0"/>
    </xf>
    <xf numFmtId="167" fontId="3" fillId="2" borderId="19" xfId="0" applyNumberFormat="1" applyFont="1" applyFill="1" applyBorder="1" applyAlignment="1">
      <alignment horizontal="right"/>
    </xf>
    <xf numFmtId="2" fontId="13" fillId="0" borderId="19" xfId="0" applyNumberFormat="1" applyFont="1" applyBorder="1" applyAlignment="1" applyProtection="1">
      <alignment horizontal="center"/>
      <protection locked="0"/>
    </xf>
    <xf numFmtId="2" fontId="13" fillId="2" borderId="19" xfId="0" applyNumberFormat="1" applyFont="1" applyFill="1" applyBorder="1" applyAlignment="1" applyProtection="1">
      <alignment horizontal="center"/>
      <protection locked="0"/>
    </xf>
    <xf numFmtId="2" fontId="13" fillId="2" borderId="19" xfId="0" applyNumberFormat="1" applyFont="1" applyFill="1" applyBorder="1" applyAlignment="1">
      <alignment horizontal="center"/>
    </xf>
    <xf numFmtId="2" fontId="0" fillId="2" borderId="19" xfId="0" applyNumberFormat="1" applyFill="1" applyBorder="1" applyAlignment="1" applyProtection="1">
      <alignment horizontal="center"/>
      <protection locked="0"/>
    </xf>
    <xf numFmtId="2" fontId="13" fillId="5" borderId="30" xfId="0" applyNumberFormat="1" applyFont="1" applyFill="1" applyBorder="1" applyAlignment="1">
      <alignment horizontal="centerContinuous"/>
    </xf>
    <xf numFmtId="167" fontId="6" fillId="5" borderId="19" xfId="0" applyNumberFormat="1" applyFont="1" applyFill="1" applyBorder="1"/>
    <xf numFmtId="2" fontId="19" fillId="0" borderId="19" xfId="0" applyNumberFormat="1" applyFont="1" applyBorder="1" applyAlignment="1">
      <alignment horizontal="center"/>
    </xf>
    <xf numFmtId="2" fontId="20" fillId="2" borderId="19" xfId="0" applyNumberFormat="1" applyFont="1" applyFill="1" applyBorder="1" applyAlignment="1"/>
    <xf numFmtId="2" fontId="13" fillId="5" borderId="19" xfId="0" applyNumberFormat="1" applyFont="1" applyFill="1" applyBorder="1" applyAlignment="1">
      <alignment horizontal="centerContinuous"/>
    </xf>
    <xf numFmtId="2" fontId="20" fillId="2" borderId="19" xfId="0" applyNumberFormat="1" applyFont="1" applyFill="1" applyBorder="1"/>
    <xf numFmtId="2" fontId="0" fillId="0" borderId="0" xfId="0" applyNumberFormat="1" applyBorder="1" applyAlignment="1">
      <alignment horizontal="center"/>
    </xf>
    <xf numFmtId="2" fontId="19" fillId="0" borderId="19" xfId="0" applyNumberFormat="1" applyFont="1" applyBorder="1" applyAlignment="1">
      <alignment horizontal="centerContinuous"/>
    </xf>
    <xf numFmtId="2" fontId="16" fillId="0" borderId="3" xfId="0" applyNumberFormat="1" applyFont="1" applyBorder="1" applyAlignment="1">
      <alignment horizontal="centerContinuous"/>
    </xf>
    <xf numFmtId="2" fontId="0" fillId="0" borderId="5" xfId="0" applyNumberFormat="1" applyBorder="1"/>
    <xf numFmtId="2" fontId="15" fillId="0" borderId="0" xfId="0" applyNumberFormat="1" applyFont="1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0" fillId="0" borderId="6" xfId="0" applyBorder="1"/>
    <xf numFmtId="2" fontId="17" fillId="0" borderId="0" xfId="0" applyNumberFormat="1" applyFont="1" applyBorder="1" applyAlignment="1">
      <alignment horizontal="left" vertical="center"/>
    </xf>
    <xf numFmtId="2" fontId="18" fillId="0" borderId="0" xfId="0" applyNumberFormat="1" applyFont="1" applyBorder="1" applyAlignment="1" applyProtection="1">
      <alignment horizontal="left" vertical="center"/>
      <protection locked="0"/>
    </xf>
    <xf numFmtId="2" fontId="17" fillId="0" borderId="5" xfId="0" applyNumberFormat="1" applyFont="1" applyBorder="1" applyAlignment="1">
      <alignment horizontal="centerContinuous"/>
    </xf>
    <xf numFmtId="2" fontId="0" fillId="0" borderId="33" xfId="0" applyNumberFormat="1" applyBorder="1" applyAlignment="1"/>
    <xf numFmtId="2" fontId="0" fillId="0" borderId="6" xfId="0" applyNumberFormat="1" applyBorder="1"/>
    <xf numFmtId="0" fontId="8" fillId="0" borderId="5" xfId="0" applyFont="1" applyFill="1" applyBorder="1" applyProtection="1">
      <protection locked="0"/>
    </xf>
    <xf numFmtId="2" fontId="0" fillId="0" borderId="6" xfId="0" applyNumberFormat="1" applyBorder="1" applyProtection="1"/>
    <xf numFmtId="2" fontId="19" fillId="0" borderId="0" xfId="0" applyNumberFormat="1" applyFont="1" applyBorder="1" applyProtection="1"/>
    <xf numFmtId="2" fontId="13" fillId="0" borderId="0" xfId="0" applyNumberFormat="1" applyFont="1" applyBorder="1" applyAlignment="1" applyProtection="1"/>
    <xf numFmtId="2" fontId="13" fillId="0" borderId="0" xfId="0" applyNumberFormat="1" applyFont="1" applyBorder="1" applyProtection="1"/>
    <xf numFmtId="2" fontId="3" fillId="0" borderId="0" xfId="0" applyNumberFormat="1" applyFont="1" applyBorder="1" applyAlignment="1" applyProtection="1">
      <alignment horizontal="center"/>
    </xf>
    <xf numFmtId="2" fontId="3" fillId="0" borderId="0" xfId="0" applyNumberFormat="1" applyFont="1" applyBorder="1" applyAlignment="1"/>
    <xf numFmtId="2" fontId="3" fillId="0" borderId="0" xfId="0" applyNumberFormat="1" applyFont="1" applyBorder="1" applyProtection="1"/>
    <xf numFmtId="2" fontId="13" fillId="0" borderId="5" xfId="0" applyNumberFormat="1" applyFont="1" applyBorder="1" applyProtection="1"/>
    <xf numFmtId="2" fontId="8" fillId="0" borderId="0" xfId="0" applyNumberFormat="1" applyFont="1" applyBorder="1" applyProtection="1">
      <protection locked="0"/>
    </xf>
    <xf numFmtId="0" fontId="0" fillId="0" borderId="6" xfId="0" applyBorder="1" applyProtection="1"/>
    <xf numFmtId="2" fontId="0" fillId="0" borderId="33" xfId="0" applyNumberFormat="1" applyBorder="1" applyProtection="1"/>
    <xf numFmtId="2" fontId="0" fillId="0" borderId="32" xfId="0" applyNumberFormat="1" applyBorder="1" applyProtection="1"/>
    <xf numFmtId="2" fontId="19" fillId="0" borderId="35" xfId="0" applyNumberFormat="1" applyFont="1" applyBorder="1" applyAlignment="1">
      <alignment horizontal="centerContinuous"/>
    </xf>
    <xf numFmtId="1" fontId="13" fillId="0" borderId="34" xfId="0" applyNumberFormat="1" applyFont="1" applyBorder="1" applyAlignment="1">
      <alignment horizontal="left"/>
    </xf>
    <xf numFmtId="2" fontId="13" fillId="2" borderId="35" xfId="0" applyNumberFormat="1" applyFont="1" applyFill="1" applyBorder="1" applyAlignment="1">
      <alignment horizontal="center"/>
    </xf>
    <xf numFmtId="167" fontId="3" fillId="2" borderId="35" xfId="0" applyNumberFormat="1" applyFont="1" applyFill="1" applyBorder="1" applyAlignment="1">
      <alignment horizontal="right"/>
    </xf>
    <xf numFmtId="2" fontId="20" fillId="2" borderId="35" xfId="0" applyNumberFormat="1" applyFont="1" applyFill="1" applyBorder="1"/>
    <xf numFmtId="2" fontId="8" fillId="0" borderId="8" xfId="0" applyNumberFormat="1" applyFont="1" applyBorder="1" applyProtection="1">
      <protection locked="0"/>
    </xf>
    <xf numFmtId="2" fontId="0" fillId="0" borderId="8" xfId="0" applyNumberFormat="1" applyBorder="1" applyAlignment="1" applyProtection="1">
      <alignment horizontal="center"/>
    </xf>
    <xf numFmtId="2" fontId="0" fillId="0" borderId="8" xfId="0" applyNumberFormat="1" applyBorder="1" applyAlignment="1"/>
    <xf numFmtId="2" fontId="8" fillId="0" borderId="8" xfId="0" applyNumberFormat="1" applyFont="1" applyBorder="1" applyAlignment="1" applyProtection="1">
      <alignment horizontal="right"/>
    </xf>
    <xf numFmtId="2" fontId="19" fillId="0" borderId="8" xfId="0" quotePrefix="1" applyNumberFormat="1" applyFont="1" applyBorder="1" applyProtection="1"/>
    <xf numFmtId="2" fontId="0" fillId="0" borderId="8" xfId="0" applyNumberFormat="1" applyBorder="1"/>
    <xf numFmtId="2" fontId="19" fillId="0" borderId="8" xfId="0" applyNumberFormat="1" applyFont="1" applyBorder="1" applyProtection="1">
      <protection locked="0"/>
    </xf>
    <xf numFmtId="2" fontId="0" fillId="0" borderId="8" xfId="0" applyNumberFormat="1" applyBorder="1" applyProtection="1">
      <protection locked="0"/>
    </xf>
    <xf numFmtId="2" fontId="8" fillId="0" borderId="8" xfId="0" applyNumberFormat="1" applyFont="1" applyBorder="1"/>
    <xf numFmtId="2" fontId="0" fillId="0" borderId="9" xfId="0" applyNumberFormat="1" applyBorder="1"/>
    <xf numFmtId="4" fontId="8" fillId="0" borderId="0" xfId="0" applyNumberFormat="1" applyFont="1" applyBorder="1"/>
    <xf numFmtId="44" fontId="3" fillId="2" borderId="19" xfId="9" applyFont="1" applyFill="1" applyBorder="1" applyAlignment="1">
      <alignment horizontal="right"/>
    </xf>
    <xf numFmtId="2" fontId="0" fillId="0" borderId="2" xfId="0" applyNumberFormat="1" applyBorder="1"/>
    <xf numFmtId="2" fontId="0" fillId="0" borderId="3" xfId="0" applyNumberFormat="1" applyBorder="1" applyAlignment="1">
      <alignment horizontal="centerContinuous"/>
    </xf>
    <xf numFmtId="2" fontId="15" fillId="0" borderId="3" xfId="0" applyNumberFormat="1" applyFont="1" applyBorder="1" applyAlignment="1">
      <alignment horizontal="centerContinuous"/>
    </xf>
    <xf numFmtId="2" fontId="0" fillId="0" borderId="3" xfId="0" applyNumberFormat="1" applyBorder="1"/>
    <xf numFmtId="0" fontId="0" fillId="0" borderId="3" xfId="0" applyBorder="1"/>
    <xf numFmtId="2" fontId="17" fillId="0" borderId="3" xfId="0" applyNumberFormat="1" applyFont="1" applyBorder="1" applyAlignment="1">
      <alignment horizontal="right" vertical="center"/>
    </xf>
    <xf numFmtId="0" fontId="0" fillId="0" borderId="3" xfId="0" applyBorder="1" applyAlignment="1">
      <alignment horizontal="centerContinuous"/>
    </xf>
    <xf numFmtId="0" fontId="0" fillId="0" borderId="4" xfId="0" applyBorder="1"/>
    <xf numFmtId="0" fontId="1" fillId="0" borderId="18" xfId="0" applyFont="1" applyFill="1" applyBorder="1" applyAlignment="1" applyProtection="1">
      <alignment vertical="center"/>
    </xf>
    <xf numFmtId="0" fontId="1" fillId="0" borderId="22" xfId="0" applyFont="1" applyFill="1" applyBorder="1" applyAlignment="1" applyProtection="1">
      <alignment vertical="center"/>
    </xf>
    <xf numFmtId="0" fontId="1" fillId="0" borderId="1" xfId="0" applyFont="1" applyFill="1" applyBorder="1" applyAlignment="1" applyProtection="1">
      <alignment horizontal="center" vertical="center"/>
    </xf>
    <xf numFmtId="0" fontId="1" fillId="0" borderId="18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</xf>
    <xf numFmtId="0" fontId="1" fillId="0" borderId="19" xfId="0" applyFont="1" applyFill="1" applyBorder="1" applyAlignment="1" applyProtection="1">
      <alignment horizontal="center" vertical="center"/>
    </xf>
    <xf numFmtId="0" fontId="1" fillId="0" borderId="13" xfId="0" applyFont="1" applyFill="1" applyBorder="1" applyAlignment="1" applyProtection="1">
      <alignment horizontal="center" vertical="center"/>
    </xf>
    <xf numFmtId="0" fontId="1" fillId="0" borderId="16" xfId="0" applyFont="1" applyFill="1" applyBorder="1" applyAlignment="1" applyProtection="1">
      <alignment horizontal="center" vertical="center"/>
    </xf>
    <xf numFmtId="2" fontId="1" fillId="0" borderId="0" xfId="0" applyNumberFormat="1" applyFont="1" applyFill="1" applyAlignment="1" applyProtection="1">
      <alignment vertical="center"/>
    </xf>
    <xf numFmtId="44" fontId="1" fillId="0" borderId="0" xfId="9" applyFont="1" applyFill="1" applyAlignment="1" applyProtection="1">
      <alignment vertical="center"/>
    </xf>
    <xf numFmtId="9" fontId="1" fillId="0" borderId="0" xfId="0" applyNumberFormat="1" applyFont="1" applyFill="1" applyAlignment="1" applyProtection="1">
      <alignment vertical="center"/>
    </xf>
    <xf numFmtId="44" fontId="12" fillId="0" borderId="0" xfId="0" applyNumberFormat="1" applyFont="1" applyFill="1" applyAlignment="1" applyProtection="1">
      <alignment vertical="center"/>
    </xf>
    <xf numFmtId="1" fontId="0" fillId="5" borderId="37" xfId="0" applyNumberFormat="1" applyFill="1" applyBorder="1" applyAlignment="1"/>
    <xf numFmtId="1" fontId="0" fillId="5" borderId="18" xfId="0" applyNumberFormat="1" applyFill="1" applyBorder="1" applyAlignment="1"/>
    <xf numFmtId="1" fontId="0" fillId="5" borderId="36" xfId="0" applyNumberFormat="1" applyFill="1" applyBorder="1" applyAlignment="1"/>
    <xf numFmtId="2" fontId="5" fillId="0" borderId="0" xfId="0" applyNumberFormat="1" applyFont="1" applyFill="1" applyBorder="1" applyProtection="1">
      <protection locked="0"/>
    </xf>
    <xf numFmtId="0" fontId="3" fillId="0" borderId="5" xfId="0" applyFont="1" applyFill="1" applyBorder="1" applyAlignment="1" applyProtection="1">
      <alignment vertical="center"/>
      <protection locked="0"/>
    </xf>
    <xf numFmtId="0" fontId="3" fillId="0" borderId="0" xfId="0" applyFont="1" applyFill="1" applyBorder="1" applyAlignment="1" applyProtection="1">
      <alignment vertical="center"/>
      <protection locked="0"/>
    </xf>
    <xf numFmtId="0" fontId="6" fillId="0" borderId="0" xfId="0" applyFont="1" applyFill="1" applyBorder="1" applyAlignment="1" applyProtection="1">
      <alignment vertical="center"/>
      <protection locked="0"/>
    </xf>
    <xf numFmtId="0" fontId="6" fillId="0" borderId="0" xfId="0" applyFont="1" applyFill="1" applyBorder="1" applyAlignment="1" applyProtection="1">
      <alignment horizontal="center" vertical="center"/>
      <protection locked="0"/>
    </xf>
    <xf numFmtId="0" fontId="3" fillId="0" borderId="6" xfId="0" applyFont="1" applyFill="1" applyBorder="1" applyAlignment="1">
      <alignment vertical="center"/>
    </xf>
    <xf numFmtId="14" fontId="13" fillId="0" borderId="0" xfId="0" applyNumberFormat="1" applyFont="1" applyFill="1" applyBorder="1" applyAlignment="1" applyProtection="1">
      <alignment horizontal="left" vertical="center"/>
      <protection locked="0"/>
    </xf>
    <xf numFmtId="0" fontId="6" fillId="0" borderId="0" xfId="0" applyFont="1" applyFill="1" applyBorder="1" applyAlignment="1">
      <alignment horizontal="center" vertical="center"/>
    </xf>
    <xf numFmtId="10" fontId="9" fillId="0" borderId="6" xfId="0" applyNumberFormat="1" applyFont="1" applyFill="1" applyBorder="1" applyAlignment="1">
      <alignment horizontal="center" vertical="center"/>
    </xf>
    <xf numFmtId="4" fontId="1" fillId="0" borderId="38" xfId="0" applyNumberFormat="1" applyFont="1" applyFill="1" applyBorder="1" applyAlignment="1" applyProtection="1">
      <alignment horizontal="center" vertical="center"/>
    </xf>
    <xf numFmtId="165" fontId="1" fillId="0" borderId="6" xfId="0" applyNumberFormat="1" applyFont="1" applyFill="1" applyBorder="1" applyAlignment="1" applyProtection="1">
      <alignment vertical="center"/>
    </xf>
    <xf numFmtId="165" fontId="1" fillId="0" borderId="35" xfId="0" applyNumberFormat="1" applyFont="1" applyFill="1" applyBorder="1" applyAlignment="1" applyProtection="1">
      <alignment horizontal="center" vertical="center"/>
    </xf>
    <xf numFmtId="0" fontId="1" fillId="0" borderId="33" xfId="0" applyFont="1" applyFill="1" applyBorder="1" applyAlignment="1" applyProtection="1">
      <alignment horizontal="center" vertical="center"/>
    </xf>
    <xf numFmtId="2" fontId="2" fillId="0" borderId="41" xfId="0" applyNumberFormat="1" applyFont="1" applyFill="1" applyBorder="1" applyAlignment="1" applyProtection="1">
      <alignment horizontal="center" vertical="center"/>
    </xf>
    <xf numFmtId="0" fontId="1" fillId="0" borderId="5" xfId="0" applyFont="1" applyFill="1" applyBorder="1" applyAlignment="1" applyProtection="1">
      <alignment horizontal="center" vertical="center"/>
    </xf>
    <xf numFmtId="164" fontId="1" fillId="0" borderId="0" xfId="1" applyFont="1" applyFill="1" applyBorder="1" applyAlignment="1" applyProtection="1">
      <alignment vertical="center"/>
    </xf>
    <xf numFmtId="0" fontId="1" fillId="0" borderId="6" xfId="0" applyFont="1" applyFill="1" applyBorder="1" applyAlignment="1" applyProtection="1">
      <alignment vertical="center"/>
    </xf>
    <xf numFmtId="0" fontId="1" fillId="0" borderId="37" xfId="0" applyFont="1" applyFill="1" applyBorder="1" applyAlignment="1" applyProtection="1">
      <alignment horizontal="center" vertical="center"/>
    </xf>
    <xf numFmtId="0" fontId="14" fillId="0" borderId="45" xfId="0" applyFont="1" applyFill="1" applyBorder="1" applyAlignment="1">
      <alignment horizontal="centerContinuous" vertical="center"/>
    </xf>
    <xf numFmtId="0" fontId="1" fillId="0" borderId="7" xfId="0" applyFont="1" applyFill="1" applyBorder="1" applyAlignment="1" applyProtection="1">
      <alignment horizontal="center" vertical="center"/>
    </xf>
    <xf numFmtId="0" fontId="1" fillId="0" borderId="8" xfId="0" applyFont="1" applyFill="1" applyBorder="1" applyAlignment="1" applyProtection="1">
      <alignment vertical="center"/>
    </xf>
    <xf numFmtId="0" fontId="2" fillId="0" borderId="8" xfId="0" applyFont="1" applyFill="1" applyBorder="1" applyAlignment="1" applyProtection="1">
      <alignment vertical="center"/>
    </xf>
    <xf numFmtId="0" fontId="1" fillId="0" borderId="8" xfId="0" applyFont="1" applyFill="1" applyBorder="1" applyAlignment="1" applyProtection="1">
      <alignment horizontal="center" vertical="center"/>
    </xf>
    <xf numFmtId="164" fontId="1" fillId="0" borderId="8" xfId="1" applyFont="1" applyFill="1" applyBorder="1" applyAlignment="1" applyProtection="1">
      <alignment vertical="center"/>
    </xf>
    <xf numFmtId="4" fontId="1" fillId="0" borderId="8" xfId="0" applyNumberFormat="1" applyFont="1" applyFill="1" applyBorder="1" applyAlignment="1" applyProtection="1">
      <alignment vertical="center"/>
    </xf>
    <xf numFmtId="4" fontId="1" fillId="0" borderId="8" xfId="0" applyNumberFormat="1" applyFont="1" applyFill="1" applyBorder="1" applyAlignment="1" applyProtection="1">
      <alignment vertical="center"/>
      <protection locked="0"/>
    </xf>
    <xf numFmtId="2" fontId="4" fillId="0" borderId="8" xfId="0" applyNumberFormat="1" applyFont="1" applyFill="1" applyBorder="1" applyAlignment="1" applyProtection="1">
      <alignment horizontal="right" vertical="center"/>
    </xf>
    <xf numFmtId="0" fontId="1" fillId="0" borderId="9" xfId="0" applyFont="1" applyFill="1" applyBorder="1" applyAlignment="1" applyProtection="1">
      <alignment vertical="center"/>
    </xf>
    <xf numFmtId="0" fontId="1" fillId="0" borderId="0" xfId="0" applyFont="1" applyFill="1" applyBorder="1" applyAlignment="1" applyProtection="1">
      <alignment horizontal="center" vertical="center"/>
    </xf>
    <xf numFmtId="0" fontId="3" fillId="0" borderId="5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3" fillId="0" borderId="6" xfId="0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3" fillId="0" borderId="3" xfId="0" applyFont="1" applyFill="1" applyBorder="1" applyAlignment="1" applyProtection="1">
      <alignment horizontal="center" vertical="center"/>
      <protection locked="0"/>
    </xf>
    <xf numFmtId="0" fontId="3" fillId="0" borderId="4" xfId="0" applyFont="1" applyFill="1" applyBorder="1" applyAlignment="1" applyProtection="1">
      <alignment horizontal="center" vertical="center"/>
      <protection locked="0"/>
    </xf>
    <xf numFmtId="0" fontId="22" fillId="0" borderId="37" xfId="0" applyFont="1" applyFill="1" applyBorder="1" applyAlignment="1" applyProtection="1">
      <alignment horizontal="center" vertical="center"/>
    </xf>
    <xf numFmtId="0" fontId="22" fillId="0" borderId="18" xfId="0" applyFont="1" applyFill="1" applyBorder="1" applyAlignment="1" applyProtection="1">
      <alignment horizontal="center" vertical="center"/>
    </xf>
    <xf numFmtId="0" fontId="22" fillId="0" borderId="22" xfId="0" applyFont="1" applyFill="1" applyBorder="1" applyAlignment="1" applyProtection="1">
      <alignment horizontal="center" vertical="center"/>
    </xf>
    <xf numFmtId="0" fontId="12" fillId="0" borderId="39" xfId="0" applyFont="1" applyFill="1" applyBorder="1" applyAlignment="1" applyProtection="1">
      <alignment horizontal="center" vertical="center" textRotation="180"/>
    </xf>
    <xf numFmtId="0" fontId="12" fillId="0" borderId="5" xfId="0" applyFont="1" applyFill="1" applyBorder="1" applyAlignment="1" applyProtection="1">
      <alignment horizontal="center" vertical="center" textRotation="180"/>
    </xf>
    <xf numFmtId="0" fontId="12" fillId="0" borderId="33" xfId="0" applyFont="1" applyFill="1" applyBorder="1" applyAlignment="1" applyProtection="1">
      <alignment horizontal="center" vertical="center" textRotation="180"/>
    </xf>
    <xf numFmtId="0" fontId="1" fillId="0" borderId="17" xfId="0" applyFont="1" applyFill="1" applyBorder="1" applyAlignment="1" applyProtection="1">
      <alignment vertical="center"/>
    </xf>
    <xf numFmtId="0" fontId="1" fillId="0" borderId="18" xfId="0" applyFont="1" applyFill="1" applyBorder="1" applyAlignment="1" applyProtection="1">
      <alignment vertical="center"/>
    </xf>
    <xf numFmtId="0" fontId="1" fillId="0" borderId="22" xfId="0" applyFont="1" applyFill="1" applyBorder="1" applyAlignment="1" applyProtection="1">
      <alignment vertical="center"/>
    </xf>
    <xf numFmtId="0" fontId="1" fillId="0" borderId="10" xfId="0" applyFont="1" applyFill="1" applyBorder="1" applyAlignment="1" applyProtection="1">
      <alignment horizontal="center" vertical="center"/>
    </xf>
    <xf numFmtId="0" fontId="1" fillId="0" borderId="11" xfId="0" applyFont="1" applyFill="1" applyBorder="1" applyAlignment="1" applyProtection="1">
      <alignment horizontal="center" vertical="center"/>
    </xf>
    <xf numFmtId="0" fontId="1" fillId="0" borderId="12" xfId="0" applyFont="1" applyFill="1" applyBorder="1" applyAlignment="1" applyProtection="1">
      <alignment horizontal="center" vertical="center"/>
    </xf>
    <xf numFmtId="0" fontId="1" fillId="0" borderId="14" xfId="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</xf>
    <xf numFmtId="0" fontId="1" fillId="0" borderId="15" xfId="0" applyFont="1" applyFill="1" applyBorder="1" applyAlignment="1" applyProtection="1">
      <alignment horizontal="center" vertical="center"/>
    </xf>
    <xf numFmtId="165" fontId="1" fillId="0" borderId="38" xfId="0" applyNumberFormat="1" applyFont="1" applyFill="1" applyBorder="1" applyAlignment="1" applyProtection="1">
      <alignment horizontal="center" vertical="center"/>
    </xf>
    <xf numFmtId="165" fontId="1" fillId="0" borderId="40" xfId="0" applyNumberFormat="1" applyFont="1" applyFill="1" applyBorder="1" applyAlignment="1" applyProtection="1">
      <alignment horizontal="center" vertical="center"/>
    </xf>
    <xf numFmtId="165" fontId="1" fillId="0" borderId="41" xfId="0" applyNumberFormat="1" applyFont="1" applyFill="1" applyBorder="1" applyAlignment="1" applyProtection="1">
      <alignment horizontal="center" vertical="center"/>
    </xf>
    <xf numFmtId="0" fontId="12" fillId="0" borderId="19" xfId="0" applyFont="1" applyFill="1" applyBorder="1" applyAlignment="1" applyProtection="1">
      <alignment horizontal="left" vertical="center"/>
      <protection locked="0"/>
    </xf>
    <xf numFmtId="0" fontId="1" fillId="0" borderId="19" xfId="0" applyFont="1" applyFill="1" applyBorder="1" applyAlignment="1" applyProtection="1">
      <alignment horizontal="left" vertical="center"/>
      <protection locked="0"/>
    </xf>
    <xf numFmtId="0" fontId="12" fillId="0" borderId="42" xfId="0" applyFont="1" applyFill="1" applyBorder="1" applyAlignment="1" applyProtection="1">
      <alignment horizontal="center" vertical="center" textRotation="180"/>
    </xf>
    <xf numFmtId="0" fontId="12" fillId="0" borderId="43" xfId="0" applyFont="1" applyFill="1" applyBorder="1" applyAlignment="1" applyProtection="1">
      <alignment horizontal="center" vertical="center" textRotation="180"/>
    </xf>
    <xf numFmtId="0" fontId="12" fillId="0" borderId="44" xfId="0" applyFont="1" applyFill="1" applyBorder="1" applyAlignment="1" applyProtection="1">
      <alignment horizontal="center" vertical="center" textRotation="180"/>
    </xf>
    <xf numFmtId="0" fontId="8" fillId="0" borderId="5" xfId="0" applyFont="1" applyFill="1" applyBorder="1" applyAlignment="1" applyProtection="1">
      <alignment horizontal="center"/>
      <protection locked="0"/>
    </xf>
    <xf numFmtId="0" fontId="8" fillId="0" borderId="0" xfId="0" applyFont="1" applyFill="1" applyBorder="1" applyAlignment="1" applyProtection="1">
      <alignment horizontal="center"/>
      <protection locked="0"/>
    </xf>
    <xf numFmtId="0" fontId="8" fillId="0" borderId="6" xfId="0" applyFont="1" applyFill="1" applyBorder="1" applyAlignment="1" applyProtection="1">
      <alignment horizontal="center"/>
      <protection locked="0"/>
    </xf>
    <xf numFmtId="0" fontId="8" fillId="0" borderId="33" xfId="0" applyFont="1" applyFill="1" applyBorder="1" applyAlignment="1" applyProtection="1">
      <alignment horizontal="center"/>
      <protection locked="0"/>
    </xf>
    <xf numFmtId="0" fontId="8" fillId="0" borderId="1" xfId="0" applyFont="1" applyFill="1" applyBorder="1" applyAlignment="1" applyProtection="1">
      <alignment horizontal="center"/>
      <protection locked="0"/>
    </xf>
    <xf numFmtId="0" fontId="8" fillId="0" borderId="32" xfId="0" applyFont="1" applyFill="1" applyBorder="1" applyAlignment="1" applyProtection="1">
      <alignment horizontal="center"/>
      <protection locked="0"/>
    </xf>
    <xf numFmtId="4" fontId="5" fillId="0" borderId="13" xfId="0" applyNumberFormat="1" applyFont="1" applyFill="1" applyBorder="1" applyAlignment="1" applyProtection="1">
      <alignment horizontal="center" vertical="center"/>
    </xf>
    <xf numFmtId="4" fontId="5" fillId="0" borderId="16" xfId="0" applyNumberFormat="1" applyFont="1" applyFill="1" applyBorder="1" applyAlignment="1" applyProtection="1">
      <alignment horizontal="center" vertical="center"/>
    </xf>
    <xf numFmtId="165" fontId="1" fillId="0" borderId="13" xfId="0" applyNumberFormat="1" applyFont="1" applyFill="1" applyBorder="1" applyAlignment="1" applyProtection="1">
      <alignment horizontal="center" vertical="center"/>
    </xf>
    <xf numFmtId="165" fontId="1" fillId="0" borderId="16" xfId="0" applyNumberFormat="1" applyFont="1" applyFill="1" applyBorder="1" applyAlignment="1" applyProtection="1">
      <alignment horizontal="center" vertical="center"/>
    </xf>
    <xf numFmtId="164" fontId="1" fillId="0" borderId="38" xfId="0" applyNumberFormat="1" applyFont="1" applyFill="1" applyBorder="1" applyAlignment="1" applyProtection="1">
      <alignment horizontal="center" vertical="center"/>
      <protection locked="0"/>
    </xf>
    <xf numFmtId="164" fontId="1" fillId="0" borderId="40" xfId="0" applyNumberFormat="1" applyFont="1" applyFill="1" applyBorder="1" applyAlignment="1" applyProtection="1">
      <alignment horizontal="center" vertical="center"/>
      <protection locked="0"/>
    </xf>
    <xf numFmtId="164" fontId="1" fillId="0" borderId="17" xfId="0" applyNumberFormat="1" applyFont="1" applyFill="1" applyBorder="1" applyAlignment="1" applyProtection="1">
      <alignment horizontal="center" vertical="center"/>
      <protection locked="0"/>
    </xf>
    <xf numFmtId="164" fontId="1" fillId="0" borderId="18" xfId="0" applyNumberFormat="1" applyFont="1" applyFill="1" applyBorder="1" applyAlignment="1" applyProtection="1">
      <alignment horizontal="center" vertical="center"/>
      <protection locked="0"/>
    </xf>
    <xf numFmtId="0" fontId="1" fillId="0" borderId="17" xfId="0" applyFont="1" applyFill="1" applyBorder="1" applyAlignment="1" applyProtection="1">
      <alignment horizontal="center" vertical="center"/>
    </xf>
    <xf numFmtId="0" fontId="1" fillId="0" borderId="18" xfId="0" applyFont="1" applyFill="1" applyBorder="1" applyAlignment="1" applyProtection="1">
      <alignment horizontal="center" vertical="center"/>
    </xf>
    <xf numFmtId="14" fontId="1" fillId="0" borderId="5" xfId="0" applyNumberFormat="1" applyFont="1" applyFill="1" applyBorder="1" applyAlignment="1" applyProtection="1">
      <alignment horizontal="center" vertical="center"/>
      <protection locked="0"/>
    </xf>
    <xf numFmtId="14" fontId="1" fillId="0" borderId="0" xfId="0" applyNumberFormat="1" applyFont="1" applyFill="1" applyBorder="1" applyAlignment="1" applyProtection="1">
      <alignment horizontal="center" vertical="center"/>
      <protection locked="0"/>
    </xf>
    <xf numFmtId="0" fontId="1" fillId="0" borderId="17" xfId="0" applyFont="1" applyFill="1" applyBorder="1" applyAlignment="1" applyProtection="1">
      <alignment horizontal="left" vertical="center" wrapText="1"/>
      <protection locked="0"/>
    </xf>
    <xf numFmtId="0" fontId="1" fillId="0" borderId="18" xfId="0" applyFont="1" applyFill="1" applyBorder="1" applyAlignment="1" applyProtection="1">
      <alignment horizontal="left" vertical="center" wrapText="1"/>
      <protection locked="0"/>
    </xf>
    <xf numFmtId="0" fontId="1" fillId="0" borderId="22" xfId="0" applyFont="1" applyFill="1" applyBorder="1" applyAlignment="1" applyProtection="1">
      <alignment horizontal="left" vertical="center" wrapText="1"/>
      <protection locked="0"/>
    </xf>
    <xf numFmtId="0" fontId="1" fillId="0" borderId="19" xfId="0" applyFont="1" applyFill="1" applyBorder="1" applyAlignment="1" applyProtection="1">
      <alignment horizontal="left" vertical="center" wrapText="1"/>
    </xf>
    <xf numFmtId="0" fontId="1" fillId="0" borderId="22" xfId="0" applyFont="1" applyFill="1" applyBorder="1" applyAlignment="1" applyProtection="1">
      <alignment horizontal="center" vertical="center"/>
    </xf>
    <xf numFmtId="164" fontId="1" fillId="0" borderId="22" xfId="0" applyNumberFormat="1" applyFont="1" applyFill="1" applyBorder="1" applyAlignment="1" applyProtection="1">
      <alignment horizontal="center" vertical="center"/>
      <protection locked="0"/>
    </xf>
    <xf numFmtId="2" fontId="4" fillId="0" borderId="13" xfId="0" applyNumberFormat="1" applyFont="1" applyFill="1" applyBorder="1" applyAlignment="1" applyProtection="1">
      <alignment horizontal="center" vertical="center"/>
    </xf>
    <xf numFmtId="2" fontId="4" fillId="0" borderId="16" xfId="0" applyNumberFormat="1" applyFont="1" applyFill="1" applyBorder="1" applyAlignment="1" applyProtection="1">
      <alignment horizontal="center" vertical="center"/>
    </xf>
    <xf numFmtId="0" fontId="1" fillId="0" borderId="17" xfId="0" applyFont="1" applyFill="1" applyBorder="1" applyAlignment="1" applyProtection="1">
      <alignment horizontal="left" vertical="center"/>
      <protection locked="0"/>
    </xf>
    <xf numFmtId="0" fontId="1" fillId="0" borderId="18" xfId="0" applyFont="1" applyFill="1" applyBorder="1" applyAlignment="1" applyProtection="1">
      <alignment horizontal="left" vertical="center"/>
      <protection locked="0"/>
    </xf>
    <xf numFmtId="0" fontId="1" fillId="0" borderId="22" xfId="0" applyFont="1" applyFill="1" applyBorder="1" applyAlignment="1" applyProtection="1">
      <alignment horizontal="left" vertical="center"/>
      <protection locked="0"/>
    </xf>
    <xf numFmtId="0" fontId="1" fillId="0" borderId="0" xfId="0" applyFont="1" applyFill="1" applyAlignment="1" applyProtection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</xf>
    <xf numFmtId="0" fontId="1" fillId="0" borderId="17" xfId="0" applyFont="1" applyFill="1" applyBorder="1" applyAlignment="1" applyProtection="1">
      <alignment horizontal="left" vertical="center" wrapText="1"/>
    </xf>
    <xf numFmtId="0" fontId="1" fillId="0" borderId="18" xfId="0" applyFont="1" applyFill="1" applyBorder="1" applyAlignment="1" applyProtection="1">
      <alignment horizontal="left" vertical="center" wrapText="1"/>
    </xf>
    <xf numFmtId="0" fontId="1" fillId="0" borderId="22" xfId="0" applyFont="1" applyFill="1" applyBorder="1" applyAlignment="1" applyProtection="1">
      <alignment horizontal="left" vertical="center" wrapText="1"/>
    </xf>
    <xf numFmtId="164" fontId="1" fillId="0" borderId="10" xfId="0" applyNumberFormat="1" applyFont="1" applyFill="1" applyBorder="1" applyAlignment="1" applyProtection="1">
      <alignment horizontal="center" vertical="center"/>
      <protection locked="0"/>
    </xf>
    <xf numFmtId="164" fontId="1" fillId="0" borderId="11" xfId="0" applyNumberFormat="1" applyFont="1" applyFill="1" applyBorder="1" applyAlignment="1" applyProtection="1">
      <alignment horizontal="center" vertical="center"/>
      <protection locked="0"/>
    </xf>
    <xf numFmtId="164" fontId="1" fillId="0" borderId="12" xfId="0" applyNumberFormat="1" applyFont="1" applyFill="1" applyBorder="1" applyAlignment="1" applyProtection="1">
      <alignment horizontal="center" vertical="center"/>
      <protection locked="0"/>
    </xf>
    <xf numFmtId="164" fontId="1" fillId="0" borderId="14" xfId="0" applyNumberFormat="1" applyFont="1" applyFill="1" applyBorder="1" applyAlignment="1" applyProtection="1">
      <alignment horizontal="center" vertical="center"/>
      <protection locked="0"/>
    </xf>
    <xf numFmtId="164" fontId="1" fillId="0" borderId="1" xfId="0" applyNumberFormat="1" applyFont="1" applyFill="1" applyBorder="1" applyAlignment="1" applyProtection="1">
      <alignment horizontal="center" vertical="center"/>
      <protection locked="0"/>
    </xf>
    <xf numFmtId="164" fontId="1" fillId="0" borderId="15" xfId="0" applyNumberFormat="1" applyFont="1" applyFill="1" applyBorder="1" applyAlignment="1" applyProtection="1">
      <alignment horizontal="center" vertical="center"/>
      <protection locked="0"/>
    </xf>
    <xf numFmtId="4" fontId="10" fillId="0" borderId="17" xfId="0" applyNumberFormat="1" applyFont="1" applyFill="1" applyBorder="1" applyAlignment="1" applyProtection="1">
      <alignment horizontal="center" vertical="center"/>
    </xf>
    <xf numFmtId="4" fontId="10" fillId="0" borderId="18" xfId="0" applyNumberFormat="1" applyFont="1" applyFill="1" applyBorder="1" applyAlignment="1" applyProtection="1">
      <alignment horizontal="center" vertical="center"/>
    </xf>
    <xf numFmtId="4" fontId="10" fillId="0" borderId="22" xfId="0" applyNumberFormat="1" applyFont="1" applyFill="1" applyBorder="1" applyAlignment="1" applyProtection="1">
      <alignment horizontal="center" vertical="center"/>
    </xf>
    <xf numFmtId="4" fontId="5" fillId="0" borderId="17" xfId="0" applyNumberFormat="1" applyFont="1" applyFill="1" applyBorder="1" applyAlignment="1" applyProtection="1">
      <alignment horizontal="center" vertical="center"/>
    </xf>
    <xf numFmtId="4" fontId="5" fillId="0" borderId="18" xfId="0" applyNumberFormat="1" applyFont="1" applyFill="1" applyBorder="1" applyAlignment="1" applyProtection="1">
      <alignment horizontal="center" vertical="center"/>
    </xf>
    <xf numFmtId="4" fontId="5" fillId="0" borderId="22" xfId="0" applyNumberFormat="1" applyFont="1" applyFill="1" applyBorder="1" applyAlignment="1" applyProtection="1">
      <alignment horizontal="center" vertical="center"/>
    </xf>
    <xf numFmtId="0" fontId="1" fillId="0" borderId="19" xfId="0" applyFont="1" applyFill="1" applyBorder="1" applyAlignment="1" applyProtection="1">
      <alignment horizontal="center" vertical="center"/>
    </xf>
    <xf numFmtId="4" fontId="5" fillId="0" borderId="19" xfId="0" applyNumberFormat="1" applyFont="1" applyFill="1" applyBorder="1" applyAlignment="1" applyProtection="1">
      <alignment horizontal="center" vertical="center"/>
    </xf>
    <xf numFmtId="0" fontId="12" fillId="0" borderId="34" xfId="0" applyFont="1" applyFill="1" applyBorder="1" applyAlignment="1" applyProtection="1">
      <alignment horizontal="center" vertical="center" textRotation="180"/>
    </xf>
    <xf numFmtId="0" fontId="1" fillId="0" borderId="38" xfId="0" applyFont="1" applyFill="1" applyBorder="1" applyAlignment="1" applyProtection="1">
      <alignment horizontal="center" vertical="center"/>
    </xf>
    <xf numFmtId="0" fontId="1" fillId="0" borderId="40" xfId="0" applyFont="1" applyFill="1" applyBorder="1" applyAlignment="1" applyProtection="1">
      <alignment horizontal="center" vertical="center"/>
    </xf>
    <xf numFmtId="0" fontId="1" fillId="0" borderId="41" xfId="0" applyFont="1" applyFill="1" applyBorder="1" applyAlignment="1" applyProtection="1">
      <alignment horizontal="center" vertical="center"/>
    </xf>
    <xf numFmtId="0" fontId="12" fillId="0" borderId="42" xfId="0" applyFont="1" applyFill="1" applyBorder="1" applyAlignment="1" applyProtection="1">
      <alignment horizontal="center" vertical="center" textRotation="180" wrapText="1"/>
    </xf>
    <xf numFmtId="0" fontId="12" fillId="0" borderId="43" xfId="0" applyFont="1" applyFill="1" applyBorder="1" applyAlignment="1" applyProtection="1">
      <alignment horizontal="center" vertical="center" textRotation="180" wrapText="1"/>
    </xf>
    <xf numFmtId="0" fontId="12" fillId="0" borderId="44" xfId="0" applyFont="1" applyFill="1" applyBorder="1" applyAlignment="1" applyProtection="1">
      <alignment horizontal="center" vertical="center" textRotation="180" wrapText="1"/>
    </xf>
    <xf numFmtId="2" fontId="1" fillId="0" borderId="13" xfId="0" applyNumberFormat="1" applyFont="1" applyFill="1" applyBorder="1" applyAlignment="1" applyProtection="1">
      <alignment horizontal="center" vertical="center"/>
    </xf>
    <xf numFmtId="0" fontId="1" fillId="0" borderId="16" xfId="0" applyFont="1" applyFill="1" applyBorder="1" applyAlignment="1" applyProtection="1">
      <alignment horizontal="center" vertical="center"/>
    </xf>
    <xf numFmtId="165" fontId="1" fillId="0" borderId="38" xfId="0" applyNumberFormat="1" applyFont="1" applyFill="1" applyBorder="1" applyAlignment="1" applyProtection="1">
      <alignment horizontal="center" vertical="center" wrapText="1"/>
    </xf>
    <xf numFmtId="165" fontId="1" fillId="0" borderId="40" xfId="0" applyNumberFormat="1" applyFont="1" applyFill="1" applyBorder="1" applyAlignment="1" applyProtection="1">
      <alignment horizontal="center" vertical="center" wrapText="1"/>
    </xf>
    <xf numFmtId="165" fontId="1" fillId="0" borderId="41" xfId="0" applyNumberFormat="1" applyFont="1" applyFill="1" applyBorder="1" applyAlignment="1" applyProtection="1">
      <alignment horizontal="center" vertical="center" wrapText="1"/>
    </xf>
    <xf numFmtId="0" fontId="12" fillId="0" borderId="19" xfId="0" applyFont="1" applyFill="1" applyBorder="1" applyAlignment="1" applyProtection="1">
      <alignment horizontal="left" vertical="center" wrapText="1"/>
      <protection locked="0"/>
    </xf>
    <xf numFmtId="0" fontId="1" fillId="0" borderId="17" xfId="0" applyFont="1" applyFill="1" applyBorder="1" applyAlignment="1" applyProtection="1">
      <alignment horizontal="center" vertical="center" wrapText="1"/>
    </xf>
    <xf numFmtId="0" fontId="1" fillId="0" borderId="18" xfId="0" applyFont="1" applyFill="1" applyBorder="1" applyAlignment="1" applyProtection="1">
      <alignment horizontal="center" vertical="center" wrapText="1"/>
    </xf>
    <xf numFmtId="0" fontId="1" fillId="0" borderId="22" xfId="0" applyFont="1" applyFill="1" applyBorder="1" applyAlignment="1" applyProtection="1">
      <alignment horizontal="center" vertical="center" wrapText="1"/>
    </xf>
    <xf numFmtId="1" fontId="13" fillId="0" borderId="17" xfId="0" applyNumberFormat="1" applyFont="1" applyBorder="1" applyAlignment="1">
      <alignment horizontal="left"/>
    </xf>
    <xf numFmtId="1" fontId="13" fillId="0" borderId="22" xfId="0" applyNumberFormat="1" applyFont="1" applyBorder="1" applyAlignment="1">
      <alignment horizontal="left"/>
    </xf>
    <xf numFmtId="1" fontId="13" fillId="0" borderId="17" xfId="0" applyNumberFormat="1" applyFont="1" applyBorder="1" applyAlignment="1">
      <alignment horizontal="left" wrapText="1"/>
    </xf>
    <xf numFmtId="1" fontId="13" fillId="0" borderId="22" xfId="0" applyNumberFormat="1" applyFont="1" applyBorder="1" applyAlignment="1">
      <alignment horizontal="left" wrapText="1"/>
    </xf>
    <xf numFmtId="2" fontId="3" fillId="0" borderId="34" xfId="0" applyNumberFormat="1" applyFont="1" applyBorder="1" applyAlignment="1" applyProtection="1">
      <alignment horizontal="left" vertical="center"/>
    </xf>
    <xf numFmtId="2" fontId="0" fillId="0" borderId="19" xfId="0" applyNumberFormat="1" applyBorder="1" applyAlignment="1" applyProtection="1">
      <alignment horizontal="left" vertical="center"/>
    </xf>
    <xf numFmtId="2" fontId="0" fillId="0" borderId="35" xfId="0" applyNumberFormat="1" applyBorder="1" applyAlignment="1" applyProtection="1">
      <alignment horizontal="left" vertical="center"/>
    </xf>
    <xf numFmtId="2" fontId="0" fillId="0" borderId="34" xfId="0" applyNumberFormat="1" applyBorder="1" applyAlignment="1" applyProtection="1">
      <alignment horizontal="left" vertical="center"/>
    </xf>
    <xf numFmtId="2" fontId="19" fillId="0" borderId="17" xfId="0" applyNumberFormat="1" applyFont="1" applyBorder="1" applyAlignment="1" applyProtection="1">
      <alignment horizontal="center"/>
    </xf>
    <xf numFmtId="2" fontId="19" fillId="0" borderId="22" xfId="0" applyNumberFormat="1" applyFont="1" applyBorder="1" applyAlignment="1" applyProtection="1">
      <alignment horizontal="center"/>
    </xf>
    <xf numFmtId="2" fontId="19" fillId="0" borderId="13" xfId="0" applyNumberFormat="1" applyFont="1" applyBorder="1" applyAlignment="1">
      <alignment horizontal="center" wrapText="1"/>
    </xf>
    <xf numFmtId="2" fontId="19" fillId="0" borderId="16" xfId="0" applyNumberFormat="1" applyFont="1" applyBorder="1" applyAlignment="1">
      <alignment horizontal="center" wrapText="1"/>
    </xf>
    <xf numFmtId="2" fontId="19" fillId="0" borderId="36" xfId="0" applyNumberFormat="1" applyFont="1" applyBorder="1" applyAlignment="1" applyProtection="1">
      <alignment horizontal="center"/>
    </xf>
    <xf numFmtId="2" fontId="20" fillId="0" borderId="17" xfId="0" applyNumberFormat="1" applyFont="1" applyBorder="1" applyAlignment="1">
      <alignment horizontal="center"/>
    </xf>
    <xf numFmtId="2" fontId="20" fillId="0" borderId="18" xfId="0" applyNumberFormat="1" applyFont="1" applyBorder="1" applyAlignment="1">
      <alignment horizontal="center"/>
    </xf>
    <xf numFmtId="2" fontId="20" fillId="0" borderId="36" xfId="0" applyNumberFormat="1" applyFont="1" applyBorder="1" applyAlignment="1">
      <alignment horizontal="center"/>
    </xf>
    <xf numFmtId="2" fontId="20" fillId="0" borderId="7" xfId="0" applyNumberFormat="1" applyFont="1" applyBorder="1" applyAlignment="1" applyProtection="1">
      <alignment horizontal="left"/>
    </xf>
    <xf numFmtId="2" fontId="20" fillId="0" borderId="8" xfId="0" applyNumberFormat="1" applyFont="1" applyBorder="1" applyAlignment="1" applyProtection="1">
      <alignment horizontal="left"/>
    </xf>
    <xf numFmtId="2" fontId="20" fillId="0" borderId="34" xfId="0" applyNumberFormat="1" applyFont="1" applyBorder="1" applyAlignment="1">
      <alignment horizontal="center" vertical="center"/>
    </xf>
    <xf numFmtId="2" fontId="19" fillId="0" borderId="19" xfId="0" applyNumberFormat="1" applyFont="1" applyBorder="1" applyAlignment="1">
      <alignment horizontal="center" vertical="center"/>
    </xf>
    <xf numFmtId="2" fontId="19" fillId="0" borderId="19" xfId="0" applyNumberFormat="1" applyFont="1" applyBorder="1" applyAlignment="1">
      <alignment horizontal="center" vertical="center" wrapText="1"/>
    </xf>
    <xf numFmtId="2" fontId="0" fillId="0" borderId="37" xfId="0" applyNumberFormat="1" applyBorder="1" applyAlignment="1">
      <alignment horizontal="left"/>
    </xf>
    <xf numFmtId="2" fontId="0" fillId="0" borderId="18" xfId="0" applyNumberFormat="1" applyBorder="1" applyAlignment="1">
      <alignment horizontal="left"/>
    </xf>
    <xf numFmtId="4" fontId="26" fillId="0" borderId="0" xfId="0" applyNumberFormat="1" applyFont="1" applyFill="1" applyBorder="1" applyAlignment="1" applyProtection="1">
      <alignment vertical="center"/>
    </xf>
  </cellXfs>
  <cellStyles count="10">
    <cellStyle name="Excel Built-in Normal" xfId="6"/>
    <cellStyle name="Moeda" xfId="9" builtinId="4"/>
    <cellStyle name="Normal" xfId="0" builtinId="0"/>
    <cellStyle name="Normal 2" xfId="2"/>
    <cellStyle name="Porcentagem 2" xfId="3"/>
    <cellStyle name="Porcentagem 3" xfId="4"/>
    <cellStyle name="Separador de milhares 2" xfId="5"/>
    <cellStyle name="Vírgula" xfId="1" builtinId="3"/>
    <cellStyle name="Vírgula 4" xfId="8"/>
    <cellStyle name="Vírgula 5" xfId="7"/>
  </cellStyles>
  <dxfs count="3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12</xdr:row>
      <xdr:rowOff>114300</xdr:rowOff>
    </xdr:from>
    <xdr:to>
      <xdr:col>19</xdr:col>
      <xdr:colOff>0</xdr:colOff>
      <xdr:row>12</xdr:row>
      <xdr:rowOff>114300</xdr:rowOff>
    </xdr:to>
    <xdr:sp macro="" textlink="">
      <xdr:nvSpPr>
        <xdr:cNvPr id="2" name="Line 20"/>
        <xdr:cNvSpPr>
          <a:spLocks noChangeShapeType="1"/>
        </xdr:cNvSpPr>
      </xdr:nvSpPr>
      <xdr:spPr bwMode="auto">
        <a:xfrm>
          <a:off x="12639675" y="3190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12</xdr:row>
      <xdr:rowOff>114300</xdr:rowOff>
    </xdr:from>
    <xdr:to>
      <xdr:col>19</xdr:col>
      <xdr:colOff>0</xdr:colOff>
      <xdr:row>12</xdr:row>
      <xdr:rowOff>114300</xdr:rowOff>
    </xdr:to>
    <xdr:sp macro="" textlink="">
      <xdr:nvSpPr>
        <xdr:cNvPr id="3" name="Line 21"/>
        <xdr:cNvSpPr>
          <a:spLocks noChangeShapeType="1"/>
        </xdr:cNvSpPr>
      </xdr:nvSpPr>
      <xdr:spPr bwMode="auto">
        <a:xfrm>
          <a:off x="12639675" y="3190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12</xdr:row>
      <xdr:rowOff>114300</xdr:rowOff>
    </xdr:from>
    <xdr:to>
      <xdr:col>19</xdr:col>
      <xdr:colOff>0</xdr:colOff>
      <xdr:row>12</xdr:row>
      <xdr:rowOff>114300</xdr:rowOff>
    </xdr:to>
    <xdr:sp macro="" textlink="">
      <xdr:nvSpPr>
        <xdr:cNvPr id="4" name="Line 23"/>
        <xdr:cNvSpPr>
          <a:spLocks noChangeShapeType="1"/>
        </xdr:cNvSpPr>
      </xdr:nvSpPr>
      <xdr:spPr bwMode="auto">
        <a:xfrm flipV="1">
          <a:off x="12639675" y="3190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sorio/Desktop/Documents/HF%20ENGENHARIA/Capit&#227;o%20Po&#231;o/or&#231;amento/OR&#199;AMENTO%20DAS%20CASAS%20RES%20GOI&#194;NIA%201&#186;%20MOD%20650%20U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 CASA"/>
      <sheetName val="1 CASA"/>
      <sheetName val="650 casas"/>
      <sheetName val="CRO CASA"/>
      <sheetName val="MEMÓRIA DE CÁLCULO - CASA"/>
    </sheetNames>
    <sheetDataSet>
      <sheetData sheetId="0"/>
      <sheetData sheetId="1">
        <row r="68">
          <cell r="F68" t="str">
            <v>Basculantes</v>
          </cell>
        </row>
        <row r="76">
          <cell r="F76" t="str">
            <v>Basculantes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S311"/>
  <sheetViews>
    <sheetView tabSelected="1" view="pageBreakPreview" zoomScaleNormal="100" zoomScaleSheetLayoutView="100" workbookViewId="0">
      <selection activeCell="J309" sqref="J309"/>
    </sheetView>
  </sheetViews>
  <sheetFormatPr defaultColWidth="11.42578125" defaultRowHeight="10.5" x14ac:dyDescent="0.2"/>
  <cols>
    <col min="1" max="1" width="2" style="2" customWidth="1"/>
    <col min="2" max="2" width="7.7109375" style="4" customWidth="1"/>
    <col min="3" max="4" width="11" style="2" customWidth="1"/>
    <col min="5" max="5" width="5.28515625" style="2" customWidth="1"/>
    <col min="6" max="6" width="10.7109375" style="3" customWidth="1"/>
    <col min="7" max="7" width="54" style="3" customWidth="1"/>
    <col min="8" max="8" width="6.140625" style="4" customWidth="1"/>
    <col min="9" max="9" width="10.7109375" style="5" customWidth="1"/>
    <col min="10" max="10" width="10.7109375" style="6" customWidth="1"/>
    <col min="11" max="11" width="17.28515625" style="6" customWidth="1"/>
    <col min="12" max="12" width="6.7109375" style="7" customWidth="1"/>
    <col min="13" max="13" width="7.7109375" style="2" customWidth="1"/>
    <col min="14" max="14" width="1.85546875" style="2" customWidth="1"/>
    <col min="15" max="17" width="11.42578125" style="2"/>
    <col min="18" max="18" width="14.140625" style="2" customWidth="1"/>
    <col min="19" max="19" width="14.28515625" style="2" customWidth="1"/>
    <col min="20" max="16384" width="11.42578125" style="2"/>
  </cols>
  <sheetData>
    <row r="1" spans="2:14" x14ac:dyDescent="0.2">
      <c r="B1" s="1"/>
    </row>
    <row r="2" spans="2:14" x14ac:dyDescent="0.2">
      <c r="B2" s="1"/>
    </row>
    <row r="3" spans="2:14" x14ac:dyDescent="0.2">
      <c r="B3" s="1"/>
    </row>
    <row r="4" spans="2:14" ht="12.75" x14ac:dyDescent="0.2">
      <c r="B4" s="8"/>
      <c r="C4" s="9"/>
      <c r="D4" s="9"/>
      <c r="E4" s="9"/>
      <c r="F4" s="10"/>
      <c r="G4" s="10"/>
      <c r="H4" s="9"/>
      <c r="I4" s="11"/>
      <c r="J4" s="12"/>
      <c r="K4" s="12"/>
      <c r="L4" s="13"/>
      <c r="M4" s="9"/>
    </row>
    <row r="5" spans="2:14" x14ac:dyDescent="0.2">
      <c r="B5" s="2"/>
    </row>
    <row r="6" spans="2:14" ht="12.75" x14ac:dyDescent="0.2">
      <c r="B6" s="14"/>
      <c r="C6" s="14"/>
      <c r="D6" s="14"/>
      <c r="E6" s="14"/>
      <c r="F6" s="14"/>
      <c r="G6" s="14"/>
      <c r="H6" s="14"/>
      <c r="I6" s="15"/>
      <c r="J6" s="14"/>
      <c r="K6" s="14"/>
      <c r="L6" s="14"/>
      <c r="M6" s="14"/>
    </row>
    <row r="7" spans="2:14" ht="19.5" customHeight="1" x14ac:dyDescent="0.2">
      <c r="B7" s="16"/>
      <c r="C7" s="16"/>
      <c r="D7" s="16"/>
      <c r="E7" s="16"/>
      <c r="F7" s="131"/>
      <c r="G7" s="131"/>
      <c r="H7" s="16"/>
      <c r="I7" s="132"/>
      <c r="J7" s="19"/>
      <c r="K7" s="17"/>
      <c r="L7" s="17"/>
      <c r="M7" s="19"/>
    </row>
    <row r="8" spans="2:14" ht="13.5" thickBot="1" x14ac:dyDescent="0.25">
      <c r="B8" s="16"/>
      <c r="C8" s="16"/>
      <c r="D8" s="16"/>
      <c r="E8" s="16"/>
      <c r="F8" s="131"/>
      <c r="G8" s="131"/>
      <c r="H8" s="16"/>
      <c r="I8" s="132"/>
      <c r="J8" s="19"/>
      <c r="K8" s="17"/>
      <c r="L8" s="17"/>
      <c r="M8" s="19"/>
    </row>
    <row r="9" spans="2:14" ht="12.75" customHeight="1" x14ac:dyDescent="0.2">
      <c r="B9" s="257" t="s">
        <v>0</v>
      </c>
      <c r="C9" s="258"/>
      <c r="D9" s="258"/>
      <c r="E9" s="258"/>
      <c r="F9" s="258"/>
      <c r="G9" s="258"/>
      <c r="H9" s="258"/>
      <c r="I9" s="258"/>
      <c r="J9" s="258"/>
      <c r="K9" s="258"/>
      <c r="L9" s="258"/>
      <c r="M9" s="259"/>
      <c r="N9" s="312"/>
    </row>
    <row r="10" spans="2:14" ht="12.75" customHeight="1" x14ac:dyDescent="0.2">
      <c r="B10" s="254"/>
      <c r="C10" s="255"/>
      <c r="D10" s="255"/>
      <c r="E10" s="255"/>
      <c r="F10" s="255"/>
      <c r="G10" s="255"/>
      <c r="H10" s="255"/>
      <c r="I10" s="255"/>
      <c r="J10" s="255"/>
      <c r="K10" s="255"/>
      <c r="L10" s="255"/>
      <c r="M10" s="256"/>
      <c r="N10" s="312"/>
    </row>
    <row r="11" spans="2:14" ht="12.75" customHeight="1" x14ac:dyDescent="0.2">
      <c r="B11" s="254"/>
      <c r="C11" s="255"/>
      <c r="D11" s="255"/>
      <c r="E11" s="255"/>
      <c r="F11" s="255"/>
      <c r="G11" s="255"/>
      <c r="H11" s="255"/>
      <c r="I11" s="255"/>
      <c r="J11" s="255"/>
      <c r="K11" s="255"/>
      <c r="L11" s="255"/>
      <c r="M11" s="256"/>
      <c r="N11" s="312"/>
    </row>
    <row r="12" spans="2:14" ht="12.75" customHeight="1" x14ac:dyDescent="0.2">
      <c r="B12" s="254"/>
      <c r="C12" s="255"/>
      <c r="D12" s="255"/>
      <c r="E12" s="255"/>
      <c r="F12" s="255"/>
      <c r="G12" s="255"/>
      <c r="H12" s="255"/>
      <c r="I12" s="255"/>
      <c r="J12" s="255"/>
      <c r="K12" s="255"/>
      <c r="L12" s="255"/>
      <c r="M12" s="256"/>
      <c r="N12" s="312"/>
    </row>
    <row r="13" spans="2:14" ht="12.75" customHeight="1" x14ac:dyDescent="0.2">
      <c r="B13" s="254"/>
      <c r="C13" s="255"/>
      <c r="D13" s="255"/>
      <c r="E13" s="255"/>
      <c r="F13" s="255"/>
      <c r="G13" s="255"/>
      <c r="H13" s="255"/>
      <c r="I13" s="255"/>
      <c r="J13" s="255"/>
      <c r="K13" s="255"/>
      <c r="L13" s="255"/>
      <c r="M13" s="256"/>
      <c r="N13" s="312"/>
    </row>
    <row r="14" spans="2:14" ht="12.75" customHeight="1" x14ac:dyDescent="0.2">
      <c r="B14" s="254"/>
      <c r="C14" s="255"/>
      <c r="D14" s="255"/>
      <c r="E14" s="255"/>
      <c r="F14" s="255"/>
      <c r="G14" s="255"/>
      <c r="H14" s="255"/>
      <c r="I14" s="255"/>
      <c r="J14" s="255"/>
      <c r="K14" s="255"/>
      <c r="L14" s="255"/>
      <c r="M14" s="256"/>
      <c r="N14" s="312"/>
    </row>
    <row r="15" spans="2:14" ht="12.75" x14ac:dyDescent="0.2">
      <c r="B15" s="226" t="s">
        <v>1</v>
      </c>
      <c r="C15" s="227"/>
      <c r="D15" s="228" t="s">
        <v>124</v>
      </c>
      <c r="E15" s="227"/>
      <c r="F15" s="229"/>
      <c r="G15" s="229"/>
      <c r="H15" s="227"/>
      <c r="I15" s="132" t="s">
        <v>2</v>
      </c>
      <c r="J15" s="19" t="s">
        <v>125</v>
      </c>
      <c r="K15" s="17"/>
      <c r="L15" s="17"/>
      <c r="M15" s="230"/>
      <c r="N15" s="312"/>
    </row>
    <row r="16" spans="2:14" ht="12.75" customHeight="1" x14ac:dyDescent="0.2">
      <c r="B16" s="172" t="s">
        <v>3</v>
      </c>
      <c r="C16" s="21"/>
      <c r="D16" s="225" t="str">
        <f>D15</f>
        <v xml:space="preserve">LC CARVALHAES - ENGENHARIA - ME </v>
      </c>
      <c r="E16" s="22"/>
      <c r="F16" s="18"/>
      <c r="G16" s="19"/>
      <c r="H16" s="24"/>
      <c r="I16" s="23" t="s">
        <v>4</v>
      </c>
      <c r="J16" s="231" t="s">
        <v>126</v>
      </c>
      <c r="K16" s="34"/>
      <c r="L16" s="232"/>
      <c r="M16" s="233"/>
      <c r="N16" s="312"/>
    </row>
    <row r="17" spans="2:14" ht="12.75" customHeight="1" x14ac:dyDescent="0.2">
      <c r="B17" s="172" t="s">
        <v>5</v>
      </c>
      <c r="C17" s="21"/>
      <c r="D17" s="225" t="s">
        <v>127</v>
      </c>
      <c r="E17" s="22"/>
      <c r="F17" s="18"/>
      <c r="G17" s="19"/>
      <c r="H17" s="24"/>
      <c r="I17" s="23"/>
      <c r="J17" s="231"/>
      <c r="K17" s="34"/>
      <c r="L17" s="232"/>
      <c r="M17" s="233"/>
      <c r="N17" s="312"/>
    </row>
    <row r="18" spans="2:14" ht="12.75" customHeight="1" x14ac:dyDescent="0.2">
      <c r="B18" s="172" t="s">
        <v>6</v>
      </c>
      <c r="C18" s="21"/>
      <c r="D18" s="225" t="s">
        <v>589</v>
      </c>
      <c r="E18" s="22"/>
      <c r="F18" s="18"/>
      <c r="G18" s="19"/>
      <c r="H18" s="24"/>
      <c r="I18" s="23"/>
      <c r="J18" s="231"/>
      <c r="K18" s="34"/>
      <c r="L18" s="232"/>
      <c r="M18" s="233"/>
      <c r="N18" s="312"/>
    </row>
    <row r="19" spans="2:14" ht="12.75" customHeight="1" x14ac:dyDescent="0.2">
      <c r="B19" s="283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312"/>
    </row>
    <row r="20" spans="2:14" ht="12.75" customHeight="1" x14ac:dyDescent="0.2">
      <c r="B20" s="286"/>
      <c r="C20" s="287"/>
      <c r="D20" s="287"/>
      <c r="E20" s="287"/>
      <c r="F20" s="287"/>
      <c r="G20" s="287"/>
      <c r="H20" s="287"/>
      <c r="I20" s="287"/>
      <c r="J20" s="287"/>
      <c r="K20" s="287"/>
      <c r="L20" s="287"/>
      <c r="M20" s="288"/>
      <c r="N20" s="312"/>
    </row>
    <row r="21" spans="2:14" ht="10.5" customHeight="1" x14ac:dyDescent="0.2">
      <c r="B21" s="260" t="s">
        <v>128</v>
      </c>
      <c r="C21" s="261"/>
      <c r="D21" s="261"/>
      <c r="E21" s="261"/>
      <c r="F21" s="261"/>
      <c r="G21" s="262"/>
      <c r="H21" s="216" t="s">
        <v>7</v>
      </c>
      <c r="I21" s="25" t="s">
        <v>8</v>
      </c>
      <c r="J21" s="25" t="s">
        <v>9</v>
      </c>
      <c r="K21" s="25" t="s">
        <v>10</v>
      </c>
      <c r="L21" s="25" t="s">
        <v>11</v>
      </c>
      <c r="M21" s="234" t="s">
        <v>12</v>
      </c>
      <c r="N21" s="312"/>
    </row>
    <row r="22" spans="2:14" ht="11.1" customHeight="1" x14ac:dyDescent="0.2">
      <c r="B22" s="263" t="s">
        <v>129</v>
      </c>
      <c r="C22" s="135" t="s">
        <v>13</v>
      </c>
      <c r="D22" s="266" t="s">
        <v>138</v>
      </c>
      <c r="E22" s="267"/>
      <c r="F22" s="267"/>
      <c r="G22" s="268"/>
      <c r="H22" s="216" t="s">
        <v>22</v>
      </c>
      <c r="I22" s="133">
        <v>10</v>
      </c>
      <c r="J22" s="133">
        <v>296.75799999999998</v>
      </c>
      <c r="K22" s="133">
        <f>ROUND(I22*J22,2)</f>
        <v>2967.58</v>
      </c>
      <c r="L22" s="136">
        <f t="shared" ref="L22:L30" si="0">IF(K$31=0,0,100*K22/K$31)</f>
        <v>5.107164965672343</v>
      </c>
      <c r="M22" s="275"/>
      <c r="N22" s="312"/>
    </row>
    <row r="23" spans="2:14" ht="11.1" customHeight="1" x14ac:dyDescent="0.2">
      <c r="B23" s="264"/>
      <c r="C23" s="135" t="s">
        <v>14</v>
      </c>
      <c r="D23" s="266" t="s">
        <v>139</v>
      </c>
      <c r="E23" s="267"/>
      <c r="F23" s="267"/>
      <c r="G23" s="268"/>
      <c r="H23" s="216" t="s">
        <v>22</v>
      </c>
      <c r="I23" s="133">
        <v>312.39999999999998</v>
      </c>
      <c r="J23" s="133">
        <v>28.05</v>
      </c>
      <c r="K23" s="133">
        <f t="shared" ref="K23:K30" si="1">ROUND(I23*J23,2)</f>
        <v>8762.82</v>
      </c>
      <c r="L23" s="136">
        <f t="shared" si="0"/>
        <v>15.080694473103648</v>
      </c>
      <c r="M23" s="276"/>
      <c r="N23" s="312"/>
    </row>
    <row r="24" spans="2:14" ht="11.1" customHeight="1" x14ac:dyDescent="0.2">
      <c r="B24" s="264"/>
      <c r="C24" s="135" t="s">
        <v>15</v>
      </c>
      <c r="D24" s="266" t="s">
        <v>131</v>
      </c>
      <c r="E24" s="267" t="s">
        <v>131</v>
      </c>
      <c r="F24" s="267" t="s">
        <v>131</v>
      </c>
      <c r="G24" s="268" t="s">
        <v>131</v>
      </c>
      <c r="H24" s="216" t="s">
        <v>22</v>
      </c>
      <c r="I24" s="133">
        <v>20</v>
      </c>
      <c r="J24" s="133">
        <v>479.78700000000003</v>
      </c>
      <c r="K24" s="133">
        <f t="shared" si="1"/>
        <v>9595.74</v>
      </c>
      <c r="L24" s="136">
        <f t="shared" si="0"/>
        <v>16.51413850602199</v>
      </c>
      <c r="M24" s="276"/>
      <c r="N24" s="312"/>
    </row>
    <row r="25" spans="2:14" ht="12" customHeight="1" x14ac:dyDescent="0.2">
      <c r="B25" s="264"/>
      <c r="C25" s="135" t="s">
        <v>16</v>
      </c>
      <c r="D25" s="266" t="s">
        <v>132</v>
      </c>
      <c r="E25" s="267" t="s">
        <v>132</v>
      </c>
      <c r="F25" s="267" t="s">
        <v>132</v>
      </c>
      <c r="G25" s="268" t="s">
        <v>132</v>
      </c>
      <c r="H25" s="216" t="s">
        <v>22</v>
      </c>
      <c r="I25" s="133">
        <v>980.4</v>
      </c>
      <c r="J25" s="133">
        <v>13.827000000000002</v>
      </c>
      <c r="K25" s="134">
        <f t="shared" si="1"/>
        <v>13555.99</v>
      </c>
      <c r="L25" s="136">
        <f t="shared" si="0"/>
        <v>23.329675089805374</v>
      </c>
      <c r="M25" s="276"/>
      <c r="N25" s="312"/>
    </row>
    <row r="26" spans="2:14" ht="12" customHeight="1" x14ac:dyDescent="0.2">
      <c r="B26" s="264"/>
      <c r="C26" s="135" t="s">
        <v>17</v>
      </c>
      <c r="D26" s="266" t="s">
        <v>133</v>
      </c>
      <c r="E26" s="267" t="s">
        <v>133</v>
      </c>
      <c r="F26" s="267" t="s">
        <v>133</v>
      </c>
      <c r="G26" s="268" t="s">
        <v>133</v>
      </c>
      <c r="H26" s="216" t="s">
        <v>140</v>
      </c>
      <c r="I26" s="133">
        <v>1</v>
      </c>
      <c r="J26" s="133">
        <v>3151.9400000000005</v>
      </c>
      <c r="K26" s="134">
        <f t="shared" si="1"/>
        <v>3151.94</v>
      </c>
      <c r="L26" s="136">
        <f t="shared" si="0"/>
        <v>5.4244460273695356</v>
      </c>
      <c r="M26" s="276"/>
      <c r="N26" s="312"/>
    </row>
    <row r="27" spans="2:14" ht="12" customHeight="1" x14ac:dyDescent="0.2">
      <c r="B27" s="264"/>
      <c r="C27" s="135" t="s">
        <v>18</v>
      </c>
      <c r="D27" s="266" t="s">
        <v>134</v>
      </c>
      <c r="E27" s="267" t="s">
        <v>134</v>
      </c>
      <c r="F27" s="267" t="s">
        <v>134</v>
      </c>
      <c r="G27" s="268" t="s">
        <v>134</v>
      </c>
      <c r="H27" s="216" t="s">
        <v>140</v>
      </c>
      <c r="I27" s="133">
        <v>1</v>
      </c>
      <c r="J27" s="133">
        <v>1504.8000000000002</v>
      </c>
      <c r="K27" s="134">
        <f t="shared" si="1"/>
        <v>1504.8</v>
      </c>
      <c r="L27" s="136">
        <f t="shared" si="0"/>
        <v>2.5897404081250519</v>
      </c>
      <c r="M27" s="276"/>
      <c r="N27" s="312"/>
    </row>
    <row r="28" spans="2:14" ht="12" customHeight="1" x14ac:dyDescent="0.2">
      <c r="B28" s="264"/>
      <c r="C28" s="135" t="s">
        <v>19</v>
      </c>
      <c r="D28" s="266" t="s">
        <v>135</v>
      </c>
      <c r="E28" s="267" t="s">
        <v>135</v>
      </c>
      <c r="F28" s="267" t="s">
        <v>135</v>
      </c>
      <c r="G28" s="268" t="s">
        <v>135</v>
      </c>
      <c r="H28" s="216" t="s">
        <v>140</v>
      </c>
      <c r="I28" s="133">
        <v>1</v>
      </c>
      <c r="J28" s="133">
        <v>1504.8000000000002</v>
      </c>
      <c r="K28" s="134">
        <f t="shared" si="1"/>
        <v>1504.8</v>
      </c>
      <c r="L28" s="136">
        <f t="shared" si="0"/>
        <v>2.5897404081250519</v>
      </c>
      <c r="M28" s="276"/>
      <c r="N28" s="312"/>
    </row>
    <row r="29" spans="2:14" ht="12" customHeight="1" x14ac:dyDescent="0.2">
      <c r="B29" s="264"/>
      <c r="C29" s="135" t="s">
        <v>20</v>
      </c>
      <c r="D29" s="266" t="s">
        <v>136</v>
      </c>
      <c r="E29" s="267" t="s">
        <v>136</v>
      </c>
      <c r="F29" s="267" t="s">
        <v>136</v>
      </c>
      <c r="G29" s="268" t="s">
        <v>136</v>
      </c>
      <c r="H29" s="216" t="s">
        <v>140</v>
      </c>
      <c r="I29" s="133">
        <v>7</v>
      </c>
      <c r="J29" s="133">
        <v>1716.5500000000002</v>
      </c>
      <c r="K29" s="134">
        <f t="shared" si="1"/>
        <v>12015.85</v>
      </c>
      <c r="L29" s="136">
        <f t="shared" si="0"/>
        <v>20.679115020580415</v>
      </c>
      <c r="M29" s="276"/>
      <c r="N29" s="312"/>
    </row>
    <row r="30" spans="2:14" ht="12" customHeight="1" x14ac:dyDescent="0.2">
      <c r="B30" s="264"/>
      <c r="C30" s="135" t="s">
        <v>130</v>
      </c>
      <c r="D30" s="266" t="s">
        <v>137</v>
      </c>
      <c r="E30" s="267" t="s">
        <v>137</v>
      </c>
      <c r="F30" s="267" t="s">
        <v>137</v>
      </c>
      <c r="G30" s="268" t="s">
        <v>137</v>
      </c>
      <c r="H30" s="216" t="s">
        <v>22</v>
      </c>
      <c r="I30" s="133">
        <v>1230</v>
      </c>
      <c r="J30" s="133">
        <v>4.1030000000000006</v>
      </c>
      <c r="K30" s="28">
        <f t="shared" si="1"/>
        <v>5046.6899999999996</v>
      </c>
      <c r="L30" s="136">
        <f t="shared" si="0"/>
        <v>8.6852851011965821</v>
      </c>
      <c r="M30" s="277"/>
      <c r="N30" s="312"/>
    </row>
    <row r="31" spans="2:14" ht="14.25" customHeight="1" x14ac:dyDescent="0.2">
      <c r="B31" s="264"/>
      <c r="C31" s="269" t="s">
        <v>21</v>
      </c>
      <c r="D31" s="270"/>
      <c r="E31" s="270"/>
      <c r="F31" s="270"/>
      <c r="G31" s="271"/>
      <c r="H31" s="269"/>
      <c r="I31" s="270"/>
      <c r="J31" s="271"/>
      <c r="K31" s="289">
        <f>SUM(K22:K30)</f>
        <v>58106.210000000006</v>
      </c>
      <c r="L31" s="291">
        <f>SUM(L22:L30)</f>
        <v>100</v>
      </c>
      <c r="M31" s="275">
        <f>IF(K$299=0,0,100*K31/K$299)</f>
        <v>8.3116957908020144</v>
      </c>
      <c r="N31" s="312"/>
    </row>
    <row r="32" spans="2:14" ht="15" customHeight="1" x14ac:dyDescent="0.2">
      <c r="B32" s="265"/>
      <c r="C32" s="272"/>
      <c r="D32" s="273"/>
      <c r="E32" s="273"/>
      <c r="F32" s="273"/>
      <c r="G32" s="274"/>
      <c r="H32" s="272"/>
      <c r="I32" s="273"/>
      <c r="J32" s="274"/>
      <c r="K32" s="290"/>
      <c r="L32" s="292"/>
      <c r="M32" s="277"/>
      <c r="N32" s="312"/>
    </row>
    <row r="33" spans="2:14" ht="36.75" customHeight="1" x14ac:dyDescent="0.2">
      <c r="B33" s="263" t="s">
        <v>141</v>
      </c>
      <c r="C33" s="135" t="s">
        <v>142</v>
      </c>
      <c r="D33" s="266" t="s">
        <v>145</v>
      </c>
      <c r="E33" s="267"/>
      <c r="F33" s="267"/>
      <c r="G33" s="268"/>
      <c r="H33" s="217" t="s">
        <v>24</v>
      </c>
      <c r="I33" s="133">
        <v>154.93600000000001</v>
      </c>
      <c r="J33" s="133">
        <v>36.630000000000003</v>
      </c>
      <c r="K33" s="28">
        <f t="shared" ref="K33:K36" si="2">ROUND(I33*J33,2)</f>
        <v>5675.31</v>
      </c>
      <c r="L33" s="136">
        <f>IF(K$37=0,0,100*K33/K$37)</f>
        <v>45.609767270290007</v>
      </c>
      <c r="M33" s="275"/>
      <c r="N33" s="312"/>
    </row>
    <row r="34" spans="2:14" ht="36.75" customHeight="1" x14ac:dyDescent="0.2">
      <c r="B34" s="264"/>
      <c r="C34" s="135" t="s">
        <v>23</v>
      </c>
      <c r="D34" s="266" t="s">
        <v>155</v>
      </c>
      <c r="E34" s="267"/>
      <c r="F34" s="267"/>
      <c r="G34" s="268"/>
      <c r="H34" s="215" t="s">
        <v>24</v>
      </c>
      <c r="I34" s="133">
        <v>83.254000000000005</v>
      </c>
      <c r="J34" s="133">
        <v>34.21</v>
      </c>
      <c r="K34" s="28">
        <f t="shared" si="2"/>
        <v>2848.12</v>
      </c>
      <c r="L34" s="136">
        <f>IF(K$37=0,0,100*K34/K$37)</f>
        <v>22.88898586294993</v>
      </c>
      <c r="M34" s="276"/>
      <c r="N34" s="312"/>
    </row>
    <row r="35" spans="2:14" ht="36.75" customHeight="1" x14ac:dyDescent="0.2">
      <c r="B35" s="264"/>
      <c r="C35" s="135" t="s">
        <v>143</v>
      </c>
      <c r="D35" s="266" t="s">
        <v>156</v>
      </c>
      <c r="E35" s="267"/>
      <c r="F35" s="267"/>
      <c r="G35" s="268"/>
      <c r="H35" s="215" t="s">
        <v>22</v>
      </c>
      <c r="I35" s="133">
        <v>114.83</v>
      </c>
      <c r="J35" s="133">
        <v>15.400000000000002</v>
      </c>
      <c r="K35" s="28">
        <f t="shared" si="2"/>
        <v>1768.38</v>
      </c>
      <c r="L35" s="136">
        <f>IF(K$37=0,0,100*K35/K$37)</f>
        <v>14.211629011531606</v>
      </c>
      <c r="M35" s="276"/>
      <c r="N35" s="312"/>
    </row>
    <row r="36" spans="2:14" ht="36.75" customHeight="1" x14ac:dyDescent="0.2">
      <c r="B36" s="264"/>
      <c r="C36" s="135" t="s">
        <v>144</v>
      </c>
      <c r="D36" s="266" t="s">
        <v>157</v>
      </c>
      <c r="E36" s="267"/>
      <c r="F36" s="267"/>
      <c r="G36" s="268"/>
      <c r="H36" s="215" t="s">
        <v>24</v>
      </c>
      <c r="I36" s="133">
        <v>62.887599999999999</v>
      </c>
      <c r="J36" s="133">
        <v>34.21</v>
      </c>
      <c r="K36" s="28">
        <f t="shared" si="2"/>
        <v>2151.38</v>
      </c>
      <c r="L36" s="136">
        <f>IF(K$37=0,0,100*K36/K$37)</f>
        <v>17.289617855228439</v>
      </c>
      <c r="M36" s="277"/>
      <c r="N36" s="312"/>
    </row>
    <row r="37" spans="2:14" ht="36.75" customHeight="1" x14ac:dyDescent="0.2">
      <c r="B37" s="264"/>
      <c r="C37" s="269" t="s">
        <v>21</v>
      </c>
      <c r="D37" s="270"/>
      <c r="E37" s="270"/>
      <c r="F37" s="270"/>
      <c r="G37" s="271"/>
      <c r="H37" s="269"/>
      <c r="I37" s="270"/>
      <c r="J37" s="271"/>
      <c r="K37" s="289">
        <f>SUM(K33:K36)</f>
        <v>12443.190000000002</v>
      </c>
      <c r="L37" s="291">
        <f>SUM(L33:L36)</f>
        <v>100</v>
      </c>
      <c r="M37" s="275">
        <f>IF(K$299=0,0,100*K37/K$299)</f>
        <v>1.7799131959759504</v>
      </c>
      <c r="N37" s="312"/>
    </row>
    <row r="38" spans="2:14" ht="36.75" customHeight="1" x14ac:dyDescent="0.2">
      <c r="B38" s="264"/>
      <c r="C38" s="272"/>
      <c r="D38" s="273"/>
      <c r="E38" s="273"/>
      <c r="F38" s="273"/>
      <c r="G38" s="274"/>
      <c r="H38" s="272"/>
      <c r="I38" s="273"/>
      <c r="J38" s="274"/>
      <c r="K38" s="290"/>
      <c r="L38" s="292"/>
      <c r="M38" s="277"/>
      <c r="N38" s="312"/>
    </row>
    <row r="39" spans="2:14" ht="12" customHeight="1" x14ac:dyDescent="0.2">
      <c r="B39" s="280" t="s">
        <v>146</v>
      </c>
      <c r="C39" s="135"/>
      <c r="D39" s="278" t="s">
        <v>158</v>
      </c>
      <c r="E39" s="278"/>
      <c r="F39" s="278"/>
      <c r="G39" s="278"/>
      <c r="H39" s="295"/>
      <c r="I39" s="296"/>
      <c r="J39" s="296"/>
      <c r="K39" s="296"/>
      <c r="L39" s="296"/>
      <c r="M39" s="293"/>
      <c r="N39" s="312"/>
    </row>
    <row r="40" spans="2:14" ht="12" customHeight="1" x14ac:dyDescent="0.2">
      <c r="B40" s="281"/>
      <c r="C40" s="135" t="s">
        <v>27</v>
      </c>
      <c r="D40" s="279" t="s">
        <v>159</v>
      </c>
      <c r="E40" s="279"/>
      <c r="F40" s="279"/>
      <c r="G40" s="279"/>
      <c r="H40" s="215" t="s">
        <v>22</v>
      </c>
      <c r="I40" s="133">
        <v>75.36</v>
      </c>
      <c r="J40" s="133">
        <v>12.221</v>
      </c>
      <c r="K40" s="28">
        <f t="shared" ref="K40:K49" si="3">ROUND(I40*J40,2)</f>
        <v>920.97</v>
      </c>
      <c r="L40" s="136">
        <f>IF(K$50=0,0,100*K40/K$50)</f>
        <v>3.0450131078693836</v>
      </c>
      <c r="M40" s="294"/>
      <c r="N40" s="312"/>
    </row>
    <row r="41" spans="2:14" ht="12" customHeight="1" x14ac:dyDescent="0.2">
      <c r="B41" s="281"/>
      <c r="C41" s="135" t="s">
        <v>28</v>
      </c>
      <c r="D41" s="279" t="s">
        <v>160</v>
      </c>
      <c r="E41" s="279"/>
      <c r="F41" s="279"/>
      <c r="G41" s="279"/>
      <c r="H41" s="215" t="s">
        <v>22</v>
      </c>
      <c r="I41" s="133">
        <v>63.02</v>
      </c>
      <c r="J41" s="133">
        <v>35.145000000000003</v>
      </c>
      <c r="K41" s="28">
        <f t="shared" si="3"/>
        <v>2214.84</v>
      </c>
      <c r="L41" s="136">
        <f t="shared" ref="L41:L49" si="4">IF(K$50=0,0,100*K41/K$50)</f>
        <v>7.3229495334630075</v>
      </c>
      <c r="M41" s="294"/>
      <c r="N41" s="312"/>
    </row>
    <row r="42" spans="2:14" ht="12" customHeight="1" x14ac:dyDescent="0.2">
      <c r="B42" s="281"/>
      <c r="C42" s="135" t="s">
        <v>29</v>
      </c>
      <c r="D42" s="279" t="s">
        <v>161</v>
      </c>
      <c r="E42" s="279"/>
      <c r="F42" s="279"/>
      <c r="G42" s="279"/>
      <c r="H42" s="215" t="s">
        <v>25</v>
      </c>
      <c r="I42" s="133">
        <v>1094.2727272727273</v>
      </c>
      <c r="J42" s="133">
        <v>8.5250000000000004</v>
      </c>
      <c r="K42" s="28">
        <f t="shared" si="3"/>
        <v>9328.68</v>
      </c>
      <c r="L42" s="136">
        <f t="shared" si="4"/>
        <v>30.843515944188152</v>
      </c>
      <c r="M42" s="294"/>
      <c r="N42" s="312"/>
    </row>
    <row r="43" spans="2:14" ht="12" customHeight="1" x14ac:dyDescent="0.2">
      <c r="B43" s="281"/>
      <c r="C43" s="135" t="s">
        <v>147</v>
      </c>
      <c r="D43" s="279" t="s">
        <v>162</v>
      </c>
      <c r="E43" s="279"/>
      <c r="F43" s="279"/>
      <c r="G43" s="279"/>
      <c r="H43" s="215" t="s">
        <v>25</v>
      </c>
      <c r="I43" s="133">
        <v>54.909090909090907</v>
      </c>
      <c r="J43" s="133">
        <v>6.7650000000000006</v>
      </c>
      <c r="K43" s="28">
        <f t="shared" si="3"/>
        <v>371.46</v>
      </c>
      <c r="L43" s="136">
        <f t="shared" si="4"/>
        <v>1.2281622300934463</v>
      </c>
      <c r="M43" s="294"/>
      <c r="N43" s="312"/>
    </row>
    <row r="44" spans="2:14" ht="12" customHeight="1" x14ac:dyDescent="0.2">
      <c r="B44" s="281"/>
      <c r="C44" s="135" t="s">
        <v>148</v>
      </c>
      <c r="D44" s="279" t="s">
        <v>163</v>
      </c>
      <c r="E44" s="279"/>
      <c r="F44" s="279"/>
      <c r="G44" s="279"/>
      <c r="H44" s="216" t="s">
        <v>24</v>
      </c>
      <c r="I44" s="133">
        <v>15.63</v>
      </c>
      <c r="J44" s="133">
        <v>321.28800000000001</v>
      </c>
      <c r="K44" s="28">
        <f t="shared" si="3"/>
        <v>5021.7299999999996</v>
      </c>
      <c r="L44" s="136">
        <f t="shared" si="4"/>
        <v>16.603400408461642</v>
      </c>
      <c r="M44" s="294"/>
      <c r="N44" s="312"/>
    </row>
    <row r="45" spans="2:14" ht="12" customHeight="1" x14ac:dyDescent="0.2">
      <c r="B45" s="281"/>
      <c r="C45" s="135"/>
      <c r="D45" s="278" t="s">
        <v>164</v>
      </c>
      <c r="E45" s="278"/>
      <c r="F45" s="278"/>
      <c r="G45" s="278"/>
      <c r="H45" s="297"/>
      <c r="I45" s="298"/>
      <c r="J45" s="298"/>
      <c r="K45" s="298"/>
      <c r="L45" s="298"/>
      <c r="M45" s="294"/>
      <c r="N45" s="312"/>
    </row>
    <row r="46" spans="2:14" ht="12" customHeight="1" x14ac:dyDescent="0.2">
      <c r="B46" s="281"/>
      <c r="C46" s="135" t="s">
        <v>149</v>
      </c>
      <c r="D46" s="279" t="s">
        <v>165</v>
      </c>
      <c r="E46" s="279"/>
      <c r="F46" s="279"/>
      <c r="G46" s="279"/>
      <c r="H46" s="217" t="s">
        <v>22</v>
      </c>
      <c r="I46" s="137">
        <v>139.57</v>
      </c>
      <c r="J46" s="137">
        <v>35.145000000000003</v>
      </c>
      <c r="K46" s="28">
        <f t="shared" si="3"/>
        <v>4905.1899999999996</v>
      </c>
      <c r="L46" s="136">
        <f t="shared" si="4"/>
        <v>16.218082941452838</v>
      </c>
      <c r="M46" s="294"/>
      <c r="N46" s="312"/>
    </row>
    <row r="47" spans="2:14" ht="12" customHeight="1" x14ac:dyDescent="0.2">
      <c r="B47" s="281"/>
      <c r="C47" s="135" t="s">
        <v>150</v>
      </c>
      <c r="D47" s="279" t="s">
        <v>161</v>
      </c>
      <c r="E47" s="279"/>
      <c r="F47" s="279"/>
      <c r="G47" s="279"/>
      <c r="H47" s="215" t="s">
        <v>25</v>
      </c>
      <c r="I47" s="133">
        <v>389.63636363636363</v>
      </c>
      <c r="J47" s="133">
        <v>8.5250000000000004</v>
      </c>
      <c r="K47" s="28">
        <f t="shared" si="3"/>
        <v>3321.65</v>
      </c>
      <c r="L47" s="136">
        <f t="shared" si="4"/>
        <v>10.982407450573133</v>
      </c>
      <c r="M47" s="294"/>
      <c r="N47" s="312"/>
    </row>
    <row r="48" spans="2:14" ht="12" customHeight="1" x14ac:dyDescent="0.2">
      <c r="B48" s="281"/>
      <c r="C48" s="135" t="s">
        <v>151</v>
      </c>
      <c r="D48" s="279" t="s">
        <v>162</v>
      </c>
      <c r="E48" s="279"/>
      <c r="F48" s="279"/>
      <c r="G48" s="279"/>
      <c r="H48" s="215" t="s">
        <v>25</v>
      </c>
      <c r="I48" s="133">
        <v>137.72727272727272</v>
      </c>
      <c r="J48" s="133">
        <v>6.7650000000000006</v>
      </c>
      <c r="K48" s="28">
        <f t="shared" si="3"/>
        <v>931.73</v>
      </c>
      <c r="L48" s="136">
        <f t="shared" si="4"/>
        <v>3.0805890126661466</v>
      </c>
      <c r="M48" s="294"/>
      <c r="N48" s="312"/>
    </row>
    <row r="49" spans="2:14" ht="12" customHeight="1" x14ac:dyDescent="0.2">
      <c r="B49" s="281"/>
      <c r="C49" s="135" t="s">
        <v>152</v>
      </c>
      <c r="D49" s="279" t="s">
        <v>163</v>
      </c>
      <c r="E49" s="279"/>
      <c r="F49" s="279"/>
      <c r="G49" s="279"/>
      <c r="H49" s="215" t="s">
        <v>24</v>
      </c>
      <c r="I49" s="133">
        <v>10.050000000000001</v>
      </c>
      <c r="J49" s="133">
        <v>321.28800000000001</v>
      </c>
      <c r="K49" s="28">
        <f t="shared" si="3"/>
        <v>3228.94</v>
      </c>
      <c r="L49" s="136">
        <f t="shared" si="4"/>
        <v>10.675879371232252</v>
      </c>
      <c r="M49" s="294"/>
      <c r="N49" s="312"/>
    </row>
    <row r="50" spans="2:14" ht="12" customHeight="1" x14ac:dyDescent="0.2">
      <c r="B50" s="281"/>
      <c r="C50" s="269" t="s">
        <v>21</v>
      </c>
      <c r="D50" s="270"/>
      <c r="E50" s="270"/>
      <c r="F50" s="270"/>
      <c r="G50" s="271"/>
      <c r="H50" s="269"/>
      <c r="I50" s="270"/>
      <c r="J50" s="271"/>
      <c r="K50" s="289">
        <f>SUM(K40:K44,K46:K49)</f>
        <v>30245.19</v>
      </c>
      <c r="L50" s="291">
        <f>SUM(L40:L44,L46:L49)</f>
        <v>100</v>
      </c>
      <c r="M50" s="275">
        <f>IF(K$299=0,0,100*K50/K$299)</f>
        <v>4.326367498671952</v>
      </c>
      <c r="N50" s="312"/>
    </row>
    <row r="51" spans="2:14" ht="12" customHeight="1" x14ac:dyDescent="0.2">
      <c r="B51" s="282"/>
      <c r="C51" s="272"/>
      <c r="D51" s="273"/>
      <c r="E51" s="273"/>
      <c r="F51" s="273"/>
      <c r="G51" s="274"/>
      <c r="H51" s="272"/>
      <c r="I51" s="273"/>
      <c r="J51" s="274"/>
      <c r="K51" s="290"/>
      <c r="L51" s="292"/>
      <c r="M51" s="277"/>
      <c r="N51" s="312"/>
    </row>
    <row r="52" spans="2:14" ht="12" customHeight="1" x14ac:dyDescent="0.2">
      <c r="B52" s="280" t="s">
        <v>153</v>
      </c>
      <c r="C52" s="138"/>
      <c r="D52" s="278" t="s">
        <v>154</v>
      </c>
      <c r="E52" s="278"/>
      <c r="F52" s="278"/>
      <c r="G52" s="278"/>
      <c r="H52" s="297"/>
      <c r="I52" s="298"/>
      <c r="J52" s="298"/>
      <c r="K52" s="298"/>
      <c r="L52" s="305"/>
      <c r="M52" s="275"/>
      <c r="N52" s="312"/>
    </row>
    <row r="53" spans="2:14" ht="12" customHeight="1" x14ac:dyDescent="0.2">
      <c r="B53" s="281"/>
      <c r="C53" s="138" t="s">
        <v>109</v>
      </c>
      <c r="D53" s="279" t="s">
        <v>166</v>
      </c>
      <c r="E53" s="279" t="s">
        <v>30</v>
      </c>
      <c r="F53" s="279" t="s">
        <v>31</v>
      </c>
      <c r="G53" s="279"/>
      <c r="H53" s="215" t="s">
        <v>22</v>
      </c>
      <c r="I53" s="133">
        <v>126.72</v>
      </c>
      <c r="J53" s="133">
        <v>46.684000000000005</v>
      </c>
      <c r="K53" s="28">
        <f t="shared" ref="K53:K60" si="5">ROUND(I53*J53,2)</f>
        <v>5915.8</v>
      </c>
      <c r="L53" s="29">
        <f t="shared" ref="L53:L76" si="6">IF(K$77=0,0,100*K53/K$77)</f>
        <v>6.8599754674530926</v>
      </c>
      <c r="M53" s="276"/>
      <c r="N53" s="312"/>
    </row>
    <row r="54" spans="2:14" ht="12" customHeight="1" x14ac:dyDescent="0.2">
      <c r="B54" s="281"/>
      <c r="C54" s="138" t="s">
        <v>110</v>
      </c>
      <c r="D54" s="279" t="s">
        <v>161</v>
      </c>
      <c r="E54" s="279" t="s">
        <v>32</v>
      </c>
      <c r="F54" s="279" t="s">
        <v>33</v>
      </c>
      <c r="G54" s="279"/>
      <c r="H54" s="215" t="s">
        <v>25</v>
      </c>
      <c r="I54" s="133">
        <v>428.54545454545456</v>
      </c>
      <c r="J54" s="133">
        <v>8.5250000000000004</v>
      </c>
      <c r="K54" s="28">
        <f t="shared" si="5"/>
        <v>3653.35</v>
      </c>
      <c r="L54" s="29">
        <f t="shared" si="6"/>
        <v>4.2364331745528512</v>
      </c>
      <c r="M54" s="276"/>
      <c r="N54" s="312"/>
    </row>
    <row r="55" spans="2:14" ht="12" customHeight="1" x14ac:dyDescent="0.2">
      <c r="B55" s="281"/>
      <c r="C55" s="135" t="s">
        <v>111</v>
      </c>
      <c r="D55" s="279" t="s">
        <v>162</v>
      </c>
      <c r="E55" s="279" t="s">
        <v>34</v>
      </c>
      <c r="F55" s="279" t="s">
        <v>35</v>
      </c>
      <c r="G55" s="279"/>
      <c r="H55" s="215" t="s">
        <v>25</v>
      </c>
      <c r="I55" s="133">
        <v>127.36363636363635</v>
      </c>
      <c r="J55" s="133">
        <v>6.7650000000000006</v>
      </c>
      <c r="K55" s="28">
        <f t="shared" si="5"/>
        <v>861.62</v>
      </c>
      <c r="L55" s="29">
        <f t="shared" si="6"/>
        <v>0.99913656010462393</v>
      </c>
      <c r="M55" s="276"/>
      <c r="N55" s="312"/>
    </row>
    <row r="56" spans="2:14" ht="12" customHeight="1" x14ac:dyDescent="0.2">
      <c r="B56" s="281"/>
      <c r="C56" s="138" t="s">
        <v>112</v>
      </c>
      <c r="D56" s="279" t="s">
        <v>167</v>
      </c>
      <c r="E56" s="279" t="s">
        <v>36</v>
      </c>
      <c r="F56" s="279" t="s">
        <v>37</v>
      </c>
      <c r="G56" s="279"/>
      <c r="H56" s="215" t="s">
        <v>24</v>
      </c>
      <c r="I56" s="133">
        <v>8.52</v>
      </c>
      <c r="J56" s="133">
        <v>321.28800000000001</v>
      </c>
      <c r="K56" s="28">
        <f t="shared" si="5"/>
        <v>2737.37</v>
      </c>
      <c r="L56" s="29">
        <f t="shared" si="6"/>
        <v>3.1742606317559878</v>
      </c>
      <c r="M56" s="276"/>
      <c r="N56" s="312"/>
    </row>
    <row r="57" spans="2:14" ht="12" customHeight="1" x14ac:dyDescent="0.2">
      <c r="B57" s="281"/>
      <c r="C57" s="138"/>
      <c r="D57" s="278" t="s">
        <v>168</v>
      </c>
      <c r="E57" s="278" t="s">
        <v>38</v>
      </c>
      <c r="F57" s="278" t="s">
        <v>39</v>
      </c>
      <c r="G57" s="278"/>
      <c r="H57" s="295"/>
      <c r="I57" s="296"/>
      <c r="J57" s="296"/>
      <c r="K57" s="296"/>
      <c r="L57" s="306"/>
      <c r="M57" s="276"/>
      <c r="N57" s="312"/>
    </row>
    <row r="58" spans="2:14" ht="12" customHeight="1" x14ac:dyDescent="0.2">
      <c r="B58" s="281"/>
      <c r="C58" s="138" t="s">
        <v>113</v>
      </c>
      <c r="D58" s="279" t="s">
        <v>166</v>
      </c>
      <c r="E58" s="279" t="s">
        <v>40</v>
      </c>
      <c r="F58" s="279" t="s">
        <v>40</v>
      </c>
      <c r="G58" s="279"/>
      <c r="H58" s="215" t="s">
        <v>22</v>
      </c>
      <c r="I58" s="133">
        <v>155.73000000000002</v>
      </c>
      <c r="J58" s="133">
        <v>46.684000000000005</v>
      </c>
      <c r="K58" s="28">
        <f t="shared" si="5"/>
        <v>7270.1</v>
      </c>
      <c r="L58" s="29">
        <f t="shared" si="6"/>
        <v>8.4304249038051875</v>
      </c>
      <c r="M58" s="276"/>
      <c r="N58" s="312"/>
    </row>
    <row r="59" spans="2:14" ht="12" customHeight="1" x14ac:dyDescent="0.2">
      <c r="B59" s="281"/>
      <c r="C59" s="138" t="s">
        <v>179</v>
      </c>
      <c r="D59" s="279" t="s">
        <v>161</v>
      </c>
      <c r="E59" s="279" t="s">
        <v>41</v>
      </c>
      <c r="F59" s="279"/>
      <c r="G59" s="279"/>
      <c r="H59" s="215" t="s">
        <v>25</v>
      </c>
      <c r="I59" s="133">
        <v>1946.4545454545453</v>
      </c>
      <c r="J59" s="133">
        <v>8.5250000000000004</v>
      </c>
      <c r="K59" s="28">
        <f t="shared" si="5"/>
        <v>16593.53</v>
      </c>
      <c r="L59" s="29">
        <f t="shared" si="6"/>
        <v>19.24189606113238</v>
      </c>
      <c r="M59" s="276"/>
      <c r="N59" s="312"/>
    </row>
    <row r="60" spans="2:14" ht="12" customHeight="1" x14ac:dyDescent="0.2">
      <c r="B60" s="281"/>
      <c r="C60" s="138" t="s">
        <v>180</v>
      </c>
      <c r="D60" s="279" t="s">
        <v>162</v>
      </c>
      <c r="E60" s="279"/>
      <c r="F60" s="279"/>
      <c r="G60" s="279"/>
      <c r="H60" s="215" t="s">
        <v>25</v>
      </c>
      <c r="I60" s="133">
        <v>240.18181818181822</v>
      </c>
      <c r="J60" s="133">
        <v>6.7650000000000006</v>
      </c>
      <c r="K60" s="28">
        <f t="shared" si="5"/>
        <v>1624.83</v>
      </c>
      <c r="L60" s="29">
        <f t="shared" si="6"/>
        <v>1.884156654853411</v>
      </c>
      <c r="M60" s="276"/>
      <c r="N60" s="312"/>
    </row>
    <row r="61" spans="2:14" ht="12" customHeight="1" x14ac:dyDescent="0.2">
      <c r="B61" s="281"/>
      <c r="C61" s="138" t="s">
        <v>181</v>
      </c>
      <c r="D61" s="279" t="s">
        <v>167</v>
      </c>
      <c r="E61" s="279" t="s">
        <v>42</v>
      </c>
      <c r="F61" s="279" t="s">
        <v>43</v>
      </c>
      <c r="G61" s="279"/>
      <c r="H61" s="215" t="s">
        <v>24</v>
      </c>
      <c r="I61" s="140">
        <v>8.52</v>
      </c>
      <c r="J61" s="133">
        <v>321.28800000000001</v>
      </c>
      <c r="K61" s="28">
        <f t="shared" ref="K61:K76" si="7">ROUND(I61*J61,2)</f>
        <v>2737.37</v>
      </c>
      <c r="L61" s="29">
        <f t="shared" si="6"/>
        <v>3.1742606317559878</v>
      </c>
      <c r="M61" s="276"/>
      <c r="N61" s="312"/>
    </row>
    <row r="62" spans="2:14" ht="12" customHeight="1" x14ac:dyDescent="0.2">
      <c r="B62" s="281"/>
      <c r="C62" s="135" t="s">
        <v>182</v>
      </c>
      <c r="D62" s="279" t="s">
        <v>169</v>
      </c>
      <c r="E62" s="279" t="s">
        <v>44</v>
      </c>
      <c r="F62" s="279" t="s">
        <v>45</v>
      </c>
      <c r="G62" s="279"/>
      <c r="H62" s="215" t="s">
        <v>22</v>
      </c>
      <c r="I62" s="140">
        <v>84.33</v>
      </c>
      <c r="J62" s="133">
        <v>66.319000000000003</v>
      </c>
      <c r="K62" s="28">
        <f t="shared" si="7"/>
        <v>5592.68</v>
      </c>
      <c r="L62" s="29">
        <f t="shared" si="6"/>
        <v>6.4852847623847261</v>
      </c>
      <c r="M62" s="276"/>
      <c r="N62" s="312"/>
    </row>
    <row r="63" spans="2:14" ht="12" customHeight="1" x14ac:dyDescent="0.2">
      <c r="B63" s="281"/>
      <c r="C63" s="135"/>
      <c r="D63" s="278" t="s">
        <v>170</v>
      </c>
      <c r="E63" s="278" t="s">
        <v>46</v>
      </c>
      <c r="F63" s="278" t="str">
        <f>'[1]1 CASA'!F68</f>
        <v>Basculantes</v>
      </c>
      <c r="G63" s="278"/>
      <c r="H63" s="295"/>
      <c r="I63" s="296"/>
      <c r="J63" s="296"/>
      <c r="K63" s="296"/>
      <c r="L63" s="306"/>
      <c r="M63" s="276"/>
      <c r="N63" s="312"/>
    </row>
    <row r="64" spans="2:14" ht="12" customHeight="1" x14ac:dyDescent="0.2">
      <c r="B64" s="281"/>
      <c r="C64" s="135" t="s">
        <v>183</v>
      </c>
      <c r="D64" s="279" t="s">
        <v>166</v>
      </c>
      <c r="E64" s="279" t="s">
        <v>47</v>
      </c>
      <c r="F64" s="279" t="s">
        <v>48</v>
      </c>
      <c r="G64" s="279"/>
      <c r="H64" s="215" t="s">
        <v>22</v>
      </c>
      <c r="I64" s="140">
        <v>111.795</v>
      </c>
      <c r="J64" s="133">
        <v>46.684000000000005</v>
      </c>
      <c r="K64" s="28">
        <f t="shared" si="7"/>
        <v>5219.04</v>
      </c>
      <c r="L64" s="29">
        <f t="shared" si="6"/>
        <v>6.0520109475736827</v>
      </c>
      <c r="M64" s="276"/>
      <c r="N64" s="312"/>
    </row>
    <row r="65" spans="2:14" ht="12" customHeight="1" x14ac:dyDescent="0.2">
      <c r="B65" s="281"/>
      <c r="C65" s="138" t="s">
        <v>184</v>
      </c>
      <c r="D65" s="279" t="s">
        <v>161</v>
      </c>
      <c r="E65" s="279" t="s">
        <v>49</v>
      </c>
      <c r="F65" s="279" t="s">
        <v>50</v>
      </c>
      <c r="G65" s="279"/>
      <c r="H65" s="215" t="s">
        <v>25</v>
      </c>
      <c r="I65" s="140">
        <v>135.38800000000001</v>
      </c>
      <c r="J65" s="133">
        <v>8.5250000000000004</v>
      </c>
      <c r="K65" s="28">
        <f t="shared" si="7"/>
        <v>1154.18</v>
      </c>
      <c r="L65" s="29">
        <f t="shared" si="6"/>
        <v>1.3383898179493916</v>
      </c>
      <c r="M65" s="276"/>
      <c r="N65" s="312"/>
    </row>
    <row r="66" spans="2:14" ht="12" customHeight="1" x14ac:dyDescent="0.2">
      <c r="B66" s="281"/>
      <c r="C66" s="138" t="s">
        <v>185</v>
      </c>
      <c r="D66" s="279" t="s">
        <v>162</v>
      </c>
      <c r="E66" s="279" t="s">
        <v>51</v>
      </c>
      <c r="F66" s="279" t="s">
        <v>51</v>
      </c>
      <c r="G66" s="279"/>
      <c r="H66" s="215" t="s">
        <v>25</v>
      </c>
      <c r="I66" s="140">
        <v>95.93</v>
      </c>
      <c r="J66" s="133">
        <v>6.7650000000000006</v>
      </c>
      <c r="K66" s="28">
        <f t="shared" si="7"/>
        <v>648.97</v>
      </c>
      <c r="L66" s="29">
        <f t="shared" si="6"/>
        <v>0.7525471244993126</v>
      </c>
      <c r="M66" s="276"/>
      <c r="N66" s="312"/>
    </row>
    <row r="67" spans="2:14" ht="12" customHeight="1" x14ac:dyDescent="0.2">
      <c r="B67" s="281"/>
      <c r="C67" s="139" t="s">
        <v>186</v>
      </c>
      <c r="D67" s="279" t="s">
        <v>167</v>
      </c>
      <c r="E67" s="279" t="s">
        <v>52</v>
      </c>
      <c r="F67" s="279" t="s">
        <v>53</v>
      </c>
      <c r="G67" s="279"/>
      <c r="H67" s="215" t="s">
        <v>24</v>
      </c>
      <c r="I67" s="140">
        <v>6.5940000000000003</v>
      </c>
      <c r="J67" s="133">
        <v>321.28800000000001</v>
      </c>
      <c r="K67" s="28">
        <f t="shared" si="7"/>
        <v>2118.5700000000002</v>
      </c>
      <c r="L67" s="29">
        <f t="shared" si="6"/>
        <v>2.4566987095713344</v>
      </c>
      <c r="M67" s="276"/>
      <c r="N67" s="312"/>
    </row>
    <row r="68" spans="2:14" ht="12" customHeight="1" x14ac:dyDescent="0.2">
      <c r="B68" s="281"/>
      <c r="C68" s="139" t="s">
        <v>187</v>
      </c>
      <c r="D68" s="279" t="s">
        <v>171</v>
      </c>
      <c r="E68" s="279" t="s">
        <v>54</v>
      </c>
      <c r="F68" s="279" t="s">
        <v>55</v>
      </c>
      <c r="G68" s="279"/>
      <c r="H68" s="215" t="s">
        <v>24</v>
      </c>
      <c r="I68" s="140">
        <v>22.5</v>
      </c>
      <c r="J68" s="133">
        <v>31.086000000000006</v>
      </c>
      <c r="K68" s="28">
        <f t="shared" si="7"/>
        <v>699.44</v>
      </c>
      <c r="L68" s="29">
        <f t="shared" si="6"/>
        <v>0.81107225412545914</v>
      </c>
      <c r="M68" s="276"/>
      <c r="N68" s="312"/>
    </row>
    <row r="69" spans="2:14" ht="12" customHeight="1" x14ac:dyDescent="0.2">
      <c r="B69" s="281"/>
      <c r="C69" s="135"/>
      <c r="D69" s="278" t="s">
        <v>172</v>
      </c>
      <c r="E69" s="278" t="s">
        <v>56</v>
      </c>
      <c r="F69" s="278" t="s">
        <v>57</v>
      </c>
      <c r="G69" s="278"/>
      <c r="H69" s="295"/>
      <c r="I69" s="296"/>
      <c r="J69" s="296"/>
      <c r="K69" s="296"/>
      <c r="L69" s="306"/>
      <c r="M69" s="276"/>
      <c r="N69" s="312"/>
    </row>
    <row r="70" spans="2:14" ht="12" customHeight="1" x14ac:dyDescent="0.2">
      <c r="B70" s="281"/>
      <c r="C70" s="135" t="s">
        <v>188</v>
      </c>
      <c r="D70" s="279" t="s">
        <v>173</v>
      </c>
      <c r="E70" s="279" t="s">
        <v>58</v>
      </c>
      <c r="F70" s="279" t="s">
        <v>59</v>
      </c>
      <c r="G70" s="279"/>
      <c r="H70" s="215" t="s">
        <v>26</v>
      </c>
      <c r="I70" s="140">
        <v>1.1000000000000001</v>
      </c>
      <c r="J70" s="133">
        <v>50.391000000000005</v>
      </c>
      <c r="K70" s="28">
        <f t="shared" si="7"/>
        <v>55.43</v>
      </c>
      <c r="L70" s="29">
        <f t="shared" si="6"/>
        <v>6.4276757185997652E-2</v>
      </c>
      <c r="M70" s="276"/>
      <c r="N70" s="312"/>
    </row>
    <row r="71" spans="2:14" ht="12" customHeight="1" x14ac:dyDescent="0.2">
      <c r="B71" s="281"/>
      <c r="C71" s="135"/>
      <c r="D71" s="278" t="s">
        <v>174</v>
      </c>
      <c r="E71" s="278" t="s">
        <v>60</v>
      </c>
      <c r="F71" s="278" t="str">
        <f>'[1]1 CASA'!F76</f>
        <v>Basculantes</v>
      </c>
      <c r="G71" s="278"/>
      <c r="H71" s="295"/>
      <c r="I71" s="296"/>
      <c r="J71" s="296"/>
      <c r="K71" s="296"/>
      <c r="L71" s="306"/>
      <c r="M71" s="276"/>
      <c r="N71" s="312"/>
    </row>
    <row r="72" spans="2:14" ht="12" customHeight="1" x14ac:dyDescent="0.2">
      <c r="B72" s="281"/>
      <c r="C72" s="138" t="s">
        <v>189</v>
      </c>
      <c r="D72" s="309" t="s">
        <v>166</v>
      </c>
      <c r="E72" s="310"/>
      <c r="F72" s="310"/>
      <c r="G72" s="311"/>
      <c r="H72" s="215" t="s">
        <v>22</v>
      </c>
      <c r="I72" s="140">
        <v>10.8</v>
      </c>
      <c r="J72" s="133">
        <v>46.684000000000005</v>
      </c>
      <c r="K72" s="28">
        <f t="shared" si="7"/>
        <v>504.19</v>
      </c>
      <c r="L72" s="29">
        <f t="shared" si="6"/>
        <v>0.58465989907285154</v>
      </c>
      <c r="M72" s="276"/>
      <c r="N72" s="312"/>
    </row>
    <row r="73" spans="2:14" ht="12" customHeight="1" x14ac:dyDescent="0.2">
      <c r="B73" s="281"/>
      <c r="C73" s="135" t="s">
        <v>190</v>
      </c>
      <c r="D73" s="279" t="s">
        <v>175</v>
      </c>
      <c r="E73" s="279" t="s">
        <v>175</v>
      </c>
      <c r="F73" s="279" t="s">
        <v>175</v>
      </c>
      <c r="G73" s="279" t="s">
        <v>175</v>
      </c>
      <c r="H73" s="215" t="s">
        <v>24</v>
      </c>
      <c r="I73" s="140">
        <v>33.833500000000001</v>
      </c>
      <c r="J73" s="133">
        <v>68.739000000000004</v>
      </c>
      <c r="K73" s="28">
        <f t="shared" si="7"/>
        <v>2325.6799999999998</v>
      </c>
      <c r="L73" s="29">
        <f t="shared" si="6"/>
        <v>2.6968639482650372</v>
      </c>
      <c r="M73" s="276"/>
      <c r="N73" s="312"/>
    </row>
    <row r="74" spans="2:14" ht="12" customHeight="1" x14ac:dyDescent="0.2">
      <c r="B74" s="281"/>
      <c r="C74" s="135" t="s">
        <v>191</v>
      </c>
      <c r="D74" s="279" t="s">
        <v>176</v>
      </c>
      <c r="E74" s="279" t="s">
        <v>176</v>
      </c>
      <c r="F74" s="279" t="s">
        <v>176</v>
      </c>
      <c r="G74" s="279" t="s">
        <v>176</v>
      </c>
      <c r="H74" s="215" t="s">
        <v>22</v>
      </c>
      <c r="I74" s="140">
        <v>676.67</v>
      </c>
      <c r="J74" s="133">
        <v>5.5659999999999998</v>
      </c>
      <c r="K74" s="28">
        <f t="shared" si="7"/>
        <v>3766.35</v>
      </c>
      <c r="L74" s="29">
        <f t="shared" si="6"/>
        <v>4.3674682379123633</v>
      </c>
      <c r="M74" s="276"/>
      <c r="N74" s="312"/>
    </row>
    <row r="75" spans="2:14" ht="12" customHeight="1" x14ac:dyDescent="0.2">
      <c r="B75" s="281"/>
      <c r="C75" s="138" t="s">
        <v>192</v>
      </c>
      <c r="D75" s="279" t="s">
        <v>177</v>
      </c>
      <c r="E75" s="279" t="s">
        <v>177</v>
      </c>
      <c r="F75" s="279" t="s">
        <v>177</v>
      </c>
      <c r="G75" s="279" t="s">
        <v>177</v>
      </c>
      <c r="H75" s="215" t="s">
        <v>25</v>
      </c>
      <c r="I75" s="140">
        <v>1001.4716</v>
      </c>
      <c r="J75" s="133">
        <v>13.486000000000001</v>
      </c>
      <c r="K75" s="28">
        <f t="shared" si="7"/>
        <v>13505.85</v>
      </c>
      <c r="L75" s="29">
        <f t="shared" si="6"/>
        <v>15.661415136938597</v>
      </c>
      <c r="M75" s="276"/>
      <c r="N75" s="312"/>
    </row>
    <row r="76" spans="2:14" ht="12" customHeight="1" x14ac:dyDescent="0.2">
      <c r="B76" s="281"/>
      <c r="C76" s="138" t="s">
        <v>193</v>
      </c>
      <c r="D76" s="279" t="s">
        <v>178</v>
      </c>
      <c r="E76" s="279" t="s">
        <v>178</v>
      </c>
      <c r="F76" s="279" t="s">
        <v>178</v>
      </c>
      <c r="G76" s="279" t="s">
        <v>178</v>
      </c>
      <c r="H76" s="215" t="s">
        <v>24</v>
      </c>
      <c r="I76" s="140">
        <v>27.066800000000001</v>
      </c>
      <c r="J76" s="133">
        <v>341.82500000000005</v>
      </c>
      <c r="K76" s="28">
        <f t="shared" si="7"/>
        <v>9252.11</v>
      </c>
      <c r="L76" s="29">
        <f t="shared" si="6"/>
        <v>10.728768319107719</v>
      </c>
      <c r="M76" s="277"/>
      <c r="N76" s="312"/>
    </row>
    <row r="77" spans="2:14" ht="12" customHeight="1" x14ac:dyDescent="0.2">
      <c r="B77" s="281"/>
      <c r="C77" s="269" t="s">
        <v>21</v>
      </c>
      <c r="D77" s="270"/>
      <c r="E77" s="270"/>
      <c r="F77" s="270"/>
      <c r="G77" s="271"/>
      <c r="H77" s="269"/>
      <c r="I77" s="270"/>
      <c r="J77" s="271"/>
      <c r="K77" s="289">
        <f>SUM(K52:K76)</f>
        <v>86236.46</v>
      </c>
      <c r="L77" s="307">
        <f>SUM(L53:L56,L58:L62,L64:L68,L70,L72:L76)</f>
        <v>99.999999999999986</v>
      </c>
      <c r="M77" s="275">
        <f>IF(K$299=0,0,100*K77/K$299)</f>
        <v>12.335535592420607</v>
      </c>
      <c r="N77" s="312"/>
    </row>
    <row r="78" spans="2:14" ht="12" customHeight="1" x14ac:dyDescent="0.2">
      <c r="B78" s="282"/>
      <c r="C78" s="272"/>
      <c r="D78" s="273"/>
      <c r="E78" s="273"/>
      <c r="F78" s="273"/>
      <c r="G78" s="274"/>
      <c r="H78" s="272"/>
      <c r="I78" s="273"/>
      <c r="J78" s="274"/>
      <c r="K78" s="290"/>
      <c r="L78" s="308"/>
      <c r="M78" s="277"/>
      <c r="N78" s="312"/>
    </row>
    <row r="79" spans="2:14" ht="38.25" customHeight="1" x14ac:dyDescent="0.2">
      <c r="B79" s="280" t="s">
        <v>194</v>
      </c>
      <c r="C79" s="138" t="s">
        <v>114</v>
      </c>
      <c r="D79" s="301" t="s">
        <v>195</v>
      </c>
      <c r="E79" s="302"/>
      <c r="F79" s="302"/>
      <c r="G79" s="303"/>
      <c r="H79" s="215" t="s">
        <v>22</v>
      </c>
      <c r="I79" s="140">
        <v>240.41</v>
      </c>
      <c r="J79" s="133">
        <v>60.39</v>
      </c>
      <c r="K79" s="28">
        <f t="shared" ref="K79:K85" si="8">ROUND(I79*J79,2)</f>
        <v>14518.36</v>
      </c>
      <c r="L79" s="29">
        <f>IF(K$86=0,0,100*K79/K$86)</f>
        <v>49.408208610591096</v>
      </c>
      <c r="M79" s="275"/>
      <c r="N79" s="312"/>
    </row>
    <row r="80" spans="2:14" ht="39" customHeight="1" x14ac:dyDescent="0.2">
      <c r="B80" s="281"/>
      <c r="C80" s="138" t="s">
        <v>115</v>
      </c>
      <c r="D80" s="301" t="s">
        <v>196</v>
      </c>
      <c r="E80" s="302" t="s">
        <v>61</v>
      </c>
      <c r="F80" s="302" t="s">
        <v>62</v>
      </c>
      <c r="G80" s="303"/>
      <c r="H80" s="215" t="s">
        <v>22</v>
      </c>
      <c r="I80" s="140">
        <v>6.94</v>
      </c>
      <c r="J80" s="133">
        <v>36.08</v>
      </c>
      <c r="K80" s="28">
        <f t="shared" si="8"/>
        <v>250.4</v>
      </c>
      <c r="L80" s="29">
        <f t="shared" ref="L80:L85" si="9">IF(K$86=0,0,100*K80/K$86)</f>
        <v>0.8521496529974466</v>
      </c>
      <c r="M80" s="276"/>
      <c r="N80" s="312"/>
    </row>
    <row r="81" spans="2:14" ht="38.25" customHeight="1" x14ac:dyDescent="0.2">
      <c r="B81" s="281"/>
      <c r="C81" s="138" t="s">
        <v>116</v>
      </c>
      <c r="D81" s="279" t="s">
        <v>197</v>
      </c>
      <c r="E81" s="279" t="s">
        <v>63</v>
      </c>
      <c r="F81" s="279" t="s">
        <v>64</v>
      </c>
      <c r="G81" s="279"/>
      <c r="H81" s="215" t="s">
        <v>22</v>
      </c>
      <c r="I81" s="140">
        <v>134.72</v>
      </c>
      <c r="J81" s="133">
        <v>44.440000000000005</v>
      </c>
      <c r="K81" s="28">
        <f t="shared" si="8"/>
        <v>5986.96</v>
      </c>
      <c r="L81" s="29">
        <f t="shared" si="9"/>
        <v>20.374544275198055</v>
      </c>
      <c r="M81" s="276"/>
      <c r="N81" s="312"/>
    </row>
    <row r="82" spans="2:14" ht="31.5" customHeight="1" x14ac:dyDescent="0.2">
      <c r="B82" s="281"/>
      <c r="C82" s="138"/>
      <c r="D82" s="278" t="s">
        <v>198</v>
      </c>
      <c r="E82" s="278" t="s">
        <v>65</v>
      </c>
      <c r="F82" s="278" t="s">
        <v>66</v>
      </c>
      <c r="G82" s="278"/>
      <c r="H82" s="297"/>
      <c r="I82" s="298"/>
      <c r="J82" s="298"/>
      <c r="K82" s="298"/>
      <c r="L82" s="305"/>
      <c r="M82" s="276"/>
      <c r="N82" s="312"/>
    </row>
    <row r="83" spans="2:14" ht="30" customHeight="1" x14ac:dyDescent="0.2">
      <c r="B83" s="281"/>
      <c r="C83" s="138" t="s">
        <v>201</v>
      </c>
      <c r="D83" s="279" t="s">
        <v>200</v>
      </c>
      <c r="E83" s="279" t="s">
        <v>67</v>
      </c>
      <c r="F83" s="279" t="s">
        <v>68</v>
      </c>
      <c r="G83" s="279"/>
      <c r="H83" s="215" t="s">
        <v>22</v>
      </c>
      <c r="I83" s="140">
        <v>148.08000000000001</v>
      </c>
      <c r="J83" s="133">
        <v>50.6</v>
      </c>
      <c r="K83" s="28">
        <f t="shared" si="8"/>
        <v>7492.85</v>
      </c>
      <c r="L83" s="29">
        <f t="shared" si="9"/>
        <v>25.499319199129065</v>
      </c>
      <c r="M83" s="276"/>
      <c r="N83" s="312"/>
    </row>
    <row r="84" spans="2:14" ht="24.75" customHeight="1" x14ac:dyDescent="0.2">
      <c r="B84" s="281"/>
      <c r="C84" s="138"/>
      <c r="D84" s="278" t="s">
        <v>199</v>
      </c>
      <c r="E84" s="278"/>
      <c r="F84" s="278"/>
      <c r="G84" s="278"/>
      <c r="H84" s="297"/>
      <c r="I84" s="298"/>
      <c r="J84" s="298"/>
      <c r="K84" s="298"/>
      <c r="L84" s="305"/>
      <c r="M84" s="276"/>
      <c r="N84" s="312"/>
    </row>
    <row r="85" spans="2:14" ht="43.5" customHeight="1" x14ac:dyDescent="0.2">
      <c r="B85" s="281"/>
      <c r="C85" s="138" t="s">
        <v>202</v>
      </c>
      <c r="D85" s="301" t="s">
        <v>195</v>
      </c>
      <c r="E85" s="302" t="s">
        <v>41</v>
      </c>
      <c r="F85" s="302"/>
      <c r="G85" s="303"/>
      <c r="H85" s="215" t="s">
        <v>22</v>
      </c>
      <c r="I85" s="140">
        <v>18.809999999999999</v>
      </c>
      <c r="J85" s="133">
        <v>60.39</v>
      </c>
      <c r="K85" s="28">
        <f t="shared" si="8"/>
        <v>1135.94</v>
      </c>
      <c r="L85" s="29">
        <f t="shared" si="9"/>
        <v>3.8657782620843433</v>
      </c>
      <c r="M85" s="277"/>
      <c r="N85" s="312"/>
    </row>
    <row r="86" spans="2:14" ht="39.75" customHeight="1" x14ac:dyDescent="0.2">
      <c r="B86" s="281"/>
      <c r="C86" s="269" t="s">
        <v>21</v>
      </c>
      <c r="D86" s="270"/>
      <c r="E86" s="270"/>
      <c r="F86" s="270"/>
      <c r="G86" s="271"/>
      <c r="H86" s="269"/>
      <c r="I86" s="270"/>
      <c r="J86" s="271"/>
      <c r="K86" s="289">
        <f>SUM(K79:K81,K83,K85)</f>
        <v>29384.51</v>
      </c>
      <c r="L86" s="307">
        <f>SUM(L79:L81,L83,L85)</f>
        <v>100.00000000000001</v>
      </c>
      <c r="M86" s="275">
        <f>IF(K$299=0,0,100*K86/K$299)</f>
        <v>4.2032531132520887</v>
      </c>
      <c r="N86" s="312"/>
    </row>
    <row r="87" spans="2:14" ht="40.5" customHeight="1" x14ac:dyDescent="0.2">
      <c r="B87" s="282"/>
      <c r="C87" s="272"/>
      <c r="D87" s="273"/>
      <c r="E87" s="273"/>
      <c r="F87" s="273"/>
      <c r="G87" s="274"/>
      <c r="H87" s="272"/>
      <c r="I87" s="273"/>
      <c r="J87" s="274"/>
      <c r="K87" s="290"/>
      <c r="L87" s="308"/>
      <c r="M87" s="277"/>
      <c r="N87" s="312"/>
    </row>
    <row r="88" spans="2:14" ht="12" customHeight="1" x14ac:dyDescent="0.2">
      <c r="B88" s="280" t="s">
        <v>203</v>
      </c>
      <c r="C88" s="138"/>
      <c r="D88" s="278" t="s">
        <v>204</v>
      </c>
      <c r="E88" s="278"/>
      <c r="F88" s="278"/>
      <c r="G88" s="278"/>
      <c r="H88" s="297"/>
      <c r="I88" s="298"/>
      <c r="J88" s="298"/>
      <c r="K88" s="298"/>
      <c r="L88" s="305"/>
      <c r="M88" s="275"/>
      <c r="N88" s="312"/>
    </row>
    <row r="89" spans="2:14" ht="12" customHeight="1" x14ac:dyDescent="0.2">
      <c r="B89" s="281"/>
      <c r="C89" s="138" t="s">
        <v>72</v>
      </c>
      <c r="D89" s="301" t="s">
        <v>205</v>
      </c>
      <c r="E89" s="302" t="s">
        <v>70</v>
      </c>
      <c r="F89" s="302" t="s">
        <v>71</v>
      </c>
      <c r="G89" s="303"/>
      <c r="H89" s="215" t="s">
        <v>140</v>
      </c>
      <c r="I89" s="140">
        <v>2</v>
      </c>
      <c r="J89" s="140">
        <v>402.6</v>
      </c>
      <c r="K89" s="28">
        <f t="shared" ref="K89:K101" si="10">ROUND(I89*J89,2)+R89</f>
        <v>805.2</v>
      </c>
      <c r="L89" s="29">
        <f>IF(K$102=0,0,100*K89/K$102)</f>
        <v>8.5923927658284835</v>
      </c>
      <c r="M89" s="276"/>
      <c r="N89" s="312"/>
    </row>
    <row r="90" spans="2:14" ht="12" customHeight="1" x14ac:dyDescent="0.2">
      <c r="B90" s="281"/>
      <c r="C90" s="138" t="s">
        <v>82</v>
      </c>
      <c r="D90" s="301" t="s">
        <v>206</v>
      </c>
      <c r="E90" s="302"/>
      <c r="F90" s="302"/>
      <c r="G90" s="303"/>
      <c r="H90" s="215" t="s">
        <v>22</v>
      </c>
      <c r="I90" s="140">
        <v>1.6</v>
      </c>
      <c r="J90" s="140">
        <v>172.42500000000001</v>
      </c>
      <c r="K90" s="28">
        <f>ROUND(I90*J90,2)+R90</f>
        <v>275.88</v>
      </c>
      <c r="L90" s="29">
        <f t="shared" ref="L90:L98" si="11">IF(K$102=0,0,100*K90/K$102)</f>
        <v>2.9439509640297592</v>
      </c>
      <c r="M90" s="276"/>
      <c r="N90" s="312"/>
    </row>
    <row r="91" spans="2:14" ht="12" customHeight="1" x14ac:dyDescent="0.2">
      <c r="B91" s="281"/>
      <c r="C91" s="138" t="s">
        <v>83</v>
      </c>
      <c r="D91" s="301" t="s">
        <v>207</v>
      </c>
      <c r="E91" s="302"/>
      <c r="F91" s="302"/>
      <c r="G91" s="303"/>
      <c r="H91" s="215" t="s">
        <v>140</v>
      </c>
      <c r="I91" s="140">
        <v>1</v>
      </c>
      <c r="J91" s="140">
        <v>354.34300000000002</v>
      </c>
      <c r="K91" s="28">
        <f t="shared" si="10"/>
        <v>354.34</v>
      </c>
      <c r="L91" s="29">
        <f t="shared" si="11"/>
        <v>3.7812077156528376</v>
      </c>
      <c r="M91" s="276"/>
      <c r="N91" s="312"/>
    </row>
    <row r="92" spans="2:14" ht="21" customHeight="1" x14ac:dyDescent="0.2">
      <c r="B92" s="281"/>
      <c r="C92" s="138" t="s">
        <v>84</v>
      </c>
      <c r="D92" s="301" t="s">
        <v>208</v>
      </c>
      <c r="E92" s="302" t="s">
        <v>73</v>
      </c>
      <c r="F92" s="302" t="s">
        <v>74</v>
      </c>
      <c r="G92" s="303"/>
      <c r="H92" s="215" t="s">
        <v>140</v>
      </c>
      <c r="I92" s="140">
        <v>2</v>
      </c>
      <c r="J92" s="140">
        <v>385.55</v>
      </c>
      <c r="K92" s="28">
        <f t="shared" si="10"/>
        <v>771.1</v>
      </c>
      <c r="L92" s="29">
        <f t="shared" si="11"/>
        <v>8.228507279843944</v>
      </c>
      <c r="M92" s="276"/>
      <c r="N92" s="312"/>
    </row>
    <row r="93" spans="2:14" ht="25.5" customHeight="1" x14ac:dyDescent="0.2">
      <c r="B93" s="281"/>
      <c r="C93" s="138" t="s">
        <v>85</v>
      </c>
      <c r="D93" s="301" t="s">
        <v>209</v>
      </c>
      <c r="E93" s="302" t="s">
        <v>75</v>
      </c>
      <c r="F93" s="302" t="s">
        <v>76</v>
      </c>
      <c r="G93" s="303"/>
      <c r="H93" s="215" t="s">
        <v>140</v>
      </c>
      <c r="I93" s="140">
        <v>4</v>
      </c>
      <c r="J93" s="140">
        <v>451.55</v>
      </c>
      <c r="K93" s="28">
        <f t="shared" si="10"/>
        <v>1806.2</v>
      </c>
      <c r="L93" s="29">
        <f t="shared" si="11"/>
        <v>19.274192515697226</v>
      </c>
      <c r="M93" s="276"/>
      <c r="N93" s="312"/>
    </row>
    <row r="94" spans="2:14" ht="12" customHeight="1" x14ac:dyDescent="0.2">
      <c r="B94" s="281"/>
      <c r="C94" s="141"/>
      <c r="D94" s="278" t="s">
        <v>210</v>
      </c>
      <c r="E94" s="278" t="s">
        <v>77</v>
      </c>
      <c r="F94" s="278" t="s">
        <v>77</v>
      </c>
      <c r="G94" s="278"/>
      <c r="H94" s="295"/>
      <c r="I94" s="296"/>
      <c r="J94" s="296"/>
      <c r="K94" s="296"/>
      <c r="L94" s="306"/>
      <c r="M94" s="276"/>
      <c r="N94" s="312"/>
    </row>
    <row r="95" spans="2:14" ht="12" customHeight="1" x14ac:dyDescent="0.2">
      <c r="B95" s="281"/>
      <c r="C95" s="138" t="s">
        <v>86</v>
      </c>
      <c r="D95" s="301" t="s">
        <v>211</v>
      </c>
      <c r="E95" s="302" t="s">
        <v>41</v>
      </c>
      <c r="F95" s="302"/>
      <c r="G95" s="303"/>
      <c r="H95" s="215" t="s">
        <v>140</v>
      </c>
      <c r="I95" s="140">
        <v>3</v>
      </c>
      <c r="J95" s="140">
        <v>138.60000000000002</v>
      </c>
      <c r="K95" s="28">
        <f t="shared" si="10"/>
        <v>415.8</v>
      </c>
      <c r="L95" s="29">
        <f t="shared" si="11"/>
        <v>4.4370552807147083</v>
      </c>
      <c r="M95" s="276"/>
      <c r="N95" s="312"/>
    </row>
    <row r="96" spans="2:14" ht="12" customHeight="1" x14ac:dyDescent="0.2">
      <c r="B96" s="281"/>
      <c r="C96" s="138" t="s">
        <v>218</v>
      </c>
      <c r="D96" s="301" t="s">
        <v>212</v>
      </c>
      <c r="E96" s="302"/>
      <c r="F96" s="302"/>
      <c r="G96" s="303"/>
      <c r="H96" s="215" t="s">
        <v>140</v>
      </c>
      <c r="I96" s="140">
        <v>6</v>
      </c>
      <c r="J96" s="140">
        <v>105.60000000000001</v>
      </c>
      <c r="K96" s="28">
        <f t="shared" si="10"/>
        <v>633.6</v>
      </c>
      <c r="L96" s="29">
        <f t="shared" si="11"/>
        <v>6.7612270944224129</v>
      </c>
      <c r="M96" s="276"/>
      <c r="N96" s="312"/>
    </row>
    <row r="97" spans="2:14" ht="12" customHeight="1" x14ac:dyDescent="0.2">
      <c r="B97" s="281"/>
      <c r="C97" s="138"/>
      <c r="D97" s="278" t="s">
        <v>213</v>
      </c>
      <c r="E97" s="278" t="s">
        <v>78</v>
      </c>
      <c r="F97" s="278" t="s">
        <v>69</v>
      </c>
      <c r="G97" s="278"/>
      <c r="H97" s="295"/>
      <c r="I97" s="296"/>
      <c r="J97" s="296"/>
      <c r="K97" s="296"/>
      <c r="L97" s="306"/>
      <c r="M97" s="276"/>
      <c r="N97" s="312"/>
    </row>
    <row r="98" spans="2:14" ht="12" customHeight="1" x14ac:dyDescent="0.2">
      <c r="B98" s="281"/>
      <c r="C98" s="138" t="s">
        <v>219</v>
      </c>
      <c r="D98" s="301" t="s">
        <v>214</v>
      </c>
      <c r="E98" s="302"/>
      <c r="F98" s="302"/>
      <c r="G98" s="303"/>
      <c r="H98" s="215" t="s">
        <v>22</v>
      </c>
      <c r="I98" s="140">
        <v>11.04</v>
      </c>
      <c r="J98" s="140">
        <v>280.83000000000004</v>
      </c>
      <c r="K98" s="28">
        <f t="shared" si="10"/>
        <v>3100.36</v>
      </c>
      <c r="L98" s="29">
        <f t="shared" si="11"/>
        <v>33.084340332170889</v>
      </c>
      <c r="M98" s="276"/>
      <c r="N98" s="312"/>
    </row>
    <row r="99" spans="2:14" ht="12" customHeight="1" x14ac:dyDescent="0.2">
      <c r="B99" s="281"/>
      <c r="C99" s="138"/>
      <c r="D99" s="278" t="s">
        <v>215</v>
      </c>
      <c r="E99" s="278"/>
      <c r="F99" s="278"/>
      <c r="G99" s="278"/>
      <c r="H99" s="297"/>
      <c r="I99" s="298"/>
      <c r="J99" s="298"/>
      <c r="K99" s="298"/>
      <c r="L99" s="305"/>
      <c r="M99" s="276"/>
      <c r="N99" s="312"/>
    </row>
    <row r="100" spans="2:14" ht="12" customHeight="1" x14ac:dyDescent="0.2">
      <c r="B100" s="281"/>
      <c r="C100" s="138" t="s">
        <v>220</v>
      </c>
      <c r="D100" s="301" t="s">
        <v>216</v>
      </c>
      <c r="E100" s="302" t="s">
        <v>79</v>
      </c>
      <c r="F100" s="302" t="s">
        <v>71</v>
      </c>
      <c r="G100" s="303"/>
      <c r="H100" s="215" t="s">
        <v>22</v>
      </c>
      <c r="I100" s="140">
        <v>11.04</v>
      </c>
      <c r="J100" s="140">
        <v>87.087000000000003</v>
      </c>
      <c r="K100" s="28">
        <f t="shared" si="10"/>
        <v>961.44</v>
      </c>
      <c r="L100" s="29">
        <f t="shared" ref="L100:L101" si="12">IF(K$102=0,0,100*K100/K$102)</f>
        <v>10.259649901612192</v>
      </c>
      <c r="M100" s="276"/>
      <c r="N100" s="312"/>
    </row>
    <row r="101" spans="2:14" ht="12" customHeight="1" x14ac:dyDescent="0.2">
      <c r="B101" s="281"/>
      <c r="C101" s="138" t="s">
        <v>221</v>
      </c>
      <c r="D101" s="301" t="s">
        <v>217</v>
      </c>
      <c r="E101" s="302" t="s">
        <v>80</v>
      </c>
      <c r="F101" s="302" t="s">
        <v>81</v>
      </c>
      <c r="G101" s="303"/>
      <c r="H101" s="215" t="s">
        <v>22</v>
      </c>
      <c r="I101" s="140">
        <v>3.24</v>
      </c>
      <c r="J101" s="140">
        <v>76.284999999999997</v>
      </c>
      <c r="K101" s="28">
        <f t="shared" si="10"/>
        <v>247.16</v>
      </c>
      <c r="L101" s="29">
        <f t="shared" si="12"/>
        <v>2.6374761500275312</v>
      </c>
      <c r="M101" s="277"/>
      <c r="N101" s="312"/>
    </row>
    <row r="102" spans="2:14" ht="12" customHeight="1" x14ac:dyDescent="0.2">
      <c r="B102" s="281"/>
      <c r="C102" s="269" t="s">
        <v>21</v>
      </c>
      <c r="D102" s="270"/>
      <c r="E102" s="270"/>
      <c r="F102" s="270"/>
      <c r="G102" s="271"/>
      <c r="H102" s="317"/>
      <c r="I102" s="318"/>
      <c r="J102" s="319"/>
      <c r="K102" s="289">
        <f>SUM(K89:K93,K95:K96,K98,K100:K101)</f>
        <v>9371.0800000000017</v>
      </c>
      <c r="L102" s="307">
        <f>SUM(L89:L93,L95:L96,L98,L100:L101)</f>
        <v>100</v>
      </c>
      <c r="M102" s="275">
        <f>IF(K$299=0,0,100*K102/K$299)</f>
        <v>1.3404688791657373</v>
      </c>
      <c r="N102" s="312"/>
    </row>
    <row r="103" spans="2:14" ht="12" customHeight="1" x14ac:dyDescent="0.2">
      <c r="B103" s="282"/>
      <c r="C103" s="272"/>
      <c r="D103" s="273"/>
      <c r="E103" s="273"/>
      <c r="F103" s="273"/>
      <c r="G103" s="274"/>
      <c r="H103" s="320"/>
      <c r="I103" s="321"/>
      <c r="J103" s="322"/>
      <c r="K103" s="290"/>
      <c r="L103" s="308"/>
      <c r="M103" s="277"/>
      <c r="N103" s="312"/>
    </row>
    <row r="104" spans="2:14" ht="36.75" customHeight="1" x14ac:dyDescent="0.2">
      <c r="B104" s="280" t="s">
        <v>222</v>
      </c>
      <c r="C104" s="138" t="s">
        <v>117</v>
      </c>
      <c r="D104" s="301" t="s">
        <v>223</v>
      </c>
      <c r="E104" s="302"/>
      <c r="F104" s="302"/>
      <c r="G104" s="303"/>
      <c r="H104" s="215" t="s">
        <v>22</v>
      </c>
      <c r="I104" s="140">
        <v>980.4</v>
      </c>
      <c r="J104" s="140">
        <v>71.5</v>
      </c>
      <c r="K104" s="28">
        <f t="shared" ref="K104:K105" si="13">ROUND(I104*J104,2)+R104</f>
        <v>70098.600000000006</v>
      </c>
      <c r="L104" s="29">
        <f>IF(K$106=0,0,100*K104/K$106)</f>
        <v>26.617031177291764</v>
      </c>
      <c r="M104" s="275"/>
      <c r="N104" s="312"/>
    </row>
    <row r="105" spans="2:14" ht="36.75" customHeight="1" x14ac:dyDescent="0.2">
      <c r="B105" s="281"/>
      <c r="C105" s="138" t="s">
        <v>118</v>
      </c>
      <c r="D105" s="301" t="s">
        <v>224</v>
      </c>
      <c r="E105" s="302" t="s">
        <v>87</v>
      </c>
      <c r="F105" s="302" t="s">
        <v>88</v>
      </c>
      <c r="G105" s="303"/>
      <c r="H105" s="215" t="s">
        <v>25</v>
      </c>
      <c r="I105" s="140">
        <v>12255</v>
      </c>
      <c r="J105" s="140">
        <v>15.77</v>
      </c>
      <c r="K105" s="28">
        <f t="shared" si="13"/>
        <v>193261.35</v>
      </c>
      <c r="L105" s="29">
        <f>IF(K$106=0,0,100*K105/K$106)</f>
        <v>73.382968822708236</v>
      </c>
      <c r="M105" s="277"/>
      <c r="N105" s="312"/>
    </row>
    <row r="106" spans="2:14" ht="36.75" customHeight="1" x14ac:dyDescent="0.2">
      <c r="B106" s="281"/>
      <c r="C106" s="269" t="s">
        <v>21</v>
      </c>
      <c r="D106" s="270"/>
      <c r="E106" s="270"/>
      <c r="F106" s="270"/>
      <c r="G106" s="271"/>
      <c r="H106" s="269"/>
      <c r="I106" s="270"/>
      <c r="J106" s="271"/>
      <c r="K106" s="289">
        <f>SUM(K104:K105)</f>
        <v>263359.95</v>
      </c>
      <c r="L106" s="307">
        <f>SUM(L104:L105)</f>
        <v>100</v>
      </c>
      <c r="M106" s="275">
        <f>IF(K$299=0,0,100*K106/K$299)</f>
        <v>37.671838997601611</v>
      </c>
      <c r="N106" s="312"/>
    </row>
    <row r="107" spans="2:14" ht="36.75" customHeight="1" x14ac:dyDescent="0.2">
      <c r="B107" s="282"/>
      <c r="C107" s="272"/>
      <c r="D107" s="273"/>
      <c r="E107" s="273"/>
      <c r="F107" s="273"/>
      <c r="G107" s="274"/>
      <c r="H107" s="272"/>
      <c r="I107" s="273"/>
      <c r="J107" s="274"/>
      <c r="K107" s="290"/>
      <c r="L107" s="308"/>
      <c r="M107" s="277"/>
      <c r="N107" s="312"/>
    </row>
    <row r="108" spans="2:14" ht="36.75" customHeight="1" x14ac:dyDescent="0.2">
      <c r="B108" s="280" t="s">
        <v>225</v>
      </c>
      <c r="C108" s="138" t="s">
        <v>119</v>
      </c>
      <c r="D108" s="301" t="s">
        <v>226</v>
      </c>
      <c r="E108" s="302"/>
      <c r="F108" s="302"/>
      <c r="G108" s="303"/>
      <c r="H108" s="215" t="s">
        <v>22</v>
      </c>
      <c r="I108" s="140">
        <v>139.57</v>
      </c>
      <c r="J108" s="140">
        <v>44.440000000000005</v>
      </c>
      <c r="K108" s="28">
        <f t="shared" ref="K108" si="14">ROUND(I108*J108,2)</f>
        <v>6202.49</v>
      </c>
      <c r="L108" s="29">
        <f>IF(K$109=0,0,100*K108/K$109)</f>
        <v>100</v>
      </c>
      <c r="M108" s="235"/>
      <c r="N108" s="312"/>
    </row>
    <row r="109" spans="2:14" ht="36.75" customHeight="1" x14ac:dyDescent="0.2">
      <c r="B109" s="281"/>
      <c r="C109" s="269" t="s">
        <v>21</v>
      </c>
      <c r="D109" s="270"/>
      <c r="E109" s="270"/>
      <c r="F109" s="270"/>
      <c r="G109" s="271"/>
      <c r="H109" s="269"/>
      <c r="I109" s="270"/>
      <c r="J109" s="271"/>
      <c r="K109" s="289">
        <f>SUM(K108)</f>
        <v>6202.49</v>
      </c>
      <c r="L109" s="307">
        <f>SUM(L108)</f>
        <v>100</v>
      </c>
      <c r="M109" s="275">
        <f>IF(K$299=0,0,100*K109/K$299)</f>
        <v>0.8872237584501137</v>
      </c>
      <c r="N109" s="312"/>
    </row>
    <row r="110" spans="2:14" ht="36.75" customHeight="1" x14ac:dyDescent="0.2">
      <c r="B110" s="282"/>
      <c r="C110" s="272"/>
      <c r="D110" s="273"/>
      <c r="E110" s="273"/>
      <c r="F110" s="273"/>
      <c r="G110" s="274"/>
      <c r="H110" s="272"/>
      <c r="I110" s="273"/>
      <c r="J110" s="274"/>
      <c r="K110" s="290"/>
      <c r="L110" s="308"/>
      <c r="M110" s="277"/>
      <c r="N110" s="312"/>
    </row>
    <row r="111" spans="2:14" ht="12" customHeight="1" x14ac:dyDescent="0.2">
      <c r="B111" s="280" t="s">
        <v>245</v>
      </c>
      <c r="C111" s="142"/>
      <c r="D111" s="278" t="s">
        <v>227</v>
      </c>
      <c r="E111" s="278"/>
      <c r="F111" s="278"/>
      <c r="G111" s="278"/>
      <c r="H111" s="297"/>
      <c r="I111" s="298"/>
      <c r="J111" s="298"/>
      <c r="K111" s="298"/>
      <c r="L111" s="305"/>
      <c r="M111" s="275"/>
      <c r="N111" s="312"/>
    </row>
    <row r="112" spans="2:14" ht="12" customHeight="1" x14ac:dyDescent="0.2">
      <c r="B112" s="281"/>
      <c r="C112" s="138" t="s">
        <v>89</v>
      </c>
      <c r="D112" s="301" t="s">
        <v>230</v>
      </c>
      <c r="E112" s="302"/>
      <c r="F112" s="302"/>
      <c r="G112" s="303"/>
      <c r="H112" s="215" t="s">
        <v>22</v>
      </c>
      <c r="I112" s="140">
        <v>803.09</v>
      </c>
      <c r="J112" s="140">
        <v>5.83</v>
      </c>
      <c r="K112" s="28">
        <f>ROUND(I112*J112,2)</f>
        <v>4682.01</v>
      </c>
      <c r="L112" s="29">
        <f>IF(K$126=0,0,100*K112/K$126)</f>
        <v>9.4865444130208108</v>
      </c>
      <c r="M112" s="276"/>
      <c r="N112" s="312"/>
    </row>
    <row r="113" spans="2:14" ht="12" customHeight="1" x14ac:dyDescent="0.2">
      <c r="B113" s="281"/>
      <c r="C113" s="138" t="s">
        <v>90</v>
      </c>
      <c r="D113" s="301" t="s">
        <v>231</v>
      </c>
      <c r="E113" s="302"/>
      <c r="F113" s="302"/>
      <c r="G113" s="303"/>
      <c r="H113" s="215" t="s">
        <v>22</v>
      </c>
      <c r="I113" s="140">
        <v>84.33</v>
      </c>
      <c r="J113" s="140">
        <v>8.0300000000000011</v>
      </c>
      <c r="K113" s="28">
        <f>ROUND(I113*J113,2)</f>
        <v>677.17</v>
      </c>
      <c r="L113" s="29">
        <f t="shared" ref="L113:L125" si="15">IF(K$126=0,0,100*K113/K$126)</f>
        <v>1.3720609909345138</v>
      </c>
      <c r="M113" s="276"/>
      <c r="N113" s="312"/>
    </row>
    <row r="114" spans="2:14" ht="12" customHeight="1" x14ac:dyDescent="0.2">
      <c r="B114" s="281"/>
      <c r="C114" s="138" t="s">
        <v>91</v>
      </c>
      <c r="D114" s="301" t="s">
        <v>232</v>
      </c>
      <c r="E114" s="302"/>
      <c r="F114" s="302"/>
      <c r="G114" s="303"/>
      <c r="H114" s="215" t="s">
        <v>22</v>
      </c>
      <c r="I114" s="140">
        <v>743.93</v>
      </c>
      <c r="J114" s="140">
        <v>20.966000000000001</v>
      </c>
      <c r="K114" s="28">
        <f t="shared" ref="K114:K125" si="16">ROUND(I114*J114,2)</f>
        <v>15597.24</v>
      </c>
      <c r="L114" s="29">
        <f t="shared" si="15"/>
        <v>31.602647149524397</v>
      </c>
      <c r="M114" s="276"/>
      <c r="N114" s="312"/>
    </row>
    <row r="115" spans="2:14" ht="12" customHeight="1" x14ac:dyDescent="0.2">
      <c r="B115" s="281"/>
      <c r="C115" s="138" t="s">
        <v>228</v>
      </c>
      <c r="D115" s="301" t="s">
        <v>233</v>
      </c>
      <c r="E115" s="302"/>
      <c r="F115" s="302"/>
      <c r="G115" s="303"/>
      <c r="H115" s="215" t="s">
        <v>22</v>
      </c>
      <c r="I115" s="140">
        <v>445.04</v>
      </c>
      <c r="J115" s="140">
        <v>26.466000000000001</v>
      </c>
      <c r="K115" s="28">
        <f t="shared" si="16"/>
        <v>11778.43</v>
      </c>
      <c r="L115" s="29">
        <f t="shared" si="15"/>
        <v>23.865091982002753</v>
      </c>
      <c r="M115" s="276"/>
      <c r="N115" s="312"/>
    </row>
    <row r="116" spans="2:14" ht="12" customHeight="1" x14ac:dyDescent="0.2">
      <c r="B116" s="281"/>
      <c r="C116" s="138" t="s">
        <v>229</v>
      </c>
      <c r="D116" s="301" t="s">
        <v>234</v>
      </c>
      <c r="E116" s="302"/>
      <c r="F116" s="302"/>
      <c r="G116" s="303"/>
      <c r="H116" s="215" t="s">
        <v>22</v>
      </c>
      <c r="I116" s="140">
        <v>84.33</v>
      </c>
      <c r="J116" s="140">
        <v>28.6</v>
      </c>
      <c r="K116" s="28">
        <f t="shared" si="16"/>
        <v>2411.84</v>
      </c>
      <c r="L116" s="29">
        <f t="shared" si="15"/>
        <v>4.8867959011407738</v>
      </c>
      <c r="M116" s="276"/>
      <c r="N116" s="312"/>
    </row>
    <row r="117" spans="2:14" ht="12" customHeight="1" x14ac:dyDescent="0.2">
      <c r="B117" s="281"/>
      <c r="C117" s="211"/>
      <c r="D117" s="278" t="s">
        <v>235</v>
      </c>
      <c r="E117" s="278"/>
      <c r="F117" s="278"/>
      <c r="G117" s="278"/>
      <c r="H117" s="323"/>
      <c r="I117" s="324"/>
      <c r="J117" s="324"/>
      <c r="K117" s="324"/>
      <c r="L117" s="325"/>
      <c r="M117" s="276"/>
      <c r="N117" s="312"/>
    </row>
    <row r="118" spans="2:14" ht="12" customHeight="1" x14ac:dyDescent="0.2">
      <c r="B118" s="281"/>
      <c r="C118" s="138" t="s">
        <v>237</v>
      </c>
      <c r="D118" s="301" t="s">
        <v>236</v>
      </c>
      <c r="E118" s="302"/>
      <c r="F118" s="302"/>
      <c r="G118" s="303"/>
      <c r="H118" s="215" t="s">
        <v>22</v>
      </c>
      <c r="I118" s="140">
        <v>140.33000000000001</v>
      </c>
      <c r="J118" s="140">
        <v>8.0300000000000011</v>
      </c>
      <c r="K118" s="28">
        <f t="shared" si="16"/>
        <v>1126.8499999999999</v>
      </c>
      <c r="L118" s="29">
        <f t="shared" si="15"/>
        <v>2.2831887526537749</v>
      </c>
      <c r="M118" s="276"/>
      <c r="N118" s="312"/>
    </row>
    <row r="119" spans="2:14" ht="12" customHeight="1" x14ac:dyDescent="0.2">
      <c r="B119" s="281"/>
      <c r="C119" s="138" t="s">
        <v>238</v>
      </c>
      <c r="D119" s="301" t="s">
        <v>232</v>
      </c>
      <c r="E119" s="302"/>
      <c r="F119" s="302"/>
      <c r="G119" s="303"/>
      <c r="H119" s="215" t="s">
        <v>22</v>
      </c>
      <c r="I119" s="140">
        <v>140.33000000000001</v>
      </c>
      <c r="J119" s="140">
        <v>20.966000000000001</v>
      </c>
      <c r="K119" s="28">
        <f t="shared" si="16"/>
        <v>2942.16</v>
      </c>
      <c r="L119" s="29">
        <f t="shared" si="15"/>
        <v>5.9613139464062037</v>
      </c>
      <c r="M119" s="276"/>
      <c r="N119" s="312"/>
    </row>
    <row r="120" spans="2:14" ht="12" customHeight="1" x14ac:dyDescent="0.2">
      <c r="B120" s="281"/>
      <c r="C120" s="138" t="s">
        <v>239</v>
      </c>
      <c r="D120" s="301" t="s">
        <v>233</v>
      </c>
      <c r="E120" s="302"/>
      <c r="F120" s="302"/>
      <c r="G120" s="303"/>
      <c r="H120" s="215" t="s">
        <v>22</v>
      </c>
      <c r="I120" s="140">
        <v>140.33000000000001</v>
      </c>
      <c r="J120" s="140">
        <v>26.466000000000001</v>
      </c>
      <c r="K120" s="28">
        <f t="shared" si="16"/>
        <v>3713.97</v>
      </c>
      <c r="L120" s="29">
        <f t="shared" si="15"/>
        <v>7.5251315895580966</v>
      </c>
      <c r="M120" s="276"/>
      <c r="N120" s="312"/>
    </row>
    <row r="121" spans="2:14" ht="12" customHeight="1" x14ac:dyDescent="0.2">
      <c r="B121" s="281"/>
      <c r="C121" s="211"/>
      <c r="D121" s="278" t="s">
        <v>240</v>
      </c>
      <c r="E121" s="278"/>
      <c r="F121" s="278"/>
      <c r="G121" s="278"/>
      <c r="H121" s="326"/>
      <c r="I121" s="327"/>
      <c r="J121" s="327"/>
      <c r="K121" s="327"/>
      <c r="L121" s="328"/>
      <c r="M121" s="276"/>
      <c r="N121" s="312"/>
    </row>
    <row r="122" spans="2:14" ht="23.25" customHeight="1" x14ac:dyDescent="0.2">
      <c r="B122" s="281"/>
      <c r="C122" s="211" t="s">
        <v>246</v>
      </c>
      <c r="D122" s="314" t="s">
        <v>241</v>
      </c>
      <c r="E122" s="315"/>
      <c r="F122" s="315"/>
      <c r="G122" s="316"/>
      <c r="H122" s="215" t="s">
        <v>22</v>
      </c>
      <c r="I122" s="140">
        <v>210.5</v>
      </c>
      <c r="J122" s="140">
        <v>22.924000000000003</v>
      </c>
      <c r="K122" s="28">
        <f t="shared" si="16"/>
        <v>4825.5</v>
      </c>
      <c r="L122" s="29">
        <f t="shared" si="15"/>
        <v>9.7772794302088037</v>
      </c>
      <c r="M122" s="276"/>
      <c r="N122" s="312"/>
    </row>
    <row r="123" spans="2:14" ht="23.25" customHeight="1" x14ac:dyDescent="0.2">
      <c r="B123" s="281"/>
      <c r="C123" s="211" t="s">
        <v>247</v>
      </c>
      <c r="D123" s="314" t="s">
        <v>242</v>
      </c>
      <c r="E123" s="315"/>
      <c r="F123" s="315"/>
      <c r="G123" s="316"/>
      <c r="H123" s="215" t="s">
        <v>22</v>
      </c>
      <c r="I123" s="140">
        <v>29.58</v>
      </c>
      <c r="J123" s="140">
        <v>18.700000000000003</v>
      </c>
      <c r="K123" s="28">
        <f t="shared" si="16"/>
        <v>553.15</v>
      </c>
      <c r="L123" s="29">
        <f t="shared" si="15"/>
        <v>1.1207754878914102</v>
      </c>
      <c r="M123" s="276"/>
      <c r="N123" s="312"/>
    </row>
    <row r="124" spans="2:14" ht="23.25" customHeight="1" x14ac:dyDescent="0.2">
      <c r="B124" s="281"/>
      <c r="C124" s="211" t="s">
        <v>248</v>
      </c>
      <c r="D124" s="314" t="s">
        <v>243</v>
      </c>
      <c r="E124" s="315"/>
      <c r="F124" s="315"/>
      <c r="G124" s="316"/>
      <c r="H124" s="215" t="s">
        <v>22</v>
      </c>
      <c r="I124" s="140">
        <v>18.18</v>
      </c>
      <c r="J124" s="140">
        <v>18.700000000000003</v>
      </c>
      <c r="K124" s="28">
        <f t="shared" si="16"/>
        <v>339.97</v>
      </c>
      <c r="L124" s="29">
        <f t="shared" si="15"/>
        <v>0.68883673979651583</v>
      </c>
      <c r="M124" s="276"/>
      <c r="N124" s="312"/>
    </row>
    <row r="125" spans="2:14" ht="23.25" customHeight="1" x14ac:dyDescent="0.2">
      <c r="B125" s="281"/>
      <c r="C125" s="211" t="s">
        <v>249</v>
      </c>
      <c r="D125" s="314" t="s">
        <v>244</v>
      </c>
      <c r="E125" s="315"/>
      <c r="F125" s="315"/>
      <c r="G125" s="316"/>
      <c r="H125" s="215" t="s">
        <v>22</v>
      </c>
      <c r="I125" s="140">
        <v>37.75</v>
      </c>
      <c r="J125" s="140">
        <v>18.700000000000003</v>
      </c>
      <c r="K125" s="28">
        <f t="shared" si="16"/>
        <v>705.93</v>
      </c>
      <c r="L125" s="29">
        <f t="shared" si="15"/>
        <v>1.430333616861942</v>
      </c>
      <c r="M125" s="276"/>
      <c r="N125" s="312"/>
    </row>
    <row r="126" spans="2:14" ht="12" customHeight="1" x14ac:dyDescent="0.2">
      <c r="B126" s="281"/>
      <c r="C126" s="313" t="s">
        <v>21</v>
      </c>
      <c r="D126" s="313"/>
      <c r="E126" s="313"/>
      <c r="F126" s="313"/>
      <c r="G126" s="313"/>
      <c r="H126" s="269"/>
      <c r="I126" s="270"/>
      <c r="J126" s="271"/>
      <c r="K126" s="289">
        <f>SUM(K112:K116,K118:K120,K122:K125)</f>
        <v>49354.22</v>
      </c>
      <c r="L126" s="307">
        <f>SUM(L112:L116,L118:L120,L122:L125)</f>
        <v>100</v>
      </c>
      <c r="M126" s="275">
        <f>IF(K$299=0,0,100*K126/K$299)</f>
        <v>7.0597835004609069</v>
      </c>
      <c r="N126" s="312"/>
    </row>
    <row r="127" spans="2:14" ht="12" customHeight="1" x14ac:dyDescent="0.2">
      <c r="B127" s="282"/>
      <c r="C127" s="273"/>
      <c r="D127" s="273"/>
      <c r="E127" s="273"/>
      <c r="F127" s="273"/>
      <c r="G127" s="273"/>
      <c r="H127" s="272"/>
      <c r="I127" s="273"/>
      <c r="J127" s="274"/>
      <c r="K127" s="290"/>
      <c r="L127" s="308"/>
      <c r="M127" s="277"/>
      <c r="N127" s="312"/>
    </row>
    <row r="128" spans="2:14" ht="27.75" customHeight="1" x14ac:dyDescent="0.2">
      <c r="B128" s="331" t="s">
        <v>250</v>
      </c>
      <c r="C128" s="211" t="s">
        <v>260</v>
      </c>
      <c r="D128" s="314" t="s">
        <v>251</v>
      </c>
      <c r="E128" s="315"/>
      <c r="F128" s="315"/>
      <c r="G128" s="316"/>
      <c r="H128" s="215" t="s">
        <v>22</v>
      </c>
      <c r="I128" s="140">
        <v>64.91</v>
      </c>
      <c r="J128" s="140">
        <v>5.5550000000000006</v>
      </c>
      <c r="K128" s="28">
        <f t="shared" ref="K128:K136" si="17">ROUND(I128*J128,2)</f>
        <v>360.58</v>
      </c>
      <c r="L128" s="29">
        <f>IF(K$137=0,0,100*K128/K$137)</f>
        <v>1.4253509123186641</v>
      </c>
      <c r="M128" s="275"/>
      <c r="N128" s="312"/>
    </row>
    <row r="129" spans="2:14" ht="27.75" customHeight="1" x14ac:dyDescent="0.2">
      <c r="B129" s="331"/>
      <c r="C129" s="211" t="s">
        <v>261</v>
      </c>
      <c r="D129" s="314" t="s">
        <v>252</v>
      </c>
      <c r="E129" s="315"/>
      <c r="F129" s="315"/>
      <c r="G129" s="316"/>
      <c r="H129" s="215" t="s">
        <v>22</v>
      </c>
      <c r="I129" s="140">
        <v>64.91</v>
      </c>
      <c r="J129" s="140">
        <v>4.3450000000000006</v>
      </c>
      <c r="K129" s="28">
        <f t="shared" si="17"/>
        <v>282.02999999999997</v>
      </c>
      <c r="L129" s="29">
        <f t="shared" ref="L129:L136" si="18">IF(K$137=0,0,100*K129/K$137)</f>
        <v>1.1148475173366041</v>
      </c>
      <c r="M129" s="276"/>
      <c r="N129" s="312"/>
    </row>
    <row r="130" spans="2:14" ht="27.75" customHeight="1" x14ac:dyDescent="0.2">
      <c r="B130" s="331"/>
      <c r="C130" s="211" t="s">
        <v>262</v>
      </c>
      <c r="D130" s="314" t="s">
        <v>253</v>
      </c>
      <c r="E130" s="315"/>
      <c r="F130" s="315"/>
      <c r="G130" s="316"/>
      <c r="H130" s="215" t="s">
        <v>22</v>
      </c>
      <c r="I130" s="140">
        <v>64.91</v>
      </c>
      <c r="J130" s="140">
        <v>21.01</v>
      </c>
      <c r="K130" s="28">
        <f t="shared" si="17"/>
        <v>1363.76</v>
      </c>
      <c r="L130" s="29">
        <f t="shared" si="18"/>
        <v>5.3908607248979452</v>
      </c>
      <c r="M130" s="276"/>
      <c r="N130" s="312"/>
    </row>
    <row r="131" spans="2:14" ht="27.75" customHeight="1" x14ac:dyDescent="0.2">
      <c r="B131" s="331"/>
      <c r="C131" s="211" t="s">
        <v>263</v>
      </c>
      <c r="D131" s="314" t="s">
        <v>254</v>
      </c>
      <c r="E131" s="315"/>
      <c r="F131" s="315"/>
      <c r="G131" s="316"/>
      <c r="H131" s="215" t="s">
        <v>22</v>
      </c>
      <c r="I131" s="140">
        <v>5.85</v>
      </c>
      <c r="J131" s="140">
        <v>17.600000000000001</v>
      </c>
      <c r="K131" s="28">
        <f t="shared" si="17"/>
        <v>102.96</v>
      </c>
      <c r="L131" s="29">
        <f t="shared" si="18"/>
        <v>0.40699464732467039</v>
      </c>
      <c r="M131" s="276"/>
      <c r="N131" s="312"/>
    </row>
    <row r="132" spans="2:14" ht="27.75" customHeight="1" x14ac:dyDescent="0.2">
      <c r="B132" s="331"/>
      <c r="C132" s="211" t="s">
        <v>264</v>
      </c>
      <c r="D132" s="314" t="s">
        <v>255</v>
      </c>
      <c r="E132" s="315"/>
      <c r="F132" s="315"/>
      <c r="G132" s="316"/>
      <c r="H132" s="215" t="s">
        <v>26</v>
      </c>
      <c r="I132" s="140">
        <v>2.7</v>
      </c>
      <c r="J132" s="140">
        <v>182.05</v>
      </c>
      <c r="K132" s="28">
        <f t="shared" si="17"/>
        <v>491.54</v>
      </c>
      <c r="L132" s="29">
        <f t="shared" si="18"/>
        <v>1.9430278646655834</v>
      </c>
      <c r="M132" s="276"/>
      <c r="N132" s="312"/>
    </row>
    <row r="133" spans="2:14" ht="27.75" customHeight="1" x14ac:dyDescent="0.2">
      <c r="B133" s="331"/>
      <c r="C133" s="211" t="s">
        <v>265</v>
      </c>
      <c r="D133" s="314" t="s">
        <v>256</v>
      </c>
      <c r="E133" s="315"/>
      <c r="F133" s="315"/>
      <c r="G133" s="316"/>
      <c r="H133" s="215" t="s">
        <v>22</v>
      </c>
      <c r="I133" s="140">
        <v>676.67</v>
      </c>
      <c r="J133" s="140">
        <v>27.500000000000004</v>
      </c>
      <c r="K133" s="28">
        <f t="shared" si="17"/>
        <v>18608.43</v>
      </c>
      <c r="L133" s="29">
        <f t="shared" si="18"/>
        <v>73.557997330184691</v>
      </c>
      <c r="M133" s="276"/>
      <c r="N133" s="312"/>
    </row>
    <row r="134" spans="2:14" ht="24" customHeight="1" x14ac:dyDescent="0.2">
      <c r="B134" s="331"/>
      <c r="C134" s="211"/>
      <c r="D134" s="278" t="s">
        <v>257</v>
      </c>
      <c r="E134" s="278"/>
      <c r="F134" s="278"/>
      <c r="G134" s="278"/>
      <c r="H134" s="297"/>
      <c r="I134" s="298"/>
      <c r="J134" s="298"/>
      <c r="K134" s="298"/>
      <c r="L134" s="305"/>
      <c r="M134" s="276"/>
      <c r="N134" s="312"/>
    </row>
    <row r="135" spans="2:14" ht="20.25" customHeight="1" x14ac:dyDescent="0.2">
      <c r="B135" s="331"/>
      <c r="C135" s="211" t="s">
        <v>266</v>
      </c>
      <c r="D135" s="314" t="s">
        <v>258</v>
      </c>
      <c r="E135" s="315"/>
      <c r="F135" s="315"/>
      <c r="G135" s="316"/>
      <c r="H135" s="215" t="s">
        <v>22</v>
      </c>
      <c r="I135" s="140">
        <v>195.79</v>
      </c>
      <c r="J135" s="140">
        <v>19.8</v>
      </c>
      <c r="K135" s="28">
        <f t="shared" si="17"/>
        <v>3876.64</v>
      </c>
      <c r="L135" s="29">
        <f t="shared" si="18"/>
        <v>15.324123247908995</v>
      </c>
      <c r="M135" s="276"/>
      <c r="N135" s="312"/>
    </row>
    <row r="136" spans="2:14" ht="20.25" customHeight="1" x14ac:dyDescent="0.2">
      <c r="B136" s="331"/>
      <c r="C136" s="211" t="s">
        <v>267</v>
      </c>
      <c r="D136" s="314" t="s">
        <v>259</v>
      </c>
      <c r="E136" s="315"/>
      <c r="F136" s="315"/>
      <c r="G136" s="316"/>
      <c r="H136" s="215" t="s">
        <v>22</v>
      </c>
      <c r="I136" s="140">
        <v>16.72</v>
      </c>
      <c r="J136" s="140">
        <v>12.661000000000001</v>
      </c>
      <c r="K136" s="28">
        <f t="shared" si="17"/>
        <v>211.69</v>
      </c>
      <c r="L136" s="29">
        <f t="shared" si="18"/>
        <v>0.83679775536285428</v>
      </c>
      <c r="M136" s="276"/>
      <c r="N136" s="312"/>
    </row>
    <row r="137" spans="2:14" ht="42" customHeight="1" x14ac:dyDescent="0.2">
      <c r="B137" s="331"/>
      <c r="C137" s="329" t="s">
        <v>21</v>
      </c>
      <c r="D137" s="329"/>
      <c r="E137" s="329"/>
      <c r="F137" s="329"/>
      <c r="G137" s="329"/>
      <c r="H137" s="329"/>
      <c r="I137" s="329"/>
      <c r="J137" s="329"/>
      <c r="K137" s="330">
        <f>SUM(K128:K133,K135:K136)</f>
        <v>25297.629999999997</v>
      </c>
      <c r="L137" s="307">
        <f>SUM(L128:L133,L135:L136)</f>
        <v>100.00000000000001</v>
      </c>
      <c r="M137" s="275">
        <f>IF(K$299=0,0,100*K137/K$299)</f>
        <v>3.6186528907713429</v>
      </c>
      <c r="N137" s="312"/>
    </row>
    <row r="138" spans="2:14" ht="36.75" customHeight="1" x14ac:dyDescent="0.2">
      <c r="B138" s="331"/>
      <c r="C138" s="329"/>
      <c r="D138" s="329"/>
      <c r="E138" s="329"/>
      <c r="F138" s="329"/>
      <c r="G138" s="329"/>
      <c r="H138" s="329"/>
      <c r="I138" s="329"/>
      <c r="J138" s="329"/>
      <c r="K138" s="330"/>
      <c r="L138" s="308"/>
      <c r="M138" s="277"/>
      <c r="N138" s="312"/>
    </row>
    <row r="139" spans="2:14" ht="12" customHeight="1" x14ac:dyDescent="0.2">
      <c r="B139" s="331" t="s">
        <v>275</v>
      </c>
      <c r="C139" s="211" t="s">
        <v>276</v>
      </c>
      <c r="D139" s="314" t="s">
        <v>268</v>
      </c>
      <c r="E139" s="315"/>
      <c r="F139" s="315"/>
      <c r="G139" s="316"/>
      <c r="H139" s="215" t="s">
        <v>22</v>
      </c>
      <c r="I139" s="140">
        <v>445.04</v>
      </c>
      <c r="J139" s="140">
        <v>8.4480000000000004</v>
      </c>
      <c r="K139" s="28">
        <f t="shared" ref="K139:K145" si="19">ROUND(I139*J139,2)</f>
        <v>3759.7</v>
      </c>
      <c r="L139" s="29">
        <f>IF(K$146=0,0,100*K139/K$146)</f>
        <v>10.28394993176766</v>
      </c>
      <c r="M139" s="332"/>
      <c r="N139" s="312"/>
    </row>
    <row r="140" spans="2:14" ht="12" customHeight="1" x14ac:dyDescent="0.2">
      <c r="B140" s="331"/>
      <c r="C140" s="211" t="s">
        <v>277</v>
      </c>
      <c r="D140" s="314" t="s">
        <v>269</v>
      </c>
      <c r="E140" s="315"/>
      <c r="F140" s="315"/>
      <c r="G140" s="316"/>
      <c r="H140" s="215" t="s">
        <v>22</v>
      </c>
      <c r="I140" s="140">
        <v>84.33</v>
      </c>
      <c r="J140" s="140">
        <v>8.4480000000000004</v>
      </c>
      <c r="K140" s="28">
        <f t="shared" si="19"/>
        <v>712.42</v>
      </c>
      <c r="L140" s="29">
        <f t="shared" ref="L140:L145" si="20">IF(K$146=0,0,100*K140/K$146)</f>
        <v>1.9486904833869503</v>
      </c>
      <c r="M140" s="333"/>
      <c r="N140" s="312"/>
    </row>
    <row r="141" spans="2:14" ht="12" customHeight="1" x14ac:dyDescent="0.2">
      <c r="B141" s="331"/>
      <c r="C141" s="211" t="s">
        <v>278</v>
      </c>
      <c r="D141" s="314" t="s">
        <v>270</v>
      </c>
      <c r="E141" s="315"/>
      <c r="F141" s="315"/>
      <c r="G141" s="316"/>
      <c r="H141" s="215" t="s">
        <v>22</v>
      </c>
      <c r="I141" s="140">
        <v>445.04</v>
      </c>
      <c r="J141" s="140">
        <v>18.700000000000003</v>
      </c>
      <c r="K141" s="28">
        <f t="shared" si="19"/>
        <v>8322.25</v>
      </c>
      <c r="L141" s="29">
        <f t="shared" si="20"/>
        <v>22.763944548675003</v>
      </c>
      <c r="M141" s="333"/>
      <c r="N141" s="312"/>
    </row>
    <row r="142" spans="2:14" ht="12" customHeight="1" x14ac:dyDescent="0.2">
      <c r="B142" s="331"/>
      <c r="C142" s="211" t="s">
        <v>279</v>
      </c>
      <c r="D142" s="314" t="s">
        <v>271</v>
      </c>
      <c r="E142" s="315"/>
      <c r="F142" s="315"/>
      <c r="G142" s="316"/>
      <c r="H142" s="215" t="s">
        <v>22</v>
      </c>
      <c r="I142" s="140">
        <v>84.33</v>
      </c>
      <c r="J142" s="140">
        <v>12.584</v>
      </c>
      <c r="K142" s="28">
        <f t="shared" si="19"/>
        <v>1061.21</v>
      </c>
      <c r="L142" s="29">
        <f t="shared" si="20"/>
        <v>2.9027397151610925</v>
      </c>
      <c r="M142" s="333"/>
      <c r="N142" s="312"/>
    </row>
    <row r="143" spans="2:14" ht="12" customHeight="1" x14ac:dyDescent="0.2">
      <c r="B143" s="331"/>
      <c r="C143" s="211" t="s">
        <v>280</v>
      </c>
      <c r="D143" s="314" t="s">
        <v>272</v>
      </c>
      <c r="E143" s="315"/>
      <c r="F143" s="315"/>
      <c r="G143" s="316"/>
      <c r="H143" s="215" t="s">
        <v>22</v>
      </c>
      <c r="I143" s="140">
        <v>483.4</v>
      </c>
      <c r="J143" s="140">
        <v>13.640000000000002</v>
      </c>
      <c r="K143" s="28">
        <f t="shared" si="19"/>
        <v>6593.58</v>
      </c>
      <c r="L143" s="29">
        <f t="shared" si="20"/>
        <v>18.035493946619308</v>
      </c>
      <c r="M143" s="333"/>
      <c r="N143" s="312"/>
    </row>
    <row r="144" spans="2:14" ht="12" customHeight="1" x14ac:dyDescent="0.2">
      <c r="B144" s="331"/>
      <c r="C144" s="211" t="s">
        <v>281</v>
      </c>
      <c r="D144" s="314" t="s">
        <v>273</v>
      </c>
      <c r="E144" s="315"/>
      <c r="F144" s="315"/>
      <c r="G144" s="316"/>
      <c r="H144" s="215" t="s">
        <v>22</v>
      </c>
      <c r="I144" s="140">
        <v>558.25</v>
      </c>
      <c r="J144" s="140">
        <v>17.710000000000004</v>
      </c>
      <c r="K144" s="28">
        <f t="shared" si="19"/>
        <v>9886.61</v>
      </c>
      <c r="L144" s="29">
        <f t="shared" si="20"/>
        <v>27.0429561494038</v>
      </c>
      <c r="M144" s="333"/>
      <c r="N144" s="312"/>
    </row>
    <row r="145" spans="2:14" ht="12" customHeight="1" x14ac:dyDescent="0.2">
      <c r="B145" s="331"/>
      <c r="C145" s="211" t="s">
        <v>282</v>
      </c>
      <c r="D145" s="314" t="s">
        <v>274</v>
      </c>
      <c r="E145" s="315"/>
      <c r="F145" s="315"/>
      <c r="G145" s="316"/>
      <c r="H145" s="215" t="s">
        <v>22</v>
      </c>
      <c r="I145" s="140">
        <v>404.1</v>
      </c>
      <c r="J145" s="140">
        <v>15.400000000000002</v>
      </c>
      <c r="K145" s="28">
        <f t="shared" si="19"/>
        <v>6223.14</v>
      </c>
      <c r="L145" s="29">
        <f t="shared" si="20"/>
        <v>17.022225224986194</v>
      </c>
      <c r="M145" s="334"/>
      <c r="N145" s="312"/>
    </row>
    <row r="146" spans="2:14" ht="12" customHeight="1" x14ac:dyDescent="0.2">
      <c r="B146" s="331"/>
      <c r="C146" s="269" t="s">
        <v>21</v>
      </c>
      <c r="D146" s="270"/>
      <c r="E146" s="270"/>
      <c r="F146" s="270"/>
      <c r="G146" s="271"/>
      <c r="H146" s="269"/>
      <c r="I146" s="270"/>
      <c r="J146" s="271"/>
      <c r="K146" s="289">
        <f>SUM(K139:K145)</f>
        <v>36558.909999999996</v>
      </c>
      <c r="L146" s="307">
        <f>SUM(L139:L145)</f>
        <v>100</v>
      </c>
      <c r="M146" s="275">
        <f>IF(K$299=0,0,100*K146/K$299)</f>
        <v>5.229501947611273</v>
      </c>
      <c r="N146" s="312"/>
    </row>
    <row r="147" spans="2:14" ht="12" customHeight="1" x14ac:dyDescent="0.2">
      <c r="B147" s="331"/>
      <c r="C147" s="272"/>
      <c r="D147" s="273"/>
      <c r="E147" s="273"/>
      <c r="F147" s="273"/>
      <c r="G147" s="274"/>
      <c r="H147" s="272"/>
      <c r="I147" s="273"/>
      <c r="J147" s="274"/>
      <c r="K147" s="290"/>
      <c r="L147" s="308"/>
      <c r="M147" s="277"/>
      <c r="N147" s="312"/>
    </row>
    <row r="148" spans="2:14" ht="12" customHeight="1" x14ac:dyDescent="0.2">
      <c r="B148" s="331" t="s">
        <v>355</v>
      </c>
      <c r="C148" s="211" t="s">
        <v>319</v>
      </c>
      <c r="D148" s="314" t="s">
        <v>283</v>
      </c>
      <c r="E148" s="315"/>
      <c r="F148" s="315"/>
      <c r="G148" s="316"/>
      <c r="H148" s="215" t="s">
        <v>140</v>
      </c>
      <c r="I148" s="140">
        <v>1</v>
      </c>
      <c r="J148" s="140">
        <v>52.116900000000001</v>
      </c>
      <c r="K148" s="28">
        <f t="shared" ref="K148:K183" si="21">ROUND(I148*J148,2)</f>
        <v>52.12</v>
      </c>
      <c r="L148" s="29">
        <f>IF(K$184=0,0,100*K148/K$184)</f>
        <v>0.96728455091420595</v>
      </c>
      <c r="M148" s="275"/>
      <c r="N148" s="312"/>
    </row>
    <row r="149" spans="2:14" ht="12" customHeight="1" x14ac:dyDescent="0.2">
      <c r="B149" s="331"/>
      <c r="C149" s="211" t="s">
        <v>320</v>
      </c>
      <c r="D149" s="304" t="s">
        <v>284</v>
      </c>
      <c r="E149" s="304"/>
      <c r="F149" s="304"/>
      <c r="G149" s="304"/>
      <c r="H149" s="215" t="s">
        <v>140</v>
      </c>
      <c r="I149" s="140">
        <v>2</v>
      </c>
      <c r="J149" s="140">
        <v>82.194750000000013</v>
      </c>
      <c r="K149" s="28">
        <f t="shared" si="21"/>
        <v>164.39</v>
      </c>
      <c r="L149" s="29">
        <f t="shared" ref="L149:L183" si="22">IF(K$184=0,0,100*K149/K$184)</f>
        <v>3.0508808005523083</v>
      </c>
      <c r="M149" s="276"/>
      <c r="N149" s="312"/>
    </row>
    <row r="150" spans="2:14" ht="12" customHeight="1" x14ac:dyDescent="0.2">
      <c r="B150" s="331"/>
      <c r="C150" s="211" t="s">
        <v>321</v>
      </c>
      <c r="D150" s="304" t="s">
        <v>285</v>
      </c>
      <c r="E150" s="304"/>
      <c r="F150" s="304"/>
      <c r="G150" s="304"/>
      <c r="H150" s="215" t="s">
        <v>140</v>
      </c>
      <c r="I150" s="140">
        <v>2</v>
      </c>
      <c r="J150" s="140">
        <v>56.333475000000007</v>
      </c>
      <c r="K150" s="28">
        <f t="shared" si="21"/>
        <v>112.67</v>
      </c>
      <c r="L150" s="29">
        <f t="shared" si="22"/>
        <v>2.0910197688316114</v>
      </c>
      <c r="M150" s="276"/>
      <c r="N150" s="312"/>
    </row>
    <row r="151" spans="2:14" ht="12" customHeight="1" x14ac:dyDescent="0.2">
      <c r="B151" s="331"/>
      <c r="C151" s="211" t="s">
        <v>322</v>
      </c>
      <c r="D151" s="304" t="s">
        <v>286</v>
      </c>
      <c r="E151" s="304"/>
      <c r="F151" s="304"/>
      <c r="G151" s="304"/>
      <c r="H151" s="215" t="s">
        <v>140</v>
      </c>
      <c r="I151" s="140">
        <v>2</v>
      </c>
      <c r="J151" s="140">
        <v>56.734425000000016</v>
      </c>
      <c r="K151" s="28">
        <f t="shared" si="21"/>
        <v>113.47</v>
      </c>
      <c r="L151" s="29">
        <f t="shared" si="22"/>
        <v>2.1058668072186291</v>
      </c>
      <c r="M151" s="276"/>
      <c r="N151" s="312"/>
    </row>
    <row r="152" spans="2:14" ht="12" customHeight="1" x14ac:dyDescent="0.2">
      <c r="B152" s="331"/>
      <c r="C152" s="211" t="s">
        <v>323</v>
      </c>
      <c r="D152" s="304" t="s">
        <v>287</v>
      </c>
      <c r="E152" s="304"/>
      <c r="F152" s="304"/>
      <c r="G152" s="304"/>
      <c r="H152" s="215" t="s">
        <v>140</v>
      </c>
      <c r="I152" s="140">
        <v>2</v>
      </c>
      <c r="J152" s="140">
        <v>51.802740000000007</v>
      </c>
      <c r="K152" s="28">
        <f t="shared" si="21"/>
        <v>103.61</v>
      </c>
      <c r="L152" s="29">
        <f t="shared" si="22"/>
        <v>1.9228770590986355</v>
      </c>
      <c r="M152" s="276"/>
      <c r="N152" s="312"/>
    </row>
    <row r="153" spans="2:14" ht="12" customHeight="1" x14ac:dyDescent="0.2">
      <c r="B153" s="331"/>
      <c r="C153" s="211" t="s">
        <v>324</v>
      </c>
      <c r="D153" s="304" t="s">
        <v>288</v>
      </c>
      <c r="E153" s="304"/>
      <c r="F153" s="304"/>
      <c r="G153" s="304"/>
      <c r="H153" s="215" t="s">
        <v>140</v>
      </c>
      <c r="I153" s="140">
        <v>2</v>
      </c>
      <c r="J153" s="140">
        <v>53.526825000000009</v>
      </c>
      <c r="K153" s="28">
        <f t="shared" si="21"/>
        <v>107.05</v>
      </c>
      <c r="L153" s="29">
        <f t="shared" si="22"/>
        <v>1.9867193241628116</v>
      </c>
      <c r="M153" s="276"/>
      <c r="N153" s="312"/>
    </row>
    <row r="154" spans="2:14" ht="12" customHeight="1" x14ac:dyDescent="0.2">
      <c r="B154" s="331"/>
      <c r="C154" s="211" t="s">
        <v>325</v>
      </c>
      <c r="D154" s="304" t="s">
        <v>289</v>
      </c>
      <c r="E154" s="304"/>
      <c r="F154" s="304"/>
      <c r="G154" s="304"/>
      <c r="H154" s="215" t="s">
        <v>140</v>
      </c>
      <c r="I154" s="140">
        <v>8</v>
      </c>
      <c r="J154" s="140">
        <v>48.53499750000001</v>
      </c>
      <c r="K154" s="28">
        <f t="shared" si="21"/>
        <v>388.28</v>
      </c>
      <c r="L154" s="29">
        <f t="shared" si="22"/>
        <v>7.2060100811390617</v>
      </c>
      <c r="M154" s="276"/>
      <c r="N154" s="312"/>
    </row>
    <row r="155" spans="2:14" ht="12" customHeight="1" x14ac:dyDescent="0.2">
      <c r="B155" s="331"/>
      <c r="C155" s="211" t="s">
        <v>326</v>
      </c>
      <c r="D155" s="304" t="s">
        <v>290</v>
      </c>
      <c r="E155" s="304"/>
      <c r="F155" s="304"/>
      <c r="G155" s="304"/>
      <c r="H155" s="215" t="s">
        <v>140</v>
      </c>
      <c r="I155" s="140">
        <v>10</v>
      </c>
      <c r="J155" s="140">
        <v>36.085500000000003</v>
      </c>
      <c r="K155" s="28">
        <f t="shared" si="21"/>
        <v>360.86</v>
      </c>
      <c r="L155" s="29">
        <f t="shared" si="22"/>
        <v>6.6971278404240282</v>
      </c>
      <c r="M155" s="276"/>
      <c r="N155" s="312"/>
    </row>
    <row r="156" spans="2:14" ht="12" customHeight="1" x14ac:dyDescent="0.2">
      <c r="B156" s="331"/>
      <c r="C156" s="211" t="s">
        <v>327</v>
      </c>
      <c r="D156" s="304" t="s">
        <v>291</v>
      </c>
      <c r="E156" s="304"/>
      <c r="F156" s="304"/>
      <c r="G156" s="304"/>
      <c r="H156" s="215" t="s">
        <v>140</v>
      </c>
      <c r="I156" s="140">
        <v>8</v>
      </c>
      <c r="J156" s="140">
        <v>13.632300000000003</v>
      </c>
      <c r="K156" s="28">
        <f t="shared" si="21"/>
        <v>109.06</v>
      </c>
      <c r="L156" s="29">
        <f t="shared" si="22"/>
        <v>2.0240225081101939</v>
      </c>
      <c r="M156" s="276"/>
      <c r="N156" s="312"/>
    </row>
    <row r="157" spans="2:14" ht="12" customHeight="1" x14ac:dyDescent="0.2">
      <c r="B157" s="331"/>
      <c r="C157" s="211" t="s">
        <v>328</v>
      </c>
      <c r="D157" s="304" t="s">
        <v>292</v>
      </c>
      <c r="E157" s="304"/>
      <c r="F157" s="304"/>
      <c r="G157" s="304"/>
      <c r="H157" s="215" t="s">
        <v>140</v>
      </c>
      <c r="I157" s="140">
        <v>4</v>
      </c>
      <c r="J157" s="140">
        <v>15.276195000000003</v>
      </c>
      <c r="K157" s="28">
        <f t="shared" si="21"/>
        <v>61.1</v>
      </c>
      <c r="L157" s="29">
        <f t="shared" si="22"/>
        <v>1.1339425568084802</v>
      </c>
      <c r="M157" s="276"/>
      <c r="N157" s="312"/>
    </row>
    <row r="158" spans="2:14" ht="12" customHeight="1" x14ac:dyDescent="0.2">
      <c r="B158" s="331"/>
      <c r="C158" s="211" t="s">
        <v>329</v>
      </c>
      <c r="D158" s="304" t="s">
        <v>293</v>
      </c>
      <c r="E158" s="304"/>
      <c r="F158" s="304"/>
      <c r="G158" s="304"/>
      <c r="H158" s="215" t="s">
        <v>140</v>
      </c>
      <c r="I158" s="140">
        <v>4</v>
      </c>
      <c r="J158" s="140">
        <v>22.052250000000004</v>
      </c>
      <c r="K158" s="28">
        <f t="shared" si="21"/>
        <v>88.21</v>
      </c>
      <c r="L158" s="29">
        <f t="shared" si="22"/>
        <v>1.6370715701485439</v>
      </c>
      <c r="M158" s="276"/>
      <c r="N158" s="312"/>
    </row>
    <row r="159" spans="2:14" ht="12" customHeight="1" x14ac:dyDescent="0.2">
      <c r="B159" s="331"/>
      <c r="C159" s="211" t="s">
        <v>330</v>
      </c>
      <c r="D159" s="304" t="s">
        <v>294</v>
      </c>
      <c r="E159" s="304"/>
      <c r="F159" s="304"/>
      <c r="G159" s="304"/>
      <c r="H159" s="215" t="s">
        <v>140</v>
      </c>
      <c r="I159" s="140">
        <v>2</v>
      </c>
      <c r="J159" s="140">
        <v>26.462700000000005</v>
      </c>
      <c r="K159" s="28">
        <f t="shared" si="21"/>
        <v>52.93</v>
      </c>
      <c r="L159" s="29">
        <f t="shared" si="22"/>
        <v>0.98231717728106138</v>
      </c>
      <c r="M159" s="276"/>
      <c r="N159" s="312"/>
    </row>
    <row r="160" spans="2:14" ht="12" customHeight="1" x14ac:dyDescent="0.2">
      <c r="B160" s="331"/>
      <c r="C160" s="211" t="s">
        <v>331</v>
      </c>
      <c r="D160" s="304" t="s">
        <v>295</v>
      </c>
      <c r="E160" s="304"/>
      <c r="F160" s="304"/>
      <c r="G160" s="304"/>
      <c r="H160" s="215" t="s">
        <v>26</v>
      </c>
      <c r="I160" s="140">
        <v>12</v>
      </c>
      <c r="J160" s="140">
        <v>12.810352500000002</v>
      </c>
      <c r="K160" s="28">
        <f t="shared" si="21"/>
        <v>153.72</v>
      </c>
      <c r="L160" s="29">
        <f t="shared" si="22"/>
        <v>2.8528584260654593</v>
      </c>
      <c r="M160" s="276"/>
      <c r="N160" s="312"/>
    </row>
    <row r="161" spans="2:14" ht="12" customHeight="1" x14ac:dyDescent="0.2">
      <c r="B161" s="331"/>
      <c r="C161" s="211" t="s">
        <v>332</v>
      </c>
      <c r="D161" s="304" t="s">
        <v>296</v>
      </c>
      <c r="E161" s="304"/>
      <c r="F161" s="304"/>
      <c r="G161" s="304"/>
      <c r="H161" s="215" t="s">
        <v>26</v>
      </c>
      <c r="I161" s="140">
        <v>42</v>
      </c>
      <c r="J161" s="140">
        <v>11.447122500000003</v>
      </c>
      <c r="K161" s="28">
        <f t="shared" si="21"/>
        <v>480.78</v>
      </c>
      <c r="L161" s="29">
        <f t="shared" si="22"/>
        <v>8.9226988946379873</v>
      </c>
      <c r="M161" s="276"/>
      <c r="N161" s="312"/>
    </row>
    <row r="162" spans="2:14" ht="12" customHeight="1" x14ac:dyDescent="0.2">
      <c r="B162" s="331"/>
      <c r="C162" s="211" t="s">
        <v>333</v>
      </c>
      <c r="D162" s="304" t="s">
        <v>297</v>
      </c>
      <c r="E162" s="304"/>
      <c r="F162" s="304"/>
      <c r="G162" s="304"/>
      <c r="H162" s="215" t="s">
        <v>26</v>
      </c>
      <c r="I162" s="140">
        <v>28</v>
      </c>
      <c r="J162" s="140">
        <v>12.329212500000001</v>
      </c>
      <c r="K162" s="28">
        <f t="shared" si="21"/>
        <v>345.22</v>
      </c>
      <c r="L162" s="29">
        <f t="shared" si="22"/>
        <v>6.4068682399578316</v>
      </c>
      <c r="M162" s="276"/>
      <c r="N162" s="312"/>
    </row>
    <row r="163" spans="2:14" ht="12" customHeight="1" x14ac:dyDescent="0.2">
      <c r="B163" s="331"/>
      <c r="C163" s="211" t="s">
        <v>334</v>
      </c>
      <c r="D163" s="304" t="s">
        <v>298</v>
      </c>
      <c r="E163" s="304"/>
      <c r="F163" s="304"/>
      <c r="G163" s="304"/>
      <c r="H163" s="215" t="s">
        <v>26</v>
      </c>
      <c r="I163" s="140">
        <v>30</v>
      </c>
      <c r="J163" s="140">
        <v>15.216052500000004</v>
      </c>
      <c r="K163" s="28">
        <f t="shared" si="21"/>
        <v>456.48</v>
      </c>
      <c r="L163" s="29">
        <f t="shared" si="22"/>
        <v>8.4717201036323235</v>
      </c>
      <c r="M163" s="276"/>
      <c r="N163" s="312"/>
    </row>
    <row r="164" spans="2:14" ht="12" customHeight="1" x14ac:dyDescent="0.2">
      <c r="B164" s="331"/>
      <c r="C164" s="211" t="s">
        <v>335</v>
      </c>
      <c r="D164" s="304" t="s">
        <v>299</v>
      </c>
      <c r="E164" s="304"/>
      <c r="F164" s="304"/>
      <c r="G164" s="304"/>
      <c r="H164" s="215" t="s">
        <v>26</v>
      </c>
      <c r="I164" s="140">
        <v>36</v>
      </c>
      <c r="J164" s="140">
        <v>16.779757500000002</v>
      </c>
      <c r="K164" s="28">
        <f t="shared" si="21"/>
        <v>604.07000000000005</v>
      </c>
      <c r="L164" s="29">
        <f t="shared" si="22"/>
        <v>11.210813098057262</v>
      </c>
      <c r="M164" s="276"/>
      <c r="N164" s="312"/>
    </row>
    <row r="165" spans="2:14" ht="12" customHeight="1" x14ac:dyDescent="0.2">
      <c r="B165" s="331"/>
      <c r="C165" s="211" t="s">
        <v>354</v>
      </c>
      <c r="D165" s="304" t="s">
        <v>300</v>
      </c>
      <c r="E165" s="304"/>
      <c r="F165" s="304"/>
      <c r="G165" s="304"/>
      <c r="H165" s="215" t="s">
        <v>140</v>
      </c>
      <c r="I165" s="140">
        <v>4</v>
      </c>
      <c r="J165" s="140">
        <v>20.047500000000003</v>
      </c>
      <c r="K165" s="28">
        <f t="shared" si="21"/>
        <v>80.19</v>
      </c>
      <c r="L165" s="29">
        <f t="shared" si="22"/>
        <v>1.488230010318691</v>
      </c>
      <c r="M165" s="276"/>
      <c r="N165" s="312"/>
    </row>
    <row r="166" spans="2:14" ht="12" customHeight="1" x14ac:dyDescent="0.2">
      <c r="B166" s="331"/>
      <c r="C166" s="211" t="s">
        <v>336</v>
      </c>
      <c r="D166" s="304" t="s">
        <v>301</v>
      </c>
      <c r="E166" s="304"/>
      <c r="F166" s="304"/>
      <c r="G166" s="304"/>
      <c r="H166" s="215" t="s">
        <v>140</v>
      </c>
      <c r="I166" s="140">
        <v>12</v>
      </c>
      <c r="J166" s="140">
        <v>15.837525000000003</v>
      </c>
      <c r="K166" s="28">
        <f t="shared" si="21"/>
        <v>190.05</v>
      </c>
      <c r="L166" s="29">
        <f t="shared" si="22"/>
        <v>3.5270995568159025</v>
      </c>
      <c r="M166" s="276"/>
      <c r="N166" s="312"/>
    </row>
    <row r="167" spans="2:14" ht="12" customHeight="1" x14ac:dyDescent="0.2">
      <c r="B167" s="331"/>
      <c r="C167" s="211" t="s">
        <v>337</v>
      </c>
      <c r="D167" s="304" t="s">
        <v>302</v>
      </c>
      <c r="E167" s="304"/>
      <c r="F167" s="304"/>
      <c r="G167" s="304"/>
      <c r="H167" s="215" t="s">
        <v>140</v>
      </c>
      <c r="I167" s="140">
        <v>4</v>
      </c>
      <c r="J167" s="140">
        <v>17.501467500000004</v>
      </c>
      <c r="K167" s="28">
        <f t="shared" si="21"/>
        <v>70.010000000000005</v>
      </c>
      <c r="L167" s="29">
        <f t="shared" si="22"/>
        <v>1.2993014468438904</v>
      </c>
      <c r="M167" s="276"/>
      <c r="N167" s="312"/>
    </row>
    <row r="168" spans="2:14" ht="12" customHeight="1" x14ac:dyDescent="0.2">
      <c r="B168" s="331"/>
      <c r="C168" s="211" t="s">
        <v>338</v>
      </c>
      <c r="D168" s="304" t="s">
        <v>303</v>
      </c>
      <c r="E168" s="304"/>
      <c r="F168" s="304"/>
      <c r="G168" s="304"/>
      <c r="H168" s="215" t="s">
        <v>140</v>
      </c>
      <c r="I168" s="140">
        <v>4</v>
      </c>
      <c r="J168" s="140">
        <v>21.150112500000002</v>
      </c>
      <c r="K168" s="28">
        <f t="shared" si="21"/>
        <v>84.6</v>
      </c>
      <c r="L168" s="29">
        <f t="shared" si="22"/>
        <v>1.5700743094271263</v>
      </c>
      <c r="M168" s="276"/>
      <c r="N168" s="312"/>
    </row>
    <row r="169" spans="2:14" ht="12" customHeight="1" x14ac:dyDescent="0.2">
      <c r="B169" s="331"/>
      <c r="C169" s="211" t="s">
        <v>339</v>
      </c>
      <c r="D169" s="304" t="s">
        <v>304</v>
      </c>
      <c r="E169" s="304"/>
      <c r="F169" s="304"/>
      <c r="G169" s="304"/>
      <c r="H169" s="215" t="s">
        <v>140</v>
      </c>
      <c r="I169" s="140">
        <v>2</v>
      </c>
      <c r="J169" s="140">
        <v>17.842275000000004</v>
      </c>
      <c r="K169" s="28">
        <f t="shared" si="21"/>
        <v>35.68</v>
      </c>
      <c r="L169" s="29">
        <f t="shared" si="22"/>
        <v>0.6621779120609913</v>
      </c>
      <c r="M169" s="276"/>
      <c r="N169" s="312"/>
    </row>
    <row r="170" spans="2:14" ht="12" customHeight="1" x14ac:dyDescent="0.2">
      <c r="B170" s="331"/>
      <c r="C170" s="211" t="s">
        <v>340</v>
      </c>
      <c r="D170" s="304" t="s">
        <v>305</v>
      </c>
      <c r="E170" s="304"/>
      <c r="F170" s="304"/>
      <c r="G170" s="304"/>
      <c r="H170" s="215" t="s">
        <v>140</v>
      </c>
      <c r="I170" s="140">
        <v>4</v>
      </c>
      <c r="J170" s="140">
        <v>15.837525000000003</v>
      </c>
      <c r="K170" s="28">
        <f t="shared" si="21"/>
        <v>63.35</v>
      </c>
      <c r="L170" s="29">
        <f t="shared" si="22"/>
        <v>1.1756998522719675</v>
      </c>
      <c r="M170" s="276"/>
      <c r="N170" s="312"/>
    </row>
    <row r="171" spans="2:14" ht="12" customHeight="1" x14ac:dyDescent="0.2">
      <c r="B171" s="331"/>
      <c r="C171" s="211" t="s">
        <v>341</v>
      </c>
      <c r="D171" s="304" t="s">
        <v>306</v>
      </c>
      <c r="E171" s="304"/>
      <c r="F171" s="304"/>
      <c r="G171" s="304"/>
      <c r="H171" s="215" t="s">
        <v>140</v>
      </c>
      <c r="I171" s="140">
        <v>2</v>
      </c>
      <c r="J171" s="140">
        <v>22.453200000000002</v>
      </c>
      <c r="K171" s="28">
        <f t="shared" si="21"/>
        <v>44.91</v>
      </c>
      <c r="L171" s="29">
        <f t="shared" si="22"/>
        <v>0.83347561745120857</v>
      </c>
      <c r="M171" s="276"/>
      <c r="N171" s="312"/>
    </row>
    <row r="172" spans="2:14" ht="12" customHeight="1" x14ac:dyDescent="0.2">
      <c r="B172" s="331"/>
      <c r="C172" s="211" t="s">
        <v>342</v>
      </c>
      <c r="D172" s="304" t="s">
        <v>307</v>
      </c>
      <c r="E172" s="304"/>
      <c r="F172" s="304"/>
      <c r="G172" s="304"/>
      <c r="H172" s="215" t="s">
        <v>140</v>
      </c>
      <c r="I172" s="140">
        <v>15</v>
      </c>
      <c r="J172" s="140">
        <v>11.026125000000002</v>
      </c>
      <c r="K172" s="28">
        <f t="shared" si="21"/>
        <v>165.39</v>
      </c>
      <c r="L172" s="29">
        <f t="shared" si="22"/>
        <v>3.0694395985360807</v>
      </c>
      <c r="M172" s="276"/>
      <c r="N172" s="312"/>
    </row>
    <row r="173" spans="2:14" ht="12" customHeight="1" x14ac:dyDescent="0.2">
      <c r="B173" s="331"/>
      <c r="C173" s="211" t="s">
        <v>343</v>
      </c>
      <c r="D173" s="304" t="s">
        <v>308</v>
      </c>
      <c r="E173" s="304"/>
      <c r="F173" s="304"/>
      <c r="G173" s="304"/>
      <c r="H173" s="215" t="s">
        <v>140</v>
      </c>
      <c r="I173" s="140">
        <v>6</v>
      </c>
      <c r="J173" s="140">
        <v>14.995530000000004</v>
      </c>
      <c r="K173" s="28">
        <f t="shared" si="21"/>
        <v>89.97</v>
      </c>
      <c r="L173" s="29">
        <f t="shared" si="22"/>
        <v>1.6697350545999829</v>
      </c>
      <c r="M173" s="276"/>
      <c r="N173" s="312"/>
    </row>
    <row r="174" spans="2:14" ht="12" customHeight="1" x14ac:dyDescent="0.2">
      <c r="B174" s="331"/>
      <c r="C174" s="211" t="s">
        <v>344</v>
      </c>
      <c r="D174" s="304" t="s">
        <v>309</v>
      </c>
      <c r="E174" s="304"/>
      <c r="F174" s="304"/>
      <c r="G174" s="304"/>
      <c r="H174" s="215" t="s">
        <v>140</v>
      </c>
      <c r="I174" s="140">
        <v>8</v>
      </c>
      <c r="J174" s="140">
        <v>18.604080000000003</v>
      </c>
      <c r="K174" s="28">
        <f t="shared" si="21"/>
        <v>148.83000000000001</v>
      </c>
      <c r="L174" s="29">
        <f t="shared" si="22"/>
        <v>2.7621059039248137</v>
      </c>
      <c r="M174" s="276"/>
      <c r="N174" s="312"/>
    </row>
    <row r="175" spans="2:14" ht="12" customHeight="1" x14ac:dyDescent="0.2">
      <c r="B175" s="331"/>
      <c r="C175" s="211" t="s">
        <v>345</v>
      </c>
      <c r="D175" s="304" t="s">
        <v>310</v>
      </c>
      <c r="E175" s="304"/>
      <c r="F175" s="304"/>
      <c r="G175" s="304"/>
      <c r="H175" s="215" t="s">
        <v>140</v>
      </c>
      <c r="I175" s="140">
        <v>4</v>
      </c>
      <c r="J175" s="140">
        <v>13.271445000000005</v>
      </c>
      <c r="K175" s="28">
        <f t="shared" si="21"/>
        <v>53.09</v>
      </c>
      <c r="L175" s="29">
        <f t="shared" si="22"/>
        <v>0.98528658495846499</v>
      </c>
      <c r="M175" s="276"/>
      <c r="N175" s="312"/>
    </row>
    <row r="176" spans="2:14" ht="12" customHeight="1" x14ac:dyDescent="0.2">
      <c r="B176" s="331"/>
      <c r="C176" s="211" t="s">
        <v>346</v>
      </c>
      <c r="D176" s="304" t="s">
        <v>311</v>
      </c>
      <c r="E176" s="304"/>
      <c r="F176" s="304"/>
      <c r="G176" s="304"/>
      <c r="H176" s="215" t="s">
        <v>140</v>
      </c>
      <c r="I176" s="140">
        <v>2</v>
      </c>
      <c r="J176" s="140">
        <v>18.163035000000004</v>
      </c>
      <c r="K176" s="28">
        <f t="shared" si="21"/>
        <v>36.33</v>
      </c>
      <c r="L176" s="29">
        <f t="shared" si="22"/>
        <v>0.67424113075044323</v>
      </c>
      <c r="M176" s="276"/>
      <c r="N176" s="312"/>
    </row>
    <row r="177" spans="2:14" ht="12" customHeight="1" x14ac:dyDescent="0.2">
      <c r="B177" s="331"/>
      <c r="C177" s="211" t="s">
        <v>347</v>
      </c>
      <c r="D177" s="304" t="s">
        <v>312</v>
      </c>
      <c r="E177" s="304"/>
      <c r="F177" s="304"/>
      <c r="G177" s="304"/>
      <c r="H177" s="215" t="s">
        <v>140</v>
      </c>
      <c r="I177" s="140">
        <v>16</v>
      </c>
      <c r="J177" s="140">
        <v>15.576907500000003</v>
      </c>
      <c r="K177" s="28">
        <f t="shared" si="21"/>
        <v>249.23</v>
      </c>
      <c r="L177" s="29">
        <f t="shared" si="22"/>
        <v>4.6254092214955405</v>
      </c>
      <c r="M177" s="276"/>
      <c r="N177" s="312"/>
    </row>
    <row r="178" spans="2:14" ht="12" customHeight="1" x14ac:dyDescent="0.2">
      <c r="B178" s="331"/>
      <c r="C178" s="211" t="s">
        <v>348</v>
      </c>
      <c r="D178" s="304" t="s">
        <v>313</v>
      </c>
      <c r="E178" s="304"/>
      <c r="F178" s="304"/>
      <c r="G178" s="304"/>
      <c r="H178" s="215" t="s">
        <v>140</v>
      </c>
      <c r="I178" s="140">
        <v>4</v>
      </c>
      <c r="J178" s="140">
        <v>15.095767500000004</v>
      </c>
      <c r="K178" s="28">
        <f t="shared" si="21"/>
        <v>60.38</v>
      </c>
      <c r="L178" s="29">
        <f t="shared" si="22"/>
        <v>1.1205802222601642</v>
      </c>
      <c r="M178" s="276"/>
      <c r="N178" s="312"/>
    </row>
    <row r="179" spans="2:14" ht="12" customHeight="1" x14ac:dyDescent="0.2">
      <c r="B179" s="331"/>
      <c r="C179" s="211" t="s">
        <v>349</v>
      </c>
      <c r="D179" s="304" t="s">
        <v>314</v>
      </c>
      <c r="E179" s="304"/>
      <c r="F179" s="304"/>
      <c r="G179" s="304"/>
      <c r="H179" s="215" t="s">
        <v>140</v>
      </c>
      <c r="I179" s="140">
        <v>2</v>
      </c>
      <c r="J179" s="140">
        <v>17.782132500000003</v>
      </c>
      <c r="K179" s="28">
        <f t="shared" si="21"/>
        <v>35.56</v>
      </c>
      <c r="L179" s="29">
        <f t="shared" si="22"/>
        <v>0.6599508563029387</v>
      </c>
      <c r="M179" s="276"/>
      <c r="N179" s="312"/>
    </row>
    <row r="180" spans="2:14" ht="12" customHeight="1" x14ac:dyDescent="0.2">
      <c r="B180" s="331"/>
      <c r="C180" s="211" t="s">
        <v>350</v>
      </c>
      <c r="D180" s="304" t="s">
        <v>315</v>
      </c>
      <c r="E180" s="304"/>
      <c r="F180" s="304"/>
      <c r="G180" s="304"/>
      <c r="H180" s="215" t="s">
        <v>140</v>
      </c>
      <c r="I180" s="140">
        <v>6</v>
      </c>
      <c r="J180" s="140">
        <v>11.447122500000003</v>
      </c>
      <c r="K180" s="28">
        <f t="shared" si="21"/>
        <v>68.680000000000007</v>
      </c>
      <c r="L180" s="29">
        <f t="shared" si="22"/>
        <v>1.2746182455254733</v>
      </c>
      <c r="M180" s="276"/>
      <c r="N180" s="312"/>
    </row>
    <row r="181" spans="2:14" ht="12" customHeight="1" x14ac:dyDescent="0.2">
      <c r="B181" s="331"/>
      <c r="C181" s="211" t="s">
        <v>351</v>
      </c>
      <c r="D181" s="304" t="s">
        <v>316</v>
      </c>
      <c r="E181" s="304"/>
      <c r="F181" s="304"/>
      <c r="G181" s="304"/>
      <c r="H181" s="215" t="s">
        <v>140</v>
      </c>
      <c r="I181" s="140">
        <v>2</v>
      </c>
      <c r="J181" s="140">
        <v>17.641800000000007</v>
      </c>
      <c r="K181" s="28">
        <f t="shared" si="21"/>
        <v>35.28</v>
      </c>
      <c r="L181" s="29">
        <f t="shared" si="22"/>
        <v>0.65475439286748249</v>
      </c>
      <c r="M181" s="276"/>
      <c r="N181" s="312"/>
    </row>
    <row r="182" spans="2:14" ht="12" customHeight="1" x14ac:dyDescent="0.2">
      <c r="B182" s="331"/>
      <c r="C182" s="211" t="s">
        <v>352</v>
      </c>
      <c r="D182" s="304" t="s">
        <v>317</v>
      </c>
      <c r="E182" s="304"/>
      <c r="F182" s="304"/>
      <c r="G182" s="304"/>
      <c r="H182" s="215" t="s">
        <v>140</v>
      </c>
      <c r="I182" s="140">
        <v>3</v>
      </c>
      <c r="J182" s="140">
        <v>20.047500000000003</v>
      </c>
      <c r="K182" s="28">
        <f t="shared" si="21"/>
        <v>60.14</v>
      </c>
      <c r="L182" s="29">
        <f t="shared" si="22"/>
        <v>1.1161261107440588</v>
      </c>
      <c r="M182" s="276"/>
      <c r="N182" s="312"/>
    </row>
    <row r="183" spans="2:14" ht="12" customHeight="1" x14ac:dyDescent="0.2">
      <c r="B183" s="331"/>
      <c r="C183" s="211" t="s">
        <v>353</v>
      </c>
      <c r="D183" s="304" t="s">
        <v>318</v>
      </c>
      <c r="E183" s="304"/>
      <c r="F183" s="304"/>
      <c r="G183" s="304"/>
      <c r="H183" s="215" t="s">
        <v>140</v>
      </c>
      <c r="I183" s="140">
        <v>2</v>
      </c>
      <c r="J183" s="140">
        <v>31.294147500000005</v>
      </c>
      <c r="K183" s="28">
        <f t="shared" si="21"/>
        <v>62.59</v>
      </c>
      <c r="L183" s="29">
        <f t="shared" si="22"/>
        <v>1.1615951658043007</v>
      </c>
      <c r="M183" s="277"/>
      <c r="N183" s="312"/>
    </row>
    <row r="184" spans="2:14" ht="12" customHeight="1" x14ac:dyDescent="0.2">
      <c r="B184" s="331"/>
      <c r="C184" s="269" t="s">
        <v>21</v>
      </c>
      <c r="D184" s="270"/>
      <c r="E184" s="270"/>
      <c r="F184" s="270"/>
      <c r="G184" s="271"/>
      <c r="H184" s="269"/>
      <c r="I184" s="270"/>
      <c r="J184" s="271"/>
      <c r="K184" s="289">
        <f>SUM(K148:K183)</f>
        <v>5388.2800000000025</v>
      </c>
      <c r="L184" s="307">
        <f>SUM(L148:L183)</f>
        <v>99.999999999999957</v>
      </c>
      <c r="M184" s="275">
        <f>IF(K$299=0,0,100*K184/K$299)</f>
        <v>0.77075658859290075</v>
      </c>
      <c r="N184" s="312"/>
    </row>
    <row r="185" spans="2:14" ht="12" customHeight="1" x14ac:dyDescent="0.2">
      <c r="B185" s="331"/>
      <c r="C185" s="272"/>
      <c r="D185" s="273"/>
      <c r="E185" s="273"/>
      <c r="F185" s="273"/>
      <c r="G185" s="274"/>
      <c r="H185" s="272"/>
      <c r="I185" s="273"/>
      <c r="J185" s="274"/>
      <c r="K185" s="290"/>
      <c r="L185" s="308"/>
      <c r="M185" s="277"/>
      <c r="N185" s="312"/>
    </row>
    <row r="186" spans="2:14" ht="12" customHeight="1" x14ac:dyDescent="0.2">
      <c r="B186" s="331" t="s">
        <v>390</v>
      </c>
      <c r="C186" s="211" t="s">
        <v>373</v>
      </c>
      <c r="D186" s="304" t="s">
        <v>356</v>
      </c>
      <c r="E186" s="304"/>
      <c r="F186" s="304"/>
      <c r="G186" s="304"/>
      <c r="H186" s="215" t="s">
        <v>140</v>
      </c>
      <c r="I186" s="140">
        <v>6</v>
      </c>
      <c r="J186" s="140">
        <v>102.85000000000001</v>
      </c>
      <c r="K186" s="28">
        <f t="shared" ref="K186:K202" si="23">ROUND(I186*J186,2)</f>
        <v>617.1</v>
      </c>
      <c r="L186" s="29">
        <f>IF(K$203=0,0,100*K186/K$203)</f>
        <v>8.9758433307345928</v>
      </c>
      <c r="M186" s="275"/>
      <c r="N186" s="312"/>
    </row>
    <row r="187" spans="2:14" ht="12" customHeight="1" x14ac:dyDescent="0.2">
      <c r="B187" s="331"/>
      <c r="C187" s="211" t="s">
        <v>374</v>
      </c>
      <c r="D187" s="304" t="s">
        <v>357</v>
      </c>
      <c r="E187" s="304"/>
      <c r="F187" s="304"/>
      <c r="G187" s="304"/>
      <c r="H187" s="215" t="s">
        <v>140</v>
      </c>
      <c r="I187" s="140">
        <v>6</v>
      </c>
      <c r="J187" s="140">
        <v>27.956500000000002</v>
      </c>
      <c r="K187" s="28">
        <f t="shared" si="23"/>
        <v>167.74</v>
      </c>
      <c r="L187" s="29">
        <f t="shared" ref="L187:L202" si="24">IF(K$203=0,0,100*K187/K$203)</f>
        <v>2.4398119596457959</v>
      </c>
      <c r="M187" s="276"/>
      <c r="N187" s="312"/>
    </row>
    <row r="188" spans="2:14" ht="12" customHeight="1" x14ac:dyDescent="0.2">
      <c r="B188" s="331"/>
      <c r="C188" s="211" t="s">
        <v>375</v>
      </c>
      <c r="D188" s="304" t="s">
        <v>358</v>
      </c>
      <c r="E188" s="304"/>
      <c r="F188" s="304"/>
      <c r="G188" s="304"/>
      <c r="H188" s="215" t="s">
        <v>140</v>
      </c>
      <c r="I188" s="140">
        <v>2</v>
      </c>
      <c r="J188" s="140">
        <v>54.230000000000004</v>
      </c>
      <c r="K188" s="28">
        <f t="shared" si="23"/>
        <v>108.46</v>
      </c>
      <c r="L188" s="29">
        <f t="shared" si="24"/>
        <v>1.5775724641897164</v>
      </c>
      <c r="M188" s="276"/>
      <c r="N188" s="312"/>
    </row>
    <row r="189" spans="2:14" ht="12" customHeight="1" x14ac:dyDescent="0.2">
      <c r="B189" s="331"/>
      <c r="C189" s="211" t="s">
        <v>376</v>
      </c>
      <c r="D189" s="304" t="s">
        <v>359</v>
      </c>
      <c r="E189" s="304"/>
      <c r="F189" s="304"/>
      <c r="G189" s="304"/>
      <c r="H189" s="215" t="s">
        <v>26</v>
      </c>
      <c r="I189" s="140">
        <v>36</v>
      </c>
      <c r="J189" s="140">
        <v>36.988599999999998</v>
      </c>
      <c r="K189" s="28">
        <f t="shared" si="23"/>
        <v>1331.59</v>
      </c>
      <c r="L189" s="29">
        <f t="shared" si="24"/>
        <v>19.368243754290841</v>
      </c>
      <c r="M189" s="276"/>
      <c r="N189" s="312"/>
    </row>
    <row r="190" spans="2:14" ht="12" customHeight="1" x14ac:dyDescent="0.2">
      <c r="B190" s="331"/>
      <c r="C190" s="211" t="s">
        <v>377</v>
      </c>
      <c r="D190" s="304" t="s">
        <v>360</v>
      </c>
      <c r="E190" s="304"/>
      <c r="F190" s="304"/>
      <c r="G190" s="304"/>
      <c r="H190" s="215" t="s">
        <v>26</v>
      </c>
      <c r="I190" s="140">
        <v>47.5</v>
      </c>
      <c r="J190" s="140">
        <v>27.339400000000001</v>
      </c>
      <c r="K190" s="28">
        <f t="shared" si="23"/>
        <v>1298.6199999999999</v>
      </c>
      <c r="L190" s="29">
        <f t="shared" si="24"/>
        <v>18.888688488346389</v>
      </c>
      <c r="M190" s="276"/>
      <c r="N190" s="312"/>
    </row>
    <row r="191" spans="2:14" ht="12" customHeight="1" x14ac:dyDescent="0.2">
      <c r="B191" s="331"/>
      <c r="C191" s="211" t="s">
        <v>378</v>
      </c>
      <c r="D191" s="304" t="s">
        <v>361</v>
      </c>
      <c r="E191" s="304"/>
      <c r="F191" s="304"/>
      <c r="G191" s="304"/>
      <c r="H191" s="215" t="s">
        <v>26</v>
      </c>
      <c r="I191" s="140">
        <v>21.5</v>
      </c>
      <c r="J191" s="140">
        <v>34.277099999999997</v>
      </c>
      <c r="K191" s="28">
        <f t="shared" si="23"/>
        <v>736.96</v>
      </c>
      <c r="L191" s="29">
        <f t="shared" si="24"/>
        <v>10.719231082512017</v>
      </c>
      <c r="M191" s="276"/>
      <c r="N191" s="312"/>
    </row>
    <row r="192" spans="2:14" ht="12" customHeight="1" x14ac:dyDescent="0.2">
      <c r="B192" s="331"/>
      <c r="C192" s="211" t="s">
        <v>379</v>
      </c>
      <c r="D192" s="304" t="s">
        <v>362</v>
      </c>
      <c r="E192" s="304"/>
      <c r="F192" s="304"/>
      <c r="G192" s="304"/>
      <c r="H192" s="215" t="s">
        <v>140</v>
      </c>
      <c r="I192" s="140">
        <v>1</v>
      </c>
      <c r="J192" s="140">
        <v>17.316200000000002</v>
      </c>
      <c r="K192" s="28">
        <f t="shared" si="23"/>
        <v>17.32</v>
      </c>
      <c r="L192" s="29">
        <f t="shared" si="24"/>
        <v>0.25192287552799086</v>
      </c>
      <c r="M192" s="276"/>
      <c r="N192" s="312"/>
    </row>
    <row r="193" spans="2:14" ht="12" customHeight="1" x14ac:dyDescent="0.2">
      <c r="B193" s="331"/>
      <c r="C193" s="211" t="s">
        <v>380</v>
      </c>
      <c r="D193" s="304" t="s">
        <v>363</v>
      </c>
      <c r="E193" s="304"/>
      <c r="F193" s="304"/>
      <c r="G193" s="304"/>
      <c r="H193" s="215" t="s">
        <v>140</v>
      </c>
      <c r="I193" s="140">
        <v>16</v>
      </c>
      <c r="J193" s="140">
        <v>15.4649</v>
      </c>
      <c r="K193" s="28">
        <f t="shared" si="23"/>
        <v>247.44</v>
      </c>
      <c r="L193" s="29">
        <f t="shared" si="24"/>
        <v>3.5990644526931903</v>
      </c>
      <c r="M193" s="276"/>
      <c r="N193" s="312"/>
    </row>
    <row r="194" spans="2:14" ht="12" customHeight="1" x14ac:dyDescent="0.2">
      <c r="B194" s="331"/>
      <c r="C194" s="211" t="s">
        <v>381</v>
      </c>
      <c r="D194" s="304" t="s">
        <v>364</v>
      </c>
      <c r="E194" s="304"/>
      <c r="F194" s="304"/>
      <c r="G194" s="304"/>
      <c r="H194" s="215" t="s">
        <v>140</v>
      </c>
      <c r="I194" s="140">
        <v>7</v>
      </c>
      <c r="J194" s="140">
        <v>13.651000000000002</v>
      </c>
      <c r="K194" s="28">
        <f t="shared" si="23"/>
        <v>95.56</v>
      </c>
      <c r="L194" s="29">
        <f t="shared" si="24"/>
        <v>1.3899393756036262</v>
      </c>
      <c r="M194" s="276"/>
      <c r="N194" s="312"/>
    </row>
    <row r="195" spans="2:14" ht="12" customHeight="1" x14ac:dyDescent="0.2">
      <c r="B195" s="331"/>
      <c r="C195" s="211" t="s">
        <v>382</v>
      </c>
      <c r="D195" s="304" t="s">
        <v>365</v>
      </c>
      <c r="E195" s="304"/>
      <c r="F195" s="304"/>
      <c r="G195" s="304"/>
      <c r="H195" s="215" t="s">
        <v>140</v>
      </c>
      <c r="I195" s="140">
        <v>6</v>
      </c>
      <c r="J195" s="140">
        <v>21.635900000000003</v>
      </c>
      <c r="K195" s="28">
        <f t="shared" si="23"/>
        <v>129.82</v>
      </c>
      <c r="L195" s="29">
        <f t="shared" si="24"/>
        <v>1.8882579504066843</v>
      </c>
      <c r="M195" s="276"/>
      <c r="N195" s="312"/>
    </row>
    <row r="196" spans="2:14" ht="12" customHeight="1" x14ac:dyDescent="0.2">
      <c r="B196" s="331"/>
      <c r="C196" s="211" t="s">
        <v>383</v>
      </c>
      <c r="D196" s="304" t="s">
        <v>366</v>
      </c>
      <c r="E196" s="304"/>
      <c r="F196" s="304"/>
      <c r="G196" s="304"/>
      <c r="H196" s="215" t="s">
        <v>140</v>
      </c>
      <c r="I196" s="140">
        <v>10</v>
      </c>
      <c r="J196" s="140">
        <v>30.163099999999996</v>
      </c>
      <c r="K196" s="28">
        <f t="shared" si="23"/>
        <v>301.63</v>
      </c>
      <c r="L196" s="29">
        <f t="shared" si="24"/>
        <v>4.387268876761425</v>
      </c>
      <c r="M196" s="276"/>
      <c r="N196" s="312"/>
    </row>
    <row r="197" spans="2:14" ht="12" customHeight="1" x14ac:dyDescent="0.2">
      <c r="B197" s="331"/>
      <c r="C197" s="211" t="s">
        <v>384</v>
      </c>
      <c r="D197" s="304" t="s">
        <v>367</v>
      </c>
      <c r="E197" s="304"/>
      <c r="F197" s="304"/>
      <c r="G197" s="304"/>
      <c r="H197" s="215" t="s">
        <v>140</v>
      </c>
      <c r="I197" s="140">
        <v>5</v>
      </c>
      <c r="J197" s="140">
        <v>38.017099999999992</v>
      </c>
      <c r="K197" s="28">
        <f t="shared" si="23"/>
        <v>190.09</v>
      </c>
      <c r="L197" s="29">
        <f t="shared" si="24"/>
        <v>2.7648971945216965</v>
      </c>
      <c r="M197" s="276"/>
      <c r="N197" s="312"/>
    </row>
    <row r="198" spans="2:14" ht="12" customHeight="1" x14ac:dyDescent="0.2">
      <c r="B198" s="331"/>
      <c r="C198" s="211" t="s">
        <v>385</v>
      </c>
      <c r="D198" s="304" t="s">
        <v>368</v>
      </c>
      <c r="E198" s="304"/>
      <c r="F198" s="304"/>
      <c r="G198" s="304"/>
      <c r="H198" s="215" t="s">
        <v>140</v>
      </c>
      <c r="I198" s="140">
        <v>5</v>
      </c>
      <c r="J198" s="140">
        <v>48.489100000000001</v>
      </c>
      <c r="K198" s="28">
        <f t="shared" si="23"/>
        <v>242.45</v>
      </c>
      <c r="L198" s="29">
        <f t="shared" si="24"/>
        <v>3.5264839013719045</v>
      </c>
      <c r="M198" s="276"/>
      <c r="N198" s="312"/>
    </row>
    <row r="199" spans="2:14" ht="12" customHeight="1" x14ac:dyDescent="0.2">
      <c r="B199" s="331"/>
      <c r="C199" s="211" t="s">
        <v>386</v>
      </c>
      <c r="D199" s="304" t="s">
        <v>369</v>
      </c>
      <c r="E199" s="304"/>
      <c r="F199" s="304"/>
      <c r="G199" s="304"/>
      <c r="H199" s="215" t="s">
        <v>140</v>
      </c>
      <c r="I199" s="140">
        <v>6</v>
      </c>
      <c r="J199" s="140">
        <v>26.684900000000003</v>
      </c>
      <c r="K199" s="28">
        <f t="shared" si="23"/>
        <v>160.11000000000001</v>
      </c>
      <c r="L199" s="29">
        <f t="shared" si="24"/>
        <v>2.3288320785673569</v>
      </c>
      <c r="M199" s="276"/>
      <c r="N199" s="312"/>
    </row>
    <row r="200" spans="2:14" ht="12" customHeight="1" x14ac:dyDescent="0.2">
      <c r="B200" s="331"/>
      <c r="C200" s="211" t="s">
        <v>387</v>
      </c>
      <c r="D200" s="304" t="s">
        <v>370</v>
      </c>
      <c r="E200" s="304"/>
      <c r="F200" s="304"/>
      <c r="G200" s="304"/>
      <c r="H200" s="215" t="s">
        <v>140</v>
      </c>
      <c r="I200" s="140">
        <v>2</v>
      </c>
      <c r="J200" s="140">
        <v>468.435</v>
      </c>
      <c r="K200" s="28">
        <f t="shared" si="23"/>
        <v>936.87</v>
      </c>
      <c r="L200" s="29">
        <f t="shared" si="24"/>
        <v>13.626962147569792</v>
      </c>
      <c r="M200" s="276"/>
      <c r="N200" s="312"/>
    </row>
    <row r="201" spans="2:14" ht="12" customHeight="1" x14ac:dyDescent="0.2">
      <c r="B201" s="331"/>
      <c r="C201" s="211" t="s">
        <v>388</v>
      </c>
      <c r="D201" s="304" t="s">
        <v>371</v>
      </c>
      <c r="E201" s="304"/>
      <c r="F201" s="304"/>
      <c r="G201" s="304"/>
      <c r="H201" s="215" t="s">
        <v>140</v>
      </c>
      <c r="I201" s="140">
        <v>8</v>
      </c>
      <c r="J201" s="140">
        <v>19.092700000000001</v>
      </c>
      <c r="K201" s="28">
        <f t="shared" si="23"/>
        <v>152.74</v>
      </c>
      <c r="L201" s="29">
        <f t="shared" si="24"/>
        <v>2.2216339496619701</v>
      </c>
      <c r="M201" s="276"/>
      <c r="N201" s="312"/>
    </row>
    <row r="202" spans="2:14" ht="12" customHeight="1" x14ac:dyDescent="0.2">
      <c r="B202" s="331"/>
      <c r="C202" s="211" t="s">
        <v>389</v>
      </c>
      <c r="D202" s="304" t="s">
        <v>372</v>
      </c>
      <c r="E202" s="304"/>
      <c r="F202" s="304"/>
      <c r="G202" s="304"/>
      <c r="H202" s="215" t="s">
        <v>140</v>
      </c>
      <c r="I202" s="140">
        <v>8</v>
      </c>
      <c r="J202" s="140">
        <v>17.578000000000003</v>
      </c>
      <c r="K202" s="28">
        <f t="shared" si="23"/>
        <v>140.62</v>
      </c>
      <c r="L202" s="29">
        <f t="shared" si="24"/>
        <v>2.0453461175950389</v>
      </c>
      <c r="M202" s="277"/>
      <c r="N202" s="312"/>
    </row>
    <row r="203" spans="2:14" ht="12" customHeight="1" x14ac:dyDescent="0.2">
      <c r="B203" s="331"/>
      <c r="C203" s="269" t="s">
        <v>21</v>
      </c>
      <c r="D203" s="270"/>
      <c r="E203" s="270"/>
      <c r="F203" s="270"/>
      <c r="G203" s="271"/>
      <c r="H203" s="269"/>
      <c r="I203" s="270"/>
      <c r="J203" s="271"/>
      <c r="K203" s="289">
        <f>SUM(K186:K202)</f>
        <v>6875.1199999999981</v>
      </c>
      <c r="L203" s="307">
        <f>SUM(L186:L202)</f>
        <v>100.00000000000003</v>
      </c>
      <c r="M203" s="275">
        <f>IF(K$299=0,0,100*K203/K$299)</f>
        <v>0.98343887796603358</v>
      </c>
      <c r="N203" s="312"/>
    </row>
    <row r="204" spans="2:14" ht="12" customHeight="1" x14ac:dyDescent="0.2">
      <c r="B204" s="331"/>
      <c r="C204" s="272"/>
      <c r="D204" s="273"/>
      <c r="E204" s="273"/>
      <c r="F204" s="273"/>
      <c r="G204" s="274"/>
      <c r="H204" s="272"/>
      <c r="I204" s="273"/>
      <c r="J204" s="274"/>
      <c r="K204" s="290"/>
      <c r="L204" s="308"/>
      <c r="M204" s="277"/>
      <c r="N204" s="312"/>
    </row>
    <row r="205" spans="2:14" ht="37.5" customHeight="1" x14ac:dyDescent="0.2">
      <c r="B205" s="335" t="s">
        <v>393</v>
      </c>
      <c r="C205" s="211" t="s">
        <v>394</v>
      </c>
      <c r="D205" s="304" t="s">
        <v>391</v>
      </c>
      <c r="E205" s="304"/>
      <c r="F205" s="304"/>
      <c r="G205" s="304"/>
      <c r="H205" s="215" t="s">
        <v>140</v>
      </c>
      <c r="I205" s="140">
        <v>8</v>
      </c>
      <c r="J205" s="140">
        <v>243.10000000000002</v>
      </c>
      <c r="K205" s="28">
        <f t="shared" ref="K205:K206" si="25">ROUND(I205*J205,2)</f>
        <v>1944.8</v>
      </c>
      <c r="L205" s="29">
        <f>IF(K$207=0,0,100*K205/K$207)</f>
        <v>76.464875618760786</v>
      </c>
      <c r="M205" s="332"/>
      <c r="N205" s="312"/>
    </row>
    <row r="206" spans="2:14" ht="37.5" customHeight="1" x14ac:dyDescent="0.2">
      <c r="B206" s="336"/>
      <c r="C206" s="211" t="s">
        <v>395</v>
      </c>
      <c r="D206" s="304" t="s">
        <v>392</v>
      </c>
      <c r="E206" s="304"/>
      <c r="F206" s="304"/>
      <c r="G206" s="304"/>
      <c r="H206" s="215" t="s">
        <v>24</v>
      </c>
      <c r="I206" s="140">
        <v>1.87</v>
      </c>
      <c r="J206" s="140">
        <v>320.10000000000002</v>
      </c>
      <c r="K206" s="28">
        <f t="shared" si="25"/>
        <v>598.59</v>
      </c>
      <c r="L206" s="29">
        <f>IF(K$207=0,0,100*K206/K$207)</f>
        <v>23.535124381239214</v>
      </c>
      <c r="M206" s="334"/>
      <c r="N206" s="312"/>
    </row>
    <row r="207" spans="2:14" ht="37.5" customHeight="1" x14ac:dyDescent="0.2">
      <c r="B207" s="336"/>
      <c r="C207" s="269" t="s">
        <v>21</v>
      </c>
      <c r="D207" s="270"/>
      <c r="E207" s="270"/>
      <c r="F207" s="270"/>
      <c r="G207" s="271"/>
      <c r="H207" s="269"/>
      <c r="I207" s="270"/>
      <c r="J207" s="271"/>
      <c r="K207" s="289">
        <f>SUM(K205:K206)</f>
        <v>2543.39</v>
      </c>
      <c r="L207" s="338">
        <f>SUM(L205:L206)</f>
        <v>100</v>
      </c>
      <c r="M207" s="275">
        <f>IF(K$299=0,0,100*K207/K$299)</f>
        <v>0.36381453819424692</v>
      </c>
      <c r="N207" s="312"/>
    </row>
    <row r="208" spans="2:14" ht="37.5" customHeight="1" x14ac:dyDescent="0.2">
      <c r="B208" s="337"/>
      <c r="C208" s="272"/>
      <c r="D208" s="273"/>
      <c r="E208" s="273"/>
      <c r="F208" s="273"/>
      <c r="G208" s="274"/>
      <c r="H208" s="272"/>
      <c r="I208" s="273"/>
      <c r="J208" s="274"/>
      <c r="K208" s="290"/>
      <c r="L208" s="339"/>
      <c r="M208" s="277"/>
      <c r="N208" s="312"/>
    </row>
    <row r="209" spans="2:16" s="144" customFormat="1" ht="24.75" customHeight="1" x14ac:dyDescent="0.2">
      <c r="B209" s="331" t="s">
        <v>430</v>
      </c>
      <c r="C209" s="211" t="s">
        <v>413</v>
      </c>
      <c r="D209" s="304" t="s">
        <v>396</v>
      </c>
      <c r="E209" s="304"/>
      <c r="F209" s="304"/>
      <c r="G209" s="304"/>
      <c r="H209" s="215" t="s">
        <v>140</v>
      </c>
      <c r="I209" s="140">
        <v>2</v>
      </c>
      <c r="J209" s="140">
        <v>502.15000000000003</v>
      </c>
      <c r="K209" s="28">
        <f t="shared" ref="K209:K225" si="26">ROUND(I209*J209,2)</f>
        <v>1004.3</v>
      </c>
      <c r="L209" s="29">
        <f>IF(K$226=0,0,100*K209/K$226)</f>
        <v>8.8042430086788794</v>
      </c>
      <c r="M209" s="340"/>
      <c r="N209" s="312"/>
      <c r="O209" s="2"/>
      <c r="P209" s="2"/>
    </row>
    <row r="210" spans="2:16" s="144" customFormat="1" ht="24.75" customHeight="1" x14ac:dyDescent="0.2">
      <c r="B210" s="331"/>
      <c r="C210" s="211" t="s">
        <v>414</v>
      </c>
      <c r="D210" s="304" t="s">
        <v>397</v>
      </c>
      <c r="E210" s="304"/>
      <c r="F210" s="304"/>
      <c r="G210" s="304"/>
      <c r="H210" s="215" t="s">
        <v>140</v>
      </c>
      <c r="I210" s="140">
        <v>2</v>
      </c>
      <c r="J210" s="140">
        <v>237.05</v>
      </c>
      <c r="K210" s="28">
        <f t="shared" si="26"/>
        <v>474.1</v>
      </c>
      <c r="L210" s="29">
        <f t="shared" ref="L210:L225" si="27">IF(K$226=0,0,100*K210/K$226)</f>
        <v>4.1562198649951778</v>
      </c>
      <c r="M210" s="341"/>
      <c r="N210" s="312"/>
      <c r="O210" s="2"/>
      <c r="P210" s="2"/>
    </row>
    <row r="211" spans="2:16" s="144" customFormat="1" ht="24.75" customHeight="1" x14ac:dyDescent="0.2">
      <c r="B211" s="331"/>
      <c r="C211" s="211" t="s">
        <v>415</v>
      </c>
      <c r="D211" s="304" t="s">
        <v>398</v>
      </c>
      <c r="E211" s="304"/>
      <c r="F211" s="304"/>
      <c r="G211" s="304"/>
      <c r="H211" s="215" t="s">
        <v>140</v>
      </c>
      <c r="I211" s="140">
        <v>2</v>
      </c>
      <c r="J211" s="140">
        <v>94.600000000000009</v>
      </c>
      <c r="K211" s="28">
        <f t="shared" si="26"/>
        <v>189.2</v>
      </c>
      <c r="L211" s="29">
        <f t="shared" si="27"/>
        <v>1.6586306653809062</v>
      </c>
      <c r="M211" s="341"/>
      <c r="N211" s="312"/>
      <c r="O211" s="2"/>
      <c r="P211" s="2"/>
    </row>
    <row r="212" spans="2:16" s="144" customFormat="1" ht="24.75" customHeight="1" x14ac:dyDescent="0.2">
      <c r="B212" s="331"/>
      <c r="C212" s="211" t="s">
        <v>416</v>
      </c>
      <c r="D212" s="304" t="s">
        <v>399</v>
      </c>
      <c r="E212" s="304"/>
      <c r="F212" s="304"/>
      <c r="G212" s="304"/>
      <c r="H212" s="215" t="s">
        <v>140</v>
      </c>
      <c r="I212" s="140">
        <v>4</v>
      </c>
      <c r="J212" s="140">
        <v>380.05</v>
      </c>
      <c r="K212" s="28">
        <f t="shared" si="26"/>
        <v>1520.2</v>
      </c>
      <c r="L212" s="29">
        <f t="shared" si="27"/>
        <v>13.326904532304724</v>
      </c>
      <c r="M212" s="341"/>
      <c r="N212" s="312"/>
      <c r="O212" s="2"/>
      <c r="P212" s="2"/>
    </row>
    <row r="213" spans="2:16" s="144" customFormat="1" ht="24.75" customHeight="1" x14ac:dyDescent="0.2">
      <c r="B213" s="331"/>
      <c r="C213" s="211" t="s">
        <v>417</v>
      </c>
      <c r="D213" s="304" t="s">
        <v>400</v>
      </c>
      <c r="E213" s="304"/>
      <c r="F213" s="304"/>
      <c r="G213" s="304"/>
      <c r="H213" s="215" t="s">
        <v>140</v>
      </c>
      <c r="I213" s="140">
        <v>4</v>
      </c>
      <c r="J213" s="140">
        <v>204.05</v>
      </c>
      <c r="K213" s="28">
        <f t="shared" si="26"/>
        <v>816.2</v>
      </c>
      <c r="L213" s="29">
        <f t="shared" si="27"/>
        <v>7.1552555448408857</v>
      </c>
      <c r="M213" s="341"/>
      <c r="N213" s="312"/>
      <c r="O213" s="2"/>
      <c r="P213" s="2"/>
    </row>
    <row r="214" spans="2:16" s="144" customFormat="1" ht="24.75" customHeight="1" x14ac:dyDescent="0.2">
      <c r="B214" s="331"/>
      <c r="C214" s="211" t="s">
        <v>418</v>
      </c>
      <c r="D214" s="304" t="s">
        <v>401</v>
      </c>
      <c r="E214" s="304"/>
      <c r="F214" s="304"/>
      <c r="G214" s="304"/>
      <c r="H214" s="215" t="s">
        <v>140</v>
      </c>
      <c r="I214" s="140">
        <v>2</v>
      </c>
      <c r="J214" s="140">
        <v>253.55</v>
      </c>
      <c r="K214" s="28">
        <f t="shared" si="26"/>
        <v>507.1</v>
      </c>
      <c r="L214" s="29">
        <f t="shared" si="27"/>
        <v>4.4455159112825449</v>
      </c>
      <c r="M214" s="341"/>
      <c r="N214" s="312"/>
      <c r="O214" s="2"/>
      <c r="P214" s="2"/>
    </row>
    <row r="215" spans="2:16" s="144" customFormat="1" ht="24.75" customHeight="1" x14ac:dyDescent="0.2">
      <c r="B215" s="331"/>
      <c r="C215" s="211" t="s">
        <v>419</v>
      </c>
      <c r="D215" s="304" t="s">
        <v>402</v>
      </c>
      <c r="E215" s="304"/>
      <c r="F215" s="304"/>
      <c r="G215" s="304"/>
      <c r="H215" s="215" t="s">
        <v>140</v>
      </c>
      <c r="I215" s="140">
        <v>6</v>
      </c>
      <c r="J215" s="140">
        <v>308.55</v>
      </c>
      <c r="K215" s="28">
        <f t="shared" si="26"/>
        <v>1851.3</v>
      </c>
      <c r="L215" s="29">
        <f t="shared" si="27"/>
        <v>16.229508196721309</v>
      </c>
      <c r="M215" s="341"/>
      <c r="N215" s="312"/>
      <c r="O215" s="2"/>
      <c r="P215" s="2"/>
    </row>
    <row r="216" spans="2:16" s="144" customFormat="1" ht="24.75" customHeight="1" x14ac:dyDescent="0.2">
      <c r="B216" s="331"/>
      <c r="C216" s="211" t="s">
        <v>420</v>
      </c>
      <c r="D216" s="304" t="s">
        <v>403</v>
      </c>
      <c r="E216" s="304"/>
      <c r="F216" s="304"/>
      <c r="G216" s="304"/>
      <c r="H216" s="215" t="s">
        <v>140</v>
      </c>
      <c r="I216" s="140">
        <v>8</v>
      </c>
      <c r="J216" s="140">
        <v>72.600000000000009</v>
      </c>
      <c r="K216" s="28">
        <f t="shared" si="26"/>
        <v>580.79999999999995</v>
      </c>
      <c r="L216" s="29">
        <f t="shared" si="27"/>
        <v>5.0916104146576648</v>
      </c>
      <c r="M216" s="341"/>
      <c r="N216" s="312"/>
      <c r="O216" s="2"/>
      <c r="P216" s="2"/>
    </row>
    <row r="217" spans="2:16" s="144" customFormat="1" ht="24.75" customHeight="1" x14ac:dyDescent="0.2">
      <c r="B217" s="331"/>
      <c r="C217" s="211" t="s">
        <v>421</v>
      </c>
      <c r="D217" s="304" t="s">
        <v>404</v>
      </c>
      <c r="E217" s="304"/>
      <c r="F217" s="304"/>
      <c r="G217" s="304"/>
      <c r="H217" s="215" t="s">
        <v>140</v>
      </c>
      <c r="I217" s="140">
        <v>6</v>
      </c>
      <c r="J217" s="140">
        <v>138.60000000000002</v>
      </c>
      <c r="K217" s="28">
        <f t="shared" si="26"/>
        <v>831.6</v>
      </c>
      <c r="L217" s="29">
        <f t="shared" si="27"/>
        <v>7.2902603664416574</v>
      </c>
      <c r="M217" s="341"/>
      <c r="N217" s="312"/>
      <c r="O217" s="2"/>
      <c r="P217" s="2"/>
    </row>
    <row r="218" spans="2:16" s="144" customFormat="1" ht="24.75" customHeight="1" x14ac:dyDescent="0.2">
      <c r="B218" s="331"/>
      <c r="C218" s="211" t="s">
        <v>422</v>
      </c>
      <c r="D218" s="304" t="s">
        <v>405</v>
      </c>
      <c r="E218" s="304"/>
      <c r="F218" s="304"/>
      <c r="G218" s="304"/>
      <c r="H218" s="215" t="s">
        <v>140</v>
      </c>
      <c r="I218" s="140">
        <v>6</v>
      </c>
      <c r="J218" s="140">
        <v>182.05</v>
      </c>
      <c r="K218" s="28">
        <f t="shared" si="26"/>
        <v>1092.3</v>
      </c>
      <c r="L218" s="29">
        <f t="shared" si="27"/>
        <v>9.5756991321118594</v>
      </c>
      <c r="M218" s="341"/>
      <c r="N218" s="312"/>
      <c r="O218" s="2"/>
      <c r="P218" s="2"/>
    </row>
    <row r="219" spans="2:16" s="144" customFormat="1" ht="24.75" customHeight="1" x14ac:dyDescent="0.2">
      <c r="B219" s="331"/>
      <c r="C219" s="211" t="s">
        <v>423</v>
      </c>
      <c r="D219" s="304" t="s">
        <v>406</v>
      </c>
      <c r="E219" s="304"/>
      <c r="F219" s="304"/>
      <c r="G219" s="304"/>
      <c r="H219" s="215" t="s">
        <v>140</v>
      </c>
      <c r="I219" s="140">
        <v>2</v>
      </c>
      <c r="J219" s="140">
        <v>215.05</v>
      </c>
      <c r="K219" s="28">
        <f t="shared" si="26"/>
        <v>430.1</v>
      </c>
      <c r="L219" s="29">
        <f t="shared" si="27"/>
        <v>3.7704918032786878</v>
      </c>
      <c r="M219" s="341"/>
      <c r="N219" s="312"/>
      <c r="O219" s="2"/>
      <c r="P219" s="2"/>
    </row>
    <row r="220" spans="2:16" s="144" customFormat="1" ht="24.75" customHeight="1" x14ac:dyDescent="0.2">
      <c r="B220" s="331"/>
      <c r="C220" s="211" t="s">
        <v>424</v>
      </c>
      <c r="D220" s="304" t="s">
        <v>407</v>
      </c>
      <c r="E220" s="304"/>
      <c r="F220" s="304"/>
      <c r="G220" s="304"/>
      <c r="H220" s="215" t="s">
        <v>140</v>
      </c>
      <c r="I220" s="140">
        <v>4</v>
      </c>
      <c r="J220" s="140">
        <v>253.55</v>
      </c>
      <c r="K220" s="28">
        <f t="shared" si="26"/>
        <v>1014.2</v>
      </c>
      <c r="L220" s="29">
        <f t="shared" si="27"/>
        <v>8.8910318225650897</v>
      </c>
      <c r="M220" s="341"/>
      <c r="N220" s="312"/>
      <c r="O220" s="2"/>
      <c r="P220" s="2"/>
    </row>
    <row r="221" spans="2:16" s="144" customFormat="1" ht="24.75" customHeight="1" x14ac:dyDescent="0.2">
      <c r="B221" s="331"/>
      <c r="C221" s="211" t="s">
        <v>425</v>
      </c>
      <c r="D221" s="304" t="s">
        <v>408</v>
      </c>
      <c r="E221" s="304"/>
      <c r="F221" s="304"/>
      <c r="G221" s="304"/>
      <c r="H221" s="215" t="s">
        <v>140</v>
      </c>
      <c r="I221" s="140">
        <v>4</v>
      </c>
      <c r="J221" s="140">
        <v>50.6</v>
      </c>
      <c r="K221" s="28">
        <f t="shared" si="26"/>
        <v>202.4</v>
      </c>
      <c r="L221" s="29">
        <f t="shared" si="27"/>
        <v>1.7743490838958531</v>
      </c>
      <c r="M221" s="341"/>
      <c r="N221" s="312"/>
      <c r="O221" s="2"/>
      <c r="P221" s="2"/>
    </row>
    <row r="222" spans="2:16" s="144" customFormat="1" ht="24.75" customHeight="1" x14ac:dyDescent="0.2">
      <c r="B222" s="331"/>
      <c r="C222" s="211" t="s">
        <v>426</v>
      </c>
      <c r="D222" s="304" t="s">
        <v>409</v>
      </c>
      <c r="E222" s="304"/>
      <c r="F222" s="304"/>
      <c r="G222" s="304"/>
      <c r="H222" s="215" t="s">
        <v>140</v>
      </c>
      <c r="I222" s="140">
        <v>4</v>
      </c>
      <c r="J222" s="140">
        <v>72.709999999999994</v>
      </c>
      <c r="K222" s="28">
        <f t="shared" si="26"/>
        <v>290.83999999999997</v>
      </c>
      <c r="L222" s="29">
        <f t="shared" si="27"/>
        <v>2.5496624879459975</v>
      </c>
      <c r="M222" s="341"/>
      <c r="N222" s="312"/>
      <c r="O222" s="2"/>
      <c r="P222" s="2"/>
    </row>
    <row r="223" spans="2:16" s="144" customFormat="1" ht="24.75" customHeight="1" x14ac:dyDescent="0.2">
      <c r="B223" s="331"/>
      <c r="C223" s="211" t="s">
        <v>429</v>
      </c>
      <c r="D223" s="304" t="s">
        <v>410</v>
      </c>
      <c r="E223" s="304"/>
      <c r="F223" s="304"/>
      <c r="G223" s="304"/>
      <c r="H223" s="215" t="s">
        <v>140</v>
      </c>
      <c r="I223" s="140">
        <v>6</v>
      </c>
      <c r="J223" s="140">
        <v>70.290000000000006</v>
      </c>
      <c r="K223" s="28">
        <f t="shared" si="26"/>
        <v>421.74</v>
      </c>
      <c r="L223" s="29">
        <f t="shared" si="27"/>
        <v>3.6972034715525548</v>
      </c>
      <c r="M223" s="341"/>
      <c r="N223" s="312"/>
      <c r="O223" s="2"/>
      <c r="P223" s="2"/>
    </row>
    <row r="224" spans="2:16" s="144" customFormat="1" ht="24.75" customHeight="1" x14ac:dyDescent="0.2">
      <c r="B224" s="331"/>
      <c r="C224" s="211" t="s">
        <v>427</v>
      </c>
      <c r="D224" s="304" t="s">
        <v>411</v>
      </c>
      <c r="E224" s="304"/>
      <c r="F224" s="304"/>
      <c r="G224" s="304"/>
      <c r="H224" s="215" t="s">
        <v>140</v>
      </c>
      <c r="I224" s="140">
        <v>2</v>
      </c>
      <c r="J224" s="140">
        <v>39.6</v>
      </c>
      <c r="K224" s="28">
        <f t="shared" si="26"/>
        <v>79.2</v>
      </c>
      <c r="L224" s="29">
        <f t="shared" si="27"/>
        <v>0.69431051108968167</v>
      </c>
      <c r="M224" s="341"/>
      <c r="N224" s="312"/>
      <c r="O224" s="2"/>
      <c r="P224" s="2"/>
    </row>
    <row r="225" spans="2:16" s="144" customFormat="1" ht="24.75" customHeight="1" x14ac:dyDescent="0.2">
      <c r="B225" s="331"/>
      <c r="C225" s="211" t="s">
        <v>428</v>
      </c>
      <c r="D225" s="304" t="s">
        <v>412</v>
      </c>
      <c r="E225" s="304"/>
      <c r="F225" s="304"/>
      <c r="G225" s="304"/>
      <c r="H225" s="215" t="s">
        <v>140</v>
      </c>
      <c r="I225" s="140">
        <v>2</v>
      </c>
      <c r="J225" s="140">
        <v>50.710000000000008</v>
      </c>
      <c r="K225" s="28">
        <f t="shared" si="26"/>
        <v>101.42</v>
      </c>
      <c r="L225" s="29">
        <f t="shared" si="27"/>
        <v>0.88910318225650897</v>
      </c>
      <c r="M225" s="342"/>
      <c r="N225" s="312"/>
      <c r="O225" s="2"/>
      <c r="P225" s="2"/>
    </row>
    <row r="226" spans="2:16" ht="12" customHeight="1" x14ac:dyDescent="0.2">
      <c r="B226" s="331"/>
      <c r="C226" s="269" t="s">
        <v>21</v>
      </c>
      <c r="D226" s="270"/>
      <c r="E226" s="270"/>
      <c r="F226" s="270"/>
      <c r="G226" s="271"/>
      <c r="H226" s="269"/>
      <c r="I226" s="270"/>
      <c r="J226" s="271"/>
      <c r="K226" s="289">
        <f>SUM(K209:K225)</f>
        <v>11407.000000000002</v>
      </c>
      <c r="L226" s="338">
        <f>SUM(L209:L225)</f>
        <v>99.999999999999986</v>
      </c>
      <c r="M226" s="275">
        <f>IF(K$299=0,0,100*K226/K$299)</f>
        <v>1.6316933058562688</v>
      </c>
      <c r="N226" s="312"/>
    </row>
    <row r="227" spans="2:16" ht="12" customHeight="1" x14ac:dyDescent="0.2">
      <c r="B227" s="331"/>
      <c r="C227" s="272"/>
      <c r="D227" s="273"/>
      <c r="E227" s="273"/>
      <c r="F227" s="273"/>
      <c r="G227" s="274"/>
      <c r="H227" s="272"/>
      <c r="I227" s="273"/>
      <c r="J227" s="274"/>
      <c r="K227" s="290"/>
      <c r="L227" s="339"/>
      <c r="M227" s="277"/>
      <c r="N227" s="312"/>
    </row>
    <row r="228" spans="2:16" ht="35.25" customHeight="1" x14ac:dyDescent="0.2">
      <c r="B228" s="331" t="s">
        <v>436</v>
      </c>
      <c r="C228" s="211" t="s">
        <v>437</v>
      </c>
      <c r="D228" s="304" t="s">
        <v>431</v>
      </c>
      <c r="E228" s="304"/>
      <c r="F228" s="304"/>
      <c r="G228" s="304"/>
      <c r="H228" s="215" t="s">
        <v>140</v>
      </c>
      <c r="I228" s="140">
        <v>2</v>
      </c>
      <c r="J228" s="140">
        <v>438</v>
      </c>
      <c r="K228" s="28">
        <f t="shared" ref="K228:K232" si="28">ROUND(I228*J228,2)</f>
        <v>876</v>
      </c>
      <c r="L228" s="29">
        <f>IF(K$233=0,0,100*K228/K$233)</f>
        <v>58.784055831432021</v>
      </c>
      <c r="M228" s="275"/>
      <c r="N228" s="312"/>
    </row>
    <row r="229" spans="2:16" ht="35.25" customHeight="1" x14ac:dyDescent="0.2">
      <c r="B229" s="331"/>
      <c r="C229" s="211" t="s">
        <v>438</v>
      </c>
      <c r="D229" s="304" t="s">
        <v>432</v>
      </c>
      <c r="E229" s="304"/>
      <c r="F229" s="304"/>
      <c r="G229" s="304"/>
      <c r="H229" s="215" t="s">
        <v>140</v>
      </c>
      <c r="I229" s="140">
        <v>2</v>
      </c>
      <c r="J229" s="140">
        <v>98.010000000000019</v>
      </c>
      <c r="K229" s="28">
        <f t="shared" si="28"/>
        <v>196.02</v>
      </c>
      <c r="L229" s="29">
        <f t="shared" ref="L229:L232" si="29">IF(K$233=0,0,100*K229/K$233)</f>
        <v>13.153939068581398</v>
      </c>
      <c r="M229" s="276"/>
      <c r="N229" s="312"/>
    </row>
    <row r="230" spans="2:16" ht="35.25" customHeight="1" x14ac:dyDescent="0.2">
      <c r="B230" s="331"/>
      <c r="C230" s="211" t="s">
        <v>439</v>
      </c>
      <c r="D230" s="304" t="s">
        <v>433</v>
      </c>
      <c r="E230" s="304"/>
      <c r="F230" s="304"/>
      <c r="G230" s="304"/>
      <c r="H230" s="215" t="s">
        <v>22</v>
      </c>
      <c r="I230" s="140">
        <v>2</v>
      </c>
      <c r="J230" s="140">
        <v>186.36750000000004</v>
      </c>
      <c r="K230" s="28">
        <f t="shared" si="28"/>
        <v>372.74</v>
      </c>
      <c r="L230" s="29">
        <f t="shared" si="29"/>
        <v>25.012749966447455</v>
      </c>
      <c r="M230" s="276"/>
      <c r="N230" s="312"/>
    </row>
    <row r="231" spans="2:16" ht="35.25" customHeight="1" x14ac:dyDescent="0.2">
      <c r="B231" s="331"/>
      <c r="C231" s="211" t="s">
        <v>440</v>
      </c>
      <c r="D231" s="304" t="s">
        <v>434</v>
      </c>
      <c r="E231" s="304"/>
      <c r="F231" s="304"/>
      <c r="G231" s="304"/>
      <c r="H231" s="215" t="s">
        <v>140</v>
      </c>
      <c r="I231" s="140">
        <v>2</v>
      </c>
      <c r="J231" s="140">
        <v>10.395000000000001</v>
      </c>
      <c r="K231" s="28">
        <f t="shared" si="28"/>
        <v>20.79</v>
      </c>
      <c r="L231" s="29">
        <f t="shared" si="29"/>
        <v>1.3951147496980272</v>
      </c>
      <c r="M231" s="276"/>
      <c r="N231" s="312"/>
    </row>
    <row r="232" spans="2:16" ht="35.25" customHeight="1" x14ac:dyDescent="0.2">
      <c r="B232" s="331"/>
      <c r="C232" s="211" t="s">
        <v>441</v>
      </c>
      <c r="D232" s="304" t="s">
        <v>435</v>
      </c>
      <c r="E232" s="304"/>
      <c r="F232" s="304"/>
      <c r="G232" s="304"/>
      <c r="H232" s="215" t="s">
        <v>140</v>
      </c>
      <c r="I232" s="140">
        <v>2</v>
      </c>
      <c r="J232" s="140">
        <v>12.325500000000003</v>
      </c>
      <c r="K232" s="28">
        <f t="shared" si="28"/>
        <v>24.65</v>
      </c>
      <c r="L232" s="29">
        <f t="shared" si="29"/>
        <v>1.6541403838410951</v>
      </c>
      <c r="M232" s="277"/>
      <c r="N232" s="312"/>
    </row>
    <row r="233" spans="2:16" ht="35.25" customHeight="1" x14ac:dyDescent="0.2">
      <c r="B233" s="331"/>
      <c r="C233" s="269" t="s">
        <v>21</v>
      </c>
      <c r="D233" s="270"/>
      <c r="E233" s="270"/>
      <c r="F233" s="270"/>
      <c r="G233" s="271"/>
      <c r="H233" s="269"/>
      <c r="I233" s="270"/>
      <c r="J233" s="271"/>
      <c r="K233" s="289">
        <f>SUM(K228:K232)</f>
        <v>1490.2</v>
      </c>
      <c r="L233" s="307">
        <f>SUM(L228:L232)</f>
        <v>100</v>
      </c>
      <c r="M233" s="275">
        <f>IF(K$299=0,0,100*K233/K$299)</f>
        <v>0.21316291438476473</v>
      </c>
      <c r="N233" s="312"/>
    </row>
    <row r="234" spans="2:16" ht="35.25" customHeight="1" x14ac:dyDescent="0.2">
      <c r="B234" s="331"/>
      <c r="C234" s="272"/>
      <c r="D234" s="273"/>
      <c r="E234" s="273"/>
      <c r="F234" s="273"/>
      <c r="G234" s="274"/>
      <c r="H234" s="272"/>
      <c r="I234" s="273"/>
      <c r="J234" s="274"/>
      <c r="K234" s="290"/>
      <c r="L234" s="308"/>
      <c r="M234" s="277"/>
      <c r="N234" s="312"/>
    </row>
    <row r="235" spans="2:16" s="144" customFormat="1" ht="21.75" customHeight="1" x14ac:dyDescent="0.2">
      <c r="B235" s="331" t="s">
        <v>524</v>
      </c>
      <c r="C235" s="143"/>
      <c r="D235" s="343" t="s">
        <v>442</v>
      </c>
      <c r="E235" s="343"/>
      <c r="F235" s="343"/>
      <c r="G235" s="343"/>
      <c r="H235" s="344"/>
      <c r="I235" s="345"/>
      <c r="J235" s="345"/>
      <c r="K235" s="345"/>
      <c r="L235" s="346"/>
      <c r="M235" s="340"/>
      <c r="N235" s="312"/>
      <c r="O235" s="2"/>
      <c r="P235" s="2"/>
    </row>
    <row r="236" spans="2:16" s="144" customFormat="1" ht="21.75" customHeight="1" x14ac:dyDescent="0.2">
      <c r="B236" s="331"/>
      <c r="C236" s="211" t="s">
        <v>486</v>
      </c>
      <c r="D236" s="304" t="s">
        <v>443</v>
      </c>
      <c r="E236" s="304"/>
      <c r="F236" s="304"/>
      <c r="G236" s="304"/>
      <c r="H236" s="215" t="s">
        <v>140</v>
      </c>
      <c r="I236" s="140">
        <v>2</v>
      </c>
      <c r="J236" s="140">
        <v>414.01800000000003</v>
      </c>
      <c r="K236" s="28">
        <f t="shared" ref="K236:K264" si="30">ROUND(I236*J236,2)</f>
        <v>828.04</v>
      </c>
      <c r="L236" s="29">
        <f>IF(K$278=0,0,100*K236/K$278)</f>
        <v>3.6314772469118588</v>
      </c>
      <c r="M236" s="341"/>
      <c r="N236" s="312"/>
      <c r="O236" s="2"/>
      <c r="P236" s="2"/>
    </row>
    <row r="237" spans="2:16" s="144" customFormat="1" ht="21.75" customHeight="1" x14ac:dyDescent="0.2">
      <c r="B237" s="331"/>
      <c r="C237" s="211" t="s">
        <v>487</v>
      </c>
      <c r="D237" s="304" t="s">
        <v>444</v>
      </c>
      <c r="E237" s="304"/>
      <c r="F237" s="304"/>
      <c r="G237" s="304"/>
      <c r="H237" s="215" t="s">
        <v>140</v>
      </c>
      <c r="I237" s="140">
        <v>7</v>
      </c>
      <c r="J237" s="140">
        <v>11.561</v>
      </c>
      <c r="K237" s="28">
        <f t="shared" si="30"/>
        <v>80.930000000000007</v>
      </c>
      <c r="L237" s="29">
        <f t="shared" ref="L237:L264" si="31">IF(K$278=0,0,100*K237/K$278)</f>
        <v>0.35492905365994004</v>
      </c>
      <c r="M237" s="341"/>
      <c r="N237" s="312"/>
      <c r="O237" s="2"/>
      <c r="P237" s="2"/>
    </row>
    <row r="238" spans="2:16" s="144" customFormat="1" ht="21.75" customHeight="1" x14ac:dyDescent="0.2">
      <c r="B238" s="331"/>
      <c r="C238" s="211" t="s">
        <v>488</v>
      </c>
      <c r="D238" s="304" t="s">
        <v>445</v>
      </c>
      <c r="E238" s="304"/>
      <c r="F238" s="304"/>
      <c r="G238" s="304"/>
      <c r="H238" s="215" t="s">
        <v>140</v>
      </c>
      <c r="I238" s="140">
        <v>5</v>
      </c>
      <c r="J238" s="140">
        <v>13.596</v>
      </c>
      <c r="K238" s="28">
        <f t="shared" si="30"/>
        <v>67.98</v>
      </c>
      <c r="L238" s="29">
        <f t="shared" si="31"/>
        <v>0.2981351423180863</v>
      </c>
      <c r="M238" s="341"/>
      <c r="N238" s="312"/>
      <c r="O238" s="2"/>
      <c r="P238" s="2"/>
    </row>
    <row r="239" spans="2:16" s="144" customFormat="1" ht="21.75" customHeight="1" x14ac:dyDescent="0.2">
      <c r="B239" s="331"/>
      <c r="C239" s="211" t="s">
        <v>489</v>
      </c>
      <c r="D239" s="304" t="s">
        <v>446</v>
      </c>
      <c r="E239" s="304"/>
      <c r="F239" s="304"/>
      <c r="G239" s="304"/>
      <c r="H239" s="215" t="s">
        <v>140</v>
      </c>
      <c r="I239" s="140">
        <v>8</v>
      </c>
      <c r="J239" s="140">
        <v>15.565000000000001</v>
      </c>
      <c r="K239" s="28">
        <f t="shared" si="30"/>
        <v>124.52</v>
      </c>
      <c r="L239" s="29">
        <f t="shared" si="31"/>
        <v>0.54609867492568553</v>
      </c>
      <c r="M239" s="341"/>
      <c r="N239" s="312"/>
      <c r="O239" s="2"/>
      <c r="P239" s="2"/>
    </row>
    <row r="240" spans="2:16" s="144" customFormat="1" ht="21.75" customHeight="1" x14ac:dyDescent="0.2">
      <c r="B240" s="331"/>
      <c r="C240" s="211" t="s">
        <v>490</v>
      </c>
      <c r="D240" s="304" t="s">
        <v>447</v>
      </c>
      <c r="E240" s="304"/>
      <c r="F240" s="304"/>
      <c r="G240" s="304"/>
      <c r="H240" s="215" t="s">
        <v>140</v>
      </c>
      <c r="I240" s="140">
        <v>2</v>
      </c>
      <c r="J240" s="140">
        <v>19.03</v>
      </c>
      <c r="K240" s="28">
        <f t="shared" si="30"/>
        <v>38.06</v>
      </c>
      <c r="L240" s="29">
        <f t="shared" si="31"/>
        <v>0.16691708615219716</v>
      </c>
      <c r="M240" s="341"/>
      <c r="N240" s="312"/>
      <c r="O240" s="2"/>
      <c r="P240" s="2"/>
    </row>
    <row r="241" spans="2:16" s="144" customFormat="1" ht="21.75" customHeight="1" x14ac:dyDescent="0.2">
      <c r="B241" s="331"/>
      <c r="C241" s="211" t="s">
        <v>491</v>
      </c>
      <c r="D241" s="304" t="s">
        <v>448</v>
      </c>
      <c r="E241" s="304"/>
      <c r="F241" s="304"/>
      <c r="G241" s="304"/>
      <c r="H241" s="215" t="s">
        <v>140</v>
      </c>
      <c r="I241" s="140">
        <v>1</v>
      </c>
      <c r="J241" s="140">
        <v>22.583000000000002</v>
      </c>
      <c r="K241" s="28">
        <f t="shared" si="30"/>
        <v>22.58</v>
      </c>
      <c r="L241" s="29">
        <f t="shared" si="31"/>
        <v>9.9027530355139573E-2</v>
      </c>
      <c r="M241" s="341"/>
      <c r="N241" s="312"/>
      <c r="O241" s="2"/>
      <c r="P241" s="2"/>
    </row>
    <row r="242" spans="2:16" s="144" customFormat="1" ht="21.75" customHeight="1" x14ac:dyDescent="0.2">
      <c r="B242" s="331"/>
      <c r="C242" s="211" t="s">
        <v>492</v>
      </c>
      <c r="D242" s="304" t="s">
        <v>449</v>
      </c>
      <c r="E242" s="304"/>
      <c r="F242" s="304"/>
      <c r="G242" s="304"/>
      <c r="H242" s="215" t="s">
        <v>140</v>
      </c>
      <c r="I242" s="140">
        <v>1</v>
      </c>
      <c r="J242" s="140">
        <v>72.600000000000009</v>
      </c>
      <c r="K242" s="28">
        <f t="shared" si="30"/>
        <v>72.599999999999994</v>
      </c>
      <c r="L242" s="29">
        <f t="shared" si="31"/>
        <v>0.31839675393193678</v>
      </c>
      <c r="M242" s="341"/>
      <c r="N242" s="312"/>
      <c r="O242" s="2"/>
      <c r="P242" s="2"/>
    </row>
    <row r="243" spans="2:16" s="144" customFormat="1" ht="21.75" customHeight="1" x14ac:dyDescent="0.2">
      <c r="B243" s="331"/>
      <c r="C243" s="143"/>
      <c r="D243" s="343" t="s">
        <v>450</v>
      </c>
      <c r="E243" s="343"/>
      <c r="F243" s="343"/>
      <c r="G243" s="343"/>
      <c r="H243" s="297"/>
      <c r="I243" s="298"/>
      <c r="J243" s="298"/>
      <c r="K243" s="298"/>
      <c r="L243" s="305"/>
      <c r="M243" s="341"/>
      <c r="N243" s="312"/>
      <c r="O243" s="2"/>
      <c r="P243" s="2"/>
    </row>
    <row r="244" spans="2:16" s="144" customFormat="1" ht="21.75" customHeight="1" x14ac:dyDescent="0.2">
      <c r="B244" s="331"/>
      <c r="C244" s="211" t="s">
        <v>493</v>
      </c>
      <c r="D244" s="304" t="s">
        <v>451</v>
      </c>
      <c r="E244" s="304"/>
      <c r="F244" s="304"/>
      <c r="G244" s="304"/>
      <c r="H244" s="215" t="s">
        <v>26</v>
      </c>
      <c r="I244" s="140">
        <v>28</v>
      </c>
      <c r="J244" s="140">
        <v>5.016</v>
      </c>
      <c r="K244" s="28">
        <f t="shared" si="30"/>
        <v>140.44999999999999</v>
      </c>
      <c r="L244" s="29">
        <f t="shared" si="31"/>
        <v>0.61596176432149474</v>
      </c>
      <c r="M244" s="341"/>
      <c r="N244" s="312"/>
      <c r="O244" s="2"/>
      <c r="P244" s="2"/>
    </row>
    <row r="245" spans="2:16" s="144" customFormat="1" ht="21.75" customHeight="1" x14ac:dyDescent="0.2">
      <c r="B245" s="331"/>
      <c r="C245" s="211" t="s">
        <v>494</v>
      </c>
      <c r="D245" s="304" t="s">
        <v>452</v>
      </c>
      <c r="E245" s="304"/>
      <c r="F245" s="304"/>
      <c r="G245" s="304"/>
      <c r="H245" s="215" t="s">
        <v>26</v>
      </c>
      <c r="I245" s="140">
        <v>18</v>
      </c>
      <c r="J245" s="140">
        <v>5.5550000000000006</v>
      </c>
      <c r="K245" s="28">
        <f t="shared" si="30"/>
        <v>99.99</v>
      </c>
      <c r="L245" s="29">
        <f t="shared" si="31"/>
        <v>0.43851916564262206</v>
      </c>
      <c r="M245" s="341"/>
      <c r="N245" s="312"/>
      <c r="O245" s="2"/>
      <c r="P245" s="2"/>
    </row>
    <row r="246" spans="2:16" s="144" customFormat="1" ht="21.75" customHeight="1" x14ac:dyDescent="0.2">
      <c r="B246" s="331"/>
      <c r="C246" s="211" t="s">
        <v>495</v>
      </c>
      <c r="D246" s="304" t="s">
        <v>453</v>
      </c>
      <c r="E246" s="304"/>
      <c r="F246" s="304"/>
      <c r="G246" s="304"/>
      <c r="H246" s="215" t="s">
        <v>26</v>
      </c>
      <c r="I246" s="140">
        <v>18</v>
      </c>
      <c r="J246" s="140">
        <v>15.235000000000001</v>
      </c>
      <c r="K246" s="28">
        <f t="shared" si="30"/>
        <v>274.23</v>
      </c>
      <c r="L246" s="29">
        <f t="shared" si="31"/>
        <v>1.2026713750792704</v>
      </c>
      <c r="M246" s="341"/>
      <c r="N246" s="312"/>
      <c r="O246" s="2"/>
      <c r="P246" s="2"/>
    </row>
    <row r="247" spans="2:16" s="144" customFormat="1" ht="21.75" customHeight="1" x14ac:dyDescent="0.2">
      <c r="B247" s="331"/>
      <c r="C247" s="211" t="s">
        <v>496</v>
      </c>
      <c r="D247" s="304" t="s">
        <v>454</v>
      </c>
      <c r="E247" s="304"/>
      <c r="F247" s="304"/>
      <c r="G247" s="304"/>
      <c r="H247" s="215" t="s">
        <v>26</v>
      </c>
      <c r="I247" s="140">
        <v>82</v>
      </c>
      <c r="J247" s="140">
        <v>16.39</v>
      </c>
      <c r="K247" s="28">
        <f t="shared" si="30"/>
        <v>1343.98</v>
      </c>
      <c r="L247" s="29">
        <f t="shared" si="31"/>
        <v>5.894199302333945</v>
      </c>
      <c r="M247" s="341"/>
      <c r="N247" s="312"/>
      <c r="O247" s="2"/>
      <c r="P247" s="2"/>
    </row>
    <row r="248" spans="2:16" s="144" customFormat="1" ht="21.75" customHeight="1" x14ac:dyDescent="0.2">
      <c r="B248" s="331"/>
      <c r="C248" s="211" t="s">
        <v>497</v>
      </c>
      <c r="D248" s="304" t="s">
        <v>455</v>
      </c>
      <c r="E248" s="304"/>
      <c r="F248" s="304"/>
      <c r="G248" s="304"/>
      <c r="H248" s="215" t="s">
        <v>26</v>
      </c>
      <c r="I248" s="140">
        <v>13</v>
      </c>
      <c r="J248" s="140">
        <v>18.700000000000003</v>
      </c>
      <c r="K248" s="28">
        <f t="shared" si="30"/>
        <v>243.1</v>
      </c>
      <c r="L248" s="29">
        <f t="shared" si="31"/>
        <v>1.0661467063478489</v>
      </c>
      <c r="M248" s="341"/>
      <c r="N248" s="312"/>
      <c r="O248" s="2"/>
      <c r="P248" s="2"/>
    </row>
    <row r="249" spans="2:16" s="144" customFormat="1" ht="21.75" customHeight="1" x14ac:dyDescent="0.2">
      <c r="B249" s="331"/>
      <c r="C249" s="211" t="s">
        <v>498</v>
      </c>
      <c r="D249" s="304" t="s">
        <v>456</v>
      </c>
      <c r="E249" s="304"/>
      <c r="F249" s="304"/>
      <c r="G249" s="304"/>
      <c r="H249" s="215" t="s">
        <v>26</v>
      </c>
      <c r="I249" s="140">
        <v>30</v>
      </c>
      <c r="J249" s="140">
        <v>20.900000000000002</v>
      </c>
      <c r="K249" s="28">
        <f t="shared" si="30"/>
        <v>627</v>
      </c>
      <c r="L249" s="29">
        <f t="shared" si="31"/>
        <v>2.7497901475939996</v>
      </c>
      <c r="M249" s="341"/>
      <c r="N249" s="312"/>
      <c r="O249" s="2"/>
      <c r="P249" s="2"/>
    </row>
    <row r="250" spans="2:16" s="144" customFormat="1" ht="21.75" customHeight="1" x14ac:dyDescent="0.2">
      <c r="B250" s="331"/>
      <c r="C250" s="211" t="s">
        <v>499</v>
      </c>
      <c r="D250" s="304" t="s">
        <v>457</v>
      </c>
      <c r="E250" s="304"/>
      <c r="F250" s="304"/>
      <c r="G250" s="304"/>
      <c r="H250" s="215" t="s">
        <v>140</v>
      </c>
      <c r="I250" s="140">
        <v>16</v>
      </c>
      <c r="J250" s="140">
        <v>4.8289999999999997</v>
      </c>
      <c r="K250" s="28">
        <f t="shared" si="30"/>
        <v>77.260000000000005</v>
      </c>
      <c r="L250" s="29">
        <f t="shared" si="31"/>
        <v>0.33883379075456527</v>
      </c>
      <c r="M250" s="341"/>
      <c r="N250" s="312"/>
      <c r="O250" s="2"/>
      <c r="P250" s="2"/>
    </row>
    <row r="251" spans="2:16" s="144" customFormat="1" ht="21.75" customHeight="1" x14ac:dyDescent="0.2">
      <c r="B251" s="331"/>
      <c r="C251" s="211" t="s">
        <v>500</v>
      </c>
      <c r="D251" s="304" t="s">
        <v>458</v>
      </c>
      <c r="E251" s="304"/>
      <c r="F251" s="304"/>
      <c r="G251" s="304"/>
      <c r="H251" s="215" t="s">
        <v>140</v>
      </c>
      <c r="I251" s="140">
        <v>7</v>
      </c>
      <c r="J251" s="140">
        <v>6.0280000000000014</v>
      </c>
      <c r="K251" s="28">
        <f t="shared" si="30"/>
        <v>42.2</v>
      </c>
      <c r="L251" s="29">
        <f t="shared" si="31"/>
        <v>0.18507359526071257</v>
      </c>
      <c r="M251" s="341"/>
      <c r="N251" s="312"/>
      <c r="O251" s="2"/>
      <c r="P251" s="2"/>
    </row>
    <row r="252" spans="2:16" s="144" customFormat="1" ht="21.75" customHeight="1" x14ac:dyDescent="0.2">
      <c r="B252" s="331"/>
      <c r="C252" s="211" t="s">
        <v>501</v>
      </c>
      <c r="D252" s="304" t="s">
        <v>459</v>
      </c>
      <c r="E252" s="304"/>
      <c r="F252" s="304"/>
      <c r="G252" s="304"/>
      <c r="H252" s="215" t="s">
        <v>140</v>
      </c>
      <c r="I252" s="140">
        <v>5</v>
      </c>
      <c r="J252" s="140">
        <v>102.85000000000001</v>
      </c>
      <c r="K252" s="28">
        <f t="shared" si="30"/>
        <v>514.25</v>
      </c>
      <c r="L252" s="29">
        <f t="shared" si="31"/>
        <v>2.2553103403512189</v>
      </c>
      <c r="M252" s="341"/>
      <c r="N252" s="312"/>
      <c r="O252" s="2"/>
      <c r="P252" s="2"/>
    </row>
    <row r="253" spans="2:16" s="144" customFormat="1" ht="21.75" customHeight="1" x14ac:dyDescent="0.2">
      <c r="B253" s="331"/>
      <c r="C253" s="211" t="s">
        <v>502</v>
      </c>
      <c r="D253" s="304" t="s">
        <v>460</v>
      </c>
      <c r="E253" s="304"/>
      <c r="F253" s="304"/>
      <c r="G253" s="304"/>
      <c r="H253" s="215" t="s">
        <v>140</v>
      </c>
      <c r="I253" s="140">
        <v>5</v>
      </c>
      <c r="J253" s="140">
        <v>110.11</v>
      </c>
      <c r="K253" s="28">
        <f t="shared" si="30"/>
        <v>550.54999999999995</v>
      </c>
      <c r="L253" s="29">
        <f t="shared" si="31"/>
        <v>2.4145087173171871</v>
      </c>
      <c r="M253" s="341"/>
      <c r="N253" s="312"/>
      <c r="O253" s="2"/>
      <c r="P253" s="2"/>
    </row>
    <row r="254" spans="2:16" s="144" customFormat="1" ht="21.75" customHeight="1" x14ac:dyDescent="0.2">
      <c r="B254" s="331"/>
      <c r="C254" s="211" t="s">
        <v>503</v>
      </c>
      <c r="D254" s="304" t="s">
        <v>461</v>
      </c>
      <c r="E254" s="304"/>
      <c r="F254" s="304"/>
      <c r="G254" s="304"/>
      <c r="H254" s="215" t="s">
        <v>140</v>
      </c>
      <c r="I254" s="140">
        <v>4</v>
      </c>
      <c r="J254" s="140">
        <v>117.37000000000002</v>
      </c>
      <c r="K254" s="28">
        <f t="shared" si="30"/>
        <v>469.48</v>
      </c>
      <c r="L254" s="29">
        <f t="shared" si="31"/>
        <v>2.0589656754265246</v>
      </c>
      <c r="M254" s="341"/>
      <c r="N254" s="312"/>
      <c r="O254" s="2"/>
      <c r="P254" s="2"/>
    </row>
    <row r="255" spans="2:16" s="144" customFormat="1" ht="21.75" customHeight="1" x14ac:dyDescent="0.2">
      <c r="B255" s="331"/>
      <c r="C255" s="211" t="s">
        <v>504</v>
      </c>
      <c r="D255" s="304" t="s">
        <v>462</v>
      </c>
      <c r="E255" s="304"/>
      <c r="F255" s="304"/>
      <c r="G255" s="304"/>
      <c r="H255" s="215" t="s">
        <v>140</v>
      </c>
      <c r="I255" s="140">
        <v>1</v>
      </c>
      <c r="J255" s="140">
        <v>162.25</v>
      </c>
      <c r="K255" s="28">
        <f t="shared" si="30"/>
        <v>162.25</v>
      </c>
      <c r="L255" s="29">
        <f t="shared" si="31"/>
        <v>0.71156850310546482</v>
      </c>
      <c r="M255" s="341"/>
      <c r="N255" s="312"/>
      <c r="O255" s="2"/>
      <c r="P255" s="2"/>
    </row>
    <row r="256" spans="2:16" s="144" customFormat="1" ht="21.75" customHeight="1" x14ac:dyDescent="0.2">
      <c r="B256" s="331"/>
      <c r="C256" s="211" t="s">
        <v>505</v>
      </c>
      <c r="D256" s="304" t="s">
        <v>463</v>
      </c>
      <c r="E256" s="304"/>
      <c r="F256" s="304"/>
      <c r="G256" s="304"/>
      <c r="H256" s="215" t="s">
        <v>140</v>
      </c>
      <c r="I256" s="140">
        <v>50</v>
      </c>
      <c r="J256" s="140">
        <v>11</v>
      </c>
      <c r="K256" s="28">
        <f t="shared" si="30"/>
        <v>550</v>
      </c>
      <c r="L256" s="29">
        <f t="shared" si="31"/>
        <v>2.4120966206964911</v>
      </c>
      <c r="M256" s="341"/>
      <c r="N256" s="312"/>
      <c r="O256" s="2"/>
      <c r="P256" s="2"/>
    </row>
    <row r="257" spans="2:16" s="144" customFormat="1" ht="21.75" customHeight="1" x14ac:dyDescent="0.2">
      <c r="B257" s="331"/>
      <c r="C257" s="211" t="s">
        <v>506</v>
      </c>
      <c r="D257" s="304" t="s">
        <v>464</v>
      </c>
      <c r="E257" s="304"/>
      <c r="F257" s="304"/>
      <c r="G257" s="304"/>
      <c r="H257" s="215" t="s">
        <v>140</v>
      </c>
      <c r="I257" s="140">
        <v>4</v>
      </c>
      <c r="J257" s="140">
        <v>15.345000000000001</v>
      </c>
      <c r="K257" s="28">
        <f t="shared" si="30"/>
        <v>61.38</v>
      </c>
      <c r="L257" s="29">
        <f t="shared" si="31"/>
        <v>0.26918998286972839</v>
      </c>
      <c r="M257" s="341"/>
      <c r="N257" s="312"/>
      <c r="O257" s="2"/>
      <c r="P257" s="2"/>
    </row>
    <row r="258" spans="2:16" s="144" customFormat="1" ht="21.75" customHeight="1" x14ac:dyDescent="0.2">
      <c r="B258" s="331"/>
      <c r="C258" s="211" t="s">
        <v>507</v>
      </c>
      <c r="D258" s="304" t="s">
        <v>465</v>
      </c>
      <c r="E258" s="304"/>
      <c r="F258" s="304"/>
      <c r="G258" s="304"/>
      <c r="H258" s="215" t="s">
        <v>140</v>
      </c>
      <c r="I258" s="140">
        <v>4</v>
      </c>
      <c r="J258" s="140">
        <v>22.154000000000003</v>
      </c>
      <c r="K258" s="28">
        <f t="shared" si="30"/>
        <v>88.62</v>
      </c>
      <c r="L258" s="29">
        <f t="shared" si="31"/>
        <v>0.38865455004749638</v>
      </c>
      <c r="M258" s="341"/>
      <c r="N258" s="312"/>
      <c r="O258" s="2"/>
      <c r="P258" s="2"/>
    </row>
    <row r="259" spans="2:16" s="144" customFormat="1" ht="21.75" customHeight="1" x14ac:dyDescent="0.2">
      <c r="B259" s="331"/>
      <c r="C259" s="211" t="s">
        <v>508</v>
      </c>
      <c r="D259" s="304" t="s">
        <v>466</v>
      </c>
      <c r="E259" s="304"/>
      <c r="F259" s="304"/>
      <c r="G259" s="304"/>
      <c r="H259" s="215" t="s">
        <v>140</v>
      </c>
      <c r="I259" s="140">
        <v>15</v>
      </c>
      <c r="J259" s="140">
        <v>8.9870000000000001</v>
      </c>
      <c r="K259" s="28">
        <f t="shared" si="30"/>
        <v>134.81</v>
      </c>
      <c r="L259" s="29">
        <f t="shared" si="31"/>
        <v>0.59122680988380716</v>
      </c>
      <c r="M259" s="341"/>
      <c r="N259" s="312"/>
      <c r="O259" s="2"/>
      <c r="P259" s="2"/>
    </row>
    <row r="260" spans="2:16" s="144" customFormat="1" ht="21.75" customHeight="1" x14ac:dyDescent="0.2">
      <c r="B260" s="331"/>
      <c r="C260" s="211" t="s">
        <v>509</v>
      </c>
      <c r="D260" s="304" t="s">
        <v>467</v>
      </c>
      <c r="E260" s="304"/>
      <c r="F260" s="304"/>
      <c r="G260" s="304"/>
      <c r="H260" s="215" t="s">
        <v>140</v>
      </c>
      <c r="I260" s="140">
        <v>2</v>
      </c>
      <c r="J260" s="140">
        <v>10.218999999999999</v>
      </c>
      <c r="K260" s="28">
        <f t="shared" si="30"/>
        <v>20.440000000000001</v>
      </c>
      <c r="L260" s="29">
        <f t="shared" si="31"/>
        <v>8.9642281685520506E-2</v>
      </c>
      <c r="M260" s="341"/>
      <c r="N260" s="312"/>
      <c r="O260" s="2"/>
      <c r="P260" s="2"/>
    </row>
    <row r="261" spans="2:16" s="144" customFormat="1" ht="21.75" customHeight="1" x14ac:dyDescent="0.2">
      <c r="B261" s="331"/>
      <c r="C261" s="211" t="s">
        <v>510</v>
      </c>
      <c r="D261" s="304" t="s">
        <v>468</v>
      </c>
      <c r="E261" s="304"/>
      <c r="F261" s="304"/>
      <c r="G261" s="304"/>
      <c r="H261" s="215" t="s">
        <v>140</v>
      </c>
      <c r="I261" s="140">
        <v>1</v>
      </c>
      <c r="J261" s="140">
        <v>10.593000000000002</v>
      </c>
      <c r="K261" s="28">
        <f t="shared" si="30"/>
        <v>10.59</v>
      </c>
      <c r="L261" s="29">
        <f t="shared" si="31"/>
        <v>4.6443824023956068E-2</v>
      </c>
      <c r="M261" s="341"/>
      <c r="N261" s="312"/>
      <c r="O261" s="2"/>
      <c r="P261" s="2"/>
    </row>
    <row r="262" spans="2:16" s="144" customFormat="1" ht="21.75" customHeight="1" x14ac:dyDescent="0.2">
      <c r="B262" s="331"/>
      <c r="C262" s="211" t="s">
        <v>511</v>
      </c>
      <c r="D262" s="304" t="s">
        <v>469</v>
      </c>
      <c r="E262" s="304"/>
      <c r="F262" s="304"/>
      <c r="G262" s="304"/>
      <c r="H262" s="215" t="s">
        <v>485</v>
      </c>
      <c r="I262" s="140">
        <v>15</v>
      </c>
      <c r="J262" s="140">
        <v>5.346000000000001</v>
      </c>
      <c r="K262" s="28">
        <f t="shared" si="30"/>
        <v>80.19</v>
      </c>
      <c r="L262" s="29">
        <f t="shared" si="31"/>
        <v>0.3516836872975484</v>
      </c>
      <c r="M262" s="341"/>
      <c r="N262" s="312"/>
      <c r="O262" s="2"/>
      <c r="P262" s="2"/>
    </row>
    <row r="263" spans="2:16" s="144" customFormat="1" ht="21.75" customHeight="1" x14ac:dyDescent="0.2">
      <c r="B263" s="331"/>
      <c r="C263" s="211" t="s">
        <v>512</v>
      </c>
      <c r="D263" s="304" t="s">
        <v>470</v>
      </c>
      <c r="E263" s="304"/>
      <c r="F263" s="304"/>
      <c r="G263" s="304"/>
      <c r="H263" s="215" t="s">
        <v>485</v>
      </c>
      <c r="I263" s="140">
        <v>2</v>
      </c>
      <c r="J263" s="140">
        <v>7.7330000000000005</v>
      </c>
      <c r="K263" s="28">
        <f t="shared" si="30"/>
        <v>15.47</v>
      </c>
      <c r="L263" s="29">
        <f t="shared" si="31"/>
        <v>6.7845699494863118E-2</v>
      </c>
      <c r="M263" s="341"/>
      <c r="N263" s="312"/>
      <c r="O263" s="2"/>
      <c r="P263" s="2"/>
    </row>
    <row r="264" spans="2:16" s="144" customFormat="1" ht="21.75" customHeight="1" x14ac:dyDescent="0.2">
      <c r="B264" s="331"/>
      <c r="C264" s="211" t="s">
        <v>513</v>
      </c>
      <c r="D264" s="304" t="s">
        <v>471</v>
      </c>
      <c r="E264" s="304"/>
      <c r="F264" s="304"/>
      <c r="G264" s="304"/>
      <c r="H264" s="215" t="s">
        <v>485</v>
      </c>
      <c r="I264" s="140">
        <v>1</v>
      </c>
      <c r="J264" s="140">
        <v>8.9980000000000011</v>
      </c>
      <c r="K264" s="28">
        <f t="shared" si="30"/>
        <v>9</v>
      </c>
      <c r="L264" s="29">
        <f t="shared" si="31"/>
        <v>3.947067197503349E-2</v>
      </c>
      <c r="M264" s="341"/>
      <c r="N264" s="312"/>
      <c r="O264" s="2"/>
      <c r="P264" s="2"/>
    </row>
    <row r="265" spans="2:16" s="144" customFormat="1" ht="21.75" customHeight="1" x14ac:dyDescent="0.2">
      <c r="B265" s="331"/>
      <c r="C265" s="143"/>
      <c r="D265" s="343" t="s">
        <v>472</v>
      </c>
      <c r="E265" s="343"/>
      <c r="F265" s="343"/>
      <c r="G265" s="343"/>
      <c r="H265" s="297"/>
      <c r="I265" s="298"/>
      <c r="J265" s="298"/>
      <c r="K265" s="298"/>
      <c r="L265" s="305"/>
      <c r="M265" s="341"/>
      <c r="N265" s="312"/>
      <c r="O265" s="2"/>
      <c r="P265" s="2"/>
    </row>
    <row r="266" spans="2:16" s="144" customFormat="1" ht="21.75" customHeight="1" x14ac:dyDescent="0.2">
      <c r="B266" s="331"/>
      <c r="C266" s="143"/>
      <c r="D266" s="304" t="s">
        <v>473</v>
      </c>
      <c r="E266" s="304"/>
      <c r="F266" s="304"/>
      <c r="G266" s="304"/>
      <c r="H266" s="297"/>
      <c r="I266" s="298"/>
      <c r="J266" s="298"/>
      <c r="K266" s="298"/>
      <c r="L266" s="305"/>
      <c r="M266" s="341"/>
      <c r="N266" s="312"/>
      <c r="O266" s="2"/>
      <c r="P266" s="2"/>
    </row>
    <row r="267" spans="2:16" s="144" customFormat="1" ht="21.75" customHeight="1" x14ac:dyDescent="0.2">
      <c r="B267" s="331"/>
      <c r="C267" s="211" t="s">
        <v>514</v>
      </c>
      <c r="D267" s="304" t="s">
        <v>474</v>
      </c>
      <c r="E267" s="304"/>
      <c r="F267" s="304"/>
      <c r="G267" s="304"/>
      <c r="H267" s="215" t="s">
        <v>26</v>
      </c>
      <c r="I267" s="140">
        <v>190</v>
      </c>
      <c r="J267" s="140">
        <v>4.2240000000000002</v>
      </c>
      <c r="K267" s="28">
        <f t="shared" ref="K267:K277" si="32">ROUND(I267*J267,2)</f>
        <v>802.56</v>
      </c>
      <c r="L267" s="29">
        <f t="shared" ref="L267:L277" si="33">IF(K$278=0,0,100*K267/K$278)</f>
        <v>3.5197313889203197</v>
      </c>
      <c r="M267" s="341"/>
      <c r="N267" s="312"/>
      <c r="O267" s="2"/>
      <c r="P267" s="2"/>
    </row>
    <row r="268" spans="2:16" s="144" customFormat="1" ht="21.75" customHeight="1" x14ac:dyDescent="0.2">
      <c r="B268" s="331"/>
      <c r="C268" s="211" t="s">
        <v>515</v>
      </c>
      <c r="D268" s="304" t="s">
        <v>475</v>
      </c>
      <c r="E268" s="304"/>
      <c r="F268" s="304"/>
      <c r="G268" s="304"/>
      <c r="H268" s="215" t="s">
        <v>26</v>
      </c>
      <c r="I268" s="140">
        <v>820</v>
      </c>
      <c r="J268" s="140">
        <v>6.9740000000000002</v>
      </c>
      <c r="K268" s="28">
        <f t="shared" si="32"/>
        <v>5718.68</v>
      </c>
      <c r="L268" s="29">
        <f t="shared" si="33"/>
        <v>25.080015823353833</v>
      </c>
      <c r="M268" s="341"/>
      <c r="N268" s="312"/>
      <c r="O268" s="2"/>
      <c r="P268" s="2"/>
    </row>
    <row r="269" spans="2:16" s="144" customFormat="1" ht="21.75" customHeight="1" x14ac:dyDescent="0.2">
      <c r="B269" s="331"/>
      <c r="C269" s="211" t="s">
        <v>516</v>
      </c>
      <c r="D269" s="304" t="s">
        <v>476</v>
      </c>
      <c r="E269" s="304"/>
      <c r="F269" s="304"/>
      <c r="G269" s="304"/>
      <c r="H269" s="215" t="s">
        <v>26</v>
      </c>
      <c r="I269" s="140">
        <v>14</v>
      </c>
      <c r="J269" s="140">
        <v>11.506000000000002</v>
      </c>
      <c r="K269" s="28">
        <f t="shared" si="32"/>
        <v>161.08000000000001</v>
      </c>
      <c r="L269" s="29">
        <f t="shared" si="33"/>
        <v>0.7064373157487106</v>
      </c>
      <c r="M269" s="341"/>
      <c r="N269" s="312"/>
      <c r="O269" s="2"/>
      <c r="P269" s="2"/>
    </row>
    <row r="270" spans="2:16" s="144" customFormat="1" ht="21.75" customHeight="1" x14ac:dyDescent="0.2">
      <c r="B270" s="331"/>
      <c r="C270" s="211" t="s">
        <v>517</v>
      </c>
      <c r="D270" s="304" t="s">
        <v>477</v>
      </c>
      <c r="E270" s="304"/>
      <c r="F270" s="304"/>
      <c r="G270" s="304"/>
      <c r="H270" s="215" t="s">
        <v>26</v>
      </c>
      <c r="I270" s="140">
        <v>41</v>
      </c>
      <c r="J270" s="140">
        <v>20.119</v>
      </c>
      <c r="K270" s="28">
        <f t="shared" si="32"/>
        <v>824.88</v>
      </c>
      <c r="L270" s="29">
        <f t="shared" si="33"/>
        <v>3.6176186554184024</v>
      </c>
      <c r="M270" s="341"/>
      <c r="N270" s="312"/>
      <c r="O270" s="2"/>
      <c r="P270" s="2"/>
    </row>
    <row r="271" spans="2:16" s="144" customFormat="1" ht="21.75" customHeight="1" x14ac:dyDescent="0.2">
      <c r="B271" s="331"/>
      <c r="C271" s="143"/>
      <c r="D271" s="343" t="s">
        <v>478</v>
      </c>
      <c r="E271" s="343"/>
      <c r="F271" s="343"/>
      <c r="G271" s="343"/>
      <c r="H271" s="297"/>
      <c r="I271" s="298"/>
      <c r="J271" s="298"/>
      <c r="K271" s="298"/>
      <c r="L271" s="305"/>
      <c r="M271" s="341"/>
      <c r="N271" s="312"/>
      <c r="O271" s="2"/>
      <c r="P271" s="2"/>
    </row>
    <row r="272" spans="2:16" s="144" customFormat="1" ht="21.75" customHeight="1" x14ac:dyDescent="0.2">
      <c r="B272" s="331"/>
      <c r="C272" s="211" t="s">
        <v>518</v>
      </c>
      <c r="D272" s="304" t="s">
        <v>479</v>
      </c>
      <c r="E272" s="304"/>
      <c r="F272" s="304"/>
      <c r="G272" s="304"/>
      <c r="H272" s="215" t="s">
        <v>140</v>
      </c>
      <c r="I272" s="140">
        <v>4</v>
      </c>
      <c r="J272" s="140">
        <v>16.665000000000003</v>
      </c>
      <c r="K272" s="28">
        <f t="shared" si="32"/>
        <v>66.66</v>
      </c>
      <c r="L272" s="29">
        <f t="shared" si="33"/>
        <v>0.29234611042841468</v>
      </c>
      <c r="M272" s="341"/>
      <c r="N272" s="312"/>
      <c r="O272" s="2"/>
      <c r="P272" s="2"/>
    </row>
    <row r="273" spans="2:16" s="144" customFormat="1" ht="21.75" customHeight="1" x14ac:dyDescent="0.2">
      <c r="B273" s="331"/>
      <c r="C273" s="211" t="s">
        <v>519</v>
      </c>
      <c r="D273" s="304" t="s">
        <v>480</v>
      </c>
      <c r="E273" s="304"/>
      <c r="F273" s="304"/>
      <c r="G273" s="304"/>
      <c r="H273" s="215" t="s">
        <v>140</v>
      </c>
      <c r="I273" s="140">
        <v>1</v>
      </c>
      <c r="J273" s="140">
        <v>21.01</v>
      </c>
      <c r="K273" s="28">
        <f t="shared" si="32"/>
        <v>21.01</v>
      </c>
      <c r="L273" s="29">
        <f t="shared" si="33"/>
        <v>9.2142090910605948E-2</v>
      </c>
      <c r="M273" s="341"/>
      <c r="N273" s="312"/>
      <c r="O273" s="2"/>
      <c r="P273" s="2"/>
    </row>
    <row r="274" spans="2:16" s="144" customFormat="1" ht="21.75" customHeight="1" x14ac:dyDescent="0.2">
      <c r="B274" s="331"/>
      <c r="C274" s="211" t="s">
        <v>520</v>
      </c>
      <c r="D274" s="304" t="s">
        <v>481</v>
      </c>
      <c r="E274" s="304"/>
      <c r="F274" s="304"/>
      <c r="G274" s="304"/>
      <c r="H274" s="215" t="s">
        <v>140</v>
      </c>
      <c r="I274" s="140">
        <v>7</v>
      </c>
      <c r="J274" s="140">
        <v>30.833000000000006</v>
      </c>
      <c r="K274" s="28">
        <f t="shared" si="32"/>
        <v>215.83</v>
      </c>
      <c r="L274" s="29">
        <f t="shared" si="33"/>
        <v>0.94655057026349754</v>
      </c>
      <c r="M274" s="341"/>
      <c r="N274" s="312"/>
      <c r="O274" s="2"/>
      <c r="P274" s="2"/>
    </row>
    <row r="275" spans="2:16" s="144" customFormat="1" ht="21.75" customHeight="1" x14ac:dyDescent="0.2">
      <c r="B275" s="331"/>
      <c r="C275" s="211" t="s">
        <v>521</v>
      </c>
      <c r="D275" s="304" t="s">
        <v>482</v>
      </c>
      <c r="E275" s="304"/>
      <c r="F275" s="304"/>
      <c r="G275" s="304"/>
      <c r="H275" s="215" t="s">
        <v>140</v>
      </c>
      <c r="I275" s="140">
        <v>6</v>
      </c>
      <c r="J275" s="140">
        <v>90.91500000000002</v>
      </c>
      <c r="K275" s="28">
        <f t="shared" si="32"/>
        <v>545.49</v>
      </c>
      <c r="L275" s="29">
        <f t="shared" si="33"/>
        <v>2.3923174284067796</v>
      </c>
      <c r="M275" s="341"/>
      <c r="N275" s="312"/>
      <c r="O275" s="2"/>
      <c r="P275" s="2"/>
    </row>
    <row r="276" spans="2:16" s="144" customFormat="1" ht="21.75" customHeight="1" x14ac:dyDescent="0.2">
      <c r="B276" s="331"/>
      <c r="C276" s="211" t="s">
        <v>522</v>
      </c>
      <c r="D276" s="304" t="s">
        <v>483</v>
      </c>
      <c r="E276" s="304"/>
      <c r="F276" s="304"/>
      <c r="G276" s="304"/>
      <c r="H276" s="215" t="s">
        <v>140</v>
      </c>
      <c r="I276" s="140">
        <v>1</v>
      </c>
      <c r="J276" s="140">
        <v>83.600000000000009</v>
      </c>
      <c r="K276" s="28">
        <f t="shared" si="32"/>
        <v>83.6</v>
      </c>
      <c r="L276" s="29">
        <f t="shared" si="33"/>
        <v>0.3666386863458666</v>
      </c>
      <c r="M276" s="341"/>
      <c r="N276" s="312"/>
      <c r="O276" s="2"/>
      <c r="P276" s="2"/>
    </row>
    <row r="277" spans="2:16" s="144" customFormat="1" ht="21.75" customHeight="1" x14ac:dyDescent="0.2">
      <c r="B277" s="331"/>
      <c r="C277" s="211" t="s">
        <v>523</v>
      </c>
      <c r="D277" s="304" t="s">
        <v>484</v>
      </c>
      <c r="E277" s="304"/>
      <c r="F277" s="304"/>
      <c r="G277" s="304"/>
      <c r="H277" s="215" t="s">
        <v>140</v>
      </c>
      <c r="I277" s="140">
        <v>20</v>
      </c>
      <c r="J277" s="140">
        <v>380.6</v>
      </c>
      <c r="K277" s="28">
        <f t="shared" si="32"/>
        <v>7612</v>
      </c>
      <c r="L277" s="29">
        <f t="shared" si="33"/>
        <v>33.383417230439434</v>
      </c>
      <c r="M277" s="342"/>
      <c r="N277" s="312"/>
      <c r="O277" s="2"/>
      <c r="P277" s="2"/>
    </row>
    <row r="278" spans="2:16" ht="12" customHeight="1" x14ac:dyDescent="0.2">
      <c r="B278" s="331"/>
      <c r="C278" s="269" t="s">
        <v>21</v>
      </c>
      <c r="D278" s="270"/>
      <c r="E278" s="270"/>
      <c r="F278" s="270"/>
      <c r="G278" s="271"/>
      <c r="H278" s="269"/>
      <c r="I278" s="270"/>
      <c r="J278" s="271"/>
      <c r="K278" s="289">
        <f>SUM(K236:K242,K244:K264,K267:K270,K272:K277)</f>
        <v>22801.739999999998</v>
      </c>
      <c r="L278" s="307">
        <f>SUM(L236:L242,L244:L264,L267:L270,L272:L277)</f>
        <v>100</v>
      </c>
      <c r="M278" s="275">
        <f>IF(K$299=0,0,100*K278/K$299)</f>
        <v>3.2616329025927162</v>
      </c>
      <c r="N278" s="312"/>
    </row>
    <row r="279" spans="2:16" ht="12" customHeight="1" x14ac:dyDescent="0.2">
      <c r="B279" s="331"/>
      <c r="C279" s="272"/>
      <c r="D279" s="273"/>
      <c r="E279" s="273"/>
      <c r="F279" s="273"/>
      <c r="G279" s="274"/>
      <c r="H279" s="272"/>
      <c r="I279" s="273"/>
      <c r="J279" s="274"/>
      <c r="K279" s="290"/>
      <c r="L279" s="308"/>
      <c r="M279" s="277"/>
      <c r="N279" s="312"/>
    </row>
    <row r="280" spans="2:16" ht="45" customHeight="1" x14ac:dyDescent="0.2">
      <c r="B280" s="331" t="s">
        <v>537</v>
      </c>
      <c r="C280" s="211" t="s">
        <v>531</v>
      </c>
      <c r="D280" s="304" t="s">
        <v>525</v>
      </c>
      <c r="E280" s="304"/>
      <c r="F280" s="304"/>
      <c r="G280" s="304"/>
      <c r="H280" s="215" t="s">
        <v>140</v>
      </c>
      <c r="I280" s="140">
        <v>5</v>
      </c>
      <c r="J280" s="140">
        <v>422.6112</v>
      </c>
      <c r="K280" s="28">
        <f t="shared" ref="K280:K285" si="34">ROUND(I280*J280,2)</f>
        <v>2113.06</v>
      </c>
      <c r="L280" s="29">
        <f>IF(K$286=0,0,100*K280/K$286)</f>
        <v>26.872945320895568</v>
      </c>
      <c r="M280" s="332"/>
      <c r="N280" s="312"/>
    </row>
    <row r="281" spans="2:16" ht="45" customHeight="1" x14ac:dyDescent="0.2">
      <c r="B281" s="331"/>
      <c r="C281" s="211" t="s">
        <v>532</v>
      </c>
      <c r="D281" s="304" t="s">
        <v>526</v>
      </c>
      <c r="E281" s="304"/>
      <c r="F281" s="304"/>
      <c r="G281" s="304"/>
      <c r="H281" s="215" t="s">
        <v>140</v>
      </c>
      <c r="I281" s="140">
        <v>12</v>
      </c>
      <c r="J281" s="140">
        <v>49.183199999999999</v>
      </c>
      <c r="K281" s="28">
        <f t="shared" si="34"/>
        <v>590.20000000000005</v>
      </c>
      <c r="L281" s="29">
        <f t="shared" ref="L281:L285" si="35">IF(K$286=0,0,100*K281/K$286)</f>
        <v>7.5058977636189059</v>
      </c>
      <c r="M281" s="333"/>
      <c r="N281" s="312"/>
    </row>
    <row r="282" spans="2:16" ht="45" customHeight="1" x14ac:dyDescent="0.2">
      <c r="B282" s="331"/>
      <c r="C282" s="211" t="s">
        <v>533</v>
      </c>
      <c r="D282" s="304" t="s">
        <v>527</v>
      </c>
      <c r="E282" s="304"/>
      <c r="F282" s="304"/>
      <c r="G282" s="304"/>
      <c r="H282" s="215" t="s">
        <v>26</v>
      </c>
      <c r="I282" s="140">
        <v>20</v>
      </c>
      <c r="J282" s="140">
        <v>11.503800000000002</v>
      </c>
      <c r="K282" s="28">
        <f t="shared" si="34"/>
        <v>230.08</v>
      </c>
      <c r="L282" s="29">
        <f t="shared" si="35"/>
        <v>2.9260538079522838</v>
      </c>
      <c r="M282" s="333"/>
      <c r="N282" s="312"/>
    </row>
    <row r="283" spans="2:16" ht="45" customHeight="1" x14ac:dyDescent="0.2">
      <c r="B283" s="331"/>
      <c r="C283" s="211" t="s">
        <v>534</v>
      </c>
      <c r="D283" s="304" t="s">
        <v>528</v>
      </c>
      <c r="E283" s="304"/>
      <c r="F283" s="304"/>
      <c r="G283" s="304"/>
      <c r="H283" s="215" t="s">
        <v>26</v>
      </c>
      <c r="I283" s="140">
        <v>15</v>
      </c>
      <c r="J283" s="140">
        <v>276.62580000000003</v>
      </c>
      <c r="K283" s="28">
        <f t="shared" si="34"/>
        <v>4149.3900000000003</v>
      </c>
      <c r="L283" s="29">
        <f t="shared" si="35"/>
        <v>52.770073062322354</v>
      </c>
      <c r="M283" s="333"/>
      <c r="N283" s="312"/>
    </row>
    <row r="284" spans="2:16" ht="45" customHeight="1" x14ac:dyDescent="0.2">
      <c r="B284" s="331"/>
      <c r="C284" s="211" t="s">
        <v>535</v>
      </c>
      <c r="D284" s="304" t="s">
        <v>529</v>
      </c>
      <c r="E284" s="304"/>
      <c r="F284" s="304"/>
      <c r="G284" s="304"/>
      <c r="H284" s="215" t="s">
        <v>140</v>
      </c>
      <c r="I284" s="140">
        <v>5</v>
      </c>
      <c r="J284" s="140">
        <v>69.102000000000004</v>
      </c>
      <c r="K284" s="28">
        <f t="shared" si="34"/>
        <v>345.51</v>
      </c>
      <c r="L284" s="29">
        <f t="shared" si="35"/>
        <v>4.3940405562656188</v>
      </c>
      <c r="M284" s="333"/>
      <c r="N284" s="312"/>
    </row>
    <row r="285" spans="2:16" ht="45" customHeight="1" x14ac:dyDescent="0.2">
      <c r="B285" s="331"/>
      <c r="C285" s="211" t="s">
        <v>536</v>
      </c>
      <c r="D285" s="304" t="s">
        <v>530</v>
      </c>
      <c r="E285" s="304"/>
      <c r="F285" s="304"/>
      <c r="G285" s="304"/>
      <c r="H285" s="215" t="s">
        <v>140</v>
      </c>
      <c r="I285" s="140">
        <v>5</v>
      </c>
      <c r="J285" s="140">
        <v>86.981400000000008</v>
      </c>
      <c r="K285" s="28">
        <f t="shared" si="34"/>
        <v>434.91</v>
      </c>
      <c r="L285" s="29">
        <f t="shared" si="35"/>
        <v>5.53098948894527</v>
      </c>
      <c r="M285" s="334"/>
      <c r="N285" s="312"/>
    </row>
    <row r="286" spans="2:16" ht="45" customHeight="1" x14ac:dyDescent="0.2">
      <c r="B286" s="331"/>
      <c r="C286" s="269" t="s">
        <v>21</v>
      </c>
      <c r="D286" s="270"/>
      <c r="E286" s="270"/>
      <c r="F286" s="270"/>
      <c r="G286" s="271"/>
      <c r="H286" s="269"/>
      <c r="I286" s="270"/>
      <c r="J286" s="271"/>
      <c r="K286" s="289">
        <f>SUM(K280:K285)</f>
        <v>7863.1500000000005</v>
      </c>
      <c r="L286" s="338">
        <f>SUM(L280:L285)</f>
        <v>100</v>
      </c>
      <c r="M286" s="275">
        <f>IF(K$299=0,0,100*K286/K$299)</f>
        <v>1.1247698095856682</v>
      </c>
      <c r="N286" s="312"/>
    </row>
    <row r="287" spans="2:16" ht="45" customHeight="1" x14ac:dyDescent="0.2">
      <c r="B287" s="331"/>
      <c r="C287" s="272"/>
      <c r="D287" s="273"/>
      <c r="E287" s="273"/>
      <c r="F287" s="273"/>
      <c r="G287" s="274"/>
      <c r="H287" s="272"/>
      <c r="I287" s="273"/>
      <c r="J287" s="274"/>
      <c r="K287" s="290"/>
      <c r="L287" s="339"/>
      <c r="M287" s="277"/>
      <c r="N287" s="312"/>
    </row>
    <row r="288" spans="2:16" ht="26.25" customHeight="1" x14ac:dyDescent="0.2">
      <c r="B288" s="331" t="s">
        <v>550</v>
      </c>
      <c r="C288" s="211" t="s">
        <v>544</v>
      </c>
      <c r="D288" s="304" t="s">
        <v>538</v>
      </c>
      <c r="E288" s="304"/>
      <c r="F288" s="304"/>
      <c r="G288" s="304"/>
      <c r="H288" s="215" t="s">
        <v>22</v>
      </c>
      <c r="I288" s="140">
        <v>2.5</v>
      </c>
      <c r="J288" s="140">
        <v>96.800000000000011</v>
      </c>
      <c r="K288" s="28">
        <f t="shared" ref="K288:K293" si="36">ROUND(I288*J288,2)</f>
        <v>242</v>
      </c>
      <c r="L288" s="29">
        <f>IF(K$294=0,0,100*K288/K$294)</f>
        <v>1.0347465319956881</v>
      </c>
      <c r="M288" s="275"/>
      <c r="N288" s="312"/>
    </row>
    <row r="289" spans="2:19" ht="26.25" customHeight="1" x14ac:dyDescent="0.2">
      <c r="B289" s="331"/>
      <c r="C289" s="211" t="s">
        <v>545</v>
      </c>
      <c r="D289" s="304" t="s">
        <v>539</v>
      </c>
      <c r="E289" s="304"/>
      <c r="F289" s="304"/>
      <c r="G289" s="304"/>
      <c r="H289" s="215" t="s">
        <v>485</v>
      </c>
      <c r="I289" s="140">
        <v>1</v>
      </c>
      <c r="J289" s="140">
        <v>4950.55</v>
      </c>
      <c r="K289" s="28">
        <f t="shared" si="36"/>
        <v>4950.55</v>
      </c>
      <c r="L289" s="29">
        <f t="shared" ref="L289:L293" si="37">IF(K$294=0,0,100*K289/K$294)</f>
        <v>21.167621669302701</v>
      </c>
      <c r="M289" s="276"/>
      <c r="N289" s="312"/>
    </row>
    <row r="290" spans="2:19" ht="26.25" customHeight="1" x14ac:dyDescent="0.2">
      <c r="B290" s="331"/>
      <c r="C290" s="211" t="s">
        <v>546</v>
      </c>
      <c r="D290" s="304" t="s">
        <v>540</v>
      </c>
      <c r="E290" s="304"/>
      <c r="F290" s="304"/>
      <c r="G290" s="304"/>
      <c r="H290" s="215" t="s">
        <v>485</v>
      </c>
      <c r="I290" s="140">
        <v>1</v>
      </c>
      <c r="J290" s="140">
        <v>1320.5500000000002</v>
      </c>
      <c r="K290" s="28">
        <f t="shared" si="36"/>
        <v>1320.55</v>
      </c>
      <c r="L290" s="29">
        <f t="shared" si="37"/>
        <v>5.6464236893673805</v>
      </c>
      <c r="M290" s="276"/>
      <c r="N290" s="312"/>
    </row>
    <row r="291" spans="2:19" ht="26.25" customHeight="1" x14ac:dyDescent="0.2">
      <c r="B291" s="331"/>
      <c r="C291" s="211" t="s">
        <v>547</v>
      </c>
      <c r="D291" s="304" t="s">
        <v>541</v>
      </c>
      <c r="E291" s="304"/>
      <c r="F291" s="304"/>
      <c r="G291" s="304"/>
      <c r="H291" s="215" t="s">
        <v>485</v>
      </c>
      <c r="I291" s="140">
        <v>1</v>
      </c>
      <c r="J291" s="140">
        <v>1045.5500000000002</v>
      </c>
      <c r="K291" s="28">
        <f t="shared" si="36"/>
        <v>1045.55</v>
      </c>
      <c r="L291" s="29">
        <f t="shared" si="37"/>
        <v>4.4705753575540985</v>
      </c>
      <c r="M291" s="276"/>
      <c r="N291" s="312"/>
    </row>
    <row r="292" spans="2:19" ht="26.25" customHeight="1" x14ac:dyDescent="0.2">
      <c r="B292" s="331"/>
      <c r="C292" s="211" t="s">
        <v>548</v>
      </c>
      <c r="D292" s="304" t="s">
        <v>542</v>
      </c>
      <c r="E292" s="304"/>
      <c r="F292" s="304"/>
      <c r="G292" s="304"/>
      <c r="H292" s="215" t="s">
        <v>26</v>
      </c>
      <c r="I292" s="140">
        <v>9.6</v>
      </c>
      <c r="J292" s="140">
        <v>270.05</v>
      </c>
      <c r="K292" s="28">
        <f t="shared" si="36"/>
        <v>2592.48</v>
      </c>
      <c r="L292" s="29">
        <f t="shared" si="37"/>
        <v>11.084957393670171</v>
      </c>
      <c r="M292" s="276"/>
      <c r="N292" s="312"/>
    </row>
    <row r="293" spans="2:19" ht="26.25" customHeight="1" x14ac:dyDescent="0.2">
      <c r="B293" s="331"/>
      <c r="C293" s="211" t="s">
        <v>549</v>
      </c>
      <c r="D293" s="304" t="s">
        <v>543</v>
      </c>
      <c r="E293" s="304"/>
      <c r="F293" s="304"/>
      <c r="G293" s="304"/>
      <c r="H293" s="215" t="s">
        <v>22</v>
      </c>
      <c r="I293" s="140">
        <v>154.15</v>
      </c>
      <c r="J293" s="140">
        <v>85.866000000000014</v>
      </c>
      <c r="K293" s="28">
        <f t="shared" si="36"/>
        <v>13236.24</v>
      </c>
      <c r="L293" s="29">
        <f t="shared" si="37"/>
        <v>56.595675358109951</v>
      </c>
      <c r="M293" s="277"/>
      <c r="N293" s="312"/>
    </row>
    <row r="294" spans="2:19" ht="26.25" customHeight="1" x14ac:dyDescent="0.2">
      <c r="B294" s="331"/>
      <c r="C294" s="269" t="s">
        <v>21</v>
      </c>
      <c r="D294" s="270"/>
      <c r="E294" s="270"/>
      <c r="F294" s="270"/>
      <c r="G294" s="271"/>
      <c r="H294" s="269"/>
      <c r="I294" s="270"/>
      <c r="J294" s="271"/>
      <c r="K294" s="289">
        <f>SUM(K288:K293)</f>
        <v>23387.370000000003</v>
      </c>
      <c r="L294" s="307">
        <f>SUM(L288:L293)</f>
        <v>100</v>
      </c>
      <c r="M294" s="275">
        <f>IF(K$299=0,0,100*K294/K$299)</f>
        <v>3.3454032673431864</v>
      </c>
      <c r="N294" s="312"/>
    </row>
    <row r="295" spans="2:19" ht="26.25" customHeight="1" x14ac:dyDescent="0.2">
      <c r="B295" s="331"/>
      <c r="C295" s="272"/>
      <c r="D295" s="273"/>
      <c r="E295" s="273"/>
      <c r="F295" s="273"/>
      <c r="G295" s="274"/>
      <c r="H295" s="272"/>
      <c r="I295" s="273"/>
      <c r="J295" s="274"/>
      <c r="K295" s="290"/>
      <c r="L295" s="308"/>
      <c r="M295" s="277"/>
      <c r="N295" s="312"/>
    </row>
    <row r="296" spans="2:19" ht="35.25" customHeight="1" x14ac:dyDescent="0.2">
      <c r="B296" s="331" t="s">
        <v>551</v>
      </c>
      <c r="C296" s="211" t="s">
        <v>553</v>
      </c>
      <c r="D296" s="304" t="s">
        <v>552</v>
      </c>
      <c r="E296" s="304"/>
      <c r="F296" s="304"/>
      <c r="G296" s="304"/>
      <c r="H296" s="215" t="s">
        <v>22</v>
      </c>
      <c r="I296" s="140">
        <v>980.4</v>
      </c>
      <c r="J296" s="140">
        <v>10.989000000000001</v>
      </c>
      <c r="K296" s="28">
        <f t="shared" ref="K296" si="38">ROUND(I296*J296,2)</f>
        <v>10773.62</v>
      </c>
      <c r="L296" s="29">
        <f>IF(K$297=0,0,100*K296/K$297)</f>
        <v>99.999999999999986</v>
      </c>
      <c r="M296" s="236"/>
      <c r="N296" s="312"/>
    </row>
    <row r="297" spans="2:19" ht="35.25" customHeight="1" x14ac:dyDescent="0.2">
      <c r="B297" s="331"/>
      <c r="C297" s="269" t="s">
        <v>21</v>
      </c>
      <c r="D297" s="270"/>
      <c r="E297" s="270"/>
      <c r="F297" s="270"/>
      <c r="G297" s="271"/>
      <c r="H297" s="269"/>
      <c r="I297" s="270"/>
      <c r="J297" s="271"/>
      <c r="K297" s="289">
        <f>SUM(K296)</f>
        <v>10773.62</v>
      </c>
      <c r="L297" s="307">
        <f>SUM(L296)</f>
        <v>99.999999999999986</v>
      </c>
      <c r="M297" s="275">
        <f>IF(K$299=0,0,100*K297/K$299)</f>
        <v>1.5410926303006234</v>
      </c>
      <c r="N297" s="312"/>
    </row>
    <row r="298" spans="2:19" ht="35.25" customHeight="1" x14ac:dyDescent="0.2">
      <c r="B298" s="331"/>
      <c r="C298" s="272"/>
      <c r="D298" s="273"/>
      <c r="E298" s="273"/>
      <c r="F298" s="273"/>
      <c r="G298" s="274"/>
      <c r="H298" s="272"/>
      <c r="I298" s="273"/>
      <c r="J298" s="274"/>
      <c r="K298" s="290"/>
      <c r="L298" s="308"/>
      <c r="M298" s="277"/>
      <c r="N298" s="312"/>
    </row>
    <row r="299" spans="2:19" ht="12" customHeight="1" x14ac:dyDescent="0.2">
      <c r="B299" s="237"/>
      <c r="C299" s="37" t="s">
        <v>92</v>
      </c>
      <c r="D299" s="26"/>
      <c r="E299" s="26"/>
      <c r="F299" s="38"/>
      <c r="G299" s="27"/>
      <c r="H299" s="212"/>
      <c r="I299" s="39"/>
      <c r="J299" s="36"/>
      <c r="K299" s="30">
        <f>K297+K294+K286+K278+K233+K226+K207+K203+K184+K146+K137+K126+K109+K106+K102+K86+K77+K50+K37+K31</f>
        <v>699089.71</v>
      </c>
      <c r="L299" s="40"/>
      <c r="M299" s="238">
        <f>SUM(M297,M294,M286,M278,M233,M226,M207,M203,M184,M146,M137,M126,M109,M106,M102,M86,M77,M50,M37,M31,)</f>
        <v>100.00000000000003</v>
      </c>
      <c r="N299" s="312"/>
    </row>
    <row r="300" spans="2:19" ht="12" customHeight="1" x14ac:dyDescent="0.2">
      <c r="B300" s="239"/>
      <c r="C300" s="18"/>
      <c r="D300" s="18"/>
      <c r="E300" s="18"/>
      <c r="F300" s="32"/>
      <c r="G300" s="32"/>
      <c r="H300" s="214"/>
      <c r="I300" s="240"/>
      <c r="J300" s="34"/>
      <c r="K300" s="34"/>
      <c r="L300" s="35"/>
      <c r="M300" s="241"/>
      <c r="N300" s="312"/>
    </row>
    <row r="301" spans="2:19" ht="12" customHeight="1" x14ac:dyDescent="0.2">
      <c r="B301" s="242"/>
      <c r="C301" s="41" t="s">
        <v>93</v>
      </c>
      <c r="D301" s="210"/>
      <c r="E301" s="210"/>
      <c r="F301" s="31"/>
      <c r="G301" s="31"/>
      <c r="H301" s="213"/>
      <c r="I301" s="42"/>
      <c r="J301" s="43"/>
      <c r="K301" s="44">
        <v>27</v>
      </c>
      <c r="L301" s="35"/>
      <c r="M301" s="241"/>
      <c r="N301" s="312"/>
      <c r="O301" s="218">
        <f>1+K301/100</f>
        <v>1.27</v>
      </c>
    </row>
    <row r="302" spans="2:19" ht="12" customHeight="1" x14ac:dyDescent="0.2">
      <c r="B302" s="239"/>
      <c r="C302" s="18"/>
      <c r="D302" s="18"/>
      <c r="E302" s="18"/>
      <c r="F302" s="32"/>
      <c r="G302" s="32"/>
      <c r="H302" s="214"/>
      <c r="I302" s="240"/>
      <c r="J302" s="34"/>
      <c r="K302" s="34"/>
      <c r="L302" s="35"/>
      <c r="M302" s="241"/>
      <c r="N302" s="312"/>
    </row>
    <row r="303" spans="2:19" ht="12" customHeight="1" x14ac:dyDescent="0.2">
      <c r="B303" s="242"/>
      <c r="C303" s="45" t="s">
        <v>94</v>
      </c>
      <c r="D303" s="210"/>
      <c r="E303" s="210"/>
      <c r="F303" s="31"/>
      <c r="G303" s="31"/>
      <c r="H303" s="213"/>
      <c r="I303" s="42"/>
      <c r="J303" s="43"/>
      <c r="K303" s="46">
        <f>K299*O301</f>
        <v>887843.93169999996</v>
      </c>
      <c r="L303" s="35"/>
      <c r="M303" s="241"/>
      <c r="N303" s="312"/>
      <c r="Q303" s="220">
        <v>0.2</v>
      </c>
      <c r="R303" s="219">
        <f>K303*Q303</f>
        <v>177568.78633999999</v>
      </c>
      <c r="S303" s="221">
        <f>K303-R303</f>
        <v>710275.14535999997</v>
      </c>
    </row>
    <row r="304" spans="2:19" ht="12" customHeight="1" x14ac:dyDescent="0.2">
      <c r="B304" s="239"/>
      <c r="C304" s="18"/>
      <c r="D304" s="18"/>
      <c r="E304" s="18"/>
      <c r="F304" s="32"/>
      <c r="G304" s="32"/>
      <c r="H304" s="214"/>
      <c r="I304" s="240"/>
      <c r="J304" s="34"/>
      <c r="K304" s="34"/>
      <c r="L304" s="35"/>
      <c r="M304" s="241"/>
      <c r="N304" s="312"/>
    </row>
    <row r="305" spans="2:14" ht="12" customHeight="1" x14ac:dyDescent="0.2">
      <c r="B305" s="242"/>
      <c r="C305" s="45" t="s">
        <v>587</v>
      </c>
      <c r="D305" s="213"/>
      <c r="E305" s="213"/>
      <c r="F305" s="213"/>
      <c r="G305" s="213"/>
      <c r="H305" s="213"/>
      <c r="I305" s="213"/>
      <c r="J305" s="213"/>
      <c r="K305" s="46">
        <f>K303/I25</f>
        <v>905.59356558547529</v>
      </c>
      <c r="L305" s="35"/>
      <c r="M305" s="241"/>
      <c r="N305" s="312"/>
    </row>
    <row r="306" spans="2:14" ht="12" customHeight="1" x14ac:dyDescent="0.2">
      <c r="B306" s="239"/>
      <c r="C306" s="18"/>
      <c r="D306" s="18"/>
      <c r="E306" s="18"/>
      <c r="F306" s="32"/>
      <c r="G306" s="32"/>
      <c r="H306" s="214"/>
      <c r="I306" s="240"/>
      <c r="J306" s="34"/>
      <c r="K306" s="34"/>
      <c r="L306" s="35"/>
      <c r="M306" s="241"/>
      <c r="N306" s="312"/>
    </row>
    <row r="307" spans="2:14" ht="12" customHeight="1" x14ac:dyDescent="0.2">
      <c r="B307" s="299">
        <v>42117</v>
      </c>
      <c r="C307" s="300"/>
      <c r="D307" s="18"/>
      <c r="E307" s="18"/>
      <c r="F307" s="32"/>
      <c r="G307" s="32"/>
      <c r="H307" s="214"/>
      <c r="I307" s="240"/>
      <c r="J307" s="34"/>
      <c r="K307" s="34"/>
      <c r="L307" s="35"/>
      <c r="M307" s="241"/>
      <c r="N307" s="312"/>
    </row>
    <row r="308" spans="2:14" ht="12" customHeight="1" x14ac:dyDescent="0.2">
      <c r="B308" s="243"/>
      <c r="C308" s="47"/>
      <c r="D308" s="18"/>
      <c r="E308" s="18"/>
      <c r="F308" s="370" t="s">
        <v>124</v>
      </c>
      <c r="G308" s="32"/>
      <c r="H308" s="253"/>
      <c r="I308" s="240"/>
      <c r="J308" s="34"/>
      <c r="K308" s="34"/>
      <c r="L308" s="35"/>
      <c r="M308" s="241"/>
      <c r="N308" s="312"/>
    </row>
    <row r="309" spans="2:14" ht="12" customHeight="1" x14ac:dyDescent="0.2">
      <c r="B309" s="239"/>
      <c r="C309" s="18"/>
      <c r="D309" s="18"/>
      <c r="E309" s="18"/>
      <c r="F309" s="370" t="s">
        <v>554</v>
      </c>
      <c r="G309" s="32"/>
      <c r="H309" s="214"/>
      <c r="I309" s="240"/>
      <c r="J309" s="34"/>
      <c r="K309" s="48"/>
      <c r="L309" s="35"/>
      <c r="M309" s="241"/>
      <c r="N309" s="312"/>
    </row>
    <row r="310" spans="2:14" ht="12" customHeight="1" thickBot="1" x14ac:dyDescent="0.25">
      <c r="B310" s="244"/>
      <c r="C310" s="245"/>
      <c r="D310" s="245"/>
      <c r="E310" s="245"/>
      <c r="F310" s="246"/>
      <c r="G310" s="246"/>
      <c r="H310" s="247"/>
      <c r="I310" s="248"/>
      <c r="J310" s="249"/>
      <c r="K310" s="250"/>
      <c r="L310" s="251"/>
      <c r="M310" s="252"/>
      <c r="N310" s="312"/>
    </row>
    <row r="311" spans="2:14" ht="9.75" customHeight="1" x14ac:dyDescent="0.2">
      <c r="D311" s="1"/>
      <c r="E311" s="1"/>
      <c r="F311" s="49"/>
      <c r="G311" s="32"/>
      <c r="H311" s="33"/>
      <c r="J311" s="34"/>
      <c r="K311" s="50"/>
      <c r="L311" s="51"/>
      <c r="M311" s="18"/>
    </row>
  </sheetData>
  <mergeCells count="403">
    <mergeCell ref="M297:M298"/>
    <mergeCell ref="D296:G296"/>
    <mergeCell ref="B296:B298"/>
    <mergeCell ref="C297:G298"/>
    <mergeCell ref="H297:J298"/>
    <mergeCell ref="K297:K298"/>
    <mergeCell ref="L297:L298"/>
    <mergeCell ref="H294:J295"/>
    <mergeCell ref="K294:K295"/>
    <mergeCell ref="L294:L295"/>
    <mergeCell ref="M294:M295"/>
    <mergeCell ref="M288:M293"/>
    <mergeCell ref="B288:B295"/>
    <mergeCell ref="D288:G288"/>
    <mergeCell ref="D289:G289"/>
    <mergeCell ref="D290:G290"/>
    <mergeCell ref="D291:G291"/>
    <mergeCell ref="D292:G292"/>
    <mergeCell ref="D293:G293"/>
    <mergeCell ref="C294:G295"/>
    <mergeCell ref="B280:B287"/>
    <mergeCell ref="D280:G280"/>
    <mergeCell ref="D281:G281"/>
    <mergeCell ref="D282:G282"/>
    <mergeCell ref="D283:G283"/>
    <mergeCell ref="D284:G284"/>
    <mergeCell ref="D285:G285"/>
    <mergeCell ref="C286:G287"/>
    <mergeCell ref="H286:J287"/>
    <mergeCell ref="K286:K287"/>
    <mergeCell ref="L286:L287"/>
    <mergeCell ref="M286:M287"/>
    <mergeCell ref="M280:M285"/>
    <mergeCell ref="K278:K279"/>
    <mergeCell ref="L278:L279"/>
    <mergeCell ref="M278:M279"/>
    <mergeCell ref="M235:M277"/>
    <mergeCell ref="H235:L235"/>
    <mergeCell ref="H243:L243"/>
    <mergeCell ref="H265:L265"/>
    <mergeCell ref="H271:L271"/>
    <mergeCell ref="H266:L266"/>
    <mergeCell ref="D275:G275"/>
    <mergeCell ref="D276:G276"/>
    <mergeCell ref="D277:G277"/>
    <mergeCell ref="C278:G279"/>
    <mergeCell ref="H278:J279"/>
    <mergeCell ref="D270:G270"/>
    <mergeCell ref="D271:G271"/>
    <mergeCell ref="D272:G272"/>
    <mergeCell ref="D273:G273"/>
    <mergeCell ref="D274:G274"/>
    <mergeCell ref="D265:G265"/>
    <mergeCell ref="D266:G266"/>
    <mergeCell ref="D267:G267"/>
    <mergeCell ref="D268:G268"/>
    <mergeCell ref="D269:G269"/>
    <mergeCell ref="D260:G260"/>
    <mergeCell ref="D261:G261"/>
    <mergeCell ref="D262:G262"/>
    <mergeCell ref="D263:G263"/>
    <mergeCell ref="D264:G264"/>
    <mergeCell ref="D256:G256"/>
    <mergeCell ref="D257:G257"/>
    <mergeCell ref="D258:G258"/>
    <mergeCell ref="D259:G259"/>
    <mergeCell ref="D250:G250"/>
    <mergeCell ref="D251:G251"/>
    <mergeCell ref="D252:G252"/>
    <mergeCell ref="D253:G253"/>
    <mergeCell ref="D254:G254"/>
    <mergeCell ref="B228:B234"/>
    <mergeCell ref="D228:G228"/>
    <mergeCell ref="D229:G229"/>
    <mergeCell ref="D230:G230"/>
    <mergeCell ref="D231:G231"/>
    <mergeCell ref="D232:G232"/>
    <mergeCell ref="C233:G234"/>
    <mergeCell ref="B235:B279"/>
    <mergeCell ref="D235:G235"/>
    <mergeCell ref="D236:G236"/>
    <mergeCell ref="D237:G237"/>
    <mergeCell ref="D238:G238"/>
    <mergeCell ref="D239:G239"/>
    <mergeCell ref="D240:G240"/>
    <mergeCell ref="D241:G241"/>
    <mergeCell ref="D242:G242"/>
    <mergeCell ref="D243:G243"/>
    <mergeCell ref="D244:G244"/>
    <mergeCell ref="D245:G245"/>
    <mergeCell ref="D246:G246"/>
    <mergeCell ref="D247:G247"/>
    <mergeCell ref="D248:G248"/>
    <mergeCell ref="D249:G249"/>
    <mergeCell ref="D255:G255"/>
    <mergeCell ref="H226:J227"/>
    <mergeCell ref="K226:K227"/>
    <mergeCell ref="H203:J204"/>
    <mergeCell ref="K203:K204"/>
    <mergeCell ref="L203:L204"/>
    <mergeCell ref="M203:M204"/>
    <mergeCell ref="M207:M208"/>
    <mergeCell ref="H233:J234"/>
    <mergeCell ref="K233:K234"/>
    <mergeCell ref="L233:L234"/>
    <mergeCell ref="M233:M234"/>
    <mergeCell ref="M228:M232"/>
    <mergeCell ref="M186:M202"/>
    <mergeCell ref="M205:M206"/>
    <mergeCell ref="B209:B227"/>
    <mergeCell ref="D209:G209"/>
    <mergeCell ref="D210:G210"/>
    <mergeCell ref="D211:G211"/>
    <mergeCell ref="D212:G212"/>
    <mergeCell ref="D213:G213"/>
    <mergeCell ref="D214:G214"/>
    <mergeCell ref="D215:G215"/>
    <mergeCell ref="D216:G216"/>
    <mergeCell ref="D217:G217"/>
    <mergeCell ref="D218:G218"/>
    <mergeCell ref="D219:G219"/>
    <mergeCell ref="D220:G220"/>
    <mergeCell ref="D221:G221"/>
    <mergeCell ref="D222:G222"/>
    <mergeCell ref="D223:G223"/>
    <mergeCell ref="M209:M225"/>
    <mergeCell ref="M226:M227"/>
    <mergeCell ref="L226:L227"/>
    <mergeCell ref="D224:G224"/>
    <mergeCell ref="D225:G225"/>
    <mergeCell ref="C226:G227"/>
    <mergeCell ref="H184:J185"/>
    <mergeCell ref="K184:K185"/>
    <mergeCell ref="L184:L185"/>
    <mergeCell ref="D178:G178"/>
    <mergeCell ref="D179:G179"/>
    <mergeCell ref="D180:G180"/>
    <mergeCell ref="B205:B208"/>
    <mergeCell ref="D205:G205"/>
    <mergeCell ref="D206:G206"/>
    <mergeCell ref="C207:G208"/>
    <mergeCell ref="H207:J208"/>
    <mergeCell ref="K207:K208"/>
    <mergeCell ref="L207:L208"/>
    <mergeCell ref="D199:G199"/>
    <mergeCell ref="D200:G200"/>
    <mergeCell ref="D201:G201"/>
    <mergeCell ref="D202:G202"/>
    <mergeCell ref="C203:G204"/>
    <mergeCell ref="D177:G177"/>
    <mergeCell ref="D168:G168"/>
    <mergeCell ref="D169:G169"/>
    <mergeCell ref="D170:G170"/>
    <mergeCell ref="D171:G171"/>
    <mergeCell ref="D172:G172"/>
    <mergeCell ref="M184:M185"/>
    <mergeCell ref="M148:M183"/>
    <mergeCell ref="B186:B204"/>
    <mergeCell ref="D186:G186"/>
    <mergeCell ref="D187:G187"/>
    <mergeCell ref="D188:G188"/>
    <mergeCell ref="D189:G189"/>
    <mergeCell ref="D190:G190"/>
    <mergeCell ref="D191:G191"/>
    <mergeCell ref="D192:G192"/>
    <mergeCell ref="D193:G193"/>
    <mergeCell ref="D194:G194"/>
    <mergeCell ref="D195:G195"/>
    <mergeCell ref="D196:G196"/>
    <mergeCell ref="D197:G197"/>
    <mergeCell ref="D198:G198"/>
    <mergeCell ref="D183:G183"/>
    <mergeCell ref="C184:G185"/>
    <mergeCell ref="D166:G166"/>
    <mergeCell ref="D167:G167"/>
    <mergeCell ref="B148:B185"/>
    <mergeCell ref="D148:G148"/>
    <mergeCell ref="D149:G149"/>
    <mergeCell ref="D150:G150"/>
    <mergeCell ref="D151:G151"/>
    <mergeCell ref="D152:G152"/>
    <mergeCell ref="D153:G153"/>
    <mergeCell ref="D154:G154"/>
    <mergeCell ref="D155:G155"/>
    <mergeCell ref="D156:G156"/>
    <mergeCell ref="D157:G157"/>
    <mergeCell ref="D158:G158"/>
    <mergeCell ref="D159:G159"/>
    <mergeCell ref="D160:G160"/>
    <mergeCell ref="D161:G161"/>
    <mergeCell ref="D162:G162"/>
    <mergeCell ref="D181:G181"/>
    <mergeCell ref="D182:G182"/>
    <mergeCell ref="D173:G173"/>
    <mergeCell ref="D174:G174"/>
    <mergeCell ref="D175:G175"/>
    <mergeCell ref="D176:G176"/>
    <mergeCell ref="H146:J147"/>
    <mergeCell ref="K146:K147"/>
    <mergeCell ref="L146:L147"/>
    <mergeCell ref="M146:M147"/>
    <mergeCell ref="M139:M145"/>
    <mergeCell ref="B139:B147"/>
    <mergeCell ref="D139:G139"/>
    <mergeCell ref="D140:G140"/>
    <mergeCell ref="D141:G141"/>
    <mergeCell ref="D142:G142"/>
    <mergeCell ref="D143:G143"/>
    <mergeCell ref="D144:G144"/>
    <mergeCell ref="D145:G145"/>
    <mergeCell ref="C146:G147"/>
    <mergeCell ref="H137:J138"/>
    <mergeCell ref="K137:K138"/>
    <mergeCell ref="L137:L138"/>
    <mergeCell ref="M137:M138"/>
    <mergeCell ref="M128:M136"/>
    <mergeCell ref="H134:L134"/>
    <mergeCell ref="B128:B138"/>
    <mergeCell ref="D128:G128"/>
    <mergeCell ref="D129:G129"/>
    <mergeCell ref="D130:G130"/>
    <mergeCell ref="D131:G131"/>
    <mergeCell ref="D132:G132"/>
    <mergeCell ref="D133:G133"/>
    <mergeCell ref="D134:G134"/>
    <mergeCell ref="D135:G135"/>
    <mergeCell ref="D136:G136"/>
    <mergeCell ref="C137:G138"/>
    <mergeCell ref="H111:L111"/>
    <mergeCell ref="H117:L117"/>
    <mergeCell ref="H121:L121"/>
    <mergeCell ref="B111:B127"/>
    <mergeCell ref="D111:G111"/>
    <mergeCell ref="D112:G112"/>
    <mergeCell ref="D113:G113"/>
    <mergeCell ref="D114:G114"/>
    <mergeCell ref="D115:G115"/>
    <mergeCell ref="D116:G116"/>
    <mergeCell ref="D117:G117"/>
    <mergeCell ref="D118:G118"/>
    <mergeCell ref="D119:G119"/>
    <mergeCell ref="D120:G120"/>
    <mergeCell ref="D121:G121"/>
    <mergeCell ref="D122:G122"/>
    <mergeCell ref="D123:G123"/>
    <mergeCell ref="D124:G124"/>
    <mergeCell ref="H109:J110"/>
    <mergeCell ref="N9:N310"/>
    <mergeCell ref="D104:G104"/>
    <mergeCell ref="D105:G105"/>
    <mergeCell ref="C106:G107"/>
    <mergeCell ref="H106:J107"/>
    <mergeCell ref="K106:K107"/>
    <mergeCell ref="L106:L107"/>
    <mergeCell ref="M106:M107"/>
    <mergeCell ref="M104:M105"/>
    <mergeCell ref="K109:K110"/>
    <mergeCell ref="L109:L110"/>
    <mergeCell ref="M109:M110"/>
    <mergeCell ref="C126:G127"/>
    <mergeCell ref="D125:G125"/>
    <mergeCell ref="H126:J127"/>
    <mergeCell ref="H102:J103"/>
    <mergeCell ref="K102:K103"/>
    <mergeCell ref="L102:L103"/>
    <mergeCell ref="M102:M103"/>
    <mergeCell ref="K126:K127"/>
    <mergeCell ref="L126:L127"/>
    <mergeCell ref="M126:M127"/>
    <mergeCell ref="M111:M125"/>
    <mergeCell ref="M88:M101"/>
    <mergeCell ref="H88:L88"/>
    <mergeCell ref="H94:L94"/>
    <mergeCell ref="H97:L97"/>
    <mergeCell ref="H99:L99"/>
    <mergeCell ref="D96:G96"/>
    <mergeCell ref="D97:G97"/>
    <mergeCell ref="D100:G100"/>
    <mergeCell ref="D101:G101"/>
    <mergeCell ref="D98:G98"/>
    <mergeCell ref="D99:G99"/>
    <mergeCell ref="D91:G91"/>
    <mergeCell ref="D92:G92"/>
    <mergeCell ref="D93:G93"/>
    <mergeCell ref="D94:G94"/>
    <mergeCell ref="D95:G95"/>
    <mergeCell ref="D88:G88"/>
    <mergeCell ref="D89:G89"/>
    <mergeCell ref="D90:G90"/>
    <mergeCell ref="K86:K87"/>
    <mergeCell ref="L86:L87"/>
    <mergeCell ref="M86:M87"/>
    <mergeCell ref="M79:M85"/>
    <mergeCell ref="B79:B87"/>
    <mergeCell ref="H82:L82"/>
    <mergeCell ref="H84:L84"/>
    <mergeCell ref="D84:G84"/>
    <mergeCell ref="D85:G85"/>
    <mergeCell ref="C86:G87"/>
    <mergeCell ref="H86:J87"/>
    <mergeCell ref="D79:G79"/>
    <mergeCell ref="D80:G80"/>
    <mergeCell ref="D81:G81"/>
    <mergeCell ref="D82:G82"/>
    <mergeCell ref="D83:G83"/>
    <mergeCell ref="M33:M36"/>
    <mergeCell ref="M52:M76"/>
    <mergeCell ref="B52:B78"/>
    <mergeCell ref="H52:L52"/>
    <mergeCell ref="H57:L57"/>
    <mergeCell ref="H63:L63"/>
    <mergeCell ref="H69:L69"/>
    <mergeCell ref="H71:L71"/>
    <mergeCell ref="C77:G78"/>
    <mergeCell ref="H77:J78"/>
    <mergeCell ref="K77:K78"/>
    <mergeCell ref="L77:L78"/>
    <mergeCell ref="M77:M78"/>
    <mergeCell ref="D74:G74"/>
    <mergeCell ref="D75:G75"/>
    <mergeCell ref="D76:G76"/>
    <mergeCell ref="D69:G69"/>
    <mergeCell ref="D70:G70"/>
    <mergeCell ref="D71:G71"/>
    <mergeCell ref="D72:G72"/>
    <mergeCell ref="D73:G73"/>
    <mergeCell ref="D64:G64"/>
    <mergeCell ref="D65:G65"/>
    <mergeCell ref="D66:G66"/>
    <mergeCell ref="B33:B38"/>
    <mergeCell ref="C37:G38"/>
    <mergeCell ref="D42:G42"/>
    <mergeCell ref="D43:G43"/>
    <mergeCell ref="D34:G34"/>
    <mergeCell ref="D35:G35"/>
    <mergeCell ref="D36:G36"/>
    <mergeCell ref="D39:G39"/>
    <mergeCell ref="D40:G40"/>
    <mergeCell ref="D41:G41"/>
    <mergeCell ref="D33:G33"/>
    <mergeCell ref="B307:C307"/>
    <mergeCell ref="B39:B51"/>
    <mergeCell ref="D44:G44"/>
    <mergeCell ref="D45:G45"/>
    <mergeCell ref="D46:G46"/>
    <mergeCell ref="D47:G47"/>
    <mergeCell ref="D48:G48"/>
    <mergeCell ref="D49:G49"/>
    <mergeCell ref="C50:G51"/>
    <mergeCell ref="D52:G52"/>
    <mergeCell ref="D53:G53"/>
    <mergeCell ref="D68:G68"/>
    <mergeCell ref="D59:G59"/>
    <mergeCell ref="D60:G60"/>
    <mergeCell ref="D61:G61"/>
    <mergeCell ref="D62:G62"/>
    <mergeCell ref="D67:G67"/>
    <mergeCell ref="B104:B107"/>
    <mergeCell ref="B108:B110"/>
    <mergeCell ref="D108:G108"/>
    <mergeCell ref="C109:G110"/>
    <mergeCell ref="D163:G163"/>
    <mergeCell ref="D164:G164"/>
    <mergeCell ref="D165:G165"/>
    <mergeCell ref="D63:G63"/>
    <mergeCell ref="D54:G54"/>
    <mergeCell ref="D55:G55"/>
    <mergeCell ref="D56:G56"/>
    <mergeCell ref="D57:G57"/>
    <mergeCell ref="D58:G58"/>
    <mergeCell ref="B88:B103"/>
    <mergeCell ref="C102:G103"/>
    <mergeCell ref="B19:M20"/>
    <mergeCell ref="K31:K32"/>
    <mergeCell ref="L31:L32"/>
    <mergeCell ref="M31:M32"/>
    <mergeCell ref="H37:J38"/>
    <mergeCell ref="K37:K38"/>
    <mergeCell ref="L37:L38"/>
    <mergeCell ref="M37:M38"/>
    <mergeCell ref="H31:J32"/>
    <mergeCell ref="H50:J51"/>
    <mergeCell ref="K50:K51"/>
    <mergeCell ref="L50:L51"/>
    <mergeCell ref="M50:M51"/>
    <mergeCell ref="M39:M49"/>
    <mergeCell ref="H39:L39"/>
    <mergeCell ref="H45:L45"/>
    <mergeCell ref="B13:M14"/>
    <mergeCell ref="B9:M12"/>
    <mergeCell ref="B21:G21"/>
    <mergeCell ref="B22:B32"/>
    <mergeCell ref="D22:G22"/>
    <mergeCell ref="D23:G23"/>
    <mergeCell ref="D24:G24"/>
    <mergeCell ref="D25:G25"/>
    <mergeCell ref="D26:G26"/>
    <mergeCell ref="D27:G27"/>
    <mergeCell ref="D28:G28"/>
    <mergeCell ref="D29:G29"/>
    <mergeCell ref="D30:G30"/>
    <mergeCell ref="C31:G32"/>
    <mergeCell ref="M22:M30"/>
  </mergeCells>
  <conditionalFormatting sqref="K53:K56">
    <cfRule type="cellIs" dxfId="37" priority="65" stopIfTrue="1" operator="equal">
      <formula>0</formula>
    </cfRule>
  </conditionalFormatting>
  <conditionalFormatting sqref="K58:K62">
    <cfRule type="cellIs" dxfId="36" priority="64" stopIfTrue="1" operator="equal">
      <formula>0</formula>
    </cfRule>
  </conditionalFormatting>
  <conditionalFormatting sqref="K64:K68">
    <cfRule type="cellIs" dxfId="35" priority="63" stopIfTrue="1" operator="equal">
      <formula>0</formula>
    </cfRule>
  </conditionalFormatting>
  <conditionalFormatting sqref="K70">
    <cfRule type="cellIs" dxfId="34" priority="62" stopIfTrue="1" operator="equal">
      <formula>0</formula>
    </cfRule>
  </conditionalFormatting>
  <conditionalFormatting sqref="K72:K76">
    <cfRule type="cellIs" dxfId="33" priority="61" stopIfTrue="1" operator="equal">
      <formula>0</formula>
    </cfRule>
  </conditionalFormatting>
  <conditionalFormatting sqref="K81">
    <cfRule type="cellIs" dxfId="32" priority="54" stopIfTrue="1" operator="equal">
      <formula>0</formula>
    </cfRule>
  </conditionalFormatting>
  <conditionalFormatting sqref="K79">
    <cfRule type="cellIs" dxfId="31" priority="56" stopIfTrue="1" operator="equal">
      <formula>0</formula>
    </cfRule>
  </conditionalFormatting>
  <conditionalFormatting sqref="K80">
    <cfRule type="cellIs" dxfId="30" priority="55" stopIfTrue="1" operator="equal">
      <formula>0</formula>
    </cfRule>
  </conditionalFormatting>
  <conditionalFormatting sqref="K83">
    <cfRule type="cellIs" dxfId="29" priority="53" stopIfTrue="1" operator="equal">
      <formula>0</formula>
    </cfRule>
  </conditionalFormatting>
  <conditionalFormatting sqref="K85">
    <cfRule type="cellIs" dxfId="28" priority="52" stopIfTrue="1" operator="equal">
      <formula>0</formula>
    </cfRule>
  </conditionalFormatting>
  <conditionalFormatting sqref="K89">
    <cfRule type="cellIs" dxfId="27" priority="51" stopIfTrue="1" operator="equal">
      <formula>0</formula>
    </cfRule>
  </conditionalFormatting>
  <conditionalFormatting sqref="K90:K93">
    <cfRule type="cellIs" dxfId="26" priority="50" stopIfTrue="1" operator="equal">
      <formula>0</formula>
    </cfRule>
  </conditionalFormatting>
  <conditionalFormatting sqref="K95:K96">
    <cfRule type="cellIs" dxfId="25" priority="49" stopIfTrue="1" operator="equal">
      <formula>0</formula>
    </cfRule>
  </conditionalFormatting>
  <conditionalFormatting sqref="K100">
    <cfRule type="cellIs" dxfId="24" priority="45" stopIfTrue="1" operator="equal">
      <formula>0</formula>
    </cfRule>
  </conditionalFormatting>
  <conditionalFormatting sqref="K101">
    <cfRule type="cellIs" dxfId="23" priority="44" stopIfTrue="1" operator="equal">
      <formula>0</formula>
    </cfRule>
  </conditionalFormatting>
  <conditionalFormatting sqref="K112">
    <cfRule type="cellIs" dxfId="22" priority="40" stopIfTrue="1" operator="equal">
      <formula>0</formula>
    </cfRule>
  </conditionalFormatting>
  <conditionalFormatting sqref="K104">
    <cfRule type="cellIs" dxfId="21" priority="34" stopIfTrue="1" operator="equal">
      <formula>0</formula>
    </cfRule>
  </conditionalFormatting>
  <conditionalFormatting sqref="K108">
    <cfRule type="cellIs" dxfId="20" priority="41" stopIfTrue="1" operator="equal">
      <formula>0</formula>
    </cfRule>
  </conditionalFormatting>
  <conditionalFormatting sqref="K113:K116">
    <cfRule type="cellIs" dxfId="19" priority="39" stopIfTrue="1" operator="equal">
      <formula>0</formula>
    </cfRule>
  </conditionalFormatting>
  <conditionalFormatting sqref="K105">
    <cfRule type="cellIs" dxfId="18" priority="33" stopIfTrue="1" operator="equal">
      <formula>0</formula>
    </cfRule>
  </conditionalFormatting>
  <conditionalFormatting sqref="K118:K120">
    <cfRule type="cellIs" dxfId="17" priority="36" stopIfTrue="1" operator="equal">
      <formula>0</formula>
    </cfRule>
  </conditionalFormatting>
  <conditionalFormatting sqref="K122:K125">
    <cfRule type="cellIs" dxfId="16" priority="35" stopIfTrue="1" operator="equal">
      <formula>0</formula>
    </cfRule>
  </conditionalFormatting>
  <conditionalFormatting sqref="K128:K133">
    <cfRule type="cellIs" dxfId="15" priority="31" stopIfTrue="1" operator="equal">
      <formula>0</formula>
    </cfRule>
  </conditionalFormatting>
  <conditionalFormatting sqref="K135:K136">
    <cfRule type="cellIs" dxfId="14" priority="30" stopIfTrue="1" operator="equal">
      <formula>0</formula>
    </cfRule>
  </conditionalFormatting>
  <conditionalFormatting sqref="K148:K183">
    <cfRule type="cellIs" dxfId="13" priority="26" stopIfTrue="1" operator="equal">
      <formula>0</formula>
    </cfRule>
  </conditionalFormatting>
  <conditionalFormatting sqref="K139:K145">
    <cfRule type="cellIs" dxfId="12" priority="28" stopIfTrue="1" operator="equal">
      <formula>0</formula>
    </cfRule>
  </conditionalFormatting>
  <conditionalFormatting sqref="K228:K232">
    <cfRule type="cellIs" dxfId="11" priority="17" stopIfTrue="1" operator="equal">
      <formula>0</formula>
    </cfRule>
  </conditionalFormatting>
  <conditionalFormatting sqref="K186:K202">
    <cfRule type="cellIs" dxfId="10" priority="24" stopIfTrue="1" operator="equal">
      <formula>0</formula>
    </cfRule>
  </conditionalFormatting>
  <conditionalFormatting sqref="K205:K206">
    <cfRule type="cellIs" dxfId="9" priority="22" stopIfTrue="1" operator="equal">
      <formula>0</formula>
    </cfRule>
  </conditionalFormatting>
  <conditionalFormatting sqref="K209:K225">
    <cfRule type="cellIs" dxfId="8" priority="20" stopIfTrue="1" operator="equal">
      <formula>0</formula>
    </cfRule>
  </conditionalFormatting>
  <conditionalFormatting sqref="K236:K242">
    <cfRule type="cellIs" dxfId="7" priority="12" stopIfTrue="1" operator="equal">
      <formula>0</formula>
    </cfRule>
  </conditionalFormatting>
  <conditionalFormatting sqref="K244:K264">
    <cfRule type="cellIs" dxfId="6" priority="11" stopIfTrue="1" operator="equal">
      <formula>0</formula>
    </cfRule>
  </conditionalFormatting>
  <conditionalFormatting sqref="K267:K270">
    <cfRule type="cellIs" dxfId="5" priority="10" stopIfTrue="1" operator="equal">
      <formula>0</formula>
    </cfRule>
  </conditionalFormatting>
  <conditionalFormatting sqref="K272:K277">
    <cfRule type="cellIs" dxfId="4" priority="9" stopIfTrue="1" operator="equal">
      <formula>0</formula>
    </cfRule>
  </conditionalFormatting>
  <conditionalFormatting sqref="K288:K293">
    <cfRule type="cellIs" dxfId="3" priority="4" stopIfTrue="1" operator="equal">
      <formula>0</formula>
    </cfRule>
  </conditionalFormatting>
  <conditionalFormatting sqref="K280:K285">
    <cfRule type="cellIs" dxfId="2" priority="6" stopIfTrue="1" operator="equal">
      <formula>0</formula>
    </cfRule>
  </conditionalFormatting>
  <conditionalFormatting sqref="K98">
    <cfRule type="cellIs" dxfId="1" priority="1" stopIfTrue="1" operator="equal">
      <formula>0</formula>
    </cfRule>
  </conditionalFormatting>
  <conditionalFormatting sqref="K296">
    <cfRule type="cellIs" dxfId="0" priority="2" stopIfTrue="1" operator="equal">
      <formula>0</formula>
    </cfRule>
  </conditionalFormatting>
  <pageMargins left="0.51181102362204722" right="0.51181102362204722" top="0.78740157480314965" bottom="0.78740157480314965" header="0.31496062992125984" footer="0.31496062992125984"/>
  <pageSetup paperSize="9" scale="46" fitToHeight="5" orientation="landscape" r:id="rId1"/>
  <rowBreaks count="5" manualBreakCount="5">
    <brk id="107" max="13" man="1"/>
    <brk id="138" max="13" man="1"/>
    <brk id="185" max="13" man="1"/>
    <brk id="234" max="13" man="1"/>
    <brk id="280" max="13" man="1"/>
  </rowBreaks>
  <ignoredErrors>
    <ignoredError sqref="D16 K25:K30 K33:K36 K53:K56 K58:K62 K64:K68 K70 K72:K76 K79:K81 K83 K85 K93 K96 K89:K90 K91 K92 K95 K100:K101 K108 K112:K113 K114:K116 K118:K120 K122:K125 K104:K105 K128:K133 K135:K136 K139:K145 K148:K183 K186:K202 K205:K206 K209:K225 K228:K232 K236:K242 K244:K264 K267:K270 K272:K277 K280:K285 K288:K293 K296 K40:K44 K46:K49 K98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B1:AQ55"/>
  <sheetViews>
    <sheetView showGridLines="0" showZeros="0" view="pageBreakPreview" topLeftCell="A28" zoomScale="85" zoomScaleNormal="85" zoomScaleSheetLayoutView="85" workbookViewId="0">
      <selection activeCell="F45" sqref="F45"/>
    </sheetView>
  </sheetViews>
  <sheetFormatPr defaultColWidth="11.42578125" defaultRowHeight="12.75" x14ac:dyDescent="0.2"/>
  <cols>
    <col min="1" max="1" width="2.5703125" style="52" customWidth="1"/>
    <col min="2" max="2" width="5.140625" style="52" customWidth="1"/>
    <col min="3" max="3" width="18.42578125" style="52" customWidth="1"/>
    <col min="4" max="4" width="21.7109375" style="52" customWidth="1"/>
    <col min="5" max="5" width="16.42578125" style="52" customWidth="1"/>
    <col min="6" max="6" width="9.7109375" style="65" customWidth="1"/>
    <col min="7" max="7" width="12.7109375" style="62" customWidth="1"/>
    <col min="8" max="11" width="9.42578125" style="52" customWidth="1"/>
    <col min="12" max="12" width="8.85546875" style="52" customWidth="1"/>
    <col min="13" max="13" width="9.28515625" style="52" customWidth="1"/>
    <col min="14" max="14" width="10.42578125" style="52" customWidth="1"/>
    <col min="15" max="16" width="9.28515625" style="52" customWidth="1"/>
    <col min="17" max="17" width="9.5703125" style="52" customWidth="1"/>
    <col min="18" max="18" width="8.28515625" style="52" customWidth="1"/>
    <col min="19" max="19" width="9.28515625" style="52" customWidth="1"/>
    <col min="20" max="43" width="9.28515625" style="52" hidden="1" customWidth="1"/>
    <col min="44" max="44" width="2.28515625" style="52" customWidth="1"/>
    <col min="45" max="16384" width="11.42578125" style="52"/>
  </cols>
  <sheetData>
    <row r="1" spans="2:43" ht="20.100000000000001" customHeight="1" x14ac:dyDescent="0.35">
      <c r="C1" s="53"/>
      <c r="D1" s="54"/>
      <c r="E1" s="54"/>
      <c r="F1" s="54"/>
      <c r="G1" s="55"/>
      <c r="H1" s="55"/>
      <c r="I1" s="55"/>
      <c r="J1" s="55"/>
      <c r="K1" s="56"/>
      <c r="L1" s="56"/>
      <c r="M1" s="56"/>
      <c r="N1" s="56"/>
      <c r="O1" s="56"/>
      <c r="P1" s="56"/>
      <c r="Q1" s="56"/>
      <c r="R1" s="57"/>
      <c r="S1" s="53"/>
    </row>
    <row r="2" spans="2:43" ht="20.100000000000001" customHeight="1" x14ac:dyDescent="0.35">
      <c r="C2" s="53"/>
      <c r="D2" s="54"/>
      <c r="E2" s="54"/>
      <c r="F2" s="54"/>
      <c r="G2" s="55"/>
      <c r="H2" s="55"/>
      <c r="I2" s="55"/>
      <c r="J2" s="55"/>
      <c r="K2" s="56"/>
      <c r="L2" s="56"/>
      <c r="M2" s="56"/>
      <c r="N2" s="56"/>
      <c r="O2" s="56"/>
      <c r="P2" s="56"/>
      <c r="Q2" s="56"/>
      <c r="R2" s="57"/>
      <c r="S2" s="53"/>
    </row>
    <row r="3" spans="2:43" ht="30.75" customHeight="1" x14ac:dyDescent="0.35">
      <c r="C3" s="53"/>
      <c r="D3" s="54"/>
      <c r="E3" s="54"/>
      <c r="F3" s="54"/>
      <c r="G3" s="55"/>
      <c r="H3" s="55"/>
      <c r="I3" s="55"/>
      <c r="J3" s="55"/>
      <c r="K3" s="56"/>
      <c r="L3" s="56"/>
      <c r="M3" s="56"/>
      <c r="N3" s="56"/>
      <c r="O3" s="56"/>
      <c r="P3" s="56"/>
      <c r="Q3" s="56"/>
      <c r="R3" s="57"/>
      <c r="S3" s="53"/>
    </row>
    <row r="4" spans="2:43" ht="19.5" customHeight="1" thickBot="1" x14ac:dyDescent="0.4">
      <c r="B4" s="58"/>
      <c r="C4" s="53"/>
      <c r="D4" s="54"/>
      <c r="E4" s="54"/>
      <c r="F4" s="54"/>
      <c r="G4" s="55"/>
      <c r="H4" s="55"/>
      <c r="I4" s="55"/>
      <c r="J4" s="55"/>
      <c r="K4" s="56"/>
      <c r="L4" s="56"/>
      <c r="M4" s="56"/>
      <c r="N4" s="56"/>
      <c r="O4" s="56"/>
      <c r="P4" s="56"/>
      <c r="Q4" s="56"/>
      <c r="R4" s="57"/>
      <c r="S4" s="53"/>
    </row>
    <row r="5" spans="2:43" ht="25.5" x14ac:dyDescent="0.35">
      <c r="B5" s="202"/>
      <c r="C5" s="203"/>
      <c r="D5" s="204"/>
      <c r="E5" s="205"/>
      <c r="F5" s="206"/>
      <c r="G5" s="207" t="s">
        <v>95</v>
      </c>
      <c r="H5" s="208"/>
      <c r="I5" s="208"/>
      <c r="J5" s="208"/>
      <c r="K5" s="162"/>
      <c r="L5" s="162"/>
      <c r="M5" s="162"/>
      <c r="N5" s="205"/>
      <c r="O5" s="206"/>
      <c r="P5" s="206"/>
      <c r="Q5" s="206"/>
      <c r="R5" s="206"/>
      <c r="S5" s="209"/>
      <c r="T5" s="55"/>
      <c r="U5" s="55"/>
      <c r="V5" s="55"/>
      <c r="W5" s="56"/>
      <c r="X5" s="56"/>
      <c r="Y5" s="56"/>
      <c r="AA5"/>
      <c r="AB5"/>
      <c r="AC5"/>
      <c r="AD5"/>
      <c r="AE5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</row>
    <row r="6" spans="2:43" ht="18.75" customHeight="1" x14ac:dyDescent="0.35">
      <c r="B6" s="163"/>
      <c r="C6" s="57"/>
      <c r="D6" s="164"/>
      <c r="E6" s="167"/>
      <c r="F6" s="61"/>
      <c r="G6" s="126"/>
      <c r="H6" s="165"/>
      <c r="I6" s="168"/>
      <c r="J6" s="165"/>
      <c r="K6" s="60"/>
      <c r="L6" s="61"/>
      <c r="M6" s="61"/>
      <c r="N6" s="61"/>
      <c r="O6" s="61"/>
      <c r="P6" s="61"/>
      <c r="Q6" s="61"/>
      <c r="R6" s="61"/>
      <c r="S6" s="166"/>
      <c r="T6" s="55"/>
      <c r="U6" s="63" t="e">
        <f>#REF!</f>
        <v>#REF!</v>
      </c>
      <c r="V6" s="55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</row>
    <row r="7" spans="2:43" ht="4.5" customHeight="1" x14ac:dyDescent="0.35">
      <c r="B7" s="169"/>
      <c r="C7" s="57"/>
      <c r="D7" s="164"/>
      <c r="E7" s="164"/>
      <c r="F7" s="164"/>
      <c r="G7" s="165"/>
      <c r="H7" s="165"/>
      <c r="I7" s="165"/>
      <c r="J7" s="165"/>
      <c r="K7" s="59"/>
      <c r="L7" s="59"/>
      <c r="M7" s="59"/>
      <c r="N7" s="59"/>
      <c r="O7" s="59"/>
      <c r="P7" s="59"/>
      <c r="Q7" s="61"/>
      <c r="R7" s="61"/>
      <c r="S7" s="166"/>
      <c r="T7" s="55"/>
      <c r="U7" s="55"/>
      <c r="V7" s="55"/>
      <c r="W7" s="56"/>
      <c r="X7" s="56"/>
      <c r="Y7" s="56"/>
      <c r="Z7" s="56"/>
      <c r="AA7" s="56"/>
      <c r="AB7" s="56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</row>
    <row r="8" spans="2:43" x14ac:dyDescent="0.2">
      <c r="B8" s="170" t="s">
        <v>96</v>
      </c>
      <c r="C8" s="64"/>
      <c r="D8" s="60"/>
      <c r="E8" s="60"/>
      <c r="F8" s="160"/>
      <c r="G8" s="126"/>
      <c r="H8" s="60"/>
      <c r="I8" s="60" t="s">
        <v>97</v>
      </c>
      <c r="J8" s="60"/>
      <c r="K8" s="60"/>
      <c r="L8" s="60"/>
      <c r="M8" s="60"/>
      <c r="N8" s="60"/>
      <c r="O8" s="60"/>
      <c r="P8" s="60"/>
      <c r="Q8" s="60"/>
      <c r="R8" s="60"/>
      <c r="S8" s="171"/>
      <c r="U8" s="52" t="s">
        <v>97</v>
      </c>
      <c r="V8" s="60"/>
      <c r="W8" s="60"/>
      <c r="AD8" s="60"/>
      <c r="AE8" s="66"/>
      <c r="AF8" s="60"/>
      <c r="AG8" s="66"/>
      <c r="AH8" s="60"/>
      <c r="AI8" s="66"/>
      <c r="AJ8" s="60"/>
      <c r="AK8" s="66"/>
      <c r="AL8" s="60"/>
      <c r="AM8" s="66"/>
      <c r="AN8" s="60"/>
      <c r="AO8" s="66"/>
      <c r="AP8" s="60"/>
      <c r="AQ8" s="66"/>
    </row>
    <row r="9" spans="2:43" ht="15" customHeight="1" x14ac:dyDescent="0.2">
      <c r="B9" s="172" t="s">
        <v>1</v>
      </c>
      <c r="C9" s="20"/>
      <c r="D9" s="145" t="str">
        <f>'QUADRA DE ESPORTE - GINASIO'!D15</f>
        <v xml:space="preserve">LC CARVALHAES - ENGENHARIA - ME </v>
      </c>
      <c r="E9" s="70"/>
      <c r="F9" s="85"/>
      <c r="G9" s="126"/>
      <c r="H9" s="73" t="s">
        <v>98</v>
      </c>
      <c r="I9" s="77" t="s">
        <v>555</v>
      </c>
      <c r="J9" s="70"/>
      <c r="K9" s="70"/>
      <c r="L9" s="70"/>
      <c r="M9" s="70"/>
      <c r="N9" s="70"/>
      <c r="O9" s="79"/>
      <c r="P9" s="70"/>
      <c r="Q9" s="70"/>
      <c r="R9" s="70"/>
      <c r="S9" s="173"/>
      <c r="U9" s="67"/>
      <c r="V9" s="69" t="str">
        <f>H9</f>
        <v>CPF/CGC:</v>
      </c>
      <c r="W9" s="75" t="e">
        <f>#REF!</f>
        <v>#REF!</v>
      </c>
      <c r="X9" s="67"/>
      <c r="Y9" s="67"/>
      <c r="Z9" s="67"/>
      <c r="AA9" s="72"/>
      <c r="AB9" s="67"/>
      <c r="AC9" s="70"/>
      <c r="AD9" s="70"/>
      <c r="AE9" s="71"/>
      <c r="AF9" s="70"/>
      <c r="AG9" s="71"/>
      <c r="AH9" s="70"/>
      <c r="AI9" s="71"/>
      <c r="AJ9" s="70"/>
      <c r="AK9" s="71"/>
      <c r="AL9" s="70"/>
      <c r="AM9" s="71"/>
      <c r="AN9" s="70"/>
      <c r="AO9" s="71"/>
      <c r="AP9" s="70"/>
      <c r="AQ9" s="71"/>
    </row>
    <row r="10" spans="2:43" ht="15" customHeight="1" x14ac:dyDescent="0.2">
      <c r="B10" s="172" t="s">
        <v>3</v>
      </c>
      <c r="C10" s="21"/>
      <c r="D10" s="146" t="str">
        <f>'QUADRA DE ESPORTE - GINASIO'!D16</f>
        <v xml:space="preserve">LC CARVALHAES - ENGENHARIA - ME </v>
      </c>
      <c r="E10" s="60"/>
      <c r="F10" s="85"/>
      <c r="G10" s="126"/>
      <c r="H10" s="73"/>
      <c r="I10" s="174"/>
      <c r="J10" s="60"/>
      <c r="K10" s="60"/>
      <c r="L10" s="70"/>
      <c r="M10" s="70"/>
      <c r="N10" s="70"/>
      <c r="O10" s="70"/>
      <c r="P10" s="70"/>
      <c r="Q10" s="70"/>
      <c r="R10" s="70"/>
      <c r="S10" s="173"/>
      <c r="V10" s="69">
        <f>H10</f>
        <v>0</v>
      </c>
      <c r="W10" s="68" t="e">
        <f>#REF!</f>
        <v>#REF!</v>
      </c>
      <c r="X10" s="67"/>
      <c r="Y10" s="67"/>
      <c r="Z10" s="67"/>
      <c r="AA10" s="67"/>
      <c r="AB10" s="67"/>
      <c r="AC10" s="70"/>
      <c r="AD10" s="70"/>
      <c r="AE10" s="71"/>
      <c r="AF10" s="70"/>
      <c r="AG10" s="71"/>
      <c r="AH10" s="70"/>
      <c r="AI10" s="71"/>
      <c r="AJ10" s="70"/>
      <c r="AK10" s="71"/>
      <c r="AL10" s="70"/>
      <c r="AM10" s="71"/>
      <c r="AN10" s="70"/>
      <c r="AO10" s="71"/>
      <c r="AP10" s="70"/>
      <c r="AQ10" s="71"/>
    </row>
    <row r="11" spans="2:43" ht="15" customHeight="1" x14ac:dyDescent="0.2">
      <c r="B11" s="172" t="s">
        <v>5</v>
      </c>
      <c r="C11" s="21"/>
      <c r="D11" s="146" t="str">
        <f>'QUADRA DE ESPORTE - GINASIO'!D17</f>
        <v xml:space="preserve">PROJETO PADRÃO  FNDE - QUADRA COBEERTA  COM VESTIÁRIO </v>
      </c>
      <c r="E11" s="60"/>
      <c r="F11" s="85"/>
      <c r="G11" s="126"/>
      <c r="H11" s="175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173"/>
      <c r="T11" s="67"/>
      <c r="U11" s="67"/>
      <c r="V11" s="69">
        <f>H11</f>
        <v>0</v>
      </c>
      <c r="W11" s="76"/>
      <c r="X11" s="67"/>
      <c r="Y11" s="67"/>
      <c r="Z11" s="67"/>
      <c r="AA11" s="67"/>
      <c r="AB11" s="67"/>
      <c r="AC11" s="70"/>
      <c r="AD11" s="70"/>
      <c r="AE11" s="71"/>
      <c r="AF11" s="70"/>
      <c r="AG11" s="71"/>
      <c r="AH11" s="70"/>
      <c r="AI11" s="71"/>
      <c r="AJ11" s="70"/>
      <c r="AK11" s="71"/>
      <c r="AL11" s="70"/>
      <c r="AM11" s="71"/>
      <c r="AN11" s="70"/>
      <c r="AO11" s="71"/>
      <c r="AP11" s="70"/>
      <c r="AQ11" s="71"/>
    </row>
    <row r="12" spans="2:43" ht="15" customHeight="1" x14ac:dyDescent="0.2">
      <c r="B12" s="172" t="s">
        <v>6</v>
      </c>
      <c r="C12" s="21"/>
      <c r="D12" s="146" t="str">
        <f>'QUADRA DE ESPORTE - GINASIO'!D18</f>
        <v>BAIRRO DO AEROPORTO - CAMETA - PARA</v>
      </c>
      <c r="E12" s="176"/>
      <c r="F12" s="177"/>
      <c r="G12" s="178"/>
      <c r="H12" s="73" t="s">
        <v>99</v>
      </c>
      <c r="I12" s="77" t="str">
        <f>I9</f>
        <v>13.173.632/0001-07</v>
      </c>
      <c r="J12" s="179"/>
      <c r="K12" s="70"/>
      <c r="L12" s="70"/>
      <c r="M12" s="70"/>
      <c r="N12" s="70"/>
      <c r="O12" s="61"/>
      <c r="P12" s="70"/>
      <c r="Q12" s="70"/>
      <c r="R12" s="70"/>
      <c r="S12" s="173"/>
      <c r="U12" s="67"/>
      <c r="V12" s="69" t="str">
        <f>H12</f>
        <v>CGC</v>
      </c>
      <c r="W12" s="74" t="e">
        <f>#REF!</f>
        <v>#REF!</v>
      </c>
      <c r="X12" s="67"/>
      <c r="Y12" s="67"/>
      <c r="Z12" s="70"/>
      <c r="AA12"/>
      <c r="AB12" s="70"/>
      <c r="AC12" s="70"/>
      <c r="AD12" s="67"/>
      <c r="AE12" s="71"/>
      <c r="AF12" s="67"/>
      <c r="AG12" s="71"/>
      <c r="AH12" s="67"/>
      <c r="AI12" s="71"/>
      <c r="AJ12" s="67"/>
      <c r="AK12" s="71"/>
      <c r="AL12" s="67"/>
      <c r="AM12" s="71"/>
      <c r="AN12" s="67"/>
      <c r="AO12" s="71"/>
      <c r="AP12" s="67"/>
      <c r="AQ12" s="71"/>
    </row>
    <row r="13" spans="2:43" ht="15.75" customHeight="1" x14ac:dyDescent="0.2">
      <c r="B13" s="180" t="s">
        <v>100</v>
      </c>
      <c r="C13" s="70"/>
      <c r="D13" s="174" t="str">
        <f>'QUADRA DE ESPORTE - GINASIO'!J15</f>
        <v xml:space="preserve">OSORIO HENRIQUE DE SOUZA  NETO </v>
      </c>
      <c r="E13" s="181"/>
      <c r="F13" s="85"/>
      <c r="G13" s="126"/>
      <c r="H13" s="73" t="s">
        <v>101</v>
      </c>
      <c r="I13" s="80" t="str">
        <f>'QUADRA DE ESPORTE - GINASIO'!J16</f>
        <v>20272/D GO</v>
      </c>
      <c r="J13" s="60"/>
      <c r="K13" s="73" t="s">
        <v>102</v>
      </c>
      <c r="L13" s="77" t="s">
        <v>556</v>
      </c>
      <c r="M13" s="60"/>
      <c r="N13" s="60"/>
      <c r="O13" s="70"/>
      <c r="P13" s="78"/>
      <c r="Q13" s="61"/>
      <c r="R13" s="79"/>
      <c r="S13" s="182"/>
      <c r="V13" s="69" t="str">
        <f>H13</f>
        <v>CREA</v>
      </c>
      <c r="W13" s="74" t="e">
        <f>#REF!</f>
        <v>#REF!</v>
      </c>
      <c r="X13"/>
      <c r="Y13" s="73" t="s">
        <v>102</v>
      </c>
      <c r="Z13" s="80" t="e">
        <f>#REF!</f>
        <v>#REF!</v>
      </c>
      <c r="AA13" s="67"/>
      <c r="AB13" s="78"/>
      <c r="AC13"/>
      <c r="AD13" s="79"/>
      <c r="AE13" s="81"/>
      <c r="AF13" s="79"/>
      <c r="AG13" s="81"/>
      <c r="AH13" s="79"/>
      <c r="AI13" s="81"/>
      <c r="AJ13" s="79"/>
      <c r="AK13" s="81"/>
      <c r="AL13" s="79"/>
      <c r="AM13" s="81"/>
      <c r="AN13" s="79"/>
      <c r="AO13" s="81"/>
      <c r="AP13" s="79"/>
      <c r="AQ13" s="81"/>
    </row>
    <row r="14" spans="2:43" ht="15.75" customHeight="1" x14ac:dyDescent="0.2">
      <c r="B14" s="183"/>
      <c r="C14" s="82"/>
      <c r="D14" s="82"/>
      <c r="E14" s="82"/>
      <c r="F14" s="83"/>
      <c r="G14" s="84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184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</row>
    <row r="15" spans="2:43" ht="15.75" customHeight="1" x14ac:dyDescent="0.2">
      <c r="B15" s="351" t="s">
        <v>571</v>
      </c>
      <c r="C15" s="352"/>
      <c r="D15" s="352"/>
      <c r="E15" s="352"/>
      <c r="F15" s="352"/>
      <c r="G15" s="352"/>
      <c r="H15" s="352"/>
      <c r="I15" s="352"/>
      <c r="J15" s="352"/>
      <c r="K15" s="352"/>
      <c r="L15" s="352"/>
      <c r="M15" s="352"/>
      <c r="N15" s="352"/>
      <c r="O15" s="352"/>
      <c r="P15" s="352"/>
      <c r="Q15" s="352"/>
      <c r="R15" s="352"/>
      <c r="S15" s="353"/>
      <c r="T15" s="70"/>
      <c r="U15" s="67"/>
      <c r="V15" s="70"/>
      <c r="W15" s="70"/>
      <c r="X15" s="67"/>
      <c r="Y15" s="67"/>
      <c r="Z15" s="67"/>
      <c r="AA15" s="67"/>
      <c r="AB15" s="67"/>
      <c r="AC15" s="67"/>
      <c r="AD15" s="70"/>
      <c r="AE15" s="86"/>
      <c r="AF15" s="70"/>
      <c r="AG15" s="67"/>
      <c r="AH15" s="70"/>
      <c r="AI15" s="67"/>
      <c r="AJ15" s="70"/>
      <c r="AK15" s="67"/>
      <c r="AL15" s="70"/>
      <c r="AM15" s="67"/>
      <c r="AN15" s="70"/>
      <c r="AO15" s="67"/>
      <c r="AP15" s="70"/>
      <c r="AQ15" s="67"/>
    </row>
    <row r="16" spans="2:43" ht="15.75" customHeight="1" x14ac:dyDescent="0.2">
      <c r="B16" s="354"/>
      <c r="C16" s="352"/>
      <c r="D16" s="352"/>
      <c r="E16" s="352"/>
      <c r="F16" s="352"/>
      <c r="G16" s="352"/>
      <c r="H16" s="352"/>
      <c r="I16" s="352"/>
      <c r="J16" s="352"/>
      <c r="K16" s="352"/>
      <c r="L16" s="352"/>
      <c r="M16" s="352"/>
      <c r="N16" s="352"/>
      <c r="O16" s="352"/>
      <c r="P16" s="352"/>
      <c r="Q16" s="352"/>
      <c r="R16" s="352"/>
      <c r="S16" s="353"/>
      <c r="AE16" s="66"/>
    </row>
    <row r="17" spans="2:43" x14ac:dyDescent="0.2">
      <c r="B17" s="365" t="s">
        <v>104</v>
      </c>
      <c r="C17" s="366" t="s">
        <v>559</v>
      </c>
      <c r="D17" s="366"/>
      <c r="E17" s="367" t="s">
        <v>560</v>
      </c>
      <c r="F17" s="367" t="s">
        <v>561</v>
      </c>
      <c r="G17" s="360" t="s">
        <v>103</v>
      </c>
      <c r="H17" s="361"/>
      <c r="I17" s="361"/>
      <c r="J17" s="361"/>
      <c r="K17" s="361"/>
      <c r="L17" s="361"/>
      <c r="M17" s="361"/>
      <c r="N17" s="361"/>
      <c r="O17" s="361"/>
      <c r="P17" s="361"/>
      <c r="Q17" s="361"/>
      <c r="R17" s="361"/>
      <c r="S17" s="362"/>
      <c r="T17" s="87"/>
      <c r="U17" s="87"/>
      <c r="V17" s="87"/>
      <c r="W17" s="87"/>
      <c r="X17" s="88" t="s">
        <v>103</v>
      </c>
      <c r="Y17" s="87"/>
      <c r="Z17" s="87"/>
      <c r="AA17" s="87"/>
      <c r="AB17" s="87" t="s">
        <v>97</v>
      </c>
      <c r="AC17" s="88" t="s">
        <v>97</v>
      </c>
      <c r="AD17" s="88" t="s">
        <v>97</v>
      </c>
      <c r="AE17" s="89"/>
      <c r="AF17" s="88" t="s">
        <v>97</v>
      </c>
      <c r="AG17" s="89"/>
      <c r="AH17" s="88" t="s">
        <v>97</v>
      </c>
      <c r="AI17" s="89"/>
      <c r="AJ17" s="88" t="s">
        <v>97</v>
      </c>
      <c r="AK17" s="89"/>
      <c r="AL17" s="88" t="s">
        <v>97</v>
      </c>
      <c r="AM17" s="89"/>
      <c r="AN17" s="88" t="s">
        <v>97</v>
      </c>
      <c r="AO17" s="89"/>
      <c r="AP17" s="88" t="s">
        <v>97</v>
      </c>
      <c r="AQ17" s="89"/>
    </row>
    <row r="18" spans="2:43" x14ac:dyDescent="0.2">
      <c r="B18" s="365"/>
      <c r="C18" s="366"/>
      <c r="D18" s="366"/>
      <c r="E18" s="367"/>
      <c r="F18" s="367"/>
      <c r="G18" s="357" t="s">
        <v>568</v>
      </c>
      <c r="H18" s="355" t="s">
        <v>562</v>
      </c>
      <c r="I18" s="356"/>
      <c r="J18" s="355" t="s">
        <v>563</v>
      </c>
      <c r="K18" s="356"/>
      <c r="L18" s="355" t="s">
        <v>564</v>
      </c>
      <c r="M18" s="356"/>
      <c r="N18" s="355" t="s">
        <v>565</v>
      </c>
      <c r="O18" s="356"/>
      <c r="P18" s="355" t="s">
        <v>566</v>
      </c>
      <c r="Q18" s="356"/>
      <c r="R18" s="355" t="s">
        <v>567</v>
      </c>
      <c r="S18" s="359"/>
      <c r="T18" s="90" t="s">
        <v>105</v>
      </c>
      <c r="U18" s="91" t="e">
        <f>IF(#REF!&lt;99.99,#REF!+1," ")</f>
        <v>#REF!</v>
      </c>
      <c r="V18" s="92" t="s">
        <v>106</v>
      </c>
      <c r="W18" s="93" t="e">
        <f>IF(U41&lt;99,U18+1," ")</f>
        <v>#REF!</v>
      </c>
      <c r="X18" s="90" t="s">
        <v>106</v>
      </c>
      <c r="Y18" s="91" t="e">
        <f>IF(W41&lt;99,W18+1," ")</f>
        <v>#REF!</v>
      </c>
      <c r="Z18" s="92" t="s">
        <v>106</v>
      </c>
      <c r="AA18" s="91" t="e">
        <f>IF(Y41&lt;99,Y18+1," ")</f>
        <v>#REF!</v>
      </c>
      <c r="AB18" s="92" t="s">
        <v>106</v>
      </c>
      <c r="AC18" s="91" t="e">
        <f>IF(AA41&lt;99,AA18+1," ")</f>
        <v>#REF!</v>
      </c>
      <c r="AD18" s="92" t="s">
        <v>106</v>
      </c>
      <c r="AE18" s="94" t="e">
        <f>IF(AC41&lt;99,AC18+1," ")</f>
        <v>#REF!</v>
      </c>
      <c r="AF18" s="92" t="s">
        <v>106</v>
      </c>
      <c r="AG18" s="94" t="e">
        <f>IF(#REF!&lt;99,#REF!+1," ")</f>
        <v>#REF!</v>
      </c>
      <c r="AH18" s="92" t="s">
        <v>106</v>
      </c>
      <c r="AI18" s="94" t="e">
        <f>IF(#REF!&lt;99,#REF!+1," ")</f>
        <v>#REF!</v>
      </c>
      <c r="AJ18" s="92" t="s">
        <v>106</v>
      </c>
      <c r="AK18" s="94" t="e">
        <f>IF(AI41&lt;99,AI18+1," ")</f>
        <v>#REF!</v>
      </c>
      <c r="AL18" s="92" t="s">
        <v>106</v>
      </c>
      <c r="AM18" s="94" t="e">
        <f>IF(AK41&lt;99,AK18+1," ")</f>
        <v>#REF!</v>
      </c>
      <c r="AN18" s="92" t="s">
        <v>106</v>
      </c>
      <c r="AO18" s="94" t="e">
        <f>IF(AM41&lt;99,AM18+1," ")</f>
        <v>#REF!</v>
      </c>
      <c r="AP18" s="92" t="s">
        <v>106</v>
      </c>
      <c r="AQ18" s="94" t="e">
        <f>IF(AO41&lt;99,AO18+1," ")</f>
        <v>#REF!</v>
      </c>
    </row>
    <row r="19" spans="2:43" ht="12" customHeight="1" x14ac:dyDescent="0.2">
      <c r="B19" s="365"/>
      <c r="C19" s="366"/>
      <c r="D19" s="366"/>
      <c r="E19" s="367"/>
      <c r="F19" s="367"/>
      <c r="G19" s="358"/>
      <c r="H19" s="161" t="s">
        <v>107</v>
      </c>
      <c r="I19" s="161" t="s">
        <v>108</v>
      </c>
      <c r="J19" s="161" t="s">
        <v>107</v>
      </c>
      <c r="K19" s="161" t="s">
        <v>108</v>
      </c>
      <c r="L19" s="161" t="s">
        <v>107</v>
      </c>
      <c r="M19" s="161" t="s">
        <v>108</v>
      </c>
      <c r="N19" s="161" t="s">
        <v>107</v>
      </c>
      <c r="O19" s="161" t="s">
        <v>108</v>
      </c>
      <c r="P19" s="161" t="s">
        <v>107</v>
      </c>
      <c r="Q19" s="161" t="s">
        <v>108</v>
      </c>
      <c r="R19" s="161" t="s">
        <v>107</v>
      </c>
      <c r="S19" s="185" t="s">
        <v>108</v>
      </c>
      <c r="T19" s="95" t="s">
        <v>107</v>
      </c>
      <c r="U19" s="96" t="s">
        <v>108</v>
      </c>
      <c r="V19" s="96" t="s">
        <v>107</v>
      </c>
      <c r="W19" s="96" t="s">
        <v>108</v>
      </c>
      <c r="X19" s="96" t="s">
        <v>107</v>
      </c>
      <c r="Y19" s="96" t="s">
        <v>108</v>
      </c>
      <c r="Z19" s="96" t="s">
        <v>107</v>
      </c>
      <c r="AA19" s="96" t="s">
        <v>108</v>
      </c>
      <c r="AB19" s="96" t="s">
        <v>107</v>
      </c>
      <c r="AC19" s="96" t="s">
        <v>108</v>
      </c>
      <c r="AD19" s="96" t="s">
        <v>107</v>
      </c>
      <c r="AE19" s="97" t="s">
        <v>108</v>
      </c>
      <c r="AF19" s="96" t="s">
        <v>107</v>
      </c>
      <c r="AG19" s="97" t="s">
        <v>108</v>
      </c>
      <c r="AH19" s="96" t="s">
        <v>107</v>
      </c>
      <c r="AI19" s="97" t="s">
        <v>108</v>
      </c>
      <c r="AJ19" s="96" t="s">
        <v>107</v>
      </c>
      <c r="AK19" s="97" t="s">
        <v>108</v>
      </c>
      <c r="AL19" s="96" t="s">
        <v>107</v>
      </c>
      <c r="AM19" s="97" t="s">
        <v>108</v>
      </c>
      <c r="AN19" s="96" t="s">
        <v>107</v>
      </c>
      <c r="AO19" s="97" t="s">
        <v>108</v>
      </c>
      <c r="AP19" s="96" t="s">
        <v>107</v>
      </c>
      <c r="AQ19" s="97" t="s">
        <v>108</v>
      </c>
    </row>
    <row r="20" spans="2:43" ht="15" customHeight="1" x14ac:dyDescent="0.2">
      <c r="B20" s="186">
        <v>1</v>
      </c>
      <c r="C20" s="347" t="s">
        <v>557</v>
      </c>
      <c r="D20" s="348"/>
      <c r="E20" s="201">
        <f>(58106.21*1.27)</f>
        <v>73794.886700000003</v>
      </c>
      <c r="F20" s="150">
        <v>8.3116957908020144</v>
      </c>
      <c r="G20" s="151"/>
      <c r="H20" s="150"/>
      <c r="I20" s="152"/>
      <c r="J20" s="150"/>
      <c r="K20" s="152"/>
      <c r="L20" s="150"/>
      <c r="M20" s="152"/>
      <c r="N20" s="150"/>
      <c r="O20" s="152"/>
      <c r="P20" s="150"/>
      <c r="Q20" s="152"/>
      <c r="R20" s="150"/>
      <c r="S20" s="187"/>
      <c r="T20" s="148"/>
      <c r="U20" s="100" t="e">
        <f>#REF!+T20</f>
        <v>#REF!</v>
      </c>
      <c r="V20" s="101"/>
      <c r="W20" s="100" t="e">
        <f>U20+V20</f>
        <v>#REF!</v>
      </c>
      <c r="X20" s="101"/>
      <c r="Y20" s="100" t="e">
        <f>W20+X20</f>
        <v>#REF!</v>
      </c>
      <c r="Z20" s="101"/>
      <c r="AA20" s="100" t="e">
        <f>Y20+Z20</f>
        <v>#REF!</v>
      </c>
      <c r="AB20" s="101"/>
      <c r="AC20" s="100" t="e">
        <f>AA20+AB20</f>
        <v>#REF!</v>
      </c>
      <c r="AD20" s="101"/>
      <c r="AE20" s="100" t="e">
        <f>AC20+AD20</f>
        <v>#REF!</v>
      </c>
      <c r="AF20" s="98">
        <v>2.5</v>
      </c>
      <c r="AG20" s="99" t="e">
        <f>AE20+AF20</f>
        <v>#REF!</v>
      </c>
      <c r="AH20" s="98">
        <v>2.5</v>
      </c>
      <c r="AI20" s="99" t="e">
        <f>AG20+AH20</f>
        <v>#REF!</v>
      </c>
      <c r="AJ20" s="98">
        <v>2.5</v>
      </c>
      <c r="AK20" s="99" t="e">
        <f>AI20+AJ20</f>
        <v>#REF!</v>
      </c>
      <c r="AL20" s="98">
        <v>2.5</v>
      </c>
      <c r="AM20" s="99" t="e">
        <f>AK20+AL20</f>
        <v>#REF!</v>
      </c>
      <c r="AN20" s="98">
        <v>2.5</v>
      </c>
      <c r="AO20" s="99" t="e">
        <f>AM20+AN20</f>
        <v>#REF!</v>
      </c>
      <c r="AP20" s="98">
        <v>2.5</v>
      </c>
      <c r="AQ20" s="99" t="e">
        <f>AO20+AP20</f>
        <v>#REF!</v>
      </c>
    </row>
    <row r="21" spans="2:43" ht="15" customHeight="1" x14ac:dyDescent="0.2">
      <c r="B21" s="186">
        <v>2</v>
      </c>
      <c r="C21" s="347" t="s">
        <v>558</v>
      </c>
      <c r="D21" s="348"/>
      <c r="E21" s="201">
        <f>(12443.19*1.27)</f>
        <v>15802.8513</v>
      </c>
      <c r="F21" s="150">
        <v>1.7799131959759504</v>
      </c>
      <c r="G21" s="151"/>
      <c r="H21" s="150"/>
      <c r="I21" s="149"/>
      <c r="J21" s="150"/>
      <c r="K21" s="149"/>
      <c r="L21" s="150"/>
      <c r="M21" s="152"/>
      <c r="N21" s="150"/>
      <c r="O21" s="149"/>
      <c r="P21" s="150"/>
      <c r="Q21" s="149"/>
      <c r="R21" s="150"/>
      <c r="S21" s="188"/>
      <c r="T21" s="102"/>
      <c r="U21" s="100" t="e">
        <f>#REF!+T21</f>
        <v>#REF!</v>
      </c>
      <c r="V21" s="101"/>
      <c r="W21" s="100" t="e">
        <f>U21+V21</f>
        <v>#REF!</v>
      </c>
      <c r="X21" s="101"/>
      <c r="Y21" s="100" t="e">
        <f>W21+X21</f>
        <v>#REF!</v>
      </c>
      <c r="Z21" s="101"/>
      <c r="AA21" s="100" t="e">
        <f>Y21+Z21</f>
        <v>#REF!</v>
      </c>
      <c r="AB21" s="101"/>
      <c r="AC21" s="100" t="e">
        <f>AA21+AB21</f>
        <v>#REF!</v>
      </c>
      <c r="AD21" s="101"/>
      <c r="AE21" s="100" t="e">
        <f>AC21+AD21</f>
        <v>#REF!</v>
      </c>
      <c r="AF21" s="98"/>
      <c r="AG21" s="99" t="e">
        <f>AE21+AF21</f>
        <v>#REF!</v>
      </c>
      <c r="AH21" s="98"/>
      <c r="AI21" s="99" t="e">
        <f>AG21+AH21</f>
        <v>#REF!</v>
      </c>
      <c r="AJ21" s="98"/>
      <c r="AK21" s="99" t="e">
        <f>AI21+AJ21</f>
        <v>#REF!</v>
      </c>
      <c r="AL21" s="98"/>
      <c r="AM21" s="99" t="e">
        <f>AK21+AL21</f>
        <v>#REF!</v>
      </c>
      <c r="AN21" s="98"/>
      <c r="AO21" s="99" t="e">
        <f>AM21+AN21</f>
        <v>#REF!</v>
      </c>
      <c r="AP21" s="98"/>
      <c r="AQ21" s="99" t="e">
        <f>AO21+AP21</f>
        <v>#REF!</v>
      </c>
    </row>
    <row r="22" spans="2:43" ht="15" customHeight="1" x14ac:dyDescent="0.2">
      <c r="B22" s="186">
        <v>3</v>
      </c>
      <c r="C22" s="347" t="s">
        <v>569</v>
      </c>
      <c r="D22" s="348"/>
      <c r="E22" s="201">
        <f>(30245.19*1.27)</f>
        <v>38411.391299999996</v>
      </c>
      <c r="F22" s="150">
        <v>4.326367498671952</v>
      </c>
      <c r="G22" s="149"/>
      <c r="H22" s="150"/>
      <c r="I22" s="149"/>
      <c r="J22" s="150"/>
      <c r="K22" s="149"/>
      <c r="L22" s="150"/>
      <c r="M22" s="149"/>
      <c r="N22" s="150"/>
      <c r="O22" s="149"/>
      <c r="P22" s="150"/>
      <c r="Q22" s="149"/>
      <c r="R22" s="150"/>
      <c r="S22" s="188"/>
      <c r="T22" s="102"/>
      <c r="U22" s="100" t="e">
        <f>#REF!+T22</f>
        <v>#REF!</v>
      </c>
      <c r="V22" s="101"/>
      <c r="W22" s="100" t="e">
        <f>U22+V22</f>
        <v>#REF!</v>
      </c>
      <c r="X22" s="101"/>
      <c r="Y22" s="100" t="e">
        <f>W22+X22</f>
        <v>#REF!</v>
      </c>
      <c r="Z22" s="101"/>
      <c r="AA22" s="100" t="e">
        <f>Y22+Z22</f>
        <v>#REF!</v>
      </c>
      <c r="AB22" s="101"/>
      <c r="AC22" s="100" t="e">
        <f>AA22+AB22</f>
        <v>#REF!</v>
      </c>
      <c r="AD22" s="101"/>
      <c r="AE22" s="100" t="e">
        <f>AC22+AD22</f>
        <v>#REF!</v>
      </c>
      <c r="AF22" s="98"/>
      <c r="AG22" s="99" t="e">
        <f>AE22+AF22</f>
        <v>#REF!</v>
      </c>
      <c r="AH22" s="98"/>
      <c r="AI22" s="99" t="e">
        <f>AG22+AH22</f>
        <v>#REF!</v>
      </c>
      <c r="AJ22" s="98"/>
      <c r="AK22" s="99" t="e">
        <f>AI22+AJ22</f>
        <v>#REF!</v>
      </c>
      <c r="AL22" s="98"/>
      <c r="AM22" s="99" t="e">
        <f>AK22+AL22</f>
        <v>#REF!</v>
      </c>
      <c r="AN22" s="98"/>
      <c r="AO22" s="99" t="e">
        <f>AM22+AN22</f>
        <v>#REF!</v>
      </c>
      <c r="AP22" s="98"/>
      <c r="AQ22" s="99" t="e">
        <f>AO22+AP22</f>
        <v>#REF!</v>
      </c>
    </row>
    <row r="23" spans="2:43" ht="15" customHeight="1" x14ac:dyDescent="0.2">
      <c r="B23" s="186">
        <v>4</v>
      </c>
      <c r="C23" s="347" t="s">
        <v>570</v>
      </c>
      <c r="D23" s="348"/>
      <c r="E23" s="201">
        <f>(86236.46*1.27)</f>
        <v>109520.30420000001</v>
      </c>
      <c r="F23" s="150">
        <v>12.335535592420607</v>
      </c>
      <c r="G23" s="149"/>
      <c r="H23" s="150"/>
      <c r="I23" s="149"/>
      <c r="J23" s="150"/>
      <c r="K23" s="149"/>
      <c r="L23" s="150"/>
      <c r="M23" s="149"/>
      <c r="N23" s="150"/>
      <c r="O23" s="149"/>
      <c r="P23" s="150"/>
      <c r="Q23" s="149"/>
      <c r="R23" s="150"/>
      <c r="S23" s="188"/>
      <c r="T23" s="105"/>
      <c r="U23" s="106"/>
      <c r="V23" s="107"/>
      <c r="W23" s="106"/>
      <c r="X23" s="107"/>
      <c r="Y23" s="106"/>
      <c r="Z23" s="107"/>
      <c r="AA23" s="106"/>
      <c r="AB23" s="107"/>
      <c r="AC23" s="106"/>
      <c r="AD23" s="107"/>
      <c r="AE23" s="106"/>
      <c r="AF23" s="103"/>
      <c r="AG23" s="104"/>
      <c r="AH23" s="103"/>
      <c r="AI23" s="104"/>
      <c r="AJ23" s="103"/>
      <c r="AK23" s="104"/>
      <c r="AL23" s="103"/>
      <c r="AM23" s="104"/>
      <c r="AN23" s="103"/>
      <c r="AO23" s="104"/>
      <c r="AP23" s="103"/>
      <c r="AQ23" s="104"/>
    </row>
    <row r="24" spans="2:43" ht="25.5" customHeight="1" x14ac:dyDescent="0.2">
      <c r="B24" s="186">
        <v>5</v>
      </c>
      <c r="C24" s="349" t="s">
        <v>572</v>
      </c>
      <c r="D24" s="350"/>
      <c r="E24" s="201">
        <f>(29384.51*1.27)</f>
        <v>37318.327700000002</v>
      </c>
      <c r="F24" s="150">
        <v>4.2032531132520887</v>
      </c>
      <c r="G24" s="149"/>
      <c r="H24" s="150"/>
      <c r="I24" s="149"/>
      <c r="J24" s="150"/>
      <c r="K24" s="149"/>
      <c r="L24" s="150"/>
      <c r="M24" s="149"/>
      <c r="N24" s="150"/>
      <c r="O24" s="149"/>
      <c r="P24" s="150"/>
      <c r="Q24" s="149"/>
      <c r="R24" s="150"/>
      <c r="S24" s="188"/>
      <c r="T24" s="102"/>
      <c r="U24" s="100" t="e">
        <f>#REF!+T24</f>
        <v>#REF!</v>
      </c>
      <c r="V24" s="101"/>
      <c r="W24" s="100" t="e">
        <f>U24+V24</f>
        <v>#REF!</v>
      </c>
      <c r="X24" s="101"/>
      <c r="Y24" s="100" t="e">
        <f>W24+X24</f>
        <v>#REF!</v>
      </c>
      <c r="Z24" s="101"/>
      <c r="AA24" s="100" t="e">
        <f>Y24+Z24</f>
        <v>#REF!</v>
      </c>
      <c r="AB24" s="101"/>
      <c r="AC24" s="100" t="e">
        <f>AA24+AB24</f>
        <v>#REF!</v>
      </c>
      <c r="AD24" s="101"/>
      <c r="AE24" s="100" t="e">
        <f>AC24+AD24</f>
        <v>#REF!</v>
      </c>
      <c r="AF24" s="98"/>
      <c r="AG24" s="99" t="e">
        <f>AE24+AF24</f>
        <v>#REF!</v>
      </c>
      <c r="AH24" s="98"/>
      <c r="AI24" s="99" t="e">
        <f>AG24+AH24</f>
        <v>#REF!</v>
      </c>
      <c r="AJ24" s="98"/>
      <c r="AK24" s="99" t="e">
        <f>AI24+AJ24</f>
        <v>#REF!</v>
      </c>
      <c r="AL24" s="98"/>
      <c r="AM24" s="99" t="e">
        <f>AK24+AL24</f>
        <v>#REF!</v>
      </c>
      <c r="AN24" s="98"/>
      <c r="AO24" s="99" t="e">
        <f>AM24+AN24</f>
        <v>#REF!</v>
      </c>
      <c r="AP24" s="98"/>
      <c r="AQ24" s="99" t="e">
        <f>AO24+AP24</f>
        <v>#REF!</v>
      </c>
    </row>
    <row r="25" spans="2:43" ht="15" customHeight="1" x14ac:dyDescent="0.2">
      <c r="B25" s="186">
        <v>6</v>
      </c>
      <c r="C25" s="347" t="s">
        <v>573</v>
      </c>
      <c r="D25" s="348"/>
      <c r="E25" s="201">
        <f>(9371.08*1.27)</f>
        <v>11901.2716</v>
      </c>
      <c r="F25" s="150">
        <v>1.3404688791657373</v>
      </c>
      <c r="G25" s="149"/>
      <c r="H25" s="150"/>
      <c r="I25" s="149"/>
      <c r="J25" s="150"/>
      <c r="K25" s="149"/>
      <c r="L25" s="150"/>
      <c r="M25" s="149"/>
      <c r="N25" s="150"/>
      <c r="O25" s="149"/>
      <c r="P25" s="150"/>
      <c r="Q25" s="149"/>
      <c r="R25" s="150"/>
      <c r="S25" s="188"/>
      <c r="T25" s="102"/>
      <c r="U25" s="100" t="e">
        <f>#REF!+T25</f>
        <v>#REF!</v>
      </c>
      <c r="V25" s="101"/>
      <c r="W25" s="100" t="e">
        <f>U25+V25</f>
        <v>#REF!</v>
      </c>
      <c r="X25" s="101"/>
      <c r="Y25" s="100" t="e">
        <f>W25+X25</f>
        <v>#REF!</v>
      </c>
      <c r="Z25" s="101"/>
      <c r="AA25" s="100" t="e">
        <f>Y25+Z25</f>
        <v>#REF!</v>
      </c>
      <c r="AB25" s="101"/>
      <c r="AC25" s="100" t="e">
        <f>AA25+AB25</f>
        <v>#REF!</v>
      </c>
      <c r="AD25" s="101"/>
      <c r="AE25" s="100" t="e">
        <f>AC25+AD25</f>
        <v>#REF!</v>
      </c>
      <c r="AF25" s="98"/>
      <c r="AG25" s="99" t="e">
        <f>AE25+AF25</f>
        <v>#REF!</v>
      </c>
      <c r="AH25" s="98"/>
      <c r="AI25" s="99" t="e">
        <f>AG25+AH25</f>
        <v>#REF!</v>
      </c>
      <c r="AJ25" s="98"/>
      <c r="AK25" s="99" t="e">
        <f>AI25+AJ25</f>
        <v>#REF!</v>
      </c>
      <c r="AL25" s="98"/>
      <c r="AM25" s="99" t="e">
        <f>AK25+AL25</f>
        <v>#REF!</v>
      </c>
      <c r="AN25" s="98"/>
      <c r="AO25" s="99" t="e">
        <f>AM25+AN25</f>
        <v>#REF!</v>
      </c>
      <c r="AP25" s="98"/>
      <c r="AQ25" s="99" t="e">
        <f>AO25+AP25</f>
        <v>#REF!</v>
      </c>
    </row>
    <row r="26" spans="2:43" ht="15" customHeight="1" x14ac:dyDescent="0.2">
      <c r="B26" s="186">
        <v>7</v>
      </c>
      <c r="C26" s="347" t="s">
        <v>574</v>
      </c>
      <c r="D26" s="348"/>
      <c r="E26" s="201">
        <f>(263359.95*1.27)</f>
        <v>334467.13650000002</v>
      </c>
      <c r="F26" s="150">
        <v>37.671838997601611</v>
      </c>
      <c r="G26" s="149"/>
      <c r="H26" s="150"/>
      <c r="I26" s="149"/>
      <c r="J26" s="150"/>
      <c r="K26" s="149"/>
      <c r="L26" s="150"/>
      <c r="M26" s="149"/>
      <c r="N26" s="150"/>
      <c r="O26" s="149"/>
      <c r="P26" s="150"/>
      <c r="Q26" s="149"/>
      <c r="R26" s="150"/>
      <c r="S26" s="188"/>
      <c r="T26" s="102"/>
      <c r="U26" s="100" t="e">
        <f>#REF!+T26</f>
        <v>#REF!</v>
      </c>
      <c r="V26" s="101"/>
      <c r="W26" s="100" t="e">
        <f>U26+V26</f>
        <v>#REF!</v>
      </c>
      <c r="X26" s="101"/>
      <c r="Y26" s="100" t="e">
        <f>W26+X26</f>
        <v>#REF!</v>
      </c>
      <c r="Z26" s="101"/>
      <c r="AA26" s="100" t="e">
        <f>Y26+Z26</f>
        <v>#REF!</v>
      </c>
      <c r="AB26" s="101"/>
      <c r="AC26" s="100" t="e">
        <f>AA26+AB26</f>
        <v>#REF!</v>
      </c>
      <c r="AD26" s="101"/>
      <c r="AE26" s="100" t="e">
        <f>AC26+AD26</f>
        <v>#REF!</v>
      </c>
      <c r="AF26" s="98"/>
      <c r="AG26" s="99" t="e">
        <f>AE26+AF26</f>
        <v>#REF!</v>
      </c>
      <c r="AH26" s="98"/>
      <c r="AI26" s="99" t="e">
        <f>AG26+AH26</f>
        <v>#REF!</v>
      </c>
      <c r="AJ26" s="98"/>
      <c r="AK26" s="99" t="e">
        <f>AI26+AJ26</f>
        <v>#REF!</v>
      </c>
      <c r="AL26" s="98"/>
      <c r="AM26" s="99" t="e">
        <f>AK26+AL26</f>
        <v>#REF!</v>
      </c>
      <c r="AN26" s="98"/>
      <c r="AO26" s="99" t="e">
        <f>AM26+AN26</f>
        <v>#REF!</v>
      </c>
      <c r="AP26" s="98"/>
      <c r="AQ26" s="99" t="e">
        <f>AO26+AP26</f>
        <v>#REF!</v>
      </c>
    </row>
    <row r="27" spans="2:43" ht="15" customHeight="1" x14ac:dyDescent="0.2">
      <c r="B27" s="186">
        <v>8</v>
      </c>
      <c r="C27" s="347" t="s">
        <v>575</v>
      </c>
      <c r="D27" s="348"/>
      <c r="E27" s="201">
        <f>(6202.49*1.27)</f>
        <v>7877.1623</v>
      </c>
      <c r="F27" s="150">
        <v>0.8872237584501137</v>
      </c>
      <c r="G27" s="149"/>
      <c r="H27" s="150"/>
      <c r="I27" s="149"/>
      <c r="J27" s="150"/>
      <c r="K27" s="149"/>
      <c r="L27" s="150"/>
      <c r="M27" s="149"/>
      <c r="N27" s="150"/>
      <c r="O27" s="149"/>
      <c r="P27" s="150"/>
      <c r="Q27" s="149"/>
      <c r="R27" s="150"/>
      <c r="S27" s="188"/>
      <c r="T27" s="102"/>
      <c r="U27" s="100" t="e">
        <f>#REF!+T27</f>
        <v>#REF!</v>
      </c>
      <c r="V27" s="101"/>
      <c r="W27" s="100" t="e">
        <f>U27+V27</f>
        <v>#REF!</v>
      </c>
      <c r="X27" s="101"/>
      <c r="Y27" s="100" t="e">
        <f>W27+X27</f>
        <v>#REF!</v>
      </c>
      <c r="Z27" s="101"/>
      <c r="AA27" s="100" t="e">
        <f>Y27+Z27</f>
        <v>#REF!</v>
      </c>
      <c r="AB27" s="101"/>
      <c r="AC27" s="100" t="e">
        <f>AA27+AB27</f>
        <v>#REF!</v>
      </c>
      <c r="AD27" s="101"/>
      <c r="AE27" s="100" t="e">
        <f>AC27+AD27</f>
        <v>#REF!</v>
      </c>
      <c r="AF27" s="98"/>
      <c r="AG27" s="99" t="e">
        <f>AE27+AF27</f>
        <v>#REF!</v>
      </c>
      <c r="AH27" s="98"/>
      <c r="AI27" s="99" t="e">
        <f>AG27+AH27</f>
        <v>#REF!</v>
      </c>
      <c r="AJ27" s="98"/>
      <c r="AK27" s="99" t="e">
        <f>AI27+AJ27</f>
        <v>#REF!</v>
      </c>
      <c r="AL27" s="98"/>
      <c r="AM27" s="99" t="e">
        <f>AK27+AL27</f>
        <v>#REF!</v>
      </c>
      <c r="AN27" s="98"/>
      <c r="AO27" s="99" t="e">
        <f>AM27+AN27</f>
        <v>#REF!</v>
      </c>
      <c r="AP27" s="98"/>
      <c r="AQ27" s="99" t="e">
        <f>AO27+AP27</f>
        <v>#REF!</v>
      </c>
    </row>
    <row r="28" spans="2:43" ht="15" customHeight="1" x14ac:dyDescent="0.2">
      <c r="B28" s="186">
        <v>9</v>
      </c>
      <c r="C28" s="347" t="s">
        <v>227</v>
      </c>
      <c r="D28" s="348"/>
      <c r="E28" s="201">
        <f>(49354.22*1.27)</f>
        <v>62679.859400000001</v>
      </c>
      <c r="F28" s="150">
        <v>7.0597835004609069</v>
      </c>
      <c r="G28" s="149"/>
      <c r="H28" s="150"/>
      <c r="I28" s="149"/>
      <c r="J28" s="150"/>
      <c r="K28" s="149"/>
      <c r="L28" s="150"/>
      <c r="M28" s="149"/>
      <c r="N28" s="150"/>
      <c r="O28" s="149"/>
      <c r="P28" s="150"/>
      <c r="Q28" s="149"/>
      <c r="R28" s="150"/>
      <c r="S28" s="188"/>
      <c r="T28" s="102"/>
      <c r="U28" s="100" t="e">
        <f>#REF!+T28</f>
        <v>#REF!</v>
      </c>
      <c r="V28" s="101"/>
      <c r="W28" s="100" t="e">
        <f>U28+V28</f>
        <v>#REF!</v>
      </c>
      <c r="X28" s="101"/>
      <c r="Y28" s="100" t="e">
        <f>W28+X28</f>
        <v>#REF!</v>
      </c>
      <c r="Z28" s="101"/>
      <c r="AA28" s="100" t="e">
        <f>Y28+Z28</f>
        <v>#REF!</v>
      </c>
      <c r="AB28" s="101"/>
      <c r="AC28" s="100" t="e">
        <f>AA28+AB28</f>
        <v>#REF!</v>
      </c>
      <c r="AD28" s="101"/>
      <c r="AE28" s="100" t="e">
        <f>AC28+AD28</f>
        <v>#REF!</v>
      </c>
      <c r="AF28" s="98"/>
      <c r="AG28" s="99" t="e">
        <f>AE28+AF28</f>
        <v>#REF!</v>
      </c>
      <c r="AH28" s="98"/>
      <c r="AI28" s="99" t="e">
        <f>AG28+AH28</f>
        <v>#REF!</v>
      </c>
      <c r="AJ28" s="98"/>
      <c r="AK28" s="99" t="e">
        <f>AI28+AJ28</f>
        <v>#REF!</v>
      </c>
      <c r="AL28" s="98"/>
      <c r="AM28" s="99" t="e">
        <f>AK28+AL28</f>
        <v>#REF!</v>
      </c>
      <c r="AN28" s="98"/>
      <c r="AO28" s="99" t="e">
        <f>AM28+AN28</f>
        <v>#REF!</v>
      </c>
      <c r="AP28" s="98"/>
      <c r="AQ28" s="99" t="e">
        <f>AO28+AP28</f>
        <v>#REF!</v>
      </c>
    </row>
    <row r="29" spans="2:43" ht="28.5" customHeight="1" x14ac:dyDescent="0.2">
      <c r="B29" s="186">
        <v>10</v>
      </c>
      <c r="C29" s="349" t="s">
        <v>576</v>
      </c>
      <c r="D29" s="350"/>
      <c r="E29" s="201">
        <f>(25297.63*1.27)</f>
        <v>32127.990100000003</v>
      </c>
      <c r="F29" s="150">
        <v>3.6186528907713429</v>
      </c>
      <c r="G29" s="149"/>
      <c r="H29" s="150"/>
      <c r="I29" s="149"/>
      <c r="J29" s="150"/>
      <c r="K29" s="149"/>
      <c r="L29" s="150"/>
      <c r="M29" s="149"/>
      <c r="N29" s="150"/>
      <c r="O29" s="149"/>
      <c r="P29" s="150"/>
      <c r="Q29" s="149"/>
      <c r="R29" s="150"/>
      <c r="S29" s="188"/>
      <c r="T29" s="105"/>
      <c r="U29" s="106"/>
      <c r="V29" s="107"/>
      <c r="W29" s="106"/>
      <c r="X29" s="107"/>
      <c r="Y29" s="106"/>
      <c r="Z29" s="107"/>
      <c r="AA29" s="106"/>
      <c r="AB29" s="107"/>
      <c r="AC29" s="106"/>
      <c r="AD29" s="107"/>
      <c r="AE29" s="106"/>
      <c r="AF29" s="103"/>
      <c r="AG29" s="104"/>
      <c r="AH29" s="103"/>
      <c r="AI29" s="104"/>
      <c r="AJ29" s="103"/>
      <c r="AK29" s="104"/>
      <c r="AL29" s="103"/>
      <c r="AM29" s="104"/>
      <c r="AN29" s="103"/>
      <c r="AO29" s="104"/>
      <c r="AP29" s="103"/>
      <c r="AQ29" s="104"/>
    </row>
    <row r="30" spans="2:43" ht="15" customHeight="1" x14ac:dyDescent="0.2">
      <c r="B30" s="186">
        <v>11</v>
      </c>
      <c r="C30" s="347" t="s">
        <v>577</v>
      </c>
      <c r="D30" s="348"/>
      <c r="E30" s="201">
        <f>(36558.91*1.27)</f>
        <v>46429.815700000006</v>
      </c>
      <c r="F30" s="150">
        <v>5.229501947611273</v>
      </c>
      <c r="G30" s="149"/>
      <c r="H30" s="150"/>
      <c r="I30" s="149"/>
      <c r="J30" s="150"/>
      <c r="K30" s="149"/>
      <c r="L30" s="150"/>
      <c r="M30" s="149"/>
      <c r="N30" s="150"/>
      <c r="O30" s="149"/>
      <c r="P30" s="150"/>
      <c r="Q30" s="149"/>
      <c r="R30" s="150"/>
      <c r="S30" s="188"/>
      <c r="T30" s="102"/>
      <c r="U30" s="100" t="e">
        <f>T30+#REF!</f>
        <v>#REF!</v>
      </c>
      <c r="V30" s="101"/>
      <c r="W30" s="100" t="e">
        <f>U30+V30</f>
        <v>#REF!</v>
      </c>
      <c r="X30" s="101"/>
      <c r="Y30" s="100" t="e">
        <f>W30+X30</f>
        <v>#REF!</v>
      </c>
      <c r="Z30" s="101"/>
      <c r="AA30" s="100" t="e">
        <f>Y30+Z30</f>
        <v>#REF!</v>
      </c>
      <c r="AB30" s="101"/>
      <c r="AC30" s="100" t="e">
        <f>AA30+AB30</f>
        <v>#REF!</v>
      </c>
      <c r="AD30" s="101"/>
      <c r="AE30" s="100" t="e">
        <f>AC30+AD30</f>
        <v>#REF!</v>
      </c>
      <c r="AF30" s="98"/>
      <c r="AG30" s="99" t="e">
        <f>AF30+AE30</f>
        <v>#REF!</v>
      </c>
      <c r="AH30" s="98"/>
      <c r="AI30" s="99" t="e">
        <f>AH30+AG30</f>
        <v>#REF!</v>
      </c>
      <c r="AJ30" s="98"/>
      <c r="AK30" s="99" t="e">
        <f>AJ30+AI30</f>
        <v>#REF!</v>
      </c>
      <c r="AL30" s="98"/>
      <c r="AM30" s="99" t="e">
        <f>AL30+AK30</f>
        <v>#REF!</v>
      </c>
      <c r="AN30" s="98"/>
      <c r="AO30" s="99" t="e">
        <f>AN30+AM30</f>
        <v>#REF!</v>
      </c>
      <c r="AP30" s="98"/>
      <c r="AQ30" s="99" t="e">
        <f>AP30+AO30</f>
        <v>#REF!</v>
      </c>
    </row>
    <row r="31" spans="2:43" ht="15" customHeight="1" x14ac:dyDescent="0.2">
      <c r="B31" s="186">
        <v>12</v>
      </c>
      <c r="C31" s="347" t="s">
        <v>578</v>
      </c>
      <c r="D31" s="348"/>
      <c r="E31" s="201">
        <f>(5388.28*1.27)</f>
        <v>6843.1156000000001</v>
      </c>
      <c r="F31" s="150">
        <v>0.77075658859290075</v>
      </c>
      <c r="G31" s="149"/>
      <c r="H31" s="150"/>
      <c r="I31" s="149"/>
      <c r="J31" s="150"/>
      <c r="K31" s="149"/>
      <c r="L31" s="150"/>
      <c r="M31" s="149"/>
      <c r="N31" s="150"/>
      <c r="O31" s="149"/>
      <c r="P31" s="150"/>
      <c r="Q31" s="149"/>
      <c r="R31" s="150"/>
      <c r="S31" s="188"/>
      <c r="T31" s="102"/>
      <c r="U31" s="100" t="e">
        <f>T31+#REF!</f>
        <v>#REF!</v>
      </c>
      <c r="V31" s="101"/>
      <c r="W31" s="100" t="e">
        <f>U31+V31</f>
        <v>#REF!</v>
      </c>
      <c r="X31" s="101"/>
      <c r="Y31" s="100" t="e">
        <f>W31+X31</f>
        <v>#REF!</v>
      </c>
      <c r="Z31" s="101"/>
      <c r="AA31" s="100" t="e">
        <f>Y31+Z31</f>
        <v>#REF!</v>
      </c>
      <c r="AB31" s="101"/>
      <c r="AC31" s="100" t="e">
        <f>AA31+AB31</f>
        <v>#REF!</v>
      </c>
      <c r="AD31" s="101"/>
      <c r="AE31" s="100" t="e">
        <f>AC31+AD31</f>
        <v>#REF!</v>
      </c>
      <c r="AF31" s="98"/>
      <c r="AG31" s="99" t="e">
        <f>AF31+AE31</f>
        <v>#REF!</v>
      </c>
      <c r="AH31" s="98"/>
      <c r="AI31" s="99" t="e">
        <f>AH31+AG31</f>
        <v>#REF!</v>
      </c>
      <c r="AJ31" s="98"/>
      <c r="AK31" s="99" t="e">
        <f>AJ31+AI31</f>
        <v>#REF!</v>
      </c>
      <c r="AL31" s="98"/>
      <c r="AM31" s="99" t="e">
        <f>AL31+AK31</f>
        <v>#REF!</v>
      </c>
      <c r="AN31" s="98"/>
      <c r="AO31" s="99" t="e">
        <f>AN31+AM31</f>
        <v>#REF!</v>
      </c>
      <c r="AP31" s="98"/>
      <c r="AQ31" s="99" t="e">
        <f>AP31+AO31</f>
        <v>#REF!</v>
      </c>
    </row>
    <row r="32" spans="2:43" ht="15" customHeight="1" x14ac:dyDescent="0.2">
      <c r="B32" s="186">
        <v>13</v>
      </c>
      <c r="C32" s="347" t="s">
        <v>579</v>
      </c>
      <c r="D32" s="348"/>
      <c r="E32" s="201">
        <f>(6875.12*1.27)</f>
        <v>8731.4024000000009</v>
      </c>
      <c r="F32" s="150">
        <v>0.98343887796603358</v>
      </c>
      <c r="G32" s="149"/>
      <c r="H32" s="150"/>
      <c r="I32" s="149"/>
      <c r="J32" s="150"/>
      <c r="K32" s="149"/>
      <c r="L32" s="150"/>
      <c r="M32" s="149"/>
      <c r="N32" s="150"/>
      <c r="O32" s="149"/>
      <c r="P32" s="150"/>
      <c r="Q32" s="149"/>
      <c r="R32" s="150"/>
      <c r="S32" s="188"/>
      <c r="T32" s="102"/>
      <c r="U32" s="100" t="e">
        <f>T32+#REF!</f>
        <v>#REF!</v>
      </c>
      <c r="V32" s="101"/>
      <c r="W32" s="100" t="e">
        <f>U32+V32</f>
        <v>#REF!</v>
      </c>
      <c r="X32" s="101"/>
      <c r="Y32" s="100" t="e">
        <f>W32+X32</f>
        <v>#REF!</v>
      </c>
      <c r="Z32" s="101"/>
      <c r="AA32" s="100" t="e">
        <f>Y32+Z32</f>
        <v>#REF!</v>
      </c>
      <c r="AB32" s="101"/>
      <c r="AC32" s="100" t="e">
        <f>AA32+AB32</f>
        <v>#REF!</v>
      </c>
      <c r="AD32" s="101"/>
      <c r="AE32" s="100" t="e">
        <f>AC32+AD32</f>
        <v>#REF!</v>
      </c>
      <c r="AF32" s="98"/>
      <c r="AG32" s="99" t="e">
        <f>AF32+AE32</f>
        <v>#REF!</v>
      </c>
      <c r="AH32" s="98"/>
      <c r="AI32" s="99" t="e">
        <f>AH32+AG32</f>
        <v>#REF!</v>
      </c>
      <c r="AJ32" s="98"/>
      <c r="AK32" s="99" t="e">
        <f>AJ32+AI32</f>
        <v>#REF!</v>
      </c>
      <c r="AL32" s="98"/>
      <c r="AM32" s="99" t="e">
        <f>AL32+AK32</f>
        <v>#REF!</v>
      </c>
      <c r="AN32" s="98"/>
      <c r="AO32" s="99" t="e">
        <f>AN32+AM32</f>
        <v>#REF!</v>
      </c>
      <c r="AP32" s="98"/>
      <c r="AQ32" s="99" t="e">
        <f>AP32+AO32</f>
        <v>#REF!</v>
      </c>
    </row>
    <row r="33" spans="2:43" ht="15" customHeight="1" x14ac:dyDescent="0.2">
      <c r="B33" s="186">
        <v>14</v>
      </c>
      <c r="C33" s="347" t="s">
        <v>580</v>
      </c>
      <c r="D33" s="348"/>
      <c r="E33" s="201">
        <f>(2543.39*1.27)</f>
        <v>3230.1052999999997</v>
      </c>
      <c r="F33" s="150">
        <v>0.36381453819424692</v>
      </c>
      <c r="G33" s="149"/>
      <c r="H33" s="150"/>
      <c r="I33" s="149"/>
      <c r="J33" s="150"/>
      <c r="K33" s="149"/>
      <c r="L33" s="150"/>
      <c r="M33" s="149"/>
      <c r="N33" s="150"/>
      <c r="O33" s="149"/>
      <c r="P33" s="150"/>
      <c r="Q33" s="149"/>
      <c r="R33" s="150"/>
      <c r="S33" s="188"/>
      <c r="T33" s="105"/>
      <c r="U33" s="106"/>
      <c r="V33" s="107"/>
      <c r="W33" s="106"/>
      <c r="X33" s="107"/>
      <c r="Y33" s="106"/>
      <c r="Z33" s="107"/>
      <c r="AA33" s="106"/>
      <c r="AB33" s="107"/>
      <c r="AC33" s="106"/>
      <c r="AD33" s="107"/>
      <c r="AE33" s="106"/>
      <c r="AF33" s="103"/>
      <c r="AG33" s="104"/>
      <c r="AH33" s="103"/>
      <c r="AI33" s="104"/>
      <c r="AJ33" s="103"/>
      <c r="AK33" s="104"/>
      <c r="AL33" s="103"/>
      <c r="AM33" s="104"/>
      <c r="AN33" s="103"/>
      <c r="AO33" s="104"/>
      <c r="AP33" s="103"/>
      <c r="AQ33" s="104"/>
    </row>
    <row r="34" spans="2:43" ht="15" customHeight="1" x14ac:dyDescent="0.2">
      <c r="B34" s="186">
        <v>15</v>
      </c>
      <c r="C34" s="347" t="s">
        <v>581</v>
      </c>
      <c r="D34" s="348"/>
      <c r="E34" s="201">
        <f>(11407*1.27)</f>
        <v>14486.89</v>
      </c>
      <c r="F34" s="150">
        <v>1.6316933058562688</v>
      </c>
      <c r="G34" s="149"/>
      <c r="H34" s="150"/>
      <c r="I34" s="149"/>
      <c r="J34" s="150"/>
      <c r="K34" s="149"/>
      <c r="L34" s="150"/>
      <c r="M34" s="149"/>
      <c r="N34" s="150"/>
      <c r="O34" s="149"/>
      <c r="P34" s="150"/>
      <c r="Q34" s="149"/>
      <c r="R34" s="150"/>
      <c r="S34" s="188"/>
      <c r="T34" s="102"/>
      <c r="U34" s="100" t="e">
        <f>T34+#REF!</f>
        <v>#REF!</v>
      </c>
      <c r="V34" s="101"/>
      <c r="W34" s="100" t="e">
        <f t="shared" ref="W34:W39" si="0">U34+V34</f>
        <v>#REF!</v>
      </c>
      <c r="X34" s="101"/>
      <c r="Y34" s="100" t="e">
        <f t="shared" ref="Y34:Y39" si="1">W34+X34</f>
        <v>#REF!</v>
      </c>
      <c r="Z34" s="101"/>
      <c r="AA34" s="100" t="e">
        <f t="shared" ref="AA34:AA39" si="2">Y34+Z34</f>
        <v>#REF!</v>
      </c>
      <c r="AB34" s="101"/>
      <c r="AC34" s="100" t="e">
        <f t="shared" ref="AC34:AC39" si="3">AA34+AB34</f>
        <v>#REF!</v>
      </c>
      <c r="AD34" s="101"/>
      <c r="AE34" s="100" t="e">
        <f t="shared" ref="AE34:AE39" si="4">AC34+AD34</f>
        <v>#REF!</v>
      </c>
      <c r="AF34" s="98"/>
      <c r="AG34" s="99" t="e">
        <f t="shared" ref="AG34:AG39" si="5">AF34+AE34</f>
        <v>#REF!</v>
      </c>
      <c r="AH34" s="98"/>
      <c r="AI34" s="99" t="e">
        <f t="shared" ref="AI34:AI39" si="6">AH34+AG34</f>
        <v>#REF!</v>
      </c>
      <c r="AJ34" s="98"/>
      <c r="AK34" s="99" t="e">
        <f t="shared" ref="AK34:AK39" si="7">AJ34+AI34</f>
        <v>#REF!</v>
      </c>
      <c r="AL34" s="98"/>
      <c r="AM34" s="99" t="e">
        <f t="shared" ref="AM34:AM39" si="8">AL34+AK34</f>
        <v>#REF!</v>
      </c>
      <c r="AN34" s="98"/>
      <c r="AO34" s="99" t="e">
        <f t="shared" ref="AO34:AO39" si="9">AN34+AM34</f>
        <v>#REF!</v>
      </c>
      <c r="AP34" s="98"/>
      <c r="AQ34" s="99" t="e">
        <f t="shared" ref="AQ34:AQ39" si="10">AP34+AO34</f>
        <v>#REF!</v>
      </c>
    </row>
    <row r="35" spans="2:43" ht="15" customHeight="1" x14ac:dyDescent="0.2">
      <c r="B35" s="186">
        <v>16</v>
      </c>
      <c r="C35" s="347" t="s">
        <v>582</v>
      </c>
      <c r="D35" s="348"/>
      <c r="E35" s="201">
        <f>(1490.2*1.27)</f>
        <v>1892.5540000000001</v>
      </c>
      <c r="F35" s="150">
        <v>0.21316291438476473</v>
      </c>
      <c r="G35" s="149"/>
      <c r="H35" s="150"/>
      <c r="I35" s="149"/>
      <c r="J35" s="150"/>
      <c r="K35" s="149"/>
      <c r="L35" s="150"/>
      <c r="M35" s="149"/>
      <c r="N35" s="150"/>
      <c r="O35" s="149"/>
      <c r="P35" s="150"/>
      <c r="Q35" s="149"/>
      <c r="R35" s="150"/>
      <c r="S35" s="188"/>
      <c r="T35" s="102"/>
      <c r="U35" s="100" t="e">
        <f>T35+#REF!</f>
        <v>#REF!</v>
      </c>
      <c r="V35" s="101"/>
      <c r="W35" s="100" t="e">
        <f t="shared" si="0"/>
        <v>#REF!</v>
      </c>
      <c r="X35" s="101"/>
      <c r="Y35" s="100" t="e">
        <f t="shared" si="1"/>
        <v>#REF!</v>
      </c>
      <c r="Z35" s="101"/>
      <c r="AA35" s="100" t="e">
        <f t="shared" si="2"/>
        <v>#REF!</v>
      </c>
      <c r="AB35" s="101"/>
      <c r="AC35" s="100" t="e">
        <f t="shared" si="3"/>
        <v>#REF!</v>
      </c>
      <c r="AD35" s="101"/>
      <c r="AE35" s="100" t="e">
        <f t="shared" si="4"/>
        <v>#REF!</v>
      </c>
      <c r="AF35" s="98"/>
      <c r="AG35" s="99" t="e">
        <f t="shared" si="5"/>
        <v>#REF!</v>
      </c>
      <c r="AH35" s="98"/>
      <c r="AI35" s="99" t="e">
        <f t="shared" si="6"/>
        <v>#REF!</v>
      </c>
      <c r="AJ35" s="98"/>
      <c r="AK35" s="99" t="e">
        <f t="shared" si="7"/>
        <v>#REF!</v>
      </c>
      <c r="AL35" s="98"/>
      <c r="AM35" s="99" t="e">
        <f t="shared" si="8"/>
        <v>#REF!</v>
      </c>
      <c r="AN35" s="98"/>
      <c r="AO35" s="99" t="e">
        <f t="shared" si="9"/>
        <v>#REF!</v>
      </c>
      <c r="AP35" s="98"/>
      <c r="AQ35" s="99" t="e">
        <f t="shared" si="10"/>
        <v>#REF!</v>
      </c>
    </row>
    <row r="36" spans="2:43" ht="15" customHeight="1" x14ac:dyDescent="0.2">
      <c r="B36" s="186">
        <v>17</v>
      </c>
      <c r="C36" s="347" t="s">
        <v>583</v>
      </c>
      <c r="D36" s="348"/>
      <c r="E36" s="201">
        <f>(22801.74*1.27)</f>
        <v>28958.209800000004</v>
      </c>
      <c r="F36" s="150">
        <v>3.2616329025927162</v>
      </c>
      <c r="G36" s="149"/>
      <c r="H36" s="150"/>
      <c r="I36" s="149"/>
      <c r="J36" s="150"/>
      <c r="K36" s="149"/>
      <c r="L36" s="150"/>
      <c r="M36" s="152"/>
      <c r="N36" s="150"/>
      <c r="O36" s="152"/>
      <c r="P36" s="150"/>
      <c r="Q36" s="149"/>
      <c r="R36" s="150"/>
      <c r="S36" s="188"/>
      <c r="T36" s="102"/>
      <c r="U36" s="100" t="e">
        <f>T36+#REF!</f>
        <v>#REF!</v>
      </c>
      <c r="V36" s="101"/>
      <c r="W36" s="100" t="e">
        <f t="shared" si="0"/>
        <v>#REF!</v>
      </c>
      <c r="X36" s="101"/>
      <c r="Y36" s="100" t="e">
        <f t="shared" si="1"/>
        <v>#REF!</v>
      </c>
      <c r="Z36" s="101"/>
      <c r="AA36" s="100" t="e">
        <f t="shared" si="2"/>
        <v>#REF!</v>
      </c>
      <c r="AB36" s="101"/>
      <c r="AC36" s="100" t="e">
        <f t="shared" si="3"/>
        <v>#REF!</v>
      </c>
      <c r="AD36" s="101"/>
      <c r="AE36" s="100" t="e">
        <f t="shared" si="4"/>
        <v>#REF!</v>
      </c>
      <c r="AF36" s="98"/>
      <c r="AG36" s="99" t="e">
        <f t="shared" si="5"/>
        <v>#REF!</v>
      </c>
      <c r="AH36" s="98"/>
      <c r="AI36" s="99" t="e">
        <f t="shared" si="6"/>
        <v>#REF!</v>
      </c>
      <c r="AJ36" s="98"/>
      <c r="AK36" s="99" t="e">
        <f t="shared" si="7"/>
        <v>#REF!</v>
      </c>
      <c r="AL36" s="98"/>
      <c r="AM36" s="99" t="e">
        <f t="shared" si="8"/>
        <v>#REF!</v>
      </c>
      <c r="AN36" s="98"/>
      <c r="AO36" s="99" t="e">
        <f t="shared" si="9"/>
        <v>#REF!</v>
      </c>
      <c r="AP36" s="98"/>
      <c r="AQ36" s="99" t="e">
        <f t="shared" si="10"/>
        <v>#REF!</v>
      </c>
    </row>
    <row r="37" spans="2:43" ht="30.75" customHeight="1" x14ac:dyDescent="0.2">
      <c r="B37" s="186">
        <v>18</v>
      </c>
      <c r="C37" s="349" t="s">
        <v>584</v>
      </c>
      <c r="D37" s="350"/>
      <c r="E37" s="201">
        <f>(7863.15*1.27)</f>
        <v>9986.200499999999</v>
      </c>
      <c r="F37" s="150">
        <v>1.1247698095856682</v>
      </c>
      <c r="G37" s="149"/>
      <c r="H37" s="150"/>
      <c r="I37" s="149"/>
      <c r="J37" s="150"/>
      <c r="K37" s="149"/>
      <c r="L37" s="150"/>
      <c r="M37" s="152"/>
      <c r="N37" s="150"/>
      <c r="O37" s="152"/>
      <c r="P37" s="150"/>
      <c r="Q37" s="149"/>
      <c r="R37" s="150"/>
      <c r="S37" s="188"/>
      <c r="T37" s="102"/>
      <c r="U37" s="100" t="e">
        <f>T37+#REF!</f>
        <v>#REF!</v>
      </c>
      <c r="V37" s="101"/>
      <c r="W37" s="100" t="e">
        <f t="shared" si="0"/>
        <v>#REF!</v>
      </c>
      <c r="X37" s="101"/>
      <c r="Y37" s="100" t="e">
        <f t="shared" si="1"/>
        <v>#REF!</v>
      </c>
      <c r="Z37" s="101"/>
      <c r="AA37" s="100" t="e">
        <f t="shared" si="2"/>
        <v>#REF!</v>
      </c>
      <c r="AB37" s="101"/>
      <c r="AC37" s="100" t="e">
        <f t="shared" si="3"/>
        <v>#REF!</v>
      </c>
      <c r="AD37" s="101"/>
      <c r="AE37" s="100" t="e">
        <f t="shared" si="4"/>
        <v>#REF!</v>
      </c>
      <c r="AF37" s="98"/>
      <c r="AG37" s="99" t="e">
        <f t="shared" si="5"/>
        <v>#REF!</v>
      </c>
      <c r="AH37" s="98"/>
      <c r="AI37" s="99" t="e">
        <f t="shared" si="6"/>
        <v>#REF!</v>
      </c>
      <c r="AJ37" s="98"/>
      <c r="AK37" s="99" t="e">
        <f t="shared" si="7"/>
        <v>#REF!</v>
      </c>
      <c r="AL37" s="98"/>
      <c r="AM37" s="99" t="e">
        <f t="shared" si="8"/>
        <v>#REF!</v>
      </c>
      <c r="AN37" s="98"/>
      <c r="AO37" s="99" t="e">
        <f t="shared" si="9"/>
        <v>#REF!</v>
      </c>
      <c r="AP37" s="98"/>
      <c r="AQ37" s="99" t="e">
        <f t="shared" si="10"/>
        <v>#REF!</v>
      </c>
    </row>
    <row r="38" spans="2:43" ht="15" customHeight="1" x14ac:dyDescent="0.2">
      <c r="B38" s="186">
        <v>19</v>
      </c>
      <c r="C38" s="347" t="s">
        <v>585</v>
      </c>
      <c r="D38" s="348"/>
      <c r="E38" s="201">
        <f>(23387.37*1.27)</f>
        <v>29701.959899999998</v>
      </c>
      <c r="F38" s="150">
        <v>3.3454032673431864</v>
      </c>
      <c r="G38" s="153"/>
      <c r="H38" s="150"/>
      <c r="I38" s="149"/>
      <c r="J38" s="150"/>
      <c r="K38" s="152"/>
      <c r="L38" s="150"/>
      <c r="M38" s="152"/>
      <c r="N38" s="150"/>
      <c r="O38" s="152"/>
      <c r="P38" s="150"/>
      <c r="Q38" s="152"/>
      <c r="R38" s="150"/>
      <c r="S38" s="187"/>
      <c r="T38" s="102"/>
      <c r="U38" s="100" t="e">
        <f>T38+#REF!</f>
        <v>#REF!</v>
      </c>
      <c r="V38" s="101"/>
      <c r="W38" s="100" t="e">
        <f t="shared" si="0"/>
        <v>#REF!</v>
      </c>
      <c r="X38" s="101"/>
      <c r="Y38" s="100" t="e">
        <f t="shared" si="1"/>
        <v>#REF!</v>
      </c>
      <c r="Z38" s="101"/>
      <c r="AA38" s="100" t="e">
        <f t="shared" si="2"/>
        <v>#REF!</v>
      </c>
      <c r="AB38" s="101"/>
      <c r="AC38" s="100" t="e">
        <f t="shared" si="3"/>
        <v>#REF!</v>
      </c>
      <c r="AD38" s="101"/>
      <c r="AE38" s="100" t="e">
        <f t="shared" si="4"/>
        <v>#REF!</v>
      </c>
      <c r="AF38" s="98">
        <v>25</v>
      </c>
      <c r="AG38" s="99" t="e">
        <f t="shared" si="5"/>
        <v>#REF!</v>
      </c>
      <c r="AH38" s="98">
        <v>25</v>
      </c>
      <c r="AI38" s="99" t="e">
        <f t="shared" si="6"/>
        <v>#REF!</v>
      </c>
      <c r="AJ38" s="98">
        <v>25</v>
      </c>
      <c r="AK38" s="99" t="e">
        <f t="shared" si="7"/>
        <v>#REF!</v>
      </c>
      <c r="AL38" s="98">
        <v>25</v>
      </c>
      <c r="AM38" s="99" t="e">
        <f t="shared" si="8"/>
        <v>#REF!</v>
      </c>
      <c r="AN38" s="98">
        <v>25</v>
      </c>
      <c r="AO38" s="99" t="e">
        <f t="shared" si="9"/>
        <v>#REF!</v>
      </c>
      <c r="AP38" s="98">
        <v>25</v>
      </c>
      <c r="AQ38" s="99" t="e">
        <f t="shared" si="10"/>
        <v>#REF!</v>
      </c>
    </row>
    <row r="39" spans="2:43" ht="15" customHeight="1" x14ac:dyDescent="0.2">
      <c r="B39" s="186">
        <v>20</v>
      </c>
      <c r="C39" s="347" t="s">
        <v>586</v>
      </c>
      <c r="D39" s="348"/>
      <c r="E39" s="201">
        <f>(10773.62*1.27)</f>
        <v>13682.497400000002</v>
      </c>
      <c r="F39" s="150">
        <v>1.5410926303006234</v>
      </c>
      <c r="G39" s="153"/>
      <c r="H39" s="150"/>
      <c r="I39" s="149">
        <f t="shared" ref="I39:S39" si="11">H39+G39</f>
        <v>0</v>
      </c>
      <c r="J39" s="150"/>
      <c r="K39" s="152">
        <f t="shared" si="11"/>
        <v>0</v>
      </c>
      <c r="L39" s="150"/>
      <c r="M39" s="152">
        <f t="shared" si="11"/>
        <v>0</v>
      </c>
      <c r="N39" s="150"/>
      <c r="O39" s="152">
        <f t="shared" si="11"/>
        <v>0</v>
      </c>
      <c r="P39" s="150"/>
      <c r="Q39" s="152">
        <f t="shared" si="11"/>
        <v>0</v>
      </c>
      <c r="R39" s="150"/>
      <c r="S39" s="187">
        <f t="shared" si="11"/>
        <v>0</v>
      </c>
      <c r="T39" s="102"/>
      <c r="U39" s="100" t="e">
        <f>T39+#REF!</f>
        <v>#REF!</v>
      </c>
      <c r="V39" s="101"/>
      <c r="W39" s="100" t="e">
        <f t="shared" si="0"/>
        <v>#REF!</v>
      </c>
      <c r="X39" s="101"/>
      <c r="Y39" s="100" t="e">
        <f t="shared" si="1"/>
        <v>#REF!</v>
      </c>
      <c r="Z39" s="101"/>
      <c r="AA39" s="100" t="e">
        <f t="shared" si="2"/>
        <v>#REF!</v>
      </c>
      <c r="AB39" s="101"/>
      <c r="AC39" s="100" t="e">
        <f t="shared" si="3"/>
        <v>#REF!</v>
      </c>
      <c r="AD39" s="101"/>
      <c r="AE39" s="100" t="e">
        <f t="shared" si="4"/>
        <v>#REF!</v>
      </c>
      <c r="AF39" s="98"/>
      <c r="AG39" s="99" t="e">
        <f t="shared" si="5"/>
        <v>#REF!</v>
      </c>
      <c r="AH39" s="98"/>
      <c r="AI39" s="99" t="e">
        <f t="shared" si="6"/>
        <v>#REF!</v>
      </c>
      <c r="AJ39" s="98"/>
      <c r="AK39" s="99" t="e">
        <f t="shared" si="7"/>
        <v>#REF!</v>
      </c>
      <c r="AL39" s="98"/>
      <c r="AM39" s="99" t="e">
        <f t="shared" si="8"/>
        <v>#REF!</v>
      </c>
      <c r="AN39" s="98"/>
      <c r="AO39" s="99" t="e">
        <f t="shared" si="9"/>
        <v>#REF!</v>
      </c>
      <c r="AP39" s="98"/>
      <c r="AQ39" s="99" t="e">
        <f t="shared" si="10"/>
        <v>#REF!</v>
      </c>
    </row>
    <row r="40" spans="2:43" ht="11.1" customHeight="1" x14ac:dyDescent="0.2">
      <c r="B40" s="222"/>
      <c r="C40" s="223"/>
      <c r="D40" s="223"/>
      <c r="E40" s="223"/>
      <c r="F40" s="223"/>
      <c r="G40" s="223"/>
      <c r="H40" s="223"/>
      <c r="I40" s="223"/>
      <c r="J40" s="223"/>
      <c r="K40" s="223"/>
      <c r="L40" s="223"/>
      <c r="M40" s="223"/>
      <c r="N40" s="223"/>
      <c r="O40" s="223"/>
      <c r="P40" s="223"/>
      <c r="Q40" s="223"/>
      <c r="R40" s="223"/>
      <c r="S40" s="224"/>
      <c r="T40" s="109"/>
      <c r="U40" s="108"/>
      <c r="V40" s="109"/>
      <c r="W40" s="108"/>
      <c r="X40" s="109"/>
      <c r="Y40" s="108"/>
      <c r="Z40" s="109"/>
      <c r="AA40" s="108"/>
      <c r="AB40" s="109"/>
      <c r="AC40" s="108"/>
      <c r="AD40" s="109"/>
      <c r="AE40" s="108"/>
      <c r="AF40" s="109"/>
      <c r="AG40" s="110"/>
      <c r="AH40" s="109"/>
      <c r="AI40" s="110"/>
      <c r="AJ40" s="109"/>
      <c r="AK40" s="110"/>
      <c r="AL40" s="109"/>
      <c r="AM40" s="110"/>
      <c r="AN40" s="109"/>
      <c r="AO40" s="110"/>
      <c r="AP40" s="109"/>
      <c r="AQ40" s="110"/>
    </row>
    <row r="41" spans="2:43" ht="18" customHeight="1" x14ac:dyDescent="0.2">
      <c r="B41" s="368" t="s">
        <v>588</v>
      </c>
      <c r="C41" s="369"/>
      <c r="D41" s="369"/>
      <c r="E41" s="155">
        <f>SUM(E20:E39)</f>
        <v>887843.93170000007</v>
      </c>
      <c r="F41" s="156">
        <f>SUM(F20:F39)</f>
        <v>100.00000000000004</v>
      </c>
      <c r="G41" s="157">
        <f>SUMPRODUCT(G20:G39,$F$20:$F$39)/100</f>
        <v>0</v>
      </c>
      <c r="H41" s="158">
        <f>SUMPRODUCT(H20:H39,$F$20:$F$39)/100</f>
        <v>0</v>
      </c>
      <c r="I41" s="159">
        <f>H41+G41</f>
        <v>0</v>
      </c>
      <c r="J41" s="158">
        <f>SUMPRODUCT(J20:J39,$F$20:$F$39)/100</f>
        <v>0</v>
      </c>
      <c r="K41" s="159">
        <f>J41+I41</f>
        <v>0</v>
      </c>
      <c r="L41" s="158">
        <f>SUMPRODUCT(L20:L39,$F$20:$F$39)/100</f>
        <v>0</v>
      </c>
      <c r="M41" s="159">
        <f>L41+K41</f>
        <v>0</v>
      </c>
      <c r="N41" s="158">
        <f>SUMPRODUCT(N20:N39,$F$20:$F$39)/100</f>
        <v>0</v>
      </c>
      <c r="O41" s="159">
        <f>N41+M41</f>
        <v>0</v>
      </c>
      <c r="P41" s="158">
        <f>SUMPRODUCT(P20:P39,$F$20:$F$39)/100</f>
        <v>0</v>
      </c>
      <c r="Q41" s="159">
        <f>P41+O41</f>
        <v>0</v>
      </c>
      <c r="R41" s="158">
        <f>SUMPRODUCT(R20:R39,$F$20:$F$39)/100</f>
        <v>0</v>
      </c>
      <c r="S41" s="189">
        <f>R41+Q41</f>
        <v>0</v>
      </c>
      <c r="T41" s="154">
        <f>SUMPRODUCT(T20:T39,$F$20:$F$39)/100</f>
        <v>0</v>
      </c>
      <c r="U41" s="112" t="e">
        <f>T41+#REF!</f>
        <v>#REF!</v>
      </c>
      <c r="V41" s="111">
        <f>SUMPRODUCT(V20:V39,$F$20:$F$39)/100</f>
        <v>0</v>
      </c>
      <c r="W41" s="112" t="e">
        <f>U41+V41</f>
        <v>#REF!</v>
      </c>
      <c r="X41" s="111">
        <f>SUMPRODUCT(X20:X39,$F$20:$F$39)/100</f>
        <v>0</v>
      </c>
      <c r="Y41" s="112" t="e">
        <f>W41+X41</f>
        <v>#REF!</v>
      </c>
      <c r="Z41" s="111">
        <f>SUMPRODUCT(Z20:Z39,$F$20:$F$39)/100</f>
        <v>0</v>
      </c>
      <c r="AA41" s="112" t="e">
        <f>Y41+Z41</f>
        <v>#REF!</v>
      </c>
      <c r="AB41" s="111">
        <f>SUMPRODUCT(AB20:AB39,$F$20:$F$39)/100</f>
        <v>0</v>
      </c>
      <c r="AC41" s="112" t="e">
        <f>AA41+AB41</f>
        <v>#REF!</v>
      </c>
      <c r="AD41" s="111">
        <f>SUMPRODUCT(AD20:AD39,$F$20:$F$39)/100</f>
        <v>0</v>
      </c>
      <c r="AE41" s="112" t="e">
        <f>AC41+AD41</f>
        <v>#REF!</v>
      </c>
      <c r="AF41" s="111">
        <f>SUMPRODUCT(AF20:AF39,$F$20:$F$39)/100</f>
        <v>1.0441432116058469</v>
      </c>
      <c r="AG41" s="112" t="e">
        <f>AF41+AE41</f>
        <v>#REF!</v>
      </c>
      <c r="AH41" s="111">
        <f>SUMPRODUCT(AH20:AH39,$F$20:$F$39)/100</f>
        <v>1.0441432116058469</v>
      </c>
      <c r="AI41" s="112" t="e">
        <f>AH41+AG41</f>
        <v>#REF!</v>
      </c>
      <c r="AJ41" s="111">
        <f>SUMPRODUCT(AJ20:AJ39,$F$20:$F$39)/100</f>
        <v>1.0441432116058469</v>
      </c>
      <c r="AK41" s="112" t="e">
        <f>AJ41+AI41</f>
        <v>#REF!</v>
      </c>
      <c r="AL41" s="111">
        <f>SUMPRODUCT(AL20:AL39,$F$20:$F$39)/100</f>
        <v>1.0441432116058469</v>
      </c>
      <c r="AM41" s="112" t="e">
        <f>AL41+AK41</f>
        <v>#REF!</v>
      </c>
      <c r="AN41" s="111">
        <f>SUMPRODUCT(AN20:AN39,$F$20:$F$39)/100</f>
        <v>1.0441432116058469</v>
      </c>
      <c r="AO41" s="112" t="e">
        <f>AN41+AM41</f>
        <v>#REF!</v>
      </c>
      <c r="AP41" s="111">
        <f>SUMPRODUCT(AP20:AP39,$F$20:$F$39)/100</f>
        <v>1.0441432116058469</v>
      </c>
      <c r="AQ41" s="112" t="e">
        <f>AP41+AO41</f>
        <v>#REF!</v>
      </c>
    </row>
    <row r="42" spans="2:43" ht="11.1" customHeight="1" x14ac:dyDescent="0.2">
      <c r="B42" s="163"/>
      <c r="C42" s="60"/>
      <c r="D42" s="60"/>
      <c r="E42" s="60"/>
      <c r="F42" s="160"/>
      <c r="G42" s="126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171"/>
    </row>
    <row r="43" spans="2:43" ht="11.1" customHeight="1" x14ac:dyDescent="0.2">
      <c r="B43" s="163"/>
      <c r="C43" s="60"/>
      <c r="D43" s="60"/>
      <c r="E43" s="60"/>
      <c r="F43" s="160"/>
      <c r="G43" s="126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171"/>
    </row>
    <row r="44" spans="2:43" ht="11.1" customHeight="1" x14ac:dyDescent="0.2">
      <c r="B44" s="163"/>
      <c r="C44" s="60"/>
      <c r="D44" s="60"/>
      <c r="E44" s="60"/>
      <c r="F44" s="160"/>
      <c r="G44" s="126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171"/>
    </row>
    <row r="45" spans="2:43" ht="11.1" customHeight="1" x14ac:dyDescent="0.2">
      <c r="B45" s="163"/>
      <c r="C45" s="60"/>
      <c r="D45" s="60"/>
      <c r="E45" s="60"/>
      <c r="F45" s="160"/>
      <c r="G45" s="126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171"/>
    </row>
    <row r="46" spans="2:43" ht="11.1" customHeight="1" x14ac:dyDescent="0.2">
      <c r="B46" s="163"/>
      <c r="C46" s="61"/>
      <c r="D46" s="60"/>
      <c r="E46" s="60"/>
      <c r="F46" s="160"/>
      <c r="G46" s="61"/>
      <c r="H46" s="61"/>
      <c r="I46" s="61"/>
      <c r="J46" s="60"/>
      <c r="K46" s="60"/>
      <c r="L46" s="60"/>
      <c r="M46" s="60"/>
      <c r="N46" s="61"/>
      <c r="O46" s="61"/>
      <c r="P46" s="61"/>
      <c r="Q46" s="60"/>
      <c r="R46" s="60"/>
      <c r="S46" s="171"/>
      <c r="T46"/>
      <c r="U46"/>
      <c r="Z46"/>
      <c r="AA46"/>
      <c r="AB46"/>
    </row>
    <row r="47" spans="2:43" ht="11.1" customHeight="1" x14ac:dyDescent="0.2">
      <c r="B47" s="163"/>
      <c r="C47" s="113">
        <v>42117</v>
      </c>
      <c r="D47" s="60"/>
      <c r="E47" s="60"/>
      <c r="F47" s="160"/>
      <c r="G47" s="61"/>
      <c r="H47" s="61"/>
      <c r="I47" s="61"/>
      <c r="J47" s="60"/>
      <c r="K47" s="60"/>
      <c r="L47" s="60"/>
      <c r="M47" s="60"/>
      <c r="N47" s="61"/>
      <c r="O47" s="61"/>
      <c r="P47" s="61"/>
      <c r="Q47" s="60"/>
      <c r="R47" s="60"/>
      <c r="S47" s="171"/>
      <c r="T47"/>
      <c r="U47"/>
      <c r="Z47"/>
      <c r="AA47"/>
      <c r="AB47"/>
    </row>
    <row r="48" spans="2:43" ht="11.1" customHeight="1" x14ac:dyDescent="0.2">
      <c r="B48" s="163"/>
      <c r="C48" s="114" t="s">
        <v>120</v>
      </c>
      <c r="D48" s="60"/>
      <c r="E48" s="60"/>
      <c r="F48" s="160"/>
      <c r="G48" s="61"/>
      <c r="H48" s="147" t="str">
        <f>'QUADRA DE ESPORTE - GINASIO'!F308</f>
        <v xml:space="preserve">LC CARVALHAES - ENGENHARIA - ME </v>
      </c>
      <c r="I48" s="116"/>
      <c r="J48" s="117"/>
      <c r="K48" s="60"/>
      <c r="L48" s="118" t="str">
        <f>H48</f>
        <v xml:space="preserve">LC CARVALHAES - ENGENHARIA - ME </v>
      </c>
      <c r="M48" s="117"/>
      <c r="N48" s="116"/>
      <c r="O48" s="61"/>
      <c r="P48" s="123"/>
      <c r="Q48" s="60"/>
      <c r="R48" s="60"/>
      <c r="S48" s="171"/>
      <c r="T48" s="115" t="e">
        <f>#REF!</f>
        <v>#REF!</v>
      </c>
      <c r="U48" s="116"/>
      <c r="V48" s="117"/>
      <c r="X48" s="118" t="e">
        <f>#REF!</f>
        <v>#REF!</v>
      </c>
      <c r="Y48" s="117"/>
      <c r="Z48" s="116"/>
      <c r="AA48"/>
      <c r="AB48" s="115"/>
      <c r="AC48" s="117"/>
      <c r="AD48" s="117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</row>
    <row r="49" spans="2:43" ht="11.1" customHeight="1" x14ac:dyDescent="0.2">
      <c r="B49" s="163"/>
      <c r="C49" s="61"/>
      <c r="D49" s="60"/>
      <c r="E49" s="60"/>
      <c r="F49" s="160"/>
      <c r="G49" s="61"/>
      <c r="H49" s="200" t="str">
        <f>'QUADRA DE ESPORTE - GINASIO'!F309</f>
        <v>CNPJ : 13.173.632/0001-07</v>
      </c>
      <c r="I49" s="61"/>
      <c r="J49" s="60"/>
      <c r="K49" s="60"/>
      <c r="L49" s="123" t="str">
        <f>H49</f>
        <v>CNPJ : 13.173.632/0001-07</v>
      </c>
      <c r="M49" s="60"/>
      <c r="N49" s="61"/>
      <c r="O49" s="61"/>
      <c r="P49" s="119"/>
      <c r="Q49" s="60"/>
      <c r="R49" s="60"/>
      <c r="S49" s="171"/>
      <c r="T49" s="120" t="e">
        <f>#REF!</f>
        <v>#REF!</v>
      </c>
      <c r="U49"/>
      <c r="X49" s="121" t="e">
        <f>#REF!</f>
        <v>#REF!</v>
      </c>
      <c r="Z49"/>
      <c r="AA49"/>
      <c r="AB49" s="12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</row>
    <row r="50" spans="2:43" ht="11.1" customHeight="1" x14ac:dyDescent="0.2">
      <c r="B50" s="163"/>
      <c r="C50" s="60"/>
      <c r="D50" s="60"/>
      <c r="E50" s="60"/>
      <c r="F50" s="160"/>
      <c r="G50" s="126"/>
      <c r="H50" s="119">
        <f>'[1]650 casas'!F362</f>
        <v>0</v>
      </c>
      <c r="I50" s="60"/>
      <c r="J50" s="60"/>
      <c r="K50" s="60"/>
      <c r="L50" s="123">
        <f>H50</f>
        <v>0</v>
      </c>
      <c r="M50" s="60"/>
      <c r="N50" s="60"/>
      <c r="O50" s="122"/>
      <c r="P50" s="123"/>
      <c r="Q50" s="60"/>
      <c r="R50" s="60" t="s">
        <v>97</v>
      </c>
      <c r="S50" s="171"/>
      <c r="T50" s="119" t="e">
        <f>#REF!</f>
        <v>#REF!</v>
      </c>
      <c r="U50" s="60"/>
      <c r="V50" s="60"/>
      <c r="X50" s="123" t="e">
        <f>#REF!</f>
        <v>#REF!</v>
      </c>
      <c r="Y50" s="60"/>
      <c r="Z50" s="60"/>
      <c r="AA50" s="122"/>
      <c r="AB50" s="123"/>
      <c r="AD50" s="52" t="s">
        <v>97</v>
      </c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</row>
    <row r="51" spans="2:43" ht="11.1" customHeight="1" thickBot="1" x14ac:dyDescent="0.25">
      <c r="B51" s="363" t="str">
        <f>'QUADRA DE ESPORTE - GINASIO'!J15</f>
        <v xml:space="preserve">OSORIO HENRIQUE DE SOUZA  NETO </v>
      </c>
      <c r="C51" s="364"/>
      <c r="D51" s="364"/>
      <c r="E51" s="190"/>
      <c r="F51" s="191"/>
      <c r="G51" s="192"/>
      <c r="H51" s="193" t="s">
        <v>101</v>
      </c>
      <c r="I51" s="194" t="str">
        <f>'QUADRA DE ESPORTE - GINASIO'!J16</f>
        <v>20272/D GO</v>
      </c>
      <c r="J51" s="195"/>
      <c r="K51" s="193" t="s">
        <v>102</v>
      </c>
      <c r="L51" s="196" t="s">
        <v>556</v>
      </c>
      <c r="M51" s="195"/>
      <c r="N51" s="195"/>
      <c r="O51" s="197"/>
      <c r="P51" s="198"/>
      <c r="Q51" s="195"/>
      <c r="R51" s="195"/>
      <c r="S51" s="199"/>
      <c r="T51" s="119"/>
      <c r="U51" s="60"/>
      <c r="V51" s="60"/>
      <c r="X51" s="123"/>
      <c r="Y51" s="60"/>
      <c r="Z51" s="60"/>
      <c r="AA51" s="122"/>
      <c r="AB51" s="123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</row>
    <row r="52" spans="2:43" x14ac:dyDescent="0.2">
      <c r="H52" s="124"/>
      <c r="I52" s="53"/>
      <c r="J52" s="53"/>
      <c r="L52" s="125"/>
      <c r="M52" s="126"/>
      <c r="N52" s="127"/>
      <c r="O52" s="61"/>
      <c r="P52" s="128"/>
      <c r="Q52" s="57"/>
      <c r="R52" s="60"/>
      <c r="T52" s="124" t="s">
        <v>121</v>
      </c>
      <c r="U52" s="53"/>
      <c r="V52" s="53"/>
      <c r="X52" s="125" t="s">
        <v>122</v>
      </c>
      <c r="Y52" s="126"/>
      <c r="Z52" s="127"/>
      <c r="AA52" s="61"/>
      <c r="AB52" s="128" t="s">
        <v>123</v>
      </c>
      <c r="AC52" s="57"/>
      <c r="AD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</row>
    <row r="53" spans="2:43" x14ac:dyDescent="0.2">
      <c r="G53" s="129"/>
      <c r="H53" s="60"/>
      <c r="I53" s="60"/>
      <c r="N53" s="129"/>
      <c r="O53" s="60"/>
      <c r="P53" s="60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</row>
    <row r="54" spans="2:43" x14ac:dyDescent="0.2">
      <c r="AF54"/>
      <c r="AG54"/>
      <c r="AH54"/>
      <c r="AI54"/>
      <c r="AJ54"/>
      <c r="AK54"/>
      <c r="AL54"/>
      <c r="AM54"/>
      <c r="AN54"/>
      <c r="AO54"/>
      <c r="AP54"/>
      <c r="AQ54"/>
    </row>
    <row r="55" spans="2:43" x14ac:dyDescent="0.2"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AF55" s="130"/>
      <c r="AG55" s="130"/>
      <c r="AH55" s="130"/>
      <c r="AI55" s="130"/>
      <c r="AJ55" s="130"/>
      <c r="AK55" s="130"/>
      <c r="AL55" s="130"/>
      <c r="AM55" s="130"/>
      <c r="AN55" s="130"/>
      <c r="AO55" s="130"/>
      <c r="AP55" s="130"/>
      <c r="AQ55" s="130"/>
    </row>
  </sheetData>
  <mergeCells count="35">
    <mergeCell ref="B51:D51"/>
    <mergeCell ref="B17:B19"/>
    <mergeCell ref="C17:D19"/>
    <mergeCell ref="E17:E19"/>
    <mergeCell ref="F17:F19"/>
    <mergeCell ref="B41:D41"/>
    <mergeCell ref="C35:D35"/>
    <mergeCell ref="C36:D36"/>
    <mergeCell ref="C37:D37"/>
    <mergeCell ref="C38:D38"/>
    <mergeCell ref="C39:D39"/>
    <mergeCell ref="C20:D20"/>
    <mergeCell ref="C21:D21"/>
    <mergeCell ref="C27:D27"/>
    <mergeCell ref="C28:D28"/>
    <mergeCell ref="C29:D29"/>
    <mergeCell ref="B15:S16"/>
    <mergeCell ref="H18:I18"/>
    <mergeCell ref="J18:K18"/>
    <mergeCell ref="L18:M18"/>
    <mergeCell ref="N18:O18"/>
    <mergeCell ref="G18:G19"/>
    <mergeCell ref="P18:Q18"/>
    <mergeCell ref="R18:S18"/>
    <mergeCell ref="G17:S17"/>
    <mergeCell ref="C22:D22"/>
    <mergeCell ref="C23:D23"/>
    <mergeCell ref="C24:D24"/>
    <mergeCell ref="C25:D25"/>
    <mergeCell ref="C26:D26"/>
    <mergeCell ref="C31:D31"/>
    <mergeCell ref="C32:D32"/>
    <mergeCell ref="C33:D33"/>
    <mergeCell ref="C34:D34"/>
    <mergeCell ref="C30:D30"/>
  </mergeCells>
  <printOptions horizontalCentered="1"/>
  <pageMargins left="0.27559055118110237" right="0.19685039370078741" top="0.51181102362204722" bottom="0.19685039370078741" header="0.19685039370078741" footer="7.874015748031496E-2"/>
  <pageSetup paperSize="9" scale="54" orientation="landscape" r:id="rId1"/>
  <headerFooter alignWithMargins="0">
    <oddFooter>MO 41.162 v01 - Proponente - Unidade Não Isolada - Habitação, Equip.Uso Comum e Comunitário - Orçamento, Cronograma  e PLS</oddFooter>
  </headerFooter>
  <ignoredErrors>
    <ignoredError sqref="D9:D12 I12" unlockedFormula="1"/>
    <ignoredError sqref="I41:S4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</vt:i4>
      </vt:variant>
    </vt:vector>
  </HeadingPairs>
  <TitlesOfParts>
    <vt:vector size="5" baseType="lpstr">
      <vt:lpstr>QUADRA DE ESPORTE - GINASIO</vt:lpstr>
      <vt:lpstr>CRO </vt:lpstr>
      <vt:lpstr>'CRO '!Area_de_impressao</vt:lpstr>
      <vt:lpstr>'QUADRA DE ESPORTE - GINASIO'!Area_de_impressao</vt:lpstr>
      <vt:lpstr>'CRO '!Titulos_de_impressao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Osorio</dc:creator>
  <cp:lastModifiedBy>PC07</cp:lastModifiedBy>
  <cp:lastPrinted>2015-04-23T22:33:14Z</cp:lastPrinted>
  <dcterms:created xsi:type="dcterms:W3CDTF">2015-04-17T13:55:18Z</dcterms:created>
  <dcterms:modified xsi:type="dcterms:W3CDTF">2015-05-18T15:25:51Z</dcterms:modified>
</cp:coreProperties>
</file>