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25" yWindow="165" windowWidth="15600" windowHeight="11580" tabRatio="602" activeTab="2"/>
  </bookViews>
  <sheets>
    <sheet name="Resumo" sheetId="5" r:id="rId1"/>
    <sheet name="Resumo Geral" sheetId="2" r:id="rId2"/>
    <sheet name="Comp" sheetId="4" r:id="rId3"/>
    <sheet name="orçamento" sheetId="1" r:id="rId4"/>
    <sheet name="Cronograma" sheetId="3" r:id="rId5"/>
    <sheet name="BDI" sheetId="6" r:id="rId6"/>
    <sheet name="Enc. Soc. (Horista)" sheetId="7" r:id="rId7"/>
    <sheet name="Plan1" sheetId="9" r:id="rId8"/>
    <sheet name="Enc. Soc. (Mensalista)" sheetId="8" r:id="rId9"/>
  </sheets>
  <definedNames>
    <definedName name="_xlnm.Print_Area" localSheetId="2">Comp!$B$1:$I$2839</definedName>
    <definedName name="_xlnm.Print_Area" localSheetId="4">Cronograma!$A$11:$V$37</definedName>
    <definedName name="_xlnm.Print_Area" localSheetId="6">'Enc. Soc. (Horista)'!$A$1:$C$53</definedName>
    <definedName name="_xlnm.Print_Area" localSheetId="8">'Enc. Soc. (Mensalista)'!$A$1:$C$56</definedName>
    <definedName name="_xlnm.Print_Area" localSheetId="3">orçamento!$A$1:$L$377</definedName>
    <definedName name="_xlnm.Print_Area" localSheetId="0">Resumo!$A$1:$D$54</definedName>
    <definedName name="_xlnm.Print_Area" localSheetId="1">'Resumo Geral'!$A$1:$D$35</definedName>
    <definedName name="_xlnm.Print_Titles" localSheetId="2">Comp!$11:$12</definedName>
    <definedName name="_xlnm.Print_Titles" localSheetId="4">Cronograma!$1:$10</definedName>
    <definedName name="_xlnm.Print_Titles" localSheetId="3">orçamento!$1:$12</definedName>
    <definedName name="_xlnm.Print_Titles" localSheetId="1">'Resumo Geral'!$1:$13</definedName>
  </definedNames>
  <calcPr calcId="144525" calcMode="autoNoTable"/>
</workbook>
</file>

<file path=xl/calcChain.xml><?xml version="1.0" encoding="utf-8"?>
<calcChain xmlns="http://schemas.openxmlformats.org/spreadsheetml/2006/main">
  <c r="C1331" i="4" l="1"/>
  <c r="C1332" i="4" s="1"/>
  <c r="I1339" i="4"/>
  <c r="N1339" i="4" s="1"/>
  <c r="E1339" i="4"/>
  <c r="E1338" i="4"/>
  <c r="E1337" i="4"/>
  <c r="I1336" i="4"/>
  <c r="E1336" i="4"/>
  <c r="L1334" i="4"/>
  <c r="L1335" i="4" s="1"/>
  <c r="L1336" i="4" s="1"/>
  <c r="L1337" i="4" s="1"/>
  <c r="L1338" i="4" s="1"/>
  <c r="L1339" i="4" s="1"/>
  <c r="E1334" i="4"/>
  <c r="H1334" i="4" s="1"/>
  <c r="L1333" i="4"/>
  <c r="H1333" i="4"/>
  <c r="E1333" i="4"/>
  <c r="L1332" i="4"/>
  <c r="I1332" i="4"/>
  <c r="L1331" i="4"/>
  <c r="C1321" i="4"/>
  <c r="C1322" i="4" s="1"/>
  <c r="I1329" i="4"/>
  <c r="N1329" i="4" s="1"/>
  <c r="E1329" i="4"/>
  <c r="E1328" i="4"/>
  <c r="E1327" i="4"/>
  <c r="I1326" i="4"/>
  <c r="E1326" i="4"/>
  <c r="E1324" i="4"/>
  <c r="H1324" i="4" s="1"/>
  <c r="H1323" i="4"/>
  <c r="H1326" i="4" s="1"/>
  <c r="E1323" i="4"/>
  <c r="L1322" i="4"/>
  <c r="L1323" i="4" s="1"/>
  <c r="L1324" i="4" s="1"/>
  <c r="L1325" i="4" s="1"/>
  <c r="L1326" i="4" s="1"/>
  <c r="L1327" i="4" s="1"/>
  <c r="L1328" i="4" s="1"/>
  <c r="L1329" i="4" s="1"/>
  <c r="I1322" i="4"/>
  <c r="L1321" i="4"/>
  <c r="C1311" i="4"/>
  <c r="C1312" i="4" s="1"/>
  <c r="I1319" i="4"/>
  <c r="N1319" i="4" s="1"/>
  <c r="E1319" i="4"/>
  <c r="E1318" i="4"/>
  <c r="E1317" i="4"/>
  <c r="I1316" i="4"/>
  <c r="E1316" i="4"/>
  <c r="E1314" i="4"/>
  <c r="H1314" i="4" s="1"/>
  <c r="H1313" i="4"/>
  <c r="H1316" i="4" s="1"/>
  <c r="E1313" i="4"/>
  <c r="L1312" i="4"/>
  <c r="L1313" i="4" s="1"/>
  <c r="L1314" i="4" s="1"/>
  <c r="L1315" i="4" s="1"/>
  <c r="L1316" i="4" s="1"/>
  <c r="L1317" i="4" s="1"/>
  <c r="L1318" i="4" s="1"/>
  <c r="L1319" i="4" s="1"/>
  <c r="I1312" i="4"/>
  <c r="L1311" i="4"/>
  <c r="C1301" i="4"/>
  <c r="C1302" i="4" s="1"/>
  <c r="I1309" i="4"/>
  <c r="N1309" i="4" s="1"/>
  <c r="E1309" i="4"/>
  <c r="E1308" i="4"/>
  <c r="E1307" i="4"/>
  <c r="I1306" i="4"/>
  <c r="E1306" i="4"/>
  <c r="L1304" i="4"/>
  <c r="L1305" i="4" s="1"/>
  <c r="L1306" i="4" s="1"/>
  <c r="L1307" i="4" s="1"/>
  <c r="L1308" i="4" s="1"/>
  <c r="L1309" i="4" s="1"/>
  <c r="E1304" i="4"/>
  <c r="H1304" i="4" s="1"/>
  <c r="L1303" i="4"/>
  <c r="H1303" i="4"/>
  <c r="E1303" i="4"/>
  <c r="L1302" i="4"/>
  <c r="I1302" i="4"/>
  <c r="L1301" i="4"/>
  <c r="C1291" i="4"/>
  <c r="C1292" i="4" s="1"/>
  <c r="I1299" i="4"/>
  <c r="N1299" i="4" s="1"/>
  <c r="E1299" i="4"/>
  <c r="E1298" i="4"/>
  <c r="E1297" i="4"/>
  <c r="I1296" i="4"/>
  <c r="E1296" i="4"/>
  <c r="E1294" i="4"/>
  <c r="H1294" i="4" s="1"/>
  <c r="H1293" i="4"/>
  <c r="H1296" i="4" s="1"/>
  <c r="E1293" i="4"/>
  <c r="L1292" i="4"/>
  <c r="L1293" i="4" s="1"/>
  <c r="L1294" i="4" s="1"/>
  <c r="L1295" i="4" s="1"/>
  <c r="L1296" i="4" s="1"/>
  <c r="L1297" i="4" s="1"/>
  <c r="L1298" i="4" s="1"/>
  <c r="L1299" i="4" s="1"/>
  <c r="I1292" i="4"/>
  <c r="L1291" i="4"/>
  <c r="C1281" i="4"/>
  <c r="I1289" i="4"/>
  <c r="N1289" i="4" s="1"/>
  <c r="E1289" i="4"/>
  <c r="E1288" i="4"/>
  <c r="E1287" i="4"/>
  <c r="I1286" i="4"/>
  <c r="E1286" i="4"/>
  <c r="E1284" i="4"/>
  <c r="H1284" i="4" s="1"/>
  <c r="H1283" i="4"/>
  <c r="H1286" i="4" s="1"/>
  <c r="E1283" i="4"/>
  <c r="L1282" i="4"/>
  <c r="L1283" i="4" s="1"/>
  <c r="L1284" i="4" s="1"/>
  <c r="L1285" i="4" s="1"/>
  <c r="L1286" i="4" s="1"/>
  <c r="L1287" i="4" s="1"/>
  <c r="L1288" i="4" s="1"/>
  <c r="L1289" i="4" s="1"/>
  <c r="I1282" i="4"/>
  <c r="L1281" i="4"/>
  <c r="C1282" i="4"/>
  <c r="H1336" i="4" l="1"/>
  <c r="H1327" i="4"/>
  <c r="H1328" i="4"/>
  <c r="H1317" i="4"/>
  <c r="H1318" i="4"/>
  <c r="H1306" i="4"/>
  <c r="H1297" i="4"/>
  <c r="H1298" i="4"/>
  <c r="H1287" i="4"/>
  <c r="H1288" i="4"/>
  <c r="I1259" i="4"/>
  <c r="L1273" i="4"/>
  <c r="L1274" i="4" s="1"/>
  <c r="L1275" i="4" s="1"/>
  <c r="L1276" i="4" s="1"/>
  <c r="L1277" i="4" s="1"/>
  <c r="L1278" i="4" s="1"/>
  <c r="C1271" i="4"/>
  <c r="C1272" i="4" s="1"/>
  <c r="I1279" i="4"/>
  <c r="N1279" i="4" s="1"/>
  <c r="E1274" i="4"/>
  <c r="H1274" i="4" s="1"/>
  <c r="E1273" i="4"/>
  <c r="H1273" i="4" s="1"/>
  <c r="I1272" i="4"/>
  <c r="I1276" i="4" s="1"/>
  <c r="C1261" i="4"/>
  <c r="C1262" i="4" s="1"/>
  <c r="I1269" i="4"/>
  <c r="N1269" i="4" s="1"/>
  <c r="E1264" i="4"/>
  <c r="H1264" i="4" s="1"/>
  <c r="E1263" i="4"/>
  <c r="H1263" i="4" s="1"/>
  <c r="I1262" i="4"/>
  <c r="I1266" i="4" s="1"/>
  <c r="C1251" i="4"/>
  <c r="C1252" i="4" s="1"/>
  <c r="N1259" i="4"/>
  <c r="E1254" i="4"/>
  <c r="H1254" i="4" s="1"/>
  <c r="E1253" i="4"/>
  <c r="H1253" i="4" s="1"/>
  <c r="I1252" i="4"/>
  <c r="I1256" i="4" s="1"/>
  <c r="I1249" i="4"/>
  <c r="N1249" i="4" s="1"/>
  <c r="C1241" i="4"/>
  <c r="C1242" i="4" s="1"/>
  <c r="E1244" i="4"/>
  <c r="H1244" i="4" s="1"/>
  <c r="E1243" i="4"/>
  <c r="H1243" i="4" s="1"/>
  <c r="I1242" i="4"/>
  <c r="I1246" i="4" s="1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714" i="4"/>
  <c r="L2626" i="4"/>
  <c r="L2656" i="4"/>
  <c r="L2666" i="4"/>
  <c r="L2706" i="4"/>
  <c r="L2717" i="4"/>
  <c r="H1337" i="4" l="1"/>
  <c r="H1338" i="4"/>
  <c r="H1307" i="4"/>
  <c r="H1308" i="4"/>
  <c r="H1276" i="4"/>
  <c r="H1266" i="4"/>
  <c r="H1256" i="4"/>
  <c r="H1246" i="4"/>
  <c r="B1" i="4"/>
  <c r="A1" i="2"/>
  <c r="A8" i="7"/>
  <c r="V31" i="3"/>
  <c r="V33" i="3"/>
  <c r="V32" i="3"/>
  <c r="V30" i="3"/>
  <c r="V29" i="3"/>
  <c r="V28" i="3"/>
  <c r="V27" i="3"/>
  <c r="V26" i="3"/>
  <c r="V25" i="3"/>
  <c r="V24" i="3"/>
  <c r="V23" i="3"/>
  <c r="V22" i="3"/>
  <c r="V21" i="3"/>
  <c r="V20" i="3"/>
  <c r="V18" i="3"/>
  <c r="V17" i="3"/>
  <c r="V16" i="3"/>
  <c r="V15" i="3"/>
  <c r="V14" i="3"/>
  <c r="B33" i="2"/>
  <c r="B32" i="2"/>
  <c r="B31" i="2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49" i="1"/>
  <c r="K349" i="1" s="1"/>
  <c r="H348" i="1"/>
  <c r="K348" i="1" s="1"/>
  <c r="H347" i="1"/>
  <c r="K347" i="1" s="1"/>
  <c r="H346" i="1"/>
  <c r="K346" i="1" s="1"/>
  <c r="H345" i="1"/>
  <c r="K345" i="1" s="1"/>
  <c r="H342" i="1"/>
  <c r="K342" i="1" s="1"/>
  <c r="H341" i="1"/>
  <c r="K341" i="1" s="1"/>
  <c r="H340" i="1"/>
  <c r="K340" i="1" s="1"/>
  <c r="H339" i="1"/>
  <c r="K339" i="1" s="1"/>
  <c r="H338" i="1"/>
  <c r="K338" i="1" s="1"/>
  <c r="H337" i="1"/>
  <c r="K337" i="1" s="1"/>
  <c r="B30" i="2"/>
  <c r="H332" i="1"/>
  <c r="K332" i="1" s="1"/>
  <c r="H331" i="1"/>
  <c r="K331" i="1" s="1"/>
  <c r="H330" i="1"/>
  <c r="K330" i="1" s="1"/>
  <c r="H329" i="1"/>
  <c r="K329" i="1" s="1"/>
  <c r="H328" i="1"/>
  <c r="K328" i="1" s="1"/>
  <c r="G327" i="1"/>
  <c r="H326" i="1"/>
  <c r="H327" i="1" s="1"/>
  <c r="H325" i="1"/>
  <c r="K325" i="1" s="1"/>
  <c r="H324" i="1"/>
  <c r="K324" i="1" s="1"/>
  <c r="H323" i="1"/>
  <c r="K323" i="1" s="1"/>
  <c r="H322" i="1"/>
  <c r="K322" i="1" s="1"/>
  <c r="H321" i="1"/>
  <c r="H320" i="1"/>
  <c r="K320" i="1" s="1"/>
  <c r="H319" i="1"/>
  <c r="K319" i="1" s="1"/>
  <c r="H318" i="1"/>
  <c r="K318" i="1" s="1"/>
  <c r="K321" i="1"/>
  <c r="H317" i="1"/>
  <c r="H316" i="1"/>
  <c r="K316" i="1" s="1"/>
  <c r="B29" i="2"/>
  <c r="H305" i="1"/>
  <c r="H313" i="1"/>
  <c r="H312" i="1"/>
  <c r="K312" i="1" s="1"/>
  <c r="H311" i="1"/>
  <c r="H310" i="1"/>
  <c r="H309" i="1"/>
  <c r="H308" i="1"/>
  <c r="H307" i="1"/>
  <c r="H306" i="1"/>
  <c r="H303" i="1"/>
  <c r="H302" i="1"/>
  <c r="H301" i="1"/>
  <c r="H300" i="1"/>
  <c r="H299" i="1"/>
  <c r="B28" i="2"/>
  <c r="H296" i="1"/>
  <c r="H295" i="1"/>
  <c r="H294" i="1"/>
  <c r="H293" i="1"/>
  <c r="B27" i="2"/>
  <c r="H290" i="1"/>
  <c r="H289" i="1"/>
  <c r="H288" i="1"/>
  <c r="H287" i="1"/>
  <c r="K290" i="1"/>
  <c r="K289" i="1"/>
  <c r="K288" i="1"/>
  <c r="K287" i="1"/>
  <c r="H286" i="1"/>
  <c r="K286" i="1" s="1"/>
  <c r="B26" i="2"/>
  <c r="B25" i="2"/>
  <c r="H283" i="1"/>
  <c r="H282" i="1"/>
  <c r="H279" i="1"/>
  <c r="K279" i="1" s="1"/>
  <c r="H278" i="1"/>
  <c r="K278" i="1" s="1"/>
  <c r="H277" i="1"/>
  <c r="K277" i="1" s="1"/>
  <c r="G277" i="1"/>
  <c r="H276" i="1"/>
  <c r="K276" i="1" s="1"/>
  <c r="H275" i="1"/>
  <c r="K275" i="1" s="1"/>
  <c r="H274" i="1"/>
  <c r="K274" i="1" s="1"/>
  <c r="H273" i="1"/>
  <c r="K273" i="1" s="1"/>
  <c r="G273" i="1"/>
  <c r="H272" i="1"/>
  <c r="K272" i="1" s="1"/>
  <c r="H271" i="1"/>
  <c r="K271" i="1" s="1"/>
  <c r="H270" i="1"/>
  <c r="K270" i="1" s="1"/>
  <c r="H269" i="1"/>
  <c r="K269" i="1" s="1"/>
  <c r="H268" i="1"/>
  <c r="K268" i="1" s="1"/>
  <c r="H267" i="1"/>
  <c r="K267" i="1" s="1"/>
  <c r="H266" i="1"/>
  <c r="K266" i="1" s="1"/>
  <c r="H265" i="1"/>
  <c r="K265" i="1" s="1"/>
  <c r="H264" i="1"/>
  <c r="K264" i="1" s="1"/>
  <c r="H263" i="1"/>
  <c r="K263" i="1" s="1"/>
  <c r="H262" i="1"/>
  <c r="K262" i="1" s="1"/>
  <c r="H261" i="1"/>
  <c r="K261" i="1" s="1"/>
  <c r="H260" i="1"/>
  <c r="K260" i="1" s="1"/>
  <c r="H259" i="1"/>
  <c r="K259" i="1" s="1"/>
  <c r="B24" i="2"/>
  <c r="C2830" i="4"/>
  <c r="C2831" i="4" s="1"/>
  <c r="C2820" i="4"/>
  <c r="H256" i="1"/>
  <c r="K256" i="1" s="1"/>
  <c r="H255" i="1"/>
  <c r="H254" i="1"/>
  <c r="K254" i="1" s="1"/>
  <c r="H253" i="1"/>
  <c r="K253" i="1" s="1"/>
  <c r="K255" i="1"/>
  <c r="H252" i="1"/>
  <c r="K252" i="1" s="1"/>
  <c r="H251" i="1"/>
  <c r="K251" i="1" s="1"/>
  <c r="H250" i="1"/>
  <c r="K250" i="1" s="1"/>
  <c r="B23" i="2"/>
  <c r="B22" i="2"/>
  <c r="B21" i="2"/>
  <c r="H244" i="1"/>
  <c r="K244" i="1" s="1"/>
  <c r="H243" i="1"/>
  <c r="K243" i="1" s="1"/>
  <c r="H242" i="1"/>
  <c r="K242" i="1" s="1"/>
  <c r="H239" i="1"/>
  <c r="H238" i="1"/>
  <c r="H237" i="1"/>
  <c r="C2798" i="4"/>
  <c r="H2802" i="4"/>
  <c r="H2801" i="4"/>
  <c r="I2800" i="4"/>
  <c r="I2799" i="4"/>
  <c r="C2785" i="4"/>
  <c r="H2791" i="4"/>
  <c r="H2790" i="4"/>
  <c r="I2789" i="4"/>
  <c r="I2788" i="4"/>
  <c r="I2787" i="4"/>
  <c r="I2786" i="4"/>
  <c r="C2772" i="4"/>
  <c r="H2778" i="4"/>
  <c r="H2777" i="4"/>
  <c r="I2776" i="4"/>
  <c r="I2775" i="4"/>
  <c r="I2774" i="4"/>
  <c r="I2773" i="4"/>
  <c r="B20" i="2"/>
  <c r="B18" i="2"/>
  <c r="B19" i="2"/>
  <c r="H189" i="1"/>
  <c r="K189" i="1" s="1"/>
  <c r="H176" i="1"/>
  <c r="K176" i="1" s="1"/>
  <c r="H162" i="1"/>
  <c r="K162" i="1" s="1"/>
  <c r="H234" i="1"/>
  <c r="K234" i="1" s="1"/>
  <c r="H233" i="1"/>
  <c r="K233" i="1" s="1"/>
  <c r="H232" i="1"/>
  <c r="K232" i="1" s="1"/>
  <c r="H231" i="1"/>
  <c r="K231" i="1" s="1"/>
  <c r="H230" i="1"/>
  <c r="K230" i="1" s="1"/>
  <c r="H229" i="1"/>
  <c r="K229" i="1" s="1"/>
  <c r="H228" i="1"/>
  <c r="K228" i="1" s="1"/>
  <c r="H227" i="1"/>
  <c r="K227" i="1" s="1"/>
  <c r="H226" i="1"/>
  <c r="K226" i="1" s="1"/>
  <c r="H225" i="1"/>
  <c r="K225" i="1" s="1"/>
  <c r="H224" i="1"/>
  <c r="K224" i="1" s="1"/>
  <c r="H223" i="1"/>
  <c r="K223" i="1" s="1"/>
  <c r="H222" i="1"/>
  <c r="K222" i="1" s="1"/>
  <c r="H221" i="1"/>
  <c r="K221" i="1" s="1"/>
  <c r="H220" i="1"/>
  <c r="K220" i="1" s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K212" i="1" s="1"/>
  <c r="H211" i="1"/>
  <c r="K211" i="1" s="1"/>
  <c r="H210" i="1"/>
  <c r="K210" i="1" s="1"/>
  <c r="H209" i="1"/>
  <c r="K209" i="1" s="1"/>
  <c r="H208" i="1"/>
  <c r="K208" i="1" s="1"/>
  <c r="H207" i="1"/>
  <c r="K207" i="1" s="1"/>
  <c r="H206" i="1"/>
  <c r="K206" i="1" s="1"/>
  <c r="H205" i="1"/>
  <c r="K205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K199" i="1" s="1"/>
  <c r="H198" i="1"/>
  <c r="K198" i="1" s="1"/>
  <c r="H197" i="1"/>
  <c r="K197" i="1" s="1"/>
  <c r="H196" i="1"/>
  <c r="K196" i="1" s="1"/>
  <c r="H195" i="1"/>
  <c r="K195" i="1" s="1"/>
  <c r="H194" i="1"/>
  <c r="K194" i="1" s="1"/>
  <c r="H193" i="1"/>
  <c r="K193" i="1" s="1"/>
  <c r="H192" i="1"/>
  <c r="K192" i="1" s="1"/>
  <c r="H191" i="1"/>
  <c r="K191" i="1" s="1"/>
  <c r="H190" i="1"/>
  <c r="K190" i="1" s="1"/>
  <c r="H188" i="1"/>
  <c r="K188" i="1" s="1"/>
  <c r="H187" i="1"/>
  <c r="H186" i="1"/>
  <c r="K186" i="1" s="1"/>
  <c r="H185" i="1"/>
  <c r="K185" i="1" s="1"/>
  <c r="H184" i="1"/>
  <c r="K184" i="1" s="1"/>
  <c r="H183" i="1"/>
  <c r="K183" i="1" s="1"/>
  <c r="H182" i="1"/>
  <c r="K182" i="1" s="1"/>
  <c r="H181" i="1"/>
  <c r="K181" i="1" s="1"/>
  <c r="H180" i="1"/>
  <c r="K180" i="1" s="1"/>
  <c r="H179" i="1"/>
  <c r="K179" i="1" s="1"/>
  <c r="H178" i="1"/>
  <c r="K178" i="1" s="1"/>
  <c r="H177" i="1"/>
  <c r="K177" i="1" s="1"/>
  <c r="H175" i="1"/>
  <c r="H174" i="1"/>
  <c r="K174" i="1" s="1"/>
  <c r="H173" i="1"/>
  <c r="K173" i="1" s="1"/>
  <c r="H172" i="1"/>
  <c r="K172" i="1" s="1"/>
  <c r="K175" i="1"/>
  <c r="K187" i="1"/>
  <c r="H171" i="1"/>
  <c r="K171" i="1" s="1"/>
  <c r="H170" i="1"/>
  <c r="K170" i="1" s="1"/>
  <c r="H169" i="1"/>
  <c r="K169" i="1" s="1"/>
  <c r="H168" i="1"/>
  <c r="K168" i="1" s="1"/>
  <c r="H167" i="1"/>
  <c r="K167" i="1" s="1"/>
  <c r="H166" i="1"/>
  <c r="K166" i="1" s="1"/>
  <c r="H165" i="1"/>
  <c r="K165" i="1" s="1"/>
  <c r="H164" i="1"/>
  <c r="K164" i="1" s="1"/>
  <c r="H163" i="1"/>
  <c r="K163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K155" i="1" s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K146" i="1" s="1"/>
  <c r="H145" i="1"/>
  <c r="K145" i="1" s="1"/>
  <c r="H144" i="1"/>
  <c r="K144" i="1" s="1"/>
  <c r="H143" i="1"/>
  <c r="K143" i="1" s="1"/>
  <c r="I1239" i="4"/>
  <c r="H142" i="1" s="1"/>
  <c r="K142" i="1" s="1"/>
  <c r="C1230" i="4"/>
  <c r="C1231" i="4" s="1"/>
  <c r="E1234" i="4"/>
  <c r="H1234" i="4" s="1"/>
  <c r="E1233" i="4"/>
  <c r="H1233" i="4" s="1"/>
  <c r="E1232" i="4"/>
  <c r="H1232" i="4" s="1"/>
  <c r="I1231" i="4"/>
  <c r="I1236" i="4" s="1"/>
  <c r="I1228" i="4"/>
  <c r="N1228" i="4" s="1"/>
  <c r="C1219" i="4"/>
  <c r="C1220" i="4" s="1"/>
  <c r="E1223" i="4"/>
  <c r="H1223" i="4" s="1"/>
  <c r="E1222" i="4"/>
  <c r="H1222" i="4" s="1"/>
  <c r="E1221" i="4"/>
  <c r="H1221" i="4" s="1"/>
  <c r="I1220" i="4"/>
  <c r="I1225" i="4" s="1"/>
  <c r="I1216" i="4"/>
  <c r="H140" i="1" s="1"/>
  <c r="K140" i="1" s="1"/>
  <c r="C1208" i="4"/>
  <c r="C1209" i="4" s="1"/>
  <c r="E1211" i="4"/>
  <c r="H1211" i="4" s="1"/>
  <c r="E1210" i="4"/>
  <c r="H1210" i="4" s="1"/>
  <c r="I1209" i="4"/>
  <c r="I1213" i="4" s="1"/>
  <c r="I1206" i="4"/>
  <c r="H139" i="1" s="1"/>
  <c r="K139" i="1" s="1"/>
  <c r="E1201" i="4"/>
  <c r="H1201" i="4" s="1"/>
  <c r="E1200" i="4"/>
  <c r="H1200" i="4" s="1"/>
  <c r="E1199" i="4"/>
  <c r="H1199" i="4" s="1"/>
  <c r="E1187" i="4"/>
  <c r="I1187" i="4" s="1"/>
  <c r="I1192" i="4" s="1"/>
  <c r="C1197" i="4"/>
  <c r="C1198" i="4" s="1"/>
  <c r="I1198" i="4"/>
  <c r="I1203" i="4" s="1"/>
  <c r="E1190" i="4"/>
  <c r="H1190" i="4" s="1"/>
  <c r="E1189" i="4"/>
  <c r="H1189" i="4" s="1"/>
  <c r="E1188" i="4"/>
  <c r="H1188" i="4" s="1"/>
  <c r="E1176" i="4"/>
  <c r="I1176" i="4" s="1"/>
  <c r="I1181" i="4" s="1"/>
  <c r="E1166" i="4"/>
  <c r="I1166" i="4" s="1"/>
  <c r="I1170" i="4" s="1"/>
  <c r="C1186" i="4"/>
  <c r="C1187" i="4" s="1"/>
  <c r="E1179" i="4"/>
  <c r="H1179" i="4" s="1"/>
  <c r="E1178" i="4"/>
  <c r="H1178" i="4" s="1"/>
  <c r="E1177" i="4"/>
  <c r="H1177" i="4" s="1"/>
  <c r="C1175" i="4"/>
  <c r="C1176" i="4" s="1"/>
  <c r="E1168" i="4"/>
  <c r="H1168" i="4" s="1"/>
  <c r="E1167" i="4"/>
  <c r="H1167" i="4" s="1"/>
  <c r="C1165" i="4"/>
  <c r="C1166" i="4" s="1"/>
  <c r="K133" i="1"/>
  <c r="E1158" i="4"/>
  <c r="H1158" i="4" s="1"/>
  <c r="E1157" i="4"/>
  <c r="H1157" i="4" s="1"/>
  <c r="E1156" i="4"/>
  <c r="I1156" i="4" s="1"/>
  <c r="I1160" i="4" s="1"/>
  <c r="E1146" i="4"/>
  <c r="I1146" i="4" s="1"/>
  <c r="I1150" i="4" s="1"/>
  <c r="C1155" i="4"/>
  <c r="C1156" i="4" s="1"/>
  <c r="E1147" i="4"/>
  <c r="E1148" i="4"/>
  <c r="H1148" i="4" s="1"/>
  <c r="E1136" i="4"/>
  <c r="I1136" i="4" s="1"/>
  <c r="I1140" i="4" s="1"/>
  <c r="C1145" i="4"/>
  <c r="C1146" i="4" s="1"/>
  <c r="H1147" i="4"/>
  <c r="E1138" i="4"/>
  <c r="H1138" i="4" s="1"/>
  <c r="E1137" i="4"/>
  <c r="H1137" i="4" s="1"/>
  <c r="E1126" i="4"/>
  <c r="I1126" i="4" s="1"/>
  <c r="I1130" i="4" s="1"/>
  <c r="C1135" i="4"/>
  <c r="C1136" i="4" s="1"/>
  <c r="E1128" i="4"/>
  <c r="H1128" i="4" s="1"/>
  <c r="E1127" i="4"/>
  <c r="H1127" i="4" s="1"/>
  <c r="C1125" i="4"/>
  <c r="C1126" i="4" s="1"/>
  <c r="E1118" i="4"/>
  <c r="H1118" i="4" s="1"/>
  <c r="E1117" i="4"/>
  <c r="E1116" i="4"/>
  <c r="I1116" i="4" s="1"/>
  <c r="I1120" i="4" s="1"/>
  <c r="E1106" i="4"/>
  <c r="I1106" i="4" s="1"/>
  <c r="I1110" i="4" s="1"/>
  <c r="C1115" i="4"/>
  <c r="C1116" i="4" s="1"/>
  <c r="H1117" i="4"/>
  <c r="E1108" i="4"/>
  <c r="H1108" i="4" s="1"/>
  <c r="E1107" i="4"/>
  <c r="H1107" i="4" s="1"/>
  <c r="C1105" i="4"/>
  <c r="C1106" i="4" s="1"/>
  <c r="E1096" i="4"/>
  <c r="I1096" i="4" s="1"/>
  <c r="I1100" i="4" s="1"/>
  <c r="E1098" i="4"/>
  <c r="H1098" i="4" s="1"/>
  <c r="E1097" i="4"/>
  <c r="H1097" i="4" s="1"/>
  <c r="C1095" i="4"/>
  <c r="C1096" i="4" s="1"/>
  <c r="E1076" i="4"/>
  <c r="I1076" i="4" s="1"/>
  <c r="I1080" i="4" s="1"/>
  <c r="E1088" i="4"/>
  <c r="H1088" i="4" s="1"/>
  <c r="E1087" i="4"/>
  <c r="H1087" i="4" s="1"/>
  <c r="E1086" i="4"/>
  <c r="I1086" i="4" s="1"/>
  <c r="I1090" i="4" s="1"/>
  <c r="C1085" i="4"/>
  <c r="C1086" i="4" s="1"/>
  <c r="E1078" i="4"/>
  <c r="H1078" i="4" s="1"/>
  <c r="E1077" i="4"/>
  <c r="H1077" i="4" s="1"/>
  <c r="E1066" i="4"/>
  <c r="I1066" i="4" s="1"/>
  <c r="I1070" i="4" s="1"/>
  <c r="C1075" i="4"/>
  <c r="C1076" i="4" s="1"/>
  <c r="E1068" i="4"/>
  <c r="H1068" i="4" s="1"/>
  <c r="E1067" i="4"/>
  <c r="H1067" i="4" s="1"/>
  <c r="E1056" i="4"/>
  <c r="I1056" i="4" s="1"/>
  <c r="I1060" i="4" s="1"/>
  <c r="C1065" i="4"/>
  <c r="C1066" i="4" s="1"/>
  <c r="E1058" i="4"/>
  <c r="H1058" i="4" s="1"/>
  <c r="E1057" i="4"/>
  <c r="H1057" i="4" s="1"/>
  <c r="C1055" i="4"/>
  <c r="C1056" i="4" s="1"/>
  <c r="E1046" i="4"/>
  <c r="I1046" i="4" s="1"/>
  <c r="I1050" i="4" s="1"/>
  <c r="E1047" i="4"/>
  <c r="H1047" i="4" s="1"/>
  <c r="E1048" i="4"/>
  <c r="H1048" i="4" s="1"/>
  <c r="C1045" i="4"/>
  <c r="C1046" i="4" s="1"/>
  <c r="E1036" i="4"/>
  <c r="I1036" i="4" s="1"/>
  <c r="I1040" i="4" s="1"/>
  <c r="E1038" i="4"/>
  <c r="H1038" i="4" s="1"/>
  <c r="E1037" i="4"/>
  <c r="H1037" i="4" s="1"/>
  <c r="E1026" i="4"/>
  <c r="I1026" i="4" s="1"/>
  <c r="I1030" i="4" s="1"/>
  <c r="C1035" i="4"/>
  <c r="C1036" i="4" s="1"/>
  <c r="E1027" i="4"/>
  <c r="H1027" i="4" s="1"/>
  <c r="E1028" i="4"/>
  <c r="H1028" i="4" s="1"/>
  <c r="C1025" i="4"/>
  <c r="C1026" i="4" s="1"/>
  <c r="E1016" i="4"/>
  <c r="I1016" i="4" s="1"/>
  <c r="I1020" i="4" s="1"/>
  <c r="E1018" i="4"/>
  <c r="H1018" i="4" s="1"/>
  <c r="E1017" i="4"/>
  <c r="H1017" i="4" s="1"/>
  <c r="C1015" i="4"/>
  <c r="C1016" i="4" s="1"/>
  <c r="E1006" i="4"/>
  <c r="I1006" i="4" s="1"/>
  <c r="I1010" i="4" s="1"/>
  <c r="E1008" i="4"/>
  <c r="H1008" i="4" s="1"/>
  <c r="E1007" i="4"/>
  <c r="H1007" i="4" s="1"/>
  <c r="C1005" i="4"/>
  <c r="C1006" i="4" s="1"/>
  <c r="E996" i="4"/>
  <c r="I996" i="4" s="1"/>
  <c r="I1000" i="4" s="1"/>
  <c r="E998" i="4"/>
  <c r="H998" i="4" s="1"/>
  <c r="E997" i="4"/>
  <c r="H997" i="4" s="1"/>
  <c r="C995" i="4"/>
  <c r="C996" i="4" s="1"/>
  <c r="E988" i="4"/>
  <c r="H988" i="4" s="1"/>
  <c r="E987" i="4"/>
  <c r="H987" i="4" s="1"/>
  <c r="I986" i="4"/>
  <c r="I990" i="4" s="1"/>
  <c r="C985" i="4"/>
  <c r="C986" i="4" s="1"/>
  <c r="E976" i="4"/>
  <c r="I976" i="4" s="1"/>
  <c r="I980" i="4" s="1"/>
  <c r="E978" i="4"/>
  <c r="H978" i="4" s="1"/>
  <c r="E977" i="4"/>
  <c r="H977" i="4" s="1"/>
  <c r="C975" i="4"/>
  <c r="C976" i="4" s="1"/>
  <c r="E966" i="4"/>
  <c r="I966" i="4" s="1"/>
  <c r="I970" i="4" s="1"/>
  <c r="E968" i="4"/>
  <c r="H968" i="4" s="1"/>
  <c r="E967" i="4"/>
  <c r="H967" i="4" s="1"/>
  <c r="C965" i="4"/>
  <c r="C966" i="4" s="1"/>
  <c r="E956" i="4"/>
  <c r="I956" i="4" s="1"/>
  <c r="I960" i="4" s="1"/>
  <c r="E958" i="4"/>
  <c r="H958" i="4" s="1"/>
  <c r="E957" i="4"/>
  <c r="H957" i="4" s="1"/>
  <c r="E946" i="4"/>
  <c r="I946" i="4" s="1"/>
  <c r="I950" i="4" s="1"/>
  <c r="C955" i="4"/>
  <c r="C956" i="4" s="1"/>
  <c r="E948" i="4"/>
  <c r="H948" i="4" s="1"/>
  <c r="E947" i="4"/>
  <c r="E936" i="4"/>
  <c r="I936" i="4" s="1"/>
  <c r="I940" i="4" s="1"/>
  <c r="E926" i="4"/>
  <c r="I926" i="4" s="1"/>
  <c r="I930" i="4" s="1"/>
  <c r="C945" i="4"/>
  <c r="C946" i="4" s="1"/>
  <c r="H947" i="4"/>
  <c r="E938" i="4"/>
  <c r="H938" i="4" s="1"/>
  <c r="E937" i="4"/>
  <c r="H937" i="4" s="1"/>
  <c r="C935" i="4"/>
  <c r="C936" i="4" s="1"/>
  <c r="E928" i="4"/>
  <c r="H928" i="4" s="1"/>
  <c r="E927" i="4"/>
  <c r="H927" i="4" s="1"/>
  <c r="E916" i="4"/>
  <c r="I916" i="4" s="1"/>
  <c r="I920" i="4" s="1"/>
  <c r="C925" i="4"/>
  <c r="C926" i="4" s="1"/>
  <c r="E918" i="4"/>
  <c r="H918" i="4" s="1"/>
  <c r="E917" i="4"/>
  <c r="H917" i="4" s="1"/>
  <c r="E906" i="4"/>
  <c r="I906" i="4" s="1"/>
  <c r="I910" i="4" s="1"/>
  <c r="C915" i="4"/>
  <c r="C916" i="4" s="1"/>
  <c r="H108" i="1"/>
  <c r="K108" i="1" s="1"/>
  <c r="E908" i="4"/>
  <c r="H908" i="4" s="1"/>
  <c r="E907" i="4"/>
  <c r="H907" i="4" s="1"/>
  <c r="E896" i="4"/>
  <c r="I896" i="4" s="1"/>
  <c r="I900" i="4" s="1"/>
  <c r="C905" i="4"/>
  <c r="C906" i="4" s="1"/>
  <c r="E898" i="4"/>
  <c r="H898" i="4" s="1"/>
  <c r="E897" i="4"/>
  <c r="H897" i="4" s="1"/>
  <c r="E886" i="4"/>
  <c r="I886" i="4" s="1"/>
  <c r="I890" i="4" s="1"/>
  <c r="C895" i="4"/>
  <c r="C896" i="4" s="1"/>
  <c r="E888" i="4"/>
  <c r="H888" i="4" s="1"/>
  <c r="E887" i="4"/>
  <c r="H887" i="4" s="1"/>
  <c r="C885" i="4"/>
  <c r="C886" i="4" s="1"/>
  <c r="E876" i="4"/>
  <c r="I876" i="4" s="1"/>
  <c r="I880" i="4" s="1"/>
  <c r="E878" i="4"/>
  <c r="H878" i="4" s="1"/>
  <c r="E877" i="4"/>
  <c r="H877" i="4" s="1"/>
  <c r="C875" i="4"/>
  <c r="C876" i="4" s="1"/>
  <c r="E866" i="4"/>
  <c r="I866" i="4" s="1"/>
  <c r="I870" i="4" s="1"/>
  <c r="E868" i="4"/>
  <c r="H868" i="4" s="1"/>
  <c r="E867" i="4"/>
  <c r="H867" i="4" s="1"/>
  <c r="C865" i="4"/>
  <c r="C866" i="4" s="1"/>
  <c r="E856" i="4"/>
  <c r="I856" i="4" s="1"/>
  <c r="I860" i="4" s="1"/>
  <c r="E858" i="4"/>
  <c r="H858" i="4" s="1"/>
  <c r="E857" i="4"/>
  <c r="H857" i="4" s="1"/>
  <c r="E846" i="4"/>
  <c r="I846" i="4" s="1"/>
  <c r="I850" i="4" s="1"/>
  <c r="C855" i="4"/>
  <c r="C856" i="4" s="1"/>
  <c r="E848" i="4"/>
  <c r="H848" i="4" s="1"/>
  <c r="E847" i="4"/>
  <c r="H847" i="4" s="1"/>
  <c r="C845" i="4"/>
  <c r="C846" i="4" s="1"/>
  <c r="E836" i="4"/>
  <c r="I836" i="4" s="1"/>
  <c r="I840" i="4" s="1"/>
  <c r="E838" i="4"/>
  <c r="H838" i="4" s="1"/>
  <c r="E837" i="4"/>
  <c r="H837" i="4" s="1"/>
  <c r="C835" i="4"/>
  <c r="C836" i="4" s="1"/>
  <c r="E828" i="4"/>
  <c r="H828" i="4" s="1"/>
  <c r="E827" i="4"/>
  <c r="H827" i="4" s="1"/>
  <c r="E826" i="4"/>
  <c r="I826" i="4" s="1"/>
  <c r="I830" i="4" s="1"/>
  <c r="C825" i="4"/>
  <c r="C826" i="4" s="1"/>
  <c r="E816" i="4"/>
  <c r="I816" i="4" s="1"/>
  <c r="I820" i="4" s="1"/>
  <c r="E818" i="4"/>
  <c r="H818" i="4" s="1"/>
  <c r="E817" i="4"/>
  <c r="H817" i="4" s="1"/>
  <c r="C815" i="4"/>
  <c r="C816" i="4" s="1"/>
  <c r="E806" i="4"/>
  <c r="I806" i="4" s="1"/>
  <c r="I810" i="4" s="1"/>
  <c r="E808" i="4"/>
  <c r="H808" i="4" s="1"/>
  <c r="E807" i="4"/>
  <c r="H807" i="4" s="1"/>
  <c r="C805" i="4"/>
  <c r="C806" i="4" s="1"/>
  <c r="E796" i="4"/>
  <c r="I796" i="4" s="1"/>
  <c r="I800" i="4" s="1"/>
  <c r="E798" i="4"/>
  <c r="H798" i="4" s="1"/>
  <c r="E797" i="4"/>
  <c r="H797" i="4" s="1"/>
  <c r="E786" i="4"/>
  <c r="I786" i="4" s="1"/>
  <c r="I790" i="4" s="1"/>
  <c r="C795" i="4"/>
  <c r="C796" i="4" s="1"/>
  <c r="E788" i="4"/>
  <c r="H788" i="4" s="1"/>
  <c r="E787" i="4"/>
  <c r="H787" i="4" s="1"/>
  <c r="C785" i="4"/>
  <c r="C786" i="4" s="1"/>
  <c r="E775" i="4"/>
  <c r="I775" i="4" s="1"/>
  <c r="I779" i="4" s="1"/>
  <c r="E777" i="4"/>
  <c r="H777" i="4" s="1"/>
  <c r="E776" i="4"/>
  <c r="H776" i="4" s="1"/>
  <c r="C774" i="4"/>
  <c r="C775" i="4" s="1"/>
  <c r="E765" i="4"/>
  <c r="I765" i="4" s="1"/>
  <c r="I769" i="4" s="1"/>
  <c r="E767" i="4"/>
  <c r="H767" i="4" s="1"/>
  <c r="E766" i="4"/>
  <c r="H766" i="4" s="1"/>
  <c r="E755" i="4"/>
  <c r="I755" i="4" s="1"/>
  <c r="I759" i="4" s="1"/>
  <c r="C764" i="4"/>
  <c r="C765" i="4" s="1"/>
  <c r="E757" i="4"/>
  <c r="H757" i="4" s="1"/>
  <c r="E756" i="4"/>
  <c r="H756" i="4" s="1"/>
  <c r="E745" i="4"/>
  <c r="C754" i="4"/>
  <c r="C755" i="4" s="1"/>
  <c r="E747" i="4"/>
  <c r="H747" i="4" s="1"/>
  <c r="E746" i="4"/>
  <c r="H746" i="4" s="1"/>
  <c r="I745" i="4"/>
  <c r="I749" i="4" s="1"/>
  <c r="E735" i="4"/>
  <c r="I735" i="4" s="1"/>
  <c r="I739" i="4" s="1"/>
  <c r="C744" i="4"/>
  <c r="C745" i="4" s="1"/>
  <c r="D744" i="4"/>
  <c r="E737" i="4"/>
  <c r="H737" i="4" s="1"/>
  <c r="E736" i="4"/>
  <c r="H736" i="4" s="1"/>
  <c r="C734" i="4"/>
  <c r="C735" i="4" s="1"/>
  <c r="E725" i="4"/>
  <c r="I725" i="4" s="1"/>
  <c r="I729" i="4" s="1"/>
  <c r="E727" i="4"/>
  <c r="H727" i="4" s="1"/>
  <c r="E726" i="4"/>
  <c r="H726" i="4" s="1"/>
  <c r="E715" i="4"/>
  <c r="C724" i="4"/>
  <c r="C725" i="4" s="1"/>
  <c r="E717" i="4"/>
  <c r="H717" i="4" s="1"/>
  <c r="E716" i="4"/>
  <c r="H716" i="4" s="1"/>
  <c r="I715" i="4"/>
  <c r="I719" i="4" s="1"/>
  <c r="E705" i="4"/>
  <c r="I705" i="4" s="1"/>
  <c r="I709" i="4" s="1"/>
  <c r="C714" i="4"/>
  <c r="C715" i="4" s="1"/>
  <c r="C704" i="4"/>
  <c r="C705" i="4" s="1"/>
  <c r="E707" i="4"/>
  <c r="H707" i="4" s="1"/>
  <c r="E706" i="4"/>
  <c r="H706" i="4" s="1"/>
  <c r="E695" i="4"/>
  <c r="I695" i="4" s="1"/>
  <c r="I699" i="4" s="1"/>
  <c r="E697" i="4"/>
  <c r="H697" i="4" s="1"/>
  <c r="E696" i="4"/>
  <c r="H696" i="4" s="1"/>
  <c r="C694" i="4"/>
  <c r="C695" i="4" s="1"/>
  <c r="E685" i="4"/>
  <c r="K344" i="1" l="1"/>
  <c r="C32" i="2" s="1"/>
  <c r="K336" i="1"/>
  <c r="C31" i="2" s="1"/>
  <c r="K326" i="1"/>
  <c r="K285" i="1"/>
  <c r="C27" i="2" s="1"/>
  <c r="K258" i="1"/>
  <c r="C25" i="2" s="1"/>
  <c r="H2793" i="4"/>
  <c r="N1216" i="4"/>
  <c r="K249" i="1"/>
  <c r="C24" i="2" s="1"/>
  <c r="N1239" i="4"/>
  <c r="K241" i="1"/>
  <c r="C22" i="2" s="1"/>
  <c r="H141" i="1"/>
  <c r="K141" i="1" s="1"/>
  <c r="H1225" i="4"/>
  <c r="H2780" i="4"/>
  <c r="I2793" i="4"/>
  <c r="I2804" i="4"/>
  <c r="H2804" i="4"/>
  <c r="I2780" i="4"/>
  <c r="K154" i="1"/>
  <c r="C20" i="2" s="1"/>
  <c r="H1236" i="4"/>
  <c r="H1181" i="4"/>
  <c r="H1213" i="4"/>
  <c r="H1203" i="4"/>
  <c r="H1192" i="4"/>
  <c r="H1170" i="4"/>
  <c r="H1160" i="4"/>
  <c r="H1150" i="4"/>
  <c r="H1140" i="4"/>
  <c r="H1130" i="4"/>
  <c r="H1120" i="4"/>
  <c r="H1110" i="4"/>
  <c r="H1090" i="4"/>
  <c r="H1100" i="4"/>
  <c r="H1080" i="4"/>
  <c r="H1070" i="4"/>
  <c r="H1060" i="4"/>
  <c r="H1050" i="4"/>
  <c r="H1040" i="4"/>
  <c r="H1030" i="4"/>
  <c r="H1020" i="4"/>
  <c r="H1010" i="4"/>
  <c r="H1000" i="4"/>
  <c r="H990" i="4"/>
  <c r="H980" i="4"/>
  <c r="H970" i="4"/>
  <c r="H960" i="4"/>
  <c r="H950" i="4"/>
  <c r="H940" i="4"/>
  <c r="H930" i="4"/>
  <c r="H920" i="4"/>
  <c r="H910" i="4"/>
  <c r="H900" i="4"/>
  <c r="H890" i="4"/>
  <c r="H880" i="4"/>
  <c r="H870" i="4"/>
  <c r="H860" i="4"/>
  <c r="H850" i="4"/>
  <c r="H840" i="4"/>
  <c r="H830" i="4"/>
  <c r="H820" i="4"/>
  <c r="H810" i="4"/>
  <c r="H800" i="4"/>
  <c r="H790" i="4"/>
  <c r="H779" i="4"/>
  <c r="H769" i="4"/>
  <c r="H759" i="4"/>
  <c r="H749" i="4"/>
  <c r="H739" i="4"/>
  <c r="H729" i="4"/>
  <c r="H719" i="4"/>
  <c r="H709" i="4"/>
  <c r="H699" i="4"/>
  <c r="N1206" i="4" l="1"/>
  <c r="I685" i="4" l="1"/>
  <c r="I689" i="4" s="1"/>
  <c r="E687" i="4"/>
  <c r="H687" i="4" s="1"/>
  <c r="E686" i="4"/>
  <c r="H686" i="4" s="1"/>
  <c r="E675" i="4"/>
  <c r="C684" i="4"/>
  <c r="C685" i="4" s="1"/>
  <c r="H689" i="4" l="1"/>
  <c r="E677" i="4" l="1"/>
  <c r="E676" i="4"/>
  <c r="H676" i="4" s="1"/>
  <c r="E665" i="4"/>
  <c r="I665" i="4" s="1"/>
  <c r="I669" i="4" s="1"/>
  <c r="C674" i="4"/>
  <c r="C675" i="4" s="1"/>
  <c r="H677" i="4"/>
  <c r="I675" i="4"/>
  <c r="I679" i="4" s="1"/>
  <c r="E667" i="4"/>
  <c r="H667" i="4" s="1"/>
  <c r="E666" i="4"/>
  <c r="H666" i="4" s="1"/>
  <c r="C664" i="4"/>
  <c r="C665" i="4" s="1"/>
  <c r="D664" i="4"/>
  <c r="E655" i="4"/>
  <c r="I655" i="4" s="1"/>
  <c r="I659" i="4" s="1"/>
  <c r="E657" i="4"/>
  <c r="H657" i="4" s="1"/>
  <c r="E656" i="4"/>
  <c r="H656" i="4" s="1"/>
  <c r="E645" i="4"/>
  <c r="I645" i="4" s="1"/>
  <c r="I649" i="4" s="1"/>
  <c r="C654" i="4"/>
  <c r="C655" i="4" s="1"/>
  <c r="D654" i="4"/>
  <c r="E647" i="4"/>
  <c r="H647" i="4" s="1"/>
  <c r="E646" i="4"/>
  <c r="H646" i="4" s="1"/>
  <c r="C644" i="4"/>
  <c r="C645" i="4" s="1"/>
  <c r="D644" i="4"/>
  <c r="E637" i="4"/>
  <c r="H637" i="4" s="1"/>
  <c r="E636" i="4"/>
  <c r="H636" i="4" s="1"/>
  <c r="E635" i="4"/>
  <c r="I635" i="4" s="1"/>
  <c r="I639" i="4" s="1"/>
  <c r="E625" i="4"/>
  <c r="I625" i="4" s="1"/>
  <c r="I629" i="4" s="1"/>
  <c r="C634" i="4"/>
  <c r="C635" i="4" s="1"/>
  <c r="D634" i="4"/>
  <c r="E627" i="4"/>
  <c r="E626" i="4"/>
  <c r="E615" i="4"/>
  <c r="I615" i="4" s="1"/>
  <c r="I619" i="4" s="1"/>
  <c r="C624" i="4"/>
  <c r="C625" i="4" s="1"/>
  <c r="H627" i="4"/>
  <c r="H626" i="4"/>
  <c r="D624" i="4"/>
  <c r="E617" i="4"/>
  <c r="E616" i="4"/>
  <c r="H616" i="4" s="1"/>
  <c r="E605" i="4"/>
  <c r="C614" i="4"/>
  <c r="C615" i="4" s="1"/>
  <c r="H617" i="4"/>
  <c r="D614" i="4"/>
  <c r="E607" i="4"/>
  <c r="H607" i="4" s="1"/>
  <c r="E606" i="4"/>
  <c r="H606" i="4" s="1"/>
  <c r="C604" i="4"/>
  <c r="C605" i="4" s="1"/>
  <c r="E595" i="4"/>
  <c r="I595" i="4" s="1"/>
  <c r="I599" i="4" s="1"/>
  <c r="I605" i="4"/>
  <c r="I609" i="4" s="1"/>
  <c r="D604" i="4"/>
  <c r="E597" i="4"/>
  <c r="H597" i="4" s="1"/>
  <c r="E596" i="4"/>
  <c r="H596" i="4" s="1"/>
  <c r="E584" i="4"/>
  <c r="I584" i="4" s="1"/>
  <c r="I588" i="4" s="1"/>
  <c r="C594" i="4"/>
  <c r="C595" i="4" s="1"/>
  <c r="D594" i="4"/>
  <c r="E586" i="4"/>
  <c r="H586" i="4" s="1"/>
  <c r="E585" i="4"/>
  <c r="H585" i="4" s="1"/>
  <c r="E574" i="4"/>
  <c r="I574" i="4" s="1"/>
  <c r="I578" i="4" s="1"/>
  <c r="C583" i="4"/>
  <c r="C584" i="4" s="1"/>
  <c r="D583" i="4"/>
  <c r="E576" i="4"/>
  <c r="H576" i="4" s="1"/>
  <c r="E575" i="4"/>
  <c r="H575" i="4" s="1"/>
  <c r="E566" i="4"/>
  <c r="I566" i="4" s="1"/>
  <c r="I568" i="4" s="1"/>
  <c r="E556" i="4"/>
  <c r="I556" i="4" s="1"/>
  <c r="I560" i="4" s="1"/>
  <c r="E546" i="4"/>
  <c r="I546" i="4" s="1"/>
  <c r="I550" i="4" s="1"/>
  <c r="C573" i="4"/>
  <c r="C574" i="4" s="1"/>
  <c r="D573" i="4"/>
  <c r="C565" i="4"/>
  <c r="C566" i="4" s="1"/>
  <c r="D565" i="4"/>
  <c r="E558" i="4"/>
  <c r="H558" i="4" s="1"/>
  <c r="E557" i="4"/>
  <c r="H557" i="4" s="1"/>
  <c r="C555" i="4"/>
  <c r="C556" i="4" s="1"/>
  <c r="D555" i="4"/>
  <c r="E548" i="4"/>
  <c r="H548" i="4" s="1"/>
  <c r="E547" i="4"/>
  <c r="H547" i="4" s="1"/>
  <c r="C545" i="4"/>
  <c r="C546" i="4" s="1"/>
  <c r="D545" i="4"/>
  <c r="E536" i="4"/>
  <c r="I536" i="4" s="1"/>
  <c r="I540" i="4" s="1"/>
  <c r="E538" i="4"/>
  <c r="H538" i="4" s="1"/>
  <c r="E537" i="4"/>
  <c r="H537" i="4" s="1"/>
  <c r="E526" i="4"/>
  <c r="I526" i="4" s="1"/>
  <c r="I530" i="4" s="1"/>
  <c r="C535" i="4"/>
  <c r="C536" i="4" s="1"/>
  <c r="D535" i="4"/>
  <c r="E528" i="4"/>
  <c r="H528" i="4" s="1"/>
  <c r="E527" i="4"/>
  <c r="H527" i="4" s="1"/>
  <c r="E516" i="4"/>
  <c r="I516" i="4" s="1"/>
  <c r="I520" i="4" s="1"/>
  <c r="E506" i="4"/>
  <c r="C525" i="4"/>
  <c r="C526" i="4" s="1"/>
  <c r="D525" i="4"/>
  <c r="E518" i="4"/>
  <c r="H518" i="4" s="1"/>
  <c r="E517" i="4"/>
  <c r="H517" i="4" s="1"/>
  <c r="C515" i="4"/>
  <c r="C516" i="4" s="1"/>
  <c r="D515" i="4"/>
  <c r="E508" i="4"/>
  <c r="E507" i="4"/>
  <c r="H507" i="4" s="1"/>
  <c r="E496" i="4"/>
  <c r="I496" i="4" s="1"/>
  <c r="I500" i="4" s="1"/>
  <c r="C505" i="4"/>
  <c r="C506" i="4" s="1"/>
  <c r="H508" i="4"/>
  <c r="I506" i="4"/>
  <c r="I510" i="4" s="1"/>
  <c r="D505" i="4"/>
  <c r="E498" i="4"/>
  <c r="H498" i="4" s="1"/>
  <c r="E497" i="4"/>
  <c r="H497" i="4" s="1"/>
  <c r="C495" i="4"/>
  <c r="C496" i="4" s="1"/>
  <c r="D495" i="4"/>
  <c r="E486" i="4"/>
  <c r="I486" i="4" s="1"/>
  <c r="I490" i="4" s="1"/>
  <c r="E488" i="4"/>
  <c r="H488" i="4" s="1"/>
  <c r="E487" i="4"/>
  <c r="H487" i="4" s="1"/>
  <c r="C485" i="4"/>
  <c r="C486" i="4" s="1"/>
  <c r="D485" i="4"/>
  <c r="E476" i="4"/>
  <c r="I476" i="4" s="1"/>
  <c r="I480" i="4" s="1"/>
  <c r="E478" i="4"/>
  <c r="E477" i="4"/>
  <c r="H477" i="4" s="1"/>
  <c r="E466" i="4"/>
  <c r="I466" i="4" s="1"/>
  <c r="I470" i="4" s="1"/>
  <c r="C475" i="4"/>
  <c r="C476" i="4" s="1"/>
  <c r="H478" i="4"/>
  <c r="D475" i="4"/>
  <c r="D465" i="4"/>
  <c r="E468" i="4"/>
  <c r="H468" i="4" s="1"/>
  <c r="E467" i="4"/>
  <c r="H467" i="4" s="1"/>
  <c r="C465" i="4"/>
  <c r="C466" i="4" s="1"/>
  <c r="E456" i="4"/>
  <c r="I456" i="4" s="1"/>
  <c r="I460" i="4" s="1"/>
  <c r="E458" i="4"/>
  <c r="H458" i="4" s="1"/>
  <c r="E457" i="4"/>
  <c r="H457" i="4" s="1"/>
  <c r="E446" i="4"/>
  <c r="I446" i="4" s="1"/>
  <c r="I450" i="4" s="1"/>
  <c r="C455" i="4"/>
  <c r="C456" i="4" s="1"/>
  <c r="D456" i="4"/>
  <c r="E448" i="4"/>
  <c r="H448" i="4" s="1"/>
  <c r="E447" i="4"/>
  <c r="H447" i="4" s="1"/>
  <c r="E436" i="4"/>
  <c r="I436" i="4" s="1"/>
  <c r="I440" i="4" s="1"/>
  <c r="C445" i="4"/>
  <c r="C446" i="4" s="1"/>
  <c r="D446" i="4"/>
  <c r="E438" i="4"/>
  <c r="H438" i="4" s="1"/>
  <c r="E437" i="4"/>
  <c r="H437" i="4" s="1"/>
  <c r="C435" i="4"/>
  <c r="C436" i="4" s="1"/>
  <c r="D436" i="4"/>
  <c r="E426" i="4"/>
  <c r="I426" i="4" s="1"/>
  <c r="I430" i="4" s="1"/>
  <c r="E428" i="4"/>
  <c r="H428" i="4" s="1"/>
  <c r="E427" i="4"/>
  <c r="H427" i="4" s="1"/>
  <c r="C425" i="4"/>
  <c r="C426" i="4" s="1"/>
  <c r="D426" i="4"/>
  <c r="E416" i="4"/>
  <c r="I416" i="4" s="1"/>
  <c r="I420" i="4" s="1"/>
  <c r="E418" i="4"/>
  <c r="H418" i="4" s="1"/>
  <c r="E417" i="4"/>
  <c r="H417" i="4" s="1"/>
  <c r="E406" i="4"/>
  <c r="I406" i="4" s="1"/>
  <c r="I410" i="4" s="1"/>
  <c r="C415" i="4"/>
  <c r="C416" i="4" s="1"/>
  <c r="D416" i="4"/>
  <c r="E408" i="4"/>
  <c r="H408" i="4" s="1"/>
  <c r="E407" i="4"/>
  <c r="H407" i="4" s="1"/>
  <c r="E396" i="4"/>
  <c r="I396" i="4" s="1"/>
  <c r="I400" i="4" s="1"/>
  <c r="C405" i="4"/>
  <c r="C406" i="4" s="1"/>
  <c r="D406" i="4"/>
  <c r="E398" i="4"/>
  <c r="H398" i="4" s="1"/>
  <c r="E397" i="4"/>
  <c r="H397" i="4" s="1"/>
  <c r="C395" i="4"/>
  <c r="C396" i="4" s="1"/>
  <c r="D396" i="4"/>
  <c r="E376" i="4"/>
  <c r="I376" i="4" s="1"/>
  <c r="I380" i="4" s="1"/>
  <c r="E386" i="4"/>
  <c r="E388" i="4"/>
  <c r="H388" i="4" s="1"/>
  <c r="E387" i="4"/>
  <c r="H387" i="4" s="1"/>
  <c r="C385" i="4"/>
  <c r="C386" i="4" s="1"/>
  <c r="I386" i="4"/>
  <c r="I390" i="4" s="1"/>
  <c r="D386" i="4"/>
  <c r="E378" i="4"/>
  <c r="H378" i="4" s="1"/>
  <c r="E377" i="4"/>
  <c r="H377" i="4" s="1"/>
  <c r="C375" i="4"/>
  <c r="C376" i="4" s="1"/>
  <c r="D376" i="4"/>
  <c r="E366" i="4"/>
  <c r="I366" i="4" s="1"/>
  <c r="I370" i="4" s="1"/>
  <c r="E368" i="4"/>
  <c r="H368" i="4" s="1"/>
  <c r="E367" i="4"/>
  <c r="H367" i="4" s="1"/>
  <c r="C365" i="4"/>
  <c r="C366" i="4" s="1"/>
  <c r="D366" i="4"/>
  <c r="E356" i="4"/>
  <c r="C355" i="4"/>
  <c r="C356" i="4" s="1"/>
  <c r="E358" i="4"/>
  <c r="H358" i="4" s="1"/>
  <c r="E357" i="4"/>
  <c r="H357" i="4" s="1"/>
  <c r="I356" i="4"/>
  <c r="I360" i="4" s="1"/>
  <c r="D356" i="4"/>
  <c r="E346" i="4"/>
  <c r="I346" i="4" s="1"/>
  <c r="I350" i="4" s="1"/>
  <c r="E348" i="4"/>
  <c r="H348" i="4" s="1"/>
  <c r="E347" i="4"/>
  <c r="H347" i="4" s="1"/>
  <c r="C345" i="4"/>
  <c r="C346" i="4" s="1"/>
  <c r="D346" i="4"/>
  <c r="E336" i="4"/>
  <c r="I336" i="4" s="1"/>
  <c r="I340" i="4" s="1"/>
  <c r="E338" i="4"/>
  <c r="H338" i="4" s="1"/>
  <c r="E337" i="4"/>
  <c r="H337" i="4" s="1"/>
  <c r="C335" i="4"/>
  <c r="C336" i="4" s="1"/>
  <c r="D336" i="4"/>
  <c r="E326" i="4"/>
  <c r="I326" i="4" s="1"/>
  <c r="I330" i="4" s="1"/>
  <c r="E328" i="4"/>
  <c r="H328" i="4" s="1"/>
  <c r="E327" i="4"/>
  <c r="H327" i="4" s="1"/>
  <c r="C325" i="4"/>
  <c r="C326" i="4" s="1"/>
  <c r="D326" i="4"/>
  <c r="E316" i="4"/>
  <c r="I316" i="4" s="1"/>
  <c r="I320" i="4" s="1"/>
  <c r="E317" i="4"/>
  <c r="H317" i="4" s="1"/>
  <c r="E318" i="4"/>
  <c r="H318" i="4" s="1"/>
  <c r="C315" i="4"/>
  <c r="C316" i="4" s="1"/>
  <c r="D316" i="4"/>
  <c r="E306" i="4"/>
  <c r="I306" i="4" s="1"/>
  <c r="I310" i="4" s="1"/>
  <c r="E308" i="4"/>
  <c r="H308" i="4" s="1"/>
  <c r="E307" i="4"/>
  <c r="H307" i="4" s="1"/>
  <c r="E296" i="4"/>
  <c r="I296" i="4" s="1"/>
  <c r="I300" i="4" s="1"/>
  <c r="C305" i="4"/>
  <c r="C306" i="4" s="1"/>
  <c r="D306" i="4"/>
  <c r="E298" i="4"/>
  <c r="H298" i="4" s="1"/>
  <c r="E297" i="4"/>
  <c r="H297" i="4" s="1"/>
  <c r="C295" i="4"/>
  <c r="C296" i="4" s="1"/>
  <c r="D296" i="4"/>
  <c r="E286" i="4"/>
  <c r="I286" i="4" s="1"/>
  <c r="I290" i="4" s="1"/>
  <c r="E288" i="4"/>
  <c r="H288" i="4" s="1"/>
  <c r="E287" i="4"/>
  <c r="H287" i="4" s="1"/>
  <c r="C285" i="4"/>
  <c r="C286" i="4" s="1"/>
  <c r="E276" i="4"/>
  <c r="I276" i="4" s="1"/>
  <c r="I280" i="4" s="1"/>
  <c r="E278" i="4"/>
  <c r="H278" i="4" s="1"/>
  <c r="E277" i="4"/>
  <c r="H277" i="4" s="1"/>
  <c r="E266" i="4"/>
  <c r="I266" i="4" s="1"/>
  <c r="I270" i="4" s="1"/>
  <c r="C275" i="4"/>
  <c r="C276" i="4" s="1"/>
  <c r="E268" i="4"/>
  <c r="H268" i="4" s="1"/>
  <c r="E267" i="4"/>
  <c r="H267" i="4" s="1"/>
  <c r="E256" i="4"/>
  <c r="I256" i="4" s="1"/>
  <c r="I260" i="4" s="1"/>
  <c r="E246" i="4"/>
  <c r="I246" i="4" s="1"/>
  <c r="I250" i="4" s="1"/>
  <c r="C265" i="4"/>
  <c r="C266" i="4" s="1"/>
  <c r="E258" i="4"/>
  <c r="H258" i="4" s="1"/>
  <c r="E257" i="4"/>
  <c r="H257" i="4" s="1"/>
  <c r="C255" i="4"/>
  <c r="C256" i="4" s="1"/>
  <c r="E248" i="4"/>
  <c r="H248" i="4" s="1"/>
  <c r="E247" i="4"/>
  <c r="H247" i="4" s="1"/>
  <c r="D245" i="4"/>
  <c r="D255" i="4" s="1"/>
  <c r="C245" i="4"/>
  <c r="C246" i="4" s="1"/>
  <c r="E237" i="4"/>
  <c r="C236" i="4"/>
  <c r="C237" i="4" s="1"/>
  <c r="G38" i="1"/>
  <c r="D38" i="1"/>
  <c r="E215" i="4"/>
  <c r="E214" i="4"/>
  <c r="C215" i="4"/>
  <c r="C213" i="4"/>
  <c r="C214" i="4" s="1"/>
  <c r="E201" i="4"/>
  <c r="I201" i="4" s="1"/>
  <c r="E206" i="4"/>
  <c r="H206" i="4" s="1"/>
  <c r="E205" i="4"/>
  <c r="H205" i="4" s="1"/>
  <c r="E204" i="4"/>
  <c r="H204" i="4" s="1"/>
  <c r="E203" i="4"/>
  <c r="H203" i="4" s="1"/>
  <c r="E202" i="4"/>
  <c r="I202" i="4" s="1"/>
  <c r="D190" i="4"/>
  <c r="D200" i="4" s="1"/>
  <c r="C200" i="4"/>
  <c r="E191" i="4"/>
  <c r="C190" i="4"/>
  <c r="C191" i="4" s="1"/>
  <c r="E182" i="4"/>
  <c r="I182" i="4" s="1"/>
  <c r="I185" i="4" s="1"/>
  <c r="E174" i="4"/>
  <c r="E173" i="4"/>
  <c r="E165" i="4"/>
  <c r="H165" i="4" s="1"/>
  <c r="E152" i="4"/>
  <c r="I152" i="4" s="1"/>
  <c r="E141" i="4"/>
  <c r="E132" i="4"/>
  <c r="E131" i="4"/>
  <c r="E122" i="4"/>
  <c r="I122" i="4" s="1"/>
  <c r="I125" i="4" s="1"/>
  <c r="M123" i="4"/>
  <c r="E114" i="4"/>
  <c r="E103" i="4"/>
  <c r="E102" i="4"/>
  <c r="E101" i="4"/>
  <c r="E100" i="4"/>
  <c r="E92" i="4"/>
  <c r="H92" i="4" s="1"/>
  <c r="E91" i="4"/>
  <c r="H91" i="4" s="1"/>
  <c r="E90" i="4"/>
  <c r="I90" i="4" s="1"/>
  <c r="E89" i="4"/>
  <c r="I89" i="4" s="1"/>
  <c r="E88" i="4"/>
  <c r="I88" i="4" s="1"/>
  <c r="E87" i="4"/>
  <c r="I87" i="4" s="1"/>
  <c r="C86" i="4"/>
  <c r="E79" i="4"/>
  <c r="E78" i="4"/>
  <c r="H78" i="4" s="1"/>
  <c r="E77" i="4"/>
  <c r="H77" i="4" s="1"/>
  <c r="E76" i="4"/>
  <c r="H76" i="4" s="1"/>
  <c r="H79" i="4"/>
  <c r="E75" i="4"/>
  <c r="I75" i="4" s="1"/>
  <c r="I81" i="4" s="1"/>
  <c r="D51" i="4"/>
  <c r="D74" i="4"/>
  <c r="C74" i="4"/>
  <c r="E84" i="4"/>
  <c r="E97" i="4" s="1"/>
  <c r="E83" i="4"/>
  <c r="E96" i="4" s="1"/>
  <c r="E82" i="4"/>
  <c r="E95" i="4" s="1"/>
  <c r="E81" i="4"/>
  <c r="E94" i="4" s="1"/>
  <c r="E64" i="4"/>
  <c r="E67" i="4"/>
  <c r="H67" i="4" s="1"/>
  <c r="E66" i="4"/>
  <c r="H66" i="4" s="1"/>
  <c r="E65" i="4"/>
  <c r="H65" i="4" s="1"/>
  <c r="E56" i="4"/>
  <c r="H56" i="4" s="1"/>
  <c r="E55" i="4"/>
  <c r="H55" i="4" s="1"/>
  <c r="E54" i="4"/>
  <c r="H54" i="4" s="1"/>
  <c r="E53" i="4"/>
  <c r="H53" i="4" s="1"/>
  <c r="E52" i="4"/>
  <c r="I52" i="4" s="1"/>
  <c r="I58" i="4" s="1"/>
  <c r="C63" i="4"/>
  <c r="C51" i="4"/>
  <c r="L51" i="4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E44" i="4"/>
  <c r="H44" i="4" s="1"/>
  <c r="E43" i="4"/>
  <c r="H43" i="4" s="1"/>
  <c r="E42" i="4"/>
  <c r="H42" i="4" s="1"/>
  <c r="E41" i="4"/>
  <c r="H41" i="4" s="1"/>
  <c r="E40" i="4"/>
  <c r="H40" i="4" s="1"/>
  <c r="E39" i="4"/>
  <c r="I39" i="4" s="1"/>
  <c r="E38" i="4"/>
  <c r="I38" i="4" s="1"/>
  <c r="E37" i="4"/>
  <c r="I37" i="4" s="1"/>
  <c r="E36" i="4"/>
  <c r="I36" i="4" s="1"/>
  <c r="E35" i="4"/>
  <c r="I35" i="4" s="1"/>
  <c r="E34" i="4"/>
  <c r="I34" i="4" s="1"/>
  <c r="E33" i="4"/>
  <c r="I33" i="4" s="1"/>
  <c r="E32" i="4"/>
  <c r="I32" i="4" s="1"/>
  <c r="E31" i="4"/>
  <c r="I31" i="4" s="1"/>
  <c r="E30" i="4"/>
  <c r="I30" i="4" s="1"/>
  <c r="E29" i="4"/>
  <c r="I29" i="4" s="1"/>
  <c r="E28" i="4"/>
  <c r="I28" i="4" s="1"/>
  <c r="E27" i="4"/>
  <c r="I27" i="4" s="1"/>
  <c r="E26" i="4"/>
  <c r="I26" i="4" s="1"/>
  <c r="E25" i="4"/>
  <c r="I25" i="4" s="1"/>
  <c r="E24" i="4"/>
  <c r="I24" i="4" s="1"/>
  <c r="E23" i="4"/>
  <c r="I23" i="4" s="1"/>
  <c r="E22" i="4"/>
  <c r="I22" i="4" s="1"/>
  <c r="E21" i="4"/>
  <c r="I21" i="4" s="1"/>
  <c r="E20" i="4"/>
  <c r="I20" i="4" s="1"/>
  <c r="E19" i="4"/>
  <c r="I19" i="4" s="1"/>
  <c r="E18" i="4"/>
  <c r="I18" i="4" s="1"/>
  <c r="E17" i="4"/>
  <c r="I17" i="4" s="1"/>
  <c r="E16" i="4"/>
  <c r="I16" i="4" s="1"/>
  <c r="E15" i="4"/>
  <c r="I15" i="4" s="1"/>
  <c r="E14" i="4"/>
  <c r="I14" i="4" s="1"/>
  <c r="C13" i="4"/>
  <c r="H460" i="4" l="1"/>
  <c r="H679" i="4"/>
  <c r="H669" i="4"/>
  <c r="H659" i="4"/>
  <c r="H649" i="4"/>
  <c r="H639" i="4"/>
  <c r="H629" i="4"/>
  <c r="H619" i="4"/>
  <c r="H609" i="4"/>
  <c r="H599" i="4"/>
  <c r="H588" i="4"/>
  <c r="H578" i="4"/>
  <c r="H530" i="4"/>
  <c r="H568" i="4"/>
  <c r="H560" i="4"/>
  <c r="H550" i="4"/>
  <c r="H540" i="4"/>
  <c r="H520" i="4"/>
  <c r="H510" i="4"/>
  <c r="H500" i="4"/>
  <c r="H490" i="4"/>
  <c r="H480" i="4"/>
  <c r="H470" i="4"/>
  <c r="H450" i="4"/>
  <c r="H440" i="4"/>
  <c r="H430" i="4"/>
  <c r="H420" i="4"/>
  <c r="H410" i="4"/>
  <c r="H400" i="4"/>
  <c r="H390" i="4"/>
  <c r="H380" i="4"/>
  <c r="H370" i="4"/>
  <c r="H360" i="4"/>
  <c r="H350" i="4"/>
  <c r="H340" i="4"/>
  <c r="H330" i="4"/>
  <c r="H320" i="4"/>
  <c r="H310" i="4"/>
  <c r="H300" i="4"/>
  <c r="H290" i="4"/>
  <c r="D265" i="4"/>
  <c r="D256" i="4"/>
  <c r="D246" i="4"/>
  <c r="H280" i="4"/>
  <c r="H270" i="4"/>
  <c r="H260" i="4"/>
  <c r="H250" i="4"/>
  <c r="J41" i="1"/>
  <c r="I208" i="4"/>
  <c r="H208" i="4"/>
  <c r="H94" i="4"/>
  <c r="H95" i="4" s="1"/>
  <c r="I94" i="4"/>
  <c r="H81" i="4"/>
  <c r="H82" i="4" s="1"/>
  <c r="H83" i="4" s="1"/>
  <c r="H69" i="4"/>
  <c r="H70" i="4" s="1"/>
  <c r="H58" i="4"/>
  <c r="H59" i="4" s="1"/>
  <c r="H46" i="4"/>
  <c r="H47" i="4" s="1"/>
  <c r="I46" i="4"/>
  <c r="D275" i="4" l="1"/>
  <c r="D266" i="4"/>
  <c r="H96" i="4"/>
  <c r="I97" i="4" s="1"/>
  <c r="I84" i="4"/>
  <c r="H60" i="4"/>
  <c r="I61" i="4" s="1"/>
  <c r="H48" i="4"/>
  <c r="I49" i="4" s="1"/>
  <c r="D276" i="4" l="1"/>
  <c r="D285" i="4"/>
  <c r="D286" i="4" s="1"/>
  <c r="H17" i="1"/>
  <c r="N84" i="4"/>
  <c r="H18" i="1"/>
  <c r="K18" i="1" s="1"/>
  <c r="N97" i="4"/>
  <c r="N49" i="4"/>
  <c r="H14" i="1"/>
  <c r="K14" i="1" s="1"/>
  <c r="N61" i="4"/>
  <c r="H15" i="1"/>
  <c r="I173" i="4" l="1"/>
  <c r="I176" i="4" s="1"/>
  <c r="H174" i="4"/>
  <c r="H176" i="4" s="1"/>
  <c r="K15" i="1" l="1"/>
  <c r="K17" i="1"/>
  <c r="A6" i="1"/>
  <c r="A5" i="1"/>
  <c r="A5" i="2"/>
  <c r="A1" i="6" l="1"/>
  <c r="A1" i="7" s="1"/>
  <c r="M9" i="5" l="1"/>
  <c r="C32" i="6" l="1"/>
  <c r="C25" i="6"/>
  <c r="C17" i="6"/>
  <c r="C33" i="6" l="1"/>
  <c r="E2833" i="4"/>
  <c r="E2832" i="4"/>
  <c r="E2831" i="4"/>
  <c r="E2823" i="4"/>
  <c r="H2823" i="4" s="1"/>
  <c r="E2822" i="4"/>
  <c r="E2821" i="4"/>
  <c r="E2813" i="4"/>
  <c r="H2813" i="4" s="1"/>
  <c r="E2812" i="4"/>
  <c r="E239" i="4" l="1"/>
  <c r="E238" i="4"/>
  <c r="E229" i="4"/>
  <c r="E228" i="4"/>
  <c r="E225" i="4"/>
  <c r="I214" i="4"/>
  <c r="E193" i="4"/>
  <c r="E192" i="4"/>
  <c r="E183" i="4"/>
  <c r="E157" i="4"/>
  <c r="E156" i="4"/>
  <c r="E155" i="4"/>
  <c r="E154" i="4"/>
  <c r="E153" i="4"/>
  <c r="E151" i="4"/>
  <c r="E143" i="4"/>
  <c r="E142" i="4"/>
  <c r="I141" i="4"/>
  <c r="E123" i="4"/>
  <c r="E106" i="4"/>
  <c r="E105" i="4"/>
  <c r="E104" i="4"/>
  <c r="L10" i="4"/>
  <c r="B32" i="1"/>
  <c r="B33" i="1"/>
  <c r="B34" i="1"/>
  <c r="B35" i="1"/>
  <c r="A7" i="2"/>
  <c r="A6" i="2"/>
  <c r="A1" i="1"/>
  <c r="A1" i="3" s="1"/>
  <c r="F69" i="8"/>
  <c r="F65" i="8"/>
  <c r="F68" i="8" s="1"/>
  <c r="F64" i="8"/>
  <c r="F71" i="8" s="1"/>
  <c r="F63" i="8"/>
  <c r="F45" i="8"/>
  <c r="C43" i="8"/>
  <c r="C42" i="8"/>
  <c r="C41" i="8"/>
  <c r="C40" i="8"/>
  <c r="C39" i="8"/>
  <c r="C44" i="8" s="1"/>
  <c r="C38" i="8"/>
  <c r="C21" i="8"/>
  <c r="F15" i="8"/>
  <c r="G15" i="8" s="1"/>
  <c r="G5" i="8"/>
  <c r="G8" i="8" s="1"/>
  <c r="F4" i="8"/>
  <c r="F66" i="7"/>
  <c r="F62" i="7"/>
  <c r="F65" i="7" s="1"/>
  <c r="F61" i="7"/>
  <c r="F68" i="7" s="1"/>
  <c r="F60" i="7"/>
  <c r="F48" i="7"/>
  <c r="C46" i="7"/>
  <c r="C45" i="7"/>
  <c r="C44" i="7"/>
  <c r="C43" i="7"/>
  <c r="C42" i="7"/>
  <c r="C47" i="7" s="1"/>
  <c r="C41" i="7"/>
  <c r="C37" i="7"/>
  <c r="C22" i="7"/>
  <c r="F20" i="7"/>
  <c r="F8" i="7"/>
  <c r="G9" i="7" s="1"/>
  <c r="B39" i="1" l="1"/>
  <c r="G22" i="7"/>
  <c r="G16" i="7"/>
  <c r="G14" i="7"/>
  <c r="G20" i="7"/>
  <c r="G13" i="7"/>
  <c r="G15" i="7"/>
  <c r="G18" i="7"/>
  <c r="G17" i="7"/>
  <c r="G13" i="8"/>
  <c r="G9" i="8"/>
  <c r="G10" i="8"/>
  <c r="G17" i="8"/>
  <c r="F64" i="7"/>
  <c r="G11" i="8"/>
  <c r="G12" i="8"/>
  <c r="F67" i="8"/>
  <c r="F67" i="7" l="1"/>
  <c r="G24" i="7"/>
  <c r="G27" i="7"/>
  <c r="G23" i="7"/>
  <c r="G22" i="8"/>
  <c r="G19" i="8"/>
  <c r="F70" i="8"/>
  <c r="G18" i="8"/>
  <c r="G7" i="8" l="1"/>
  <c r="G14" i="8"/>
  <c r="G6" i="8"/>
  <c r="G16" i="8" s="1"/>
  <c r="C29" i="8" s="1"/>
  <c r="C33" i="8" s="1"/>
  <c r="G20" i="8"/>
  <c r="G21" i="8"/>
  <c r="G12" i="7"/>
  <c r="G26" i="7"/>
  <c r="G11" i="7"/>
  <c r="G21" i="7" s="1"/>
  <c r="G25" i="7"/>
  <c r="C32" i="7" s="1"/>
  <c r="G19" i="7"/>
  <c r="C28" i="7" l="1"/>
  <c r="C24" i="7"/>
  <c r="C25" i="7"/>
  <c r="C27" i="7"/>
  <c r="C26" i="7"/>
  <c r="C33" i="7"/>
  <c r="C28" i="8"/>
  <c r="C27" i="8"/>
  <c r="C23" i="8"/>
  <c r="C24" i="8" s="1"/>
  <c r="I35" i="1"/>
  <c r="J35" i="1" s="1"/>
  <c r="J375" i="1"/>
  <c r="J374" i="1"/>
  <c r="J372" i="1"/>
  <c r="J371" i="1"/>
  <c r="J368" i="1"/>
  <c r="J367" i="1"/>
  <c r="J366" i="1"/>
  <c r="J365" i="1"/>
  <c r="J363" i="1"/>
  <c r="J362" i="1"/>
  <c r="J360" i="1"/>
  <c r="J358" i="1"/>
  <c r="J357" i="1"/>
  <c r="J353" i="1"/>
  <c r="J352" i="1"/>
  <c r="J326" i="1"/>
  <c r="J325" i="1"/>
  <c r="J324" i="1"/>
  <c r="J323" i="1"/>
  <c r="J322" i="1"/>
  <c r="J321" i="1"/>
  <c r="J320" i="1"/>
  <c r="J319" i="1"/>
  <c r="J318" i="1"/>
  <c r="J317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6" i="1"/>
  <c r="J294" i="1"/>
  <c r="J293" i="1"/>
  <c r="J283" i="1"/>
  <c r="J282" i="1"/>
  <c r="J239" i="1"/>
  <c r="J238" i="1"/>
  <c r="J237" i="1"/>
  <c r="J38" i="1"/>
  <c r="J31" i="1"/>
  <c r="J30" i="1"/>
  <c r="J29" i="1"/>
  <c r="J28" i="1"/>
  <c r="J27" i="1"/>
  <c r="I327" i="1"/>
  <c r="J327" i="1" s="1"/>
  <c r="I39" i="1"/>
  <c r="J39" i="1" s="1"/>
  <c r="I34" i="1"/>
  <c r="J34" i="1" s="1"/>
  <c r="I33" i="1"/>
  <c r="J33" i="1" s="1"/>
  <c r="I32" i="1"/>
  <c r="J32" i="1" s="1"/>
  <c r="J24" i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L100" i="4"/>
  <c r="L101" i="4" l="1"/>
  <c r="L1632" i="4"/>
  <c r="C29" i="7"/>
  <c r="C26" i="8"/>
  <c r="C30" i="8" s="1"/>
  <c r="C32" i="8"/>
  <c r="C34" i="8" s="1"/>
  <c r="J154" i="1"/>
  <c r="F152" i="4"/>
  <c r="L102" i="4" l="1"/>
  <c r="L1633" i="4"/>
  <c r="C35" i="8"/>
  <c r="C45" i="8" s="1"/>
  <c r="C31" i="7"/>
  <c r="C34" i="7" s="1"/>
  <c r="C36" i="7"/>
  <c r="C38" i="7" s="1"/>
  <c r="L103" i="4" l="1"/>
  <c r="L1634" i="4"/>
  <c r="C39" i="7"/>
  <c r="C48" i="7" s="1"/>
  <c r="L104" i="4" l="1"/>
  <c r="L1635" i="4"/>
  <c r="L105" i="4" l="1"/>
  <c r="L1636" i="4"/>
  <c r="L106" i="4" l="1"/>
  <c r="L1637" i="4"/>
  <c r="L107" i="4" l="1"/>
  <c r="L1638" i="4"/>
  <c r="L108" i="4" l="1"/>
  <c r="L1639" i="4"/>
  <c r="L109" i="4" l="1"/>
  <c r="L1640" i="4"/>
  <c r="L110" i="4" l="1"/>
  <c r="L1641" i="4"/>
  <c r="L111" i="4" l="1"/>
  <c r="L1642" i="4"/>
  <c r="L1643" i="4" l="1"/>
  <c r="L112" i="4"/>
  <c r="L1644" i="4" l="1"/>
  <c r="L113" i="4"/>
  <c r="F237" i="4"/>
  <c r="F226" i="4"/>
  <c r="E226" i="4" s="1"/>
  <c r="F227" i="4"/>
  <c r="E227" i="4" s="1"/>
  <c r="F224" i="4"/>
  <c r="E224" i="4" s="1"/>
  <c r="F223" i="4"/>
  <c r="E223" i="4" s="1"/>
  <c r="C222" i="4"/>
  <c r="C181" i="4"/>
  <c r="C182" i="4" s="1"/>
  <c r="C172" i="4"/>
  <c r="C164" i="4"/>
  <c r="C150" i="4"/>
  <c r="C140" i="4"/>
  <c r="C141" i="4" s="1"/>
  <c r="C130" i="4"/>
  <c r="C99" i="4"/>
  <c r="L114" i="4" l="1"/>
  <c r="L1645" i="4"/>
  <c r="E125" i="4"/>
  <c r="E134" i="4" s="1"/>
  <c r="E128" i="4"/>
  <c r="E137" i="4" s="1"/>
  <c r="E126" i="4"/>
  <c r="E135" i="4" s="1"/>
  <c r="E127" i="4"/>
  <c r="E136" i="4" s="1"/>
  <c r="L115" i="4" l="1"/>
  <c r="L1646" i="4"/>
  <c r="E145" i="4"/>
  <c r="E159" i="4" s="1"/>
  <c r="E167" i="4" s="1"/>
  <c r="E147" i="4"/>
  <c r="E161" i="4" s="1"/>
  <c r="E169" i="4" s="1"/>
  <c r="E146" i="4"/>
  <c r="E160" i="4" s="1"/>
  <c r="E168" i="4" s="1"/>
  <c r="E148" i="4"/>
  <c r="E162" i="4" s="1"/>
  <c r="E170" i="4" s="1"/>
  <c r="E35" i="1"/>
  <c r="E33" i="1"/>
  <c r="E38" i="1" s="1"/>
  <c r="E34" i="1"/>
  <c r="L116" i="4" l="1"/>
  <c r="L1647" i="4"/>
  <c r="E179" i="4"/>
  <c r="E177" i="4"/>
  <c r="E186" i="4" s="1"/>
  <c r="E178" i="4"/>
  <c r="E176" i="4"/>
  <c r="E185" i="4" s="1"/>
  <c r="J336" i="1"/>
  <c r="E296" i="1"/>
  <c r="L117" i="4" l="1"/>
  <c r="L1648" i="4"/>
  <c r="E196" i="4"/>
  <c r="E188" i="4"/>
  <c r="E198" i="4" s="1"/>
  <c r="E195" i="4"/>
  <c r="E187" i="4"/>
  <c r="E197" i="4" s="1"/>
  <c r="L118" i="4" l="1"/>
  <c r="L1649" i="4"/>
  <c r="E210" i="4"/>
  <c r="E219" i="4" s="1"/>
  <c r="E233" i="4" s="1"/>
  <c r="E243" i="4" s="1"/>
  <c r="E252" i="4" s="1"/>
  <c r="E262" i="4" s="1"/>
  <c r="E272" i="4" s="1"/>
  <c r="E282" i="4" s="1"/>
  <c r="E292" i="4" s="1"/>
  <c r="E302" i="4" s="1"/>
  <c r="E312" i="4" s="1"/>
  <c r="E322" i="4" s="1"/>
  <c r="E332" i="4" s="1"/>
  <c r="E342" i="4" s="1"/>
  <c r="E352" i="4" s="1"/>
  <c r="E362" i="4" s="1"/>
  <c r="E372" i="4" s="1"/>
  <c r="E382" i="4" s="1"/>
  <c r="E392" i="4" s="1"/>
  <c r="E402" i="4" s="1"/>
  <c r="E412" i="4" s="1"/>
  <c r="E422" i="4" s="1"/>
  <c r="E432" i="4" s="1"/>
  <c r="E442" i="4" s="1"/>
  <c r="E452" i="4" s="1"/>
  <c r="E462" i="4" s="1"/>
  <c r="E472" i="4" s="1"/>
  <c r="E482" i="4" s="1"/>
  <c r="E492" i="4" s="1"/>
  <c r="E502" i="4" s="1"/>
  <c r="E512" i="4" s="1"/>
  <c r="E522" i="4" s="1"/>
  <c r="E532" i="4" s="1"/>
  <c r="E542" i="4" s="1"/>
  <c r="E552" i="4" s="1"/>
  <c r="E562" i="4" s="1"/>
  <c r="E570" i="4" s="1"/>
  <c r="E580" i="4" s="1"/>
  <c r="E590" i="4" s="1"/>
  <c r="E601" i="4" s="1"/>
  <c r="E611" i="4" s="1"/>
  <c r="E621" i="4" s="1"/>
  <c r="E631" i="4" s="1"/>
  <c r="E641" i="4" s="1"/>
  <c r="E651" i="4" s="1"/>
  <c r="E661" i="4" s="1"/>
  <c r="E671" i="4" s="1"/>
  <c r="E681" i="4" s="1"/>
  <c r="E691" i="4" s="1"/>
  <c r="E701" i="4" s="1"/>
  <c r="E711" i="4" s="1"/>
  <c r="E721" i="4" s="1"/>
  <c r="E731" i="4" s="1"/>
  <c r="E741" i="4" s="1"/>
  <c r="E751" i="4" s="1"/>
  <c r="E761" i="4" s="1"/>
  <c r="E771" i="4" s="1"/>
  <c r="E781" i="4" s="1"/>
  <c r="E792" i="4" s="1"/>
  <c r="E802" i="4" s="1"/>
  <c r="E812" i="4" s="1"/>
  <c r="E822" i="4" s="1"/>
  <c r="E832" i="4" s="1"/>
  <c r="E842" i="4" s="1"/>
  <c r="E852" i="4" s="1"/>
  <c r="E862" i="4" s="1"/>
  <c r="E872" i="4" s="1"/>
  <c r="E882" i="4" s="1"/>
  <c r="E892" i="4" s="1"/>
  <c r="E902" i="4" s="1"/>
  <c r="E912" i="4" s="1"/>
  <c r="E922" i="4" s="1"/>
  <c r="E932" i="4" s="1"/>
  <c r="E942" i="4" s="1"/>
  <c r="E952" i="4" s="1"/>
  <c r="E962" i="4" s="1"/>
  <c r="E972" i="4" s="1"/>
  <c r="E982" i="4" s="1"/>
  <c r="E992" i="4" s="1"/>
  <c r="E1002" i="4" s="1"/>
  <c r="E1012" i="4" s="1"/>
  <c r="E1022" i="4" s="1"/>
  <c r="E1032" i="4" s="1"/>
  <c r="E1042" i="4" s="1"/>
  <c r="E1052" i="4" s="1"/>
  <c r="E1062" i="4" s="1"/>
  <c r="E1072" i="4" s="1"/>
  <c r="E1082" i="4" s="1"/>
  <c r="E1092" i="4" s="1"/>
  <c r="E1102" i="4" s="1"/>
  <c r="E1112" i="4" s="1"/>
  <c r="E1122" i="4" s="1"/>
  <c r="E1132" i="4" s="1"/>
  <c r="E1142" i="4" s="1"/>
  <c r="E1152" i="4" s="1"/>
  <c r="E1162" i="4" s="1"/>
  <c r="E1172" i="4" s="1"/>
  <c r="E1183" i="4" s="1"/>
  <c r="E1194" i="4" s="1"/>
  <c r="E1205" i="4" s="1"/>
  <c r="E1215" i="4" s="1"/>
  <c r="E1227" i="4" s="1"/>
  <c r="E1238" i="4" s="1"/>
  <c r="E208" i="4"/>
  <c r="E217" i="4" s="1"/>
  <c r="E231" i="4" s="1"/>
  <c r="E241" i="4" s="1"/>
  <c r="E211" i="4"/>
  <c r="E220" i="4" s="1"/>
  <c r="E234" i="4" s="1"/>
  <c r="E244" i="4" s="1"/>
  <c r="E253" i="4" s="1"/>
  <c r="E263" i="4" s="1"/>
  <c r="E273" i="4" s="1"/>
  <c r="E283" i="4" s="1"/>
  <c r="E293" i="4" s="1"/>
  <c r="E303" i="4" s="1"/>
  <c r="E313" i="4" s="1"/>
  <c r="E323" i="4" s="1"/>
  <c r="E333" i="4" s="1"/>
  <c r="E343" i="4" s="1"/>
  <c r="E353" i="4" s="1"/>
  <c r="E363" i="4" s="1"/>
  <c r="E373" i="4" s="1"/>
  <c r="E383" i="4" s="1"/>
  <c r="E393" i="4" s="1"/>
  <c r="E403" i="4" s="1"/>
  <c r="E413" i="4" s="1"/>
  <c r="E423" i="4" s="1"/>
  <c r="E433" i="4" s="1"/>
  <c r="E443" i="4" s="1"/>
  <c r="E453" i="4" s="1"/>
  <c r="E463" i="4" s="1"/>
  <c r="E473" i="4" s="1"/>
  <c r="E483" i="4" s="1"/>
  <c r="E493" i="4" s="1"/>
  <c r="E503" i="4" s="1"/>
  <c r="E513" i="4" s="1"/>
  <c r="E523" i="4" s="1"/>
  <c r="E533" i="4" s="1"/>
  <c r="E543" i="4" s="1"/>
  <c r="E553" i="4" s="1"/>
  <c r="E563" i="4" s="1"/>
  <c r="E571" i="4" s="1"/>
  <c r="E581" i="4" s="1"/>
  <c r="E591" i="4" s="1"/>
  <c r="E602" i="4" s="1"/>
  <c r="E612" i="4" s="1"/>
  <c r="E622" i="4" s="1"/>
  <c r="E632" i="4" s="1"/>
  <c r="E642" i="4" s="1"/>
  <c r="E652" i="4" s="1"/>
  <c r="E662" i="4" s="1"/>
  <c r="E672" i="4" s="1"/>
  <c r="E682" i="4" s="1"/>
  <c r="E692" i="4" s="1"/>
  <c r="E702" i="4" s="1"/>
  <c r="E712" i="4" s="1"/>
  <c r="E722" i="4" s="1"/>
  <c r="E732" i="4" s="1"/>
  <c r="E742" i="4" s="1"/>
  <c r="E752" i="4" s="1"/>
  <c r="E762" i="4" s="1"/>
  <c r="E772" i="4" s="1"/>
  <c r="E782" i="4" s="1"/>
  <c r="E793" i="4" s="1"/>
  <c r="E803" i="4" s="1"/>
  <c r="E813" i="4" s="1"/>
  <c r="E823" i="4" s="1"/>
  <c r="E833" i="4" s="1"/>
  <c r="E843" i="4" s="1"/>
  <c r="E853" i="4" s="1"/>
  <c r="E863" i="4" s="1"/>
  <c r="E873" i="4" s="1"/>
  <c r="E883" i="4" s="1"/>
  <c r="E893" i="4" s="1"/>
  <c r="E903" i="4" s="1"/>
  <c r="E913" i="4" s="1"/>
  <c r="E923" i="4" s="1"/>
  <c r="E933" i="4" s="1"/>
  <c r="E943" i="4" s="1"/>
  <c r="E953" i="4" s="1"/>
  <c r="E963" i="4" s="1"/>
  <c r="E973" i="4" s="1"/>
  <c r="E983" i="4" s="1"/>
  <c r="E993" i="4" s="1"/>
  <c r="E1003" i="4" s="1"/>
  <c r="E1013" i="4" s="1"/>
  <c r="E1023" i="4" s="1"/>
  <c r="E1033" i="4" s="1"/>
  <c r="E1043" i="4" s="1"/>
  <c r="E1053" i="4" s="1"/>
  <c r="E1063" i="4" s="1"/>
  <c r="E1073" i="4" s="1"/>
  <c r="E1083" i="4" s="1"/>
  <c r="E1093" i="4" s="1"/>
  <c r="E1103" i="4" s="1"/>
  <c r="E1113" i="4" s="1"/>
  <c r="E1123" i="4" s="1"/>
  <c r="E1133" i="4" s="1"/>
  <c r="E1143" i="4" s="1"/>
  <c r="E1153" i="4" s="1"/>
  <c r="E1163" i="4" s="1"/>
  <c r="E1173" i="4" s="1"/>
  <c r="E1184" i="4" s="1"/>
  <c r="E1195" i="4" s="1"/>
  <c r="E1206" i="4" s="1"/>
  <c r="E1216" i="4" s="1"/>
  <c r="E1228" i="4" s="1"/>
  <c r="E1239" i="4" s="1"/>
  <c r="E209" i="4"/>
  <c r="E218" i="4" s="1"/>
  <c r="E232" i="4" s="1"/>
  <c r="E242" i="4" s="1"/>
  <c r="J26" i="1"/>
  <c r="J23" i="1"/>
  <c r="J22" i="1"/>
  <c r="J136" i="1"/>
  <c r="J285" i="1"/>
  <c r="J19" i="1"/>
  <c r="E2782" i="4" l="1"/>
  <c r="E2795" i="4" s="1"/>
  <c r="E2806" i="4" s="1"/>
  <c r="E2817" i="4" s="1"/>
  <c r="E1248" i="4"/>
  <c r="E1258" i="4" s="1"/>
  <c r="E1268" i="4" s="1"/>
  <c r="E1278" i="4" s="1"/>
  <c r="E2783" i="4"/>
  <c r="E2796" i="4" s="1"/>
  <c r="E2807" i="4" s="1"/>
  <c r="E2818" i="4" s="1"/>
  <c r="E1249" i="4"/>
  <c r="E1259" i="4" s="1"/>
  <c r="E1269" i="4" s="1"/>
  <c r="E1279" i="4" s="1"/>
  <c r="L119" i="4"/>
  <c r="L1650" i="4"/>
  <c r="E250" i="4"/>
  <c r="E260" i="4" s="1"/>
  <c r="E270" i="4" s="1"/>
  <c r="E280" i="4" s="1"/>
  <c r="E290" i="4" s="1"/>
  <c r="E300" i="4" s="1"/>
  <c r="E310" i="4" s="1"/>
  <c r="E320" i="4" s="1"/>
  <c r="E330" i="4" s="1"/>
  <c r="E340" i="4" s="1"/>
  <c r="E350" i="4" s="1"/>
  <c r="E360" i="4" s="1"/>
  <c r="E251" i="4"/>
  <c r="E261" i="4" s="1"/>
  <c r="E271" i="4" s="1"/>
  <c r="E281" i="4" s="1"/>
  <c r="E291" i="4" s="1"/>
  <c r="E301" i="4" s="1"/>
  <c r="E311" i="4" s="1"/>
  <c r="E321" i="4" s="1"/>
  <c r="E331" i="4" s="1"/>
  <c r="E341" i="4" s="1"/>
  <c r="E351" i="4" s="1"/>
  <c r="E361" i="4" s="1"/>
  <c r="J236" i="1"/>
  <c r="J315" i="1"/>
  <c r="J298" i="1"/>
  <c r="J37" i="1"/>
  <c r="J21" i="1"/>
  <c r="J292" i="1"/>
  <c r="L120" i="4" l="1"/>
  <c r="L1651" i="4"/>
  <c r="E370" i="4"/>
  <c r="E380" i="4" s="1"/>
  <c r="E390" i="4" s="1"/>
  <c r="E400" i="4" s="1"/>
  <c r="E410" i="4" s="1"/>
  <c r="E420" i="4" s="1"/>
  <c r="E430" i="4" s="1"/>
  <c r="E440" i="4" s="1"/>
  <c r="E450" i="4" s="1"/>
  <c r="E460" i="4" s="1"/>
  <c r="E470" i="4" s="1"/>
  <c r="E480" i="4" s="1"/>
  <c r="E490" i="4" s="1"/>
  <c r="E500" i="4" s="1"/>
  <c r="E510" i="4" s="1"/>
  <c r="E520" i="4" s="1"/>
  <c r="E530" i="4" s="1"/>
  <c r="E540" i="4" s="1"/>
  <c r="E550" i="4" s="1"/>
  <c r="E560" i="4" s="1"/>
  <c r="E568" i="4" s="1"/>
  <c r="E578" i="4" s="1"/>
  <c r="E588" i="4" s="1"/>
  <c r="E599" i="4" s="1"/>
  <c r="E609" i="4" s="1"/>
  <c r="E619" i="4" s="1"/>
  <c r="E629" i="4" s="1"/>
  <c r="E639" i="4" s="1"/>
  <c r="E649" i="4" s="1"/>
  <c r="E659" i="4" s="1"/>
  <c r="E669" i="4" s="1"/>
  <c r="E679" i="4" s="1"/>
  <c r="E689" i="4" s="1"/>
  <c r="E699" i="4" s="1"/>
  <c r="E709" i="4" s="1"/>
  <c r="E719" i="4" s="1"/>
  <c r="E729" i="4" s="1"/>
  <c r="E739" i="4" s="1"/>
  <c r="E749" i="4" s="1"/>
  <c r="E759" i="4" s="1"/>
  <c r="E769" i="4" s="1"/>
  <c r="E779" i="4" s="1"/>
  <c r="E790" i="4" s="1"/>
  <c r="E800" i="4" s="1"/>
  <c r="E810" i="4" s="1"/>
  <c r="E820" i="4" s="1"/>
  <c r="E830" i="4" s="1"/>
  <c r="E840" i="4" s="1"/>
  <c r="E850" i="4" s="1"/>
  <c r="E860" i="4" s="1"/>
  <c r="E870" i="4" s="1"/>
  <c r="E880" i="4" s="1"/>
  <c r="E890" i="4" s="1"/>
  <c r="E900" i="4" s="1"/>
  <c r="E910" i="4" s="1"/>
  <c r="E920" i="4" s="1"/>
  <c r="E930" i="4" s="1"/>
  <c r="E940" i="4" s="1"/>
  <c r="E950" i="4" s="1"/>
  <c r="E960" i="4" s="1"/>
  <c r="E970" i="4" s="1"/>
  <c r="E980" i="4" s="1"/>
  <c r="E990" i="4" s="1"/>
  <c r="E1000" i="4" s="1"/>
  <c r="E1010" i="4" s="1"/>
  <c r="E1020" i="4" s="1"/>
  <c r="E1030" i="4" s="1"/>
  <c r="E1040" i="4" s="1"/>
  <c r="E1050" i="4" s="1"/>
  <c r="E1060" i="4" s="1"/>
  <c r="E1070" i="4" s="1"/>
  <c r="E1080" i="4" s="1"/>
  <c r="E1090" i="4" s="1"/>
  <c r="E1100" i="4" s="1"/>
  <c r="E1110" i="4" s="1"/>
  <c r="E1120" i="4" s="1"/>
  <c r="E1130" i="4" s="1"/>
  <c r="E1140" i="4" s="1"/>
  <c r="E1150" i="4" s="1"/>
  <c r="E1160" i="4" s="1"/>
  <c r="E1170" i="4" s="1"/>
  <c r="E1181" i="4" s="1"/>
  <c r="E1192" i="4" s="1"/>
  <c r="E1203" i="4" s="1"/>
  <c r="E1213" i="4" s="1"/>
  <c r="E1225" i="4" s="1"/>
  <c r="E1236" i="4" s="1"/>
  <c r="E371" i="4"/>
  <c r="E381" i="4" s="1"/>
  <c r="E391" i="4" s="1"/>
  <c r="E401" i="4" s="1"/>
  <c r="E411" i="4" s="1"/>
  <c r="E421" i="4" s="1"/>
  <c r="E431" i="4" s="1"/>
  <c r="E441" i="4" s="1"/>
  <c r="E451" i="4" s="1"/>
  <c r="E461" i="4" s="1"/>
  <c r="E471" i="4" s="1"/>
  <c r="E481" i="4" s="1"/>
  <c r="E491" i="4" s="1"/>
  <c r="E501" i="4" s="1"/>
  <c r="E511" i="4" s="1"/>
  <c r="E521" i="4" s="1"/>
  <c r="E531" i="4" s="1"/>
  <c r="E541" i="4" s="1"/>
  <c r="E551" i="4" s="1"/>
  <c r="E561" i="4" s="1"/>
  <c r="E569" i="4" s="1"/>
  <c r="E579" i="4" s="1"/>
  <c r="E589" i="4" s="1"/>
  <c r="E600" i="4" s="1"/>
  <c r="E610" i="4" s="1"/>
  <c r="E620" i="4" s="1"/>
  <c r="E630" i="4" s="1"/>
  <c r="E640" i="4" s="1"/>
  <c r="E650" i="4" s="1"/>
  <c r="E660" i="4" s="1"/>
  <c r="E670" i="4" s="1"/>
  <c r="E680" i="4" s="1"/>
  <c r="E690" i="4" s="1"/>
  <c r="E700" i="4" s="1"/>
  <c r="E710" i="4" s="1"/>
  <c r="E720" i="4" s="1"/>
  <c r="E730" i="4" s="1"/>
  <c r="E740" i="4" s="1"/>
  <c r="E750" i="4" s="1"/>
  <c r="E760" i="4" s="1"/>
  <c r="E770" i="4" s="1"/>
  <c r="E780" i="4" s="1"/>
  <c r="E791" i="4" s="1"/>
  <c r="E801" i="4" s="1"/>
  <c r="E811" i="4" s="1"/>
  <c r="E821" i="4" s="1"/>
  <c r="E831" i="4" s="1"/>
  <c r="E841" i="4" s="1"/>
  <c r="E851" i="4" s="1"/>
  <c r="E861" i="4" s="1"/>
  <c r="E871" i="4" s="1"/>
  <c r="E881" i="4" s="1"/>
  <c r="E891" i="4" s="1"/>
  <c r="E901" i="4" s="1"/>
  <c r="E911" i="4" s="1"/>
  <c r="E921" i="4" s="1"/>
  <c r="E931" i="4" s="1"/>
  <c r="E941" i="4" s="1"/>
  <c r="E951" i="4" s="1"/>
  <c r="E961" i="4" s="1"/>
  <c r="E971" i="4" s="1"/>
  <c r="E981" i="4" s="1"/>
  <c r="E991" i="4" s="1"/>
  <c r="E1001" i="4" s="1"/>
  <c r="E1011" i="4" s="1"/>
  <c r="E1021" i="4" s="1"/>
  <c r="E1031" i="4" s="1"/>
  <c r="E1041" i="4" s="1"/>
  <c r="E1051" i="4" s="1"/>
  <c r="E1061" i="4" s="1"/>
  <c r="E1071" i="4" s="1"/>
  <c r="E1081" i="4" s="1"/>
  <c r="E1091" i="4" s="1"/>
  <c r="E1101" i="4" s="1"/>
  <c r="E1111" i="4" s="1"/>
  <c r="E1121" i="4" s="1"/>
  <c r="E1131" i="4" s="1"/>
  <c r="E1141" i="4" s="1"/>
  <c r="E1151" i="4" s="1"/>
  <c r="E1161" i="4" s="1"/>
  <c r="E1171" i="4" s="1"/>
  <c r="E1182" i="4" s="1"/>
  <c r="E1193" i="4" s="1"/>
  <c r="E1204" i="4" s="1"/>
  <c r="E1214" i="4" s="1"/>
  <c r="E1226" i="4" s="1"/>
  <c r="E1237" i="4" s="1"/>
  <c r="E2780" i="4" l="1"/>
  <c r="E2793" i="4" s="1"/>
  <c r="E2804" i="4" s="1"/>
  <c r="E2815" i="4" s="1"/>
  <c r="E1246" i="4"/>
  <c r="E1256" i="4" s="1"/>
  <c r="E1266" i="4" s="1"/>
  <c r="E1276" i="4" s="1"/>
  <c r="E2781" i="4"/>
  <c r="E2794" i="4" s="1"/>
  <c r="E2805" i="4" s="1"/>
  <c r="E2816" i="4" s="1"/>
  <c r="E1247" i="4"/>
  <c r="E1257" i="4" s="1"/>
  <c r="E1267" i="4" s="1"/>
  <c r="E1277" i="4" s="1"/>
  <c r="L121" i="4"/>
  <c r="L1652" i="4"/>
  <c r="L1653" i="4" l="1"/>
  <c r="L123" i="4"/>
  <c r="L122" i="4"/>
  <c r="L1654" i="4" s="1"/>
  <c r="E2826" i="4"/>
  <c r="E2836" i="4" s="1"/>
  <c r="C2810" i="4"/>
  <c r="C113" i="4"/>
  <c r="C121" i="4"/>
  <c r="B17" i="2"/>
  <c r="B17" i="3" s="1"/>
  <c r="B16" i="2"/>
  <c r="B16" i="3" s="1"/>
  <c r="B15" i="2"/>
  <c r="B15" i="3" s="1"/>
  <c r="L124" i="4" l="1"/>
  <c r="L1655" i="4"/>
  <c r="E2827" i="4"/>
  <c r="E2837" i="4" s="1"/>
  <c r="I145" i="4"/>
  <c r="I102" i="4"/>
  <c r="A6" i="3"/>
  <c r="A5" i="3"/>
  <c r="C6" i="4"/>
  <c r="A7" i="6" s="1"/>
  <c r="C5" i="4"/>
  <c r="A6" i="6" s="1"/>
  <c r="I101" i="4"/>
  <c r="I100" i="4"/>
  <c r="A2" i="2"/>
  <c r="A3" i="2"/>
  <c r="H19" i="3"/>
  <c r="V19" i="3" s="1"/>
  <c r="L125" i="4" l="1"/>
  <c r="L1656" i="4"/>
  <c r="E2825" i="4"/>
  <c r="E2835" i="4" s="1"/>
  <c r="E2828" i="4"/>
  <c r="E2838" i="4" s="1"/>
  <c r="J281" i="1"/>
  <c r="L126" i="4" l="1"/>
  <c r="L1657" i="4"/>
  <c r="I153" i="4"/>
  <c r="I103" i="4"/>
  <c r="L127" i="4" l="1"/>
  <c r="L1658" i="4"/>
  <c r="I155" i="4"/>
  <c r="H105" i="4"/>
  <c r="I104" i="4"/>
  <c r="L128" i="4" l="1"/>
  <c r="L1659" i="4"/>
  <c r="I154" i="4"/>
  <c r="H106" i="4"/>
  <c r="I107" i="4" s="1"/>
  <c r="L129" i="4" l="1"/>
  <c r="L1660" i="4"/>
  <c r="H107" i="4"/>
  <c r="H108" i="4" s="1"/>
  <c r="L130" i="4" l="1"/>
  <c r="L1661" i="4"/>
  <c r="I167" i="4"/>
  <c r="H142" i="4"/>
  <c r="H143" i="4"/>
  <c r="H109" i="4"/>
  <c r="I110" i="4" s="1"/>
  <c r="N110" i="4" s="1"/>
  <c r="L131" i="4" l="1"/>
  <c r="L1662" i="4"/>
  <c r="H19" i="1"/>
  <c r="K19" i="1" s="1"/>
  <c r="H145" i="4"/>
  <c r="L132" i="4" l="1"/>
  <c r="L1663" i="4"/>
  <c r="L133" i="4" l="1"/>
  <c r="L1664" i="4"/>
  <c r="I151" i="4"/>
  <c r="I159" i="4" s="1"/>
  <c r="L134" i="4" l="1"/>
  <c r="L1665" i="4"/>
  <c r="L135" i="4" l="1"/>
  <c r="L1666" i="4"/>
  <c r="L136" i="4" l="1"/>
  <c r="L1667" i="4"/>
  <c r="L137" i="4" l="1"/>
  <c r="L1668" i="4"/>
  <c r="L138" i="4" l="1"/>
  <c r="L1669" i="4"/>
  <c r="H123" i="4"/>
  <c r="H125" i="4" s="1"/>
  <c r="L1670" i="4" l="1"/>
  <c r="L139" i="4"/>
  <c r="H132" i="4"/>
  <c r="H134" i="4" s="1"/>
  <c r="H135" i="4" s="1"/>
  <c r="H126" i="4"/>
  <c r="H127" i="4" s="1"/>
  <c r="I128" i="4" s="1"/>
  <c r="H23" i="1" s="1"/>
  <c r="K23" i="1" s="1"/>
  <c r="B14" i="2"/>
  <c r="B14" i="3" s="1"/>
  <c r="L140" i="4" l="1"/>
  <c r="L1671" i="4"/>
  <c r="N128" i="4"/>
  <c r="H114" i="4"/>
  <c r="H116" i="4" s="1"/>
  <c r="L141" i="4" l="1"/>
  <c r="L1672" i="4"/>
  <c r="H117" i="4"/>
  <c r="H156" i="4"/>
  <c r="H157" i="4"/>
  <c r="L142" i="4" l="1"/>
  <c r="L1673" i="4"/>
  <c r="H159" i="4"/>
  <c r="L143" i="4" l="1"/>
  <c r="L1674" i="4"/>
  <c r="H167" i="4"/>
  <c r="L144" i="4" l="1"/>
  <c r="L1675" i="4"/>
  <c r="L145" i="4" l="1"/>
  <c r="L1676" i="4"/>
  <c r="L146" i="4" l="1"/>
  <c r="L1677" i="4"/>
  <c r="I191" i="4"/>
  <c r="I195" i="4" s="1"/>
  <c r="H183" i="4"/>
  <c r="L147" i="4" l="1"/>
  <c r="L1678" i="4"/>
  <c r="H146" i="4"/>
  <c r="H192" i="4"/>
  <c r="H193" i="4"/>
  <c r="H185" i="4"/>
  <c r="J13" i="1"/>
  <c r="H147" i="4" l="1"/>
  <c r="I148" i="4" s="1"/>
  <c r="L148" i="4"/>
  <c r="L1679" i="4"/>
  <c r="J384" i="1"/>
  <c r="J377" i="1"/>
  <c r="H195" i="4"/>
  <c r="I217" i="4"/>
  <c r="L149" i="4" l="1"/>
  <c r="L1680" i="4"/>
  <c r="H27" i="1"/>
  <c r="K27" i="1" s="1"/>
  <c r="N148" i="4"/>
  <c r="H215" i="4"/>
  <c r="I223" i="4"/>
  <c r="L150" i="4" l="1"/>
  <c r="L1681" i="4"/>
  <c r="H217" i="4"/>
  <c r="I237" i="4"/>
  <c r="I224" i="4"/>
  <c r="H228" i="4"/>
  <c r="L151" i="4" l="1"/>
  <c r="L1682" i="4"/>
  <c r="I116" i="4"/>
  <c r="H118" i="4" s="1"/>
  <c r="I119" i="4" s="1"/>
  <c r="H238" i="4"/>
  <c r="H229" i="4"/>
  <c r="H231" i="4" s="1"/>
  <c r="H239" i="4"/>
  <c r="I225" i="4"/>
  <c r="L152" i="4" l="1"/>
  <c r="L1683" i="4"/>
  <c r="H22" i="1"/>
  <c r="K22" i="1" s="1"/>
  <c r="N119" i="4"/>
  <c r="I2831" i="4"/>
  <c r="H241" i="4"/>
  <c r="I226" i="4"/>
  <c r="L153" i="4" l="1"/>
  <c r="L1684" i="4"/>
  <c r="I131" i="4"/>
  <c r="I134" i="4" s="1"/>
  <c r="H136" i="4" s="1"/>
  <c r="I137" i="4" s="1"/>
  <c r="I241" i="4"/>
  <c r="I227" i="4"/>
  <c r="I231" i="4" s="1"/>
  <c r="I2811" i="4"/>
  <c r="L154" i="4" l="1"/>
  <c r="L1685" i="4"/>
  <c r="N137" i="4"/>
  <c r="H24" i="1"/>
  <c r="K24" i="1" s="1"/>
  <c r="K21" i="1" s="1"/>
  <c r="L155" i="4" l="1"/>
  <c r="L1686" i="4"/>
  <c r="C15" i="2"/>
  <c r="L156" i="4" l="1"/>
  <c r="L1687" i="4"/>
  <c r="U15" i="3"/>
  <c r="E15" i="3" s="1"/>
  <c r="G15" i="2"/>
  <c r="L157" i="4" l="1"/>
  <c r="L1688" i="4"/>
  <c r="C15" i="3"/>
  <c r="L158" i="4" l="1"/>
  <c r="L1689" i="4"/>
  <c r="I2821" i="4"/>
  <c r="I2825" i="4" s="1"/>
  <c r="L159" i="4" l="1"/>
  <c r="L1690" i="4"/>
  <c r="L160" i="4" l="1"/>
  <c r="L1691" i="4"/>
  <c r="I2835" i="4"/>
  <c r="L161" i="4" l="1"/>
  <c r="L1692" i="4"/>
  <c r="H160" i="4"/>
  <c r="H161" i="4" s="1"/>
  <c r="I162" i="4" s="1"/>
  <c r="N162" i="4" l="1"/>
  <c r="H28" i="1"/>
  <c r="K28" i="1" s="1"/>
  <c r="L162" i="4"/>
  <c r="L1693" i="4"/>
  <c r="L163" i="4" l="1"/>
  <c r="L1694" i="4"/>
  <c r="L164" i="4" l="1"/>
  <c r="L1695" i="4"/>
  <c r="L1696" i="4" l="1"/>
  <c r="L165" i="4"/>
  <c r="L166" i="4" l="1"/>
  <c r="L1697" i="4"/>
  <c r="L167" i="4" l="1"/>
  <c r="L1698" i="4"/>
  <c r="L168" i="4" l="1"/>
  <c r="L1699" i="4"/>
  <c r="L169" i="4" l="1"/>
  <c r="L1700" i="4"/>
  <c r="H168" i="4"/>
  <c r="H169" i="4" s="1"/>
  <c r="I170" i="4" s="1"/>
  <c r="N170" i="4" l="1"/>
  <c r="H29" i="1"/>
  <c r="K29" i="1" s="1"/>
  <c r="L170" i="4"/>
  <c r="L1701" i="4"/>
  <c r="L171" i="4" l="1"/>
  <c r="L1702" i="4"/>
  <c r="L172" i="4" l="1"/>
  <c r="L1703" i="4"/>
  <c r="L1704" i="4" l="1"/>
  <c r="L173" i="4"/>
  <c r="L1705" i="4" s="1"/>
  <c r="L174" i="4"/>
  <c r="L175" i="4" l="1"/>
  <c r="L1706" i="4"/>
  <c r="L176" i="4" l="1"/>
  <c r="L1707" i="4"/>
  <c r="L177" i="4" l="1"/>
  <c r="L1708" i="4"/>
  <c r="L1709" i="4" l="1"/>
  <c r="L178" i="4"/>
  <c r="H177" i="4"/>
  <c r="H178" i="4" s="1"/>
  <c r="I179" i="4" s="1"/>
  <c r="L179" i="4" l="1"/>
  <c r="L1710" i="4"/>
  <c r="N179" i="4"/>
  <c r="H30" i="1"/>
  <c r="K30" i="1" s="1"/>
  <c r="L180" i="4" l="1"/>
  <c r="L1711" i="4"/>
  <c r="L181" i="4" l="1"/>
  <c r="L1712" i="4"/>
  <c r="L183" i="4" l="1"/>
  <c r="L1713" i="4"/>
  <c r="I2815" i="4"/>
  <c r="L184" i="4" l="1"/>
  <c r="L1715" i="4"/>
  <c r="L185" i="4" l="1"/>
  <c r="L1716" i="4"/>
  <c r="L186" i="4" l="1"/>
  <c r="L1717" i="4"/>
  <c r="L187" i="4" l="1"/>
  <c r="L1718" i="4"/>
  <c r="H186" i="4"/>
  <c r="H187" i="4" s="1"/>
  <c r="I188" i="4" s="1"/>
  <c r="N188" i="4" l="1"/>
  <c r="H31" i="1"/>
  <c r="K31" i="1" s="1"/>
  <c r="L188" i="4"/>
  <c r="L1719" i="4"/>
  <c r="L189" i="4" l="1"/>
  <c r="L1720" i="4"/>
  <c r="L190" i="4" l="1"/>
  <c r="L1721" i="4"/>
  <c r="L191" i="4" l="1"/>
  <c r="L1722" i="4"/>
  <c r="L192" i="4" l="1"/>
  <c r="L1723" i="4"/>
  <c r="L193" i="4" l="1"/>
  <c r="L1724" i="4"/>
  <c r="L194" i="4" l="1"/>
  <c r="L1725" i="4"/>
  <c r="L195" i="4" l="1"/>
  <c r="L1726" i="4"/>
  <c r="L196" i="4" l="1"/>
  <c r="L1727" i="4"/>
  <c r="L197" i="4" l="1"/>
  <c r="L1728" i="4"/>
  <c r="H196" i="4"/>
  <c r="H197" i="4" s="1"/>
  <c r="I198" i="4" s="1"/>
  <c r="N198" i="4" l="1"/>
  <c r="H32" i="1"/>
  <c r="K32" i="1" s="1"/>
  <c r="L198" i="4"/>
  <c r="L1729" i="4"/>
  <c r="L199" i="4" l="1"/>
  <c r="L1730" i="4"/>
  <c r="L200" i="4" l="1"/>
  <c r="L1731" i="4"/>
  <c r="L1732" i="4" l="1"/>
  <c r="L201" i="4"/>
  <c r="L202" i="4" l="1"/>
  <c r="L1733" i="4"/>
  <c r="L203" i="4" l="1"/>
  <c r="L1734" i="4"/>
  <c r="L204" i="4" l="1"/>
  <c r="L1735" i="4"/>
  <c r="L205" i="4" l="1"/>
  <c r="L1736" i="4"/>
  <c r="L206" i="4" l="1"/>
  <c r="L1737" i="4"/>
  <c r="L207" i="4" l="1"/>
  <c r="L1738" i="4"/>
  <c r="L208" i="4" l="1"/>
  <c r="L1739" i="4"/>
  <c r="L209" i="4" l="1"/>
  <c r="L1740" i="4"/>
  <c r="L1741" i="4" l="1"/>
  <c r="H209" i="4"/>
  <c r="H210" i="4" s="1"/>
  <c r="I211" i="4" s="1"/>
  <c r="L210" i="4"/>
  <c r="H34" i="1" l="1"/>
  <c r="K34" i="1" s="1"/>
  <c r="N211" i="4"/>
  <c r="H33" i="1"/>
  <c r="L211" i="4"/>
  <c r="L1742" i="4"/>
  <c r="L212" i="4" l="1"/>
  <c r="L1743" i="4"/>
  <c r="K33" i="1"/>
  <c r="H38" i="1"/>
  <c r="K38" i="1" s="1"/>
  <c r="L213" i="4" l="1"/>
  <c r="L1744" i="4"/>
  <c r="L214" i="4" l="1"/>
  <c r="L1745" i="4"/>
  <c r="L215" i="4" l="1"/>
  <c r="L1746" i="4"/>
  <c r="L216" i="4" l="1"/>
  <c r="L1747" i="4"/>
  <c r="L217" i="4" l="1"/>
  <c r="L1748" i="4"/>
  <c r="L218" i="4" l="1"/>
  <c r="L1749" i="4"/>
  <c r="L219" i="4" l="1"/>
  <c r="L1750" i="4"/>
  <c r="H218" i="4"/>
  <c r="H219" i="4" s="1"/>
  <c r="I220" i="4" s="1"/>
  <c r="H35" i="1" l="1"/>
  <c r="K35" i="1" s="1"/>
  <c r="K26" i="1" s="1"/>
  <c r="N220" i="4"/>
  <c r="L220" i="4"/>
  <c r="L1751" i="4"/>
  <c r="H2812" i="4"/>
  <c r="H2815" i="4" s="1"/>
  <c r="L221" i="4" l="1"/>
  <c r="L1752" i="4"/>
  <c r="H2822" i="4"/>
  <c r="H2825" i="4" s="1"/>
  <c r="L222" i="4" l="1"/>
  <c r="L1753" i="4"/>
  <c r="H2833" i="4"/>
  <c r="H2832" i="4"/>
  <c r="L223" i="4" l="1"/>
  <c r="L1754" i="4"/>
  <c r="H2835" i="4"/>
  <c r="L224" i="4" l="1"/>
  <c r="L1755" i="4"/>
  <c r="L225" i="4" l="1"/>
  <c r="L1756" i="4"/>
  <c r="L226" i="4" l="1"/>
  <c r="L1757" i="4"/>
  <c r="L227" i="4" l="1"/>
  <c r="L1758" i="4"/>
  <c r="L228" i="4" l="1"/>
  <c r="L1759" i="4"/>
  <c r="L229" i="4" l="1"/>
  <c r="L1760" i="4"/>
  <c r="L230" i="4" l="1"/>
  <c r="L1761" i="4"/>
  <c r="L231" i="4" l="1"/>
  <c r="L1762" i="4"/>
  <c r="L232" i="4" l="1"/>
  <c r="L1763" i="4"/>
  <c r="L233" i="4" l="1"/>
  <c r="L1764" i="4"/>
  <c r="H232" i="4"/>
  <c r="H233" i="4" l="1"/>
  <c r="I234" i="4" s="1"/>
  <c r="C16" i="2" s="1"/>
  <c r="L234" i="4"/>
  <c r="L1765" i="4"/>
  <c r="U16" i="3" l="1"/>
  <c r="G16" i="2"/>
  <c r="L235" i="4"/>
  <c r="L1766" i="4"/>
  <c r="L236" i="4" l="1"/>
  <c r="L1767" i="4"/>
  <c r="C16" i="3"/>
  <c r="E16" i="3"/>
  <c r="L237" i="4" l="1"/>
  <c r="L1768" i="4"/>
  <c r="L238" i="4" l="1"/>
  <c r="L1769" i="4"/>
  <c r="L239" i="4" l="1"/>
  <c r="L1770" i="4"/>
  <c r="L240" i="4" l="1"/>
  <c r="L1771" i="4"/>
  <c r="L241" i="4" l="1"/>
  <c r="L1772" i="4"/>
  <c r="L242" i="4" l="1"/>
  <c r="L1773" i="4"/>
  <c r="L243" i="4" l="1"/>
  <c r="L1774" i="4"/>
  <c r="H242" i="4"/>
  <c r="H243" i="4" s="1"/>
  <c r="I244" i="4" s="1"/>
  <c r="N244" i="4" l="1"/>
  <c r="H39" i="1"/>
  <c r="K39" i="1" s="1"/>
  <c r="K37" i="1" s="1"/>
  <c r="C17" i="2" s="1"/>
  <c r="L244" i="4"/>
  <c r="L1775" i="4"/>
  <c r="L245" i="4" l="1"/>
  <c r="L1776" i="4"/>
  <c r="G17" i="2"/>
  <c r="U17" i="3"/>
  <c r="G17" i="3" l="1"/>
  <c r="E17" i="3"/>
  <c r="C17" i="3"/>
  <c r="L246" i="4"/>
  <c r="L1777" i="4"/>
  <c r="L247" i="4" l="1"/>
  <c r="L1778" i="4"/>
  <c r="L248" i="4" l="1"/>
  <c r="L1779" i="4"/>
  <c r="L249" i="4" l="1"/>
  <c r="L1780" i="4"/>
  <c r="L250" i="4" l="1"/>
  <c r="L1781" i="4"/>
  <c r="L251" i="4" l="1"/>
  <c r="L1782" i="4"/>
  <c r="L1783" i="4" l="1"/>
  <c r="L252" i="4"/>
  <c r="H251" i="4"/>
  <c r="H252" i="4" s="1"/>
  <c r="I253" i="4" s="1"/>
  <c r="H42" i="1" l="1"/>
  <c r="K42" i="1" s="1"/>
  <c r="N253" i="4"/>
  <c r="L253" i="4"/>
  <c r="L1784" i="4"/>
  <c r="L254" i="4" l="1"/>
  <c r="L1785" i="4"/>
  <c r="L255" i="4" l="1"/>
  <c r="L1786" i="4"/>
  <c r="L256" i="4" l="1"/>
  <c r="L1787" i="4"/>
  <c r="L257" i="4" l="1"/>
  <c r="L1788" i="4"/>
  <c r="L258" i="4" l="1"/>
  <c r="L1789" i="4"/>
  <c r="L259" i="4" l="1"/>
  <c r="L1790" i="4"/>
  <c r="L260" i="4" l="1"/>
  <c r="L1791" i="4"/>
  <c r="L261" i="4" l="1"/>
  <c r="L1792" i="4"/>
  <c r="L1793" i="4" l="1"/>
  <c r="L262" i="4"/>
  <c r="H261" i="4"/>
  <c r="H262" i="4" s="1"/>
  <c r="I263" i="4" s="1"/>
  <c r="H43" i="1" l="1"/>
  <c r="K43" i="1" s="1"/>
  <c r="N263" i="4"/>
  <c r="L263" i="4"/>
  <c r="L1794" i="4"/>
  <c r="L264" i="4" l="1"/>
  <c r="L1795" i="4"/>
  <c r="L1796" i="4" l="1"/>
  <c r="L265" i="4"/>
  <c r="L266" i="4" l="1"/>
  <c r="L1797" i="4"/>
  <c r="L267" i="4" l="1"/>
  <c r="L1798" i="4"/>
  <c r="L268" i="4" l="1"/>
  <c r="L1799" i="4"/>
  <c r="L269" i="4" l="1"/>
  <c r="L1800" i="4"/>
  <c r="L270" i="4" l="1"/>
  <c r="L1801" i="4"/>
  <c r="L271" i="4" l="1"/>
  <c r="L1802" i="4"/>
  <c r="L1803" i="4" l="1"/>
  <c r="L272" i="4"/>
  <c r="H271" i="4"/>
  <c r="H272" i="4" s="1"/>
  <c r="I273" i="4" s="1"/>
  <c r="L273" i="4" l="1"/>
  <c r="L1804" i="4"/>
  <c r="N273" i="4"/>
  <c r="H44" i="1"/>
  <c r="K44" i="1" s="1"/>
  <c r="L274" i="4" l="1"/>
  <c r="L1805" i="4"/>
  <c r="L1806" i="4" l="1"/>
  <c r="L275" i="4"/>
  <c r="L276" i="4" l="1"/>
  <c r="L1807" i="4"/>
  <c r="L277" i="4" l="1"/>
  <c r="L1808" i="4"/>
  <c r="L278" i="4" l="1"/>
  <c r="L1809" i="4"/>
  <c r="K355" i="1"/>
  <c r="L279" i="4" l="1"/>
  <c r="L1810" i="4"/>
  <c r="K356" i="1"/>
  <c r="L280" i="4" l="1"/>
  <c r="L1811" i="4"/>
  <c r="K354" i="1"/>
  <c r="L281" i="4" l="1"/>
  <c r="L1812" i="4"/>
  <c r="K359" i="1"/>
  <c r="L1813" i="4" l="1"/>
  <c r="L282" i="4"/>
  <c r="H281" i="4"/>
  <c r="H282" i="4" s="1"/>
  <c r="I283" i="4" s="1"/>
  <c r="K361" i="1"/>
  <c r="K364" i="1"/>
  <c r="N283" i="4" l="1"/>
  <c r="H45" i="1"/>
  <c r="K45" i="1" s="1"/>
  <c r="L283" i="4"/>
  <c r="L1814" i="4"/>
  <c r="K370" i="1"/>
  <c r="L1815" i="4" l="1"/>
  <c r="L284" i="4"/>
  <c r="K369" i="1"/>
  <c r="L285" i="4" l="1"/>
  <c r="L1816" i="4"/>
  <c r="K373" i="1"/>
  <c r="L286" i="4" l="1"/>
  <c r="L1817" i="4"/>
  <c r="L2840" i="4"/>
  <c r="L2841" i="4" s="1"/>
  <c r="L2842" i="4" s="1"/>
  <c r="L2843" i="4" s="1"/>
  <c r="L2844" i="4" s="1"/>
  <c r="L2845" i="4" s="1"/>
  <c r="L2846" i="4" s="1"/>
  <c r="L2847" i="4" s="1"/>
  <c r="L2848" i="4" s="1"/>
  <c r="L2849" i="4" s="1"/>
  <c r="L2850" i="4" s="1"/>
  <c r="L287" i="4" l="1"/>
  <c r="L1818" i="4"/>
  <c r="J381" i="1"/>
  <c r="L288" i="4" l="1"/>
  <c r="L1819" i="4"/>
  <c r="L289" i="4" l="1"/>
  <c r="L1820" i="4"/>
  <c r="K237" i="1"/>
  <c r="L290" i="4" l="1"/>
  <c r="L1821" i="4"/>
  <c r="K239" i="1"/>
  <c r="K238" i="1"/>
  <c r="L291" i="4" l="1"/>
  <c r="L1822" i="4"/>
  <c r="K236" i="1"/>
  <c r="C21" i="2" s="1"/>
  <c r="L1823" i="4" l="1"/>
  <c r="H291" i="4"/>
  <c r="H292" i="4" s="1"/>
  <c r="I293" i="4" s="1"/>
  <c r="L292" i="4"/>
  <c r="L293" i="4" l="1"/>
  <c r="L1824" i="4"/>
  <c r="N293" i="4"/>
  <c r="H46" i="1"/>
  <c r="K46" i="1" s="1"/>
  <c r="K299" i="1"/>
  <c r="L294" i="4" l="1"/>
  <c r="L1825" i="4"/>
  <c r="K363" i="1"/>
  <c r="K282" i="1"/>
  <c r="L295" i="4" l="1"/>
  <c r="L1826" i="4"/>
  <c r="K295" i="1"/>
  <c r="K366" i="1"/>
  <c r="L296" i="4" l="1"/>
  <c r="L1827" i="4"/>
  <c r="K368" i="1"/>
  <c r="K353" i="1"/>
  <c r="L297" i="4" l="1"/>
  <c r="L1828" i="4"/>
  <c r="P293" i="1"/>
  <c r="K310" i="1"/>
  <c r="L298" i="4" l="1"/>
  <c r="L1829" i="4"/>
  <c r="K293" i="1"/>
  <c r="K358" i="1"/>
  <c r="L299" i="4" l="1"/>
  <c r="L1830" i="4"/>
  <c r="K302" i="1"/>
  <c r="L300" i="4" l="1"/>
  <c r="L1831" i="4"/>
  <c r="K372" i="1"/>
  <c r="K300" i="1"/>
  <c r="L301" i="4" l="1"/>
  <c r="L1832" i="4"/>
  <c r="K304" i="1"/>
  <c r="K283" i="1"/>
  <c r="K281" i="1" s="1"/>
  <c r="C26" i="2" s="1"/>
  <c r="K296" i="1"/>
  <c r="L1833" i="4" l="1"/>
  <c r="L302" i="4"/>
  <c r="H301" i="4"/>
  <c r="H302" i="4" s="1"/>
  <c r="I303" i="4" s="1"/>
  <c r="K307" i="1"/>
  <c r="K306" i="1"/>
  <c r="K365" i="1"/>
  <c r="N303" i="4" l="1"/>
  <c r="H47" i="1"/>
  <c r="K47" i="1" s="1"/>
  <c r="L303" i="4"/>
  <c r="L1834" i="4"/>
  <c r="K375" i="1"/>
  <c r="K367" i="1"/>
  <c r="K352" i="1"/>
  <c r="L304" i="4" l="1"/>
  <c r="L1835" i="4"/>
  <c r="K362" i="1"/>
  <c r="K327" i="1"/>
  <c r="K294" i="1"/>
  <c r="L305" i="4" l="1"/>
  <c r="L1836" i="4"/>
  <c r="K311" i="1"/>
  <c r="L306" i="4" l="1"/>
  <c r="L1837" i="4"/>
  <c r="K292" i="1"/>
  <c r="C28" i="2" s="1"/>
  <c r="L307" i="4" l="1"/>
  <c r="L1838" i="4"/>
  <c r="U22" i="3"/>
  <c r="M22" i="3" s="1"/>
  <c r="G22" i="2"/>
  <c r="K309" i="1"/>
  <c r="K313" i="1"/>
  <c r="K317" i="1"/>
  <c r="K315" i="1" s="1"/>
  <c r="C30" i="2" s="1"/>
  <c r="L308" i="4" l="1"/>
  <c r="L1839" i="4"/>
  <c r="Q22" i="3"/>
  <c r="K22" i="3"/>
  <c r="O22" i="3"/>
  <c r="S22" i="3"/>
  <c r="K360" i="1"/>
  <c r="L309" i="4" l="1"/>
  <c r="L1840" i="4"/>
  <c r="K371" i="1"/>
  <c r="K357" i="1"/>
  <c r="K301" i="1"/>
  <c r="K303" i="1"/>
  <c r="L310" i="4" l="1"/>
  <c r="L1841" i="4"/>
  <c r="K374" i="1"/>
  <c r="K351" i="1" s="1"/>
  <c r="C33" i="2" s="1"/>
  <c r="K305" i="1"/>
  <c r="L311" i="4" l="1"/>
  <c r="L1842" i="4"/>
  <c r="U32" i="3"/>
  <c r="O32" i="3" s="1"/>
  <c r="G32" i="2"/>
  <c r="U21" i="3"/>
  <c r="E21" i="3" s="1"/>
  <c r="G21" i="2"/>
  <c r="K308" i="1"/>
  <c r="K298" i="1" s="1"/>
  <c r="L1843" i="4" l="1"/>
  <c r="H311" i="4"/>
  <c r="H312" i="4" s="1"/>
  <c r="I313" i="4" s="1"/>
  <c r="L312" i="4"/>
  <c r="C29" i="2"/>
  <c r="S32" i="3"/>
  <c r="Q32" i="3"/>
  <c r="G21" i="3"/>
  <c r="L313" i="4" l="1"/>
  <c r="L1844" i="4"/>
  <c r="N313" i="4"/>
  <c r="H48" i="1"/>
  <c r="K48" i="1" s="1"/>
  <c r="U20" i="3"/>
  <c r="G20" i="3" s="1"/>
  <c r="G20" i="2"/>
  <c r="L314" i="4" l="1"/>
  <c r="L1845" i="4"/>
  <c r="K20" i="3"/>
  <c r="I20" i="3"/>
  <c r="U26" i="3"/>
  <c r="S26" i="3" s="1"/>
  <c r="G26" i="2"/>
  <c r="L315" i="4" l="1"/>
  <c r="L1846" i="4"/>
  <c r="O26" i="3"/>
  <c r="M26" i="3"/>
  <c r="Q26" i="3"/>
  <c r="U25" i="3"/>
  <c r="O25" i="3" s="1"/>
  <c r="G25" i="2"/>
  <c r="L316" i="4" l="1"/>
  <c r="L1847" i="4"/>
  <c r="S25" i="3"/>
  <c r="Q25" i="3"/>
  <c r="M25" i="3"/>
  <c r="U27" i="3"/>
  <c r="O27" i="3" s="1"/>
  <c r="G27" i="2"/>
  <c r="L317" i="4" l="1"/>
  <c r="L1848" i="4"/>
  <c r="M27" i="3"/>
  <c r="Q27" i="3"/>
  <c r="L318" i="4" l="1"/>
  <c r="L1849" i="4"/>
  <c r="U29" i="3"/>
  <c r="O29" i="3" s="1"/>
  <c r="G29" i="2"/>
  <c r="U28" i="3"/>
  <c r="G28" i="2"/>
  <c r="L319" i="4" l="1"/>
  <c r="L1850" i="4"/>
  <c r="Q29" i="3"/>
  <c r="O28" i="3"/>
  <c r="M28" i="3"/>
  <c r="Q28" i="3"/>
  <c r="S29" i="3"/>
  <c r="M29" i="3"/>
  <c r="L320" i="4" l="1"/>
  <c r="L1851" i="4"/>
  <c r="U30" i="3"/>
  <c r="G30" i="2"/>
  <c r="L321" i="4" l="1"/>
  <c r="L1852" i="4"/>
  <c r="S30" i="3"/>
  <c r="Q30" i="3"/>
  <c r="U31" i="3"/>
  <c r="O31" i="3" s="1"/>
  <c r="G31" i="2"/>
  <c r="L1853" i="4" l="1"/>
  <c r="H321" i="4"/>
  <c r="H322" i="4" s="1"/>
  <c r="I323" i="4" s="1"/>
  <c r="L322" i="4"/>
  <c r="S31" i="3"/>
  <c r="Q31" i="3"/>
  <c r="M31" i="3"/>
  <c r="L323" i="4" l="1"/>
  <c r="L1854" i="4"/>
  <c r="N323" i="4"/>
  <c r="H49" i="1"/>
  <c r="K49" i="1" s="1"/>
  <c r="U33" i="3"/>
  <c r="G33" i="2"/>
  <c r="G24" i="2"/>
  <c r="L1855" i="4" l="1"/>
  <c r="L324" i="4"/>
  <c r="S33" i="3"/>
  <c r="Q33" i="3"/>
  <c r="U24" i="3"/>
  <c r="L325" i="4" l="1"/>
  <c r="L1856" i="4"/>
  <c r="Q24" i="3"/>
  <c r="S24" i="3"/>
  <c r="L326" i="4" l="1"/>
  <c r="L1857" i="4"/>
  <c r="O236" i="1"/>
  <c r="L327" i="4" l="1"/>
  <c r="L1858" i="4"/>
  <c r="L328" i="4" l="1"/>
  <c r="L1859" i="4"/>
  <c r="L329" i="4" l="1"/>
  <c r="L1860" i="4"/>
  <c r="I64" i="4"/>
  <c r="I69" i="4" s="1"/>
  <c r="H71" i="4" s="1"/>
  <c r="L330" i="4" l="1"/>
  <c r="L1861" i="4"/>
  <c r="I72" i="4"/>
  <c r="L331" i="4" l="1"/>
  <c r="L1862" i="4"/>
  <c r="N72" i="4"/>
  <c r="H16" i="1"/>
  <c r="K16" i="1" s="1"/>
  <c r="K13" i="1" s="1"/>
  <c r="L1863" i="4" l="1"/>
  <c r="H331" i="4"/>
  <c r="H332" i="4" s="1"/>
  <c r="I333" i="4" s="1"/>
  <c r="L332" i="4"/>
  <c r="C14" i="2"/>
  <c r="H50" i="1" l="1"/>
  <c r="K50" i="1" s="1"/>
  <c r="N333" i="4"/>
  <c r="L333" i="4"/>
  <c r="L1864" i="4"/>
  <c r="U14" i="3"/>
  <c r="G14" i="2"/>
  <c r="L334" i="4" l="1"/>
  <c r="L1865" i="4"/>
  <c r="C14" i="3"/>
  <c r="L335" i="4" l="1"/>
  <c r="L1866" i="4"/>
  <c r="C34" i="3"/>
  <c r="C36" i="3" s="1"/>
  <c r="L336" i="4" l="1"/>
  <c r="L1867" i="4"/>
  <c r="L337" i="4" l="1"/>
  <c r="L1868" i="4"/>
  <c r="L338" i="4" l="1"/>
  <c r="L1869" i="4"/>
  <c r="L339" i="4" l="1"/>
  <c r="L1870" i="4"/>
  <c r="L340" i="4" l="1"/>
  <c r="L1871" i="4"/>
  <c r="L341" i="4" l="1"/>
  <c r="L1872" i="4"/>
  <c r="L1873" i="4" l="1"/>
  <c r="L342" i="4"/>
  <c r="H341" i="4"/>
  <c r="H342" i="4" s="1"/>
  <c r="I343" i="4" s="1"/>
  <c r="L343" i="4" l="1"/>
  <c r="L1874" i="4"/>
  <c r="N343" i="4"/>
  <c r="H51" i="1"/>
  <c r="K51" i="1" s="1"/>
  <c r="L1875" i="4" l="1"/>
  <c r="L344" i="4"/>
  <c r="A8" i="1"/>
  <c r="C7" i="4" s="1"/>
  <c r="A7" i="3" s="1"/>
  <c r="L345" i="4" l="1"/>
  <c r="L1876" i="4"/>
  <c r="A9" i="2"/>
  <c r="A8" i="6"/>
  <c r="L346" i="4" l="1"/>
  <c r="L1877" i="4"/>
  <c r="L347" i="4" l="1"/>
  <c r="L1878" i="4"/>
  <c r="L348" i="4" l="1"/>
  <c r="L1879" i="4"/>
  <c r="L349" i="4" l="1"/>
  <c r="L1880" i="4"/>
  <c r="L350" i="4" l="1"/>
  <c r="L1881" i="4"/>
  <c r="L351" i="4" l="1"/>
  <c r="L1882" i="4"/>
  <c r="L1883" i="4" l="1"/>
  <c r="L352" i="4"/>
  <c r="H351" i="4"/>
  <c r="H352" i="4" s="1"/>
  <c r="I353" i="4" s="1"/>
  <c r="H52" i="1" l="1"/>
  <c r="K52" i="1" s="1"/>
  <c r="N353" i="4"/>
  <c r="L353" i="4"/>
  <c r="L1884" i="4"/>
  <c r="L354" i="4" l="1"/>
  <c r="L1885" i="4"/>
  <c r="L355" i="4" l="1"/>
  <c r="L1886" i="4"/>
  <c r="L356" i="4" l="1"/>
  <c r="L1887" i="4"/>
  <c r="L357" i="4" l="1"/>
  <c r="L1888" i="4"/>
  <c r="L358" i="4" l="1"/>
  <c r="L1889" i="4"/>
  <c r="L359" i="4" l="1"/>
  <c r="L1890" i="4"/>
  <c r="L360" i="4" l="1"/>
  <c r="L1891" i="4"/>
  <c r="L361" i="4" l="1"/>
  <c r="L1892" i="4"/>
  <c r="L1893" i="4" l="1"/>
  <c r="H361" i="4"/>
  <c r="H362" i="4" s="1"/>
  <c r="I363" i="4" s="1"/>
  <c r="L362" i="4"/>
  <c r="L363" i="4" l="1"/>
  <c r="L1894" i="4"/>
  <c r="N363" i="4"/>
  <c r="H53" i="1"/>
  <c r="K53" i="1" s="1"/>
  <c r="L1895" i="4" l="1"/>
  <c r="L364" i="4"/>
  <c r="L365" i="4" l="1"/>
  <c r="L1896" i="4"/>
  <c r="L366" i="4" l="1"/>
  <c r="L1897" i="4"/>
  <c r="L367" i="4" l="1"/>
  <c r="L1898" i="4"/>
  <c r="L368" i="4" l="1"/>
  <c r="L1899" i="4"/>
  <c r="L369" i="4" l="1"/>
  <c r="L1900" i="4"/>
  <c r="L370" i="4" l="1"/>
  <c r="L1901" i="4"/>
  <c r="L371" i="4" l="1"/>
  <c r="L1902" i="4"/>
  <c r="L1903" i="4" l="1"/>
  <c r="H371" i="4"/>
  <c r="H372" i="4" s="1"/>
  <c r="I373" i="4" s="1"/>
  <c r="L372" i="4"/>
  <c r="L373" i="4" l="1"/>
  <c r="L1904" i="4"/>
  <c r="N373" i="4"/>
  <c r="H54" i="1"/>
  <c r="K54" i="1" s="1"/>
  <c r="L374" i="4" l="1"/>
  <c r="L1905" i="4"/>
  <c r="L375" i="4" l="1"/>
  <c r="L1906" i="4"/>
  <c r="L376" i="4" l="1"/>
  <c r="L1907" i="4"/>
  <c r="L377" i="4" l="1"/>
  <c r="L1908" i="4"/>
  <c r="L378" i="4" l="1"/>
  <c r="L1909" i="4"/>
  <c r="L379" i="4" l="1"/>
  <c r="L1910" i="4"/>
  <c r="L380" i="4" l="1"/>
  <c r="L1911" i="4"/>
  <c r="L381" i="4" l="1"/>
  <c r="L1912" i="4"/>
  <c r="L1913" i="4" l="1"/>
  <c r="L382" i="4"/>
  <c r="H381" i="4"/>
  <c r="H382" i="4" s="1"/>
  <c r="I383" i="4" s="1"/>
  <c r="H55" i="1" l="1"/>
  <c r="K55" i="1" s="1"/>
  <c r="N383" i="4"/>
  <c r="L383" i="4"/>
  <c r="L1914" i="4"/>
  <c r="L384" i="4" l="1"/>
  <c r="L1915" i="4"/>
  <c r="L1916" i="4" l="1"/>
  <c r="L385" i="4"/>
  <c r="L386" i="4" l="1"/>
  <c r="L1917" i="4"/>
  <c r="L387" i="4" l="1"/>
  <c r="L1918" i="4"/>
  <c r="L388" i="4" l="1"/>
  <c r="L1919" i="4"/>
  <c r="L389" i="4" l="1"/>
  <c r="L1920" i="4"/>
  <c r="L390" i="4" l="1"/>
  <c r="L1921" i="4"/>
  <c r="L391" i="4" l="1"/>
  <c r="L1922" i="4"/>
  <c r="L1923" i="4" l="1"/>
  <c r="H391" i="4"/>
  <c r="H392" i="4" s="1"/>
  <c r="I393" i="4" s="1"/>
  <c r="L392" i="4"/>
  <c r="L393" i="4" l="1"/>
  <c r="L1924" i="4"/>
  <c r="N393" i="4"/>
  <c r="H56" i="1"/>
  <c r="K56" i="1" s="1"/>
  <c r="L394" i="4" l="1"/>
  <c r="L1925" i="4"/>
  <c r="L1926" i="4" l="1"/>
  <c r="L395" i="4"/>
  <c r="L396" i="4" l="1"/>
  <c r="L1927" i="4"/>
  <c r="L397" i="4" l="1"/>
  <c r="L1928" i="4"/>
  <c r="L398" i="4" l="1"/>
  <c r="L1929" i="4"/>
  <c r="L399" i="4" l="1"/>
  <c r="L1930" i="4"/>
  <c r="L400" i="4" l="1"/>
  <c r="L1931" i="4"/>
  <c r="L401" i="4" l="1"/>
  <c r="L1932" i="4"/>
  <c r="L1933" i="4" l="1"/>
  <c r="L402" i="4"/>
  <c r="H401" i="4"/>
  <c r="H402" i="4" s="1"/>
  <c r="I403" i="4" s="1"/>
  <c r="N403" i="4" l="1"/>
  <c r="H57" i="1"/>
  <c r="K57" i="1" s="1"/>
  <c r="L403" i="4"/>
  <c r="L1934" i="4"/>
  <c r="L404" i="4" l="1"/>
  <c r="L1935" i="4"/>
  <c r="L1936" i="4" l="1"/>
  <c r="L405" i="4"/>
  <c r="L406" i="4" l="1"/>
  <c r="L1937" i="4"/>
  <c r="L407" i="4" l="1"/>
  <c r="L1938" i="4"/>
  <c r="L408" i="4" l="1"/>
  <c r="L1939" i="4"/>
  <c r="L409" i="4" l="1"/>
  <c r="L1940" i="4"/>
  <c r="L410" i="4" l="1"/>
  <c r="L1941" i="4"/>
  <c r="L411" i="4" l="1"/>
  <c r="L1942" i="4"/>
  <c r="L1943" i="4" l="1"/>
  <c r="H411" i="4"/>
  <c r="H412" i="4" s="1"/>
  <c r="I413" i="4" s="1"/>
  <c r="L412" i="4"/>
  <c r="L413" i="4" l="1"/>
  <c r="L1944" i="4"/>
  <c r="N413" i="4"/>
  <c r="H58" i="1"/>
  <c r="K58" i="1" s="1"/>
  <c r="L414" i="4" l="1"/>
  <c r="L1945" i="4"/>
  <c r="L1946" i="4" l="1"/>
  <c r="L415" i="4"/>
  <c r="L416" i="4" l="1"/>
  <c r="L1947" i="4"/>
  <c r="L417" i="4" l="1"/>
  <c r="L1948" i="4"/>
  <c r="L418" i="4" l="1"/>
  <c r="L1949" i="4"/>
  <c r="L419" i="4" l="1"/>
  <c r="L1950" i="4"/>
  <c r="L420" i="4" l="1"/>
  <c r="L1951" i="4"/>
  <c r="L421" i="4" l="1"/>
  <c r="L1952" i="4"/>
  <c r="L1953" i="4" l="1"/>
  <c r="L422" i="4"/>
  <c r="H421" i="4"/>
  <c r="H422" i="4" s="1"/>
  <c r="I423" i="4" s="1"/>
  <c r="N423" i="4" l="1"/>
  <c r="H59" i="1"/>
  <c r="K59" i="1" s="1"/>
  <c r="L423" i="4"/>
  <c r="L1954" i="4"/>
  <c r="L1955" i="4" l="1"/>
  <c r="L424" i="4"/>
  <c r="L425" i="4" l="1"/>
  <c r="L1956" i="4"/>
  <c r="L426" i="4" l="1"/>
  <c r="L1957" i="4"/>
  <c r="L427" i="4" l="1"/>
  <c r="L1958" i="4"/>
  <c r="L428" i="4" l="1"/>
  <c r="L1959" i="4"/>
  <c r="L429" i="4" l="1"/>
  <c r="L1960" i="4"/>
  <c r="L430" i="4" l="1"/>
  <c r="L1961" i="4"/>
  <c r="L431" i="4" l="1"/>
  <c r="L1962" i="4"/>
  <c r="L1963" i="4" l="1"/>
  <c r="L432" i="4"/>
  <c r="H431" i="4"/>
  <c r="H432" i="4" s="1"/>
  <c r="I433" i="4" s="1"/>
  <c r="N433" i="4" l="1"/>
  <c r="H60" i="1"/>
  <c r="K60" i="1" s="1"/>
  <c r="L433" i="4"/>
  <c r="L1964" i="4"/>
  <c r="L434" i="4" l="1"/>
  <c r="L1965" i="4"/>
  <c r="L435" i="4" l="1"/>
  <c r="L1966" i="4"/>
  <c r="L436" i="4" l="1"/>
  <c r="L1967" i="4"/>
  <c r="L437" i="4" l="1"/>
  <c r="L1968" i="4"/>
  <c r="L438" i="4" l="1"/>
  <c r="L1969" i="4"/>
  <c r="L439" i="4" l="1"/>
  <c r="L1970" i="4"/>
  <c r="L440" i="4" l="1"/>
  <c r="L1971" i="4"/>
  <c r="L441" i="4" l="1"/>
  <c r="L1972" i="4"/>
  <c r="L1973" i="4" l="1"/>
  <c r="H441" i="4"/>
  <c r="H442" i="4" s="1"/>
  <c r="I443" i="4" s="1"/>
  <c r="L442" i="4"/>
  <c r="L443" i="4" l="1"/>
  <c r="L1974" i="4"/>
  <c r="H61" i="1"/>
  <c r="K61" i="1" s="1"/>
  <c r="N443" i="4"/>
  <c r="L444" i="4" l="1"/>
  <c r="L1975" i="4"/>
  <c r="L1976" i="4" l="1"/>
  <c r="L445" i="4"/>
  <c r="L446" i="4" l="1"/>
  <c r="L1977" i="4"/>
  <c r="L447" i="4" l="1"/>
  <c r="L1978" i="4"/>
  <c r="L448" i="4" l="1"/>
  <c r="L1979" i="4"/>
  <c r="L449" i="4" l="1"/>
  <c r="L1980" i="4"/>
  <c r="L450" i="4" l="1"/>
  <c r="L1981" i="4"/>
  <c r="L451" i="4" l="1"/>
  <c r="L1982" i="4"/>
  <c r="L1983" i="4" l="1"/>
  <c r="H451" i="4"/>
  <c r="H452" i="4" s="1"/>
  <c r="I453" i="4" s="1"/>
  <c r="L452" i="4"/>
  <c r="L453" i="4" l="1"/>
  <c r="L1984" i="4"/>
  <c r="H62" i="1"/>
  <c r="K62" i="1" s="1"/>
  <c r="N453" i="4"/>
  <c r="L454" i="4" l="1"/>
  <c r="L1985" i="4"/>
  <c r="L1986" i="4" l="1"/>
  <c r="L455" i="4"/>
  <c r="L456" i="4" l="1"/>
  <c r="L1987" i="4"/>
  <c r="L457" i="4" l="1"/>
  <c r="L1988" i="4"/>
  <c r="L458" i="4" l="1"/>
  <c r="L1989" i="4"/>
  <c r="L459" i="4" l="1"/>
  <c r="L1990" i="4"/>
  <c r="L460" i="4" l="1"/>
  <c r="L1991" i="4"/>
  <c r="L461" i="4" l="1"/>
  <c r="L1992" i="4"/>
  <c r="L1993" i="4" l="1"/>
  <c r="L462" i="4"/>
  <c r="H461" i="4"/>
  <c r="H462" i="4" s="1"/>
  <c r="I463" i="4" s="1"/>
  <c r="N463" i="4" l="1"/>
  <c r="H63" i="1"/>
  <c r="K63" i="1" s="1"/>
  <c r="L463" i="4"/>
  <c r="L1994" i="4"/>
  <c r="L464" i="4" l="1"/>
  <c r="L1995" i="4"/>
  <c r="L1996" i="4" l="1"/>
  <c r="L465" i="4"/>
  <c r="L466" i="4" l="1"/>
  <c r="L1997" i="4"/>
  <c r="L467" i="4" l="1"/>
  <c r="L1998" i="4"/>
  <c r="L468" i="4" l="1"/>
  <c r="L1999" i="4"/>
  <c r="L469" i="4" l="1"/>
  <c r="L2000" i="4"/>
  <c r="L470" i="4" l="1"/>
  <c r="L2001" i="4"/>
  <c r="L471" i="4" l="1"/>
  <c r="L2002" i="4"/>
  <c r="L2003" i="4" l="1"/>
  <c r="H471" i="4"/>
  <c r="H472" i="4" s="1"/>
  <c r="I473" i="4" s="1"/>
  <c r="L472" i="4"/>
  <c r="L473" i="4" l="1"/>
  <c r="L2004" i="4"/>
  <c r="N473" i="4"/>
  <c r="H64" i="1"/>
  <c r="K64" i="1" s="1"/>
  <c r="L474" i="4" l="1"/>
  <c r="L2005" i="4"/>
  <c r="L2006" i="4" l="1"/>
  <c r="L475" i="4"/>
  <c r="L476" i="4" l="1"/>
  <c r="L2007" i="4"/>
  <c r="L477" i="4" l="1"/>
  <c r="L2008" i="4"/>
  <c r="L478" i="4" l="1"/>
  <c r="L2009" i="4"/>
  <c r="L479" i="4" l="1"/>
  <c r="L2010" i="4"/>
  <c r="L480" i="4" l="1"/>
  <c r="L2011" i="4"/>
  <c r="L481" i="4" l="1"/>
  <c r="L2012" i="4"/>
  <c r="L2013" i="4" l="1"/>
  <c r="H481" i="4"/>
  <c r="H482" i="4" s="1"/>
  <c r="I483" i="4" s="1"/>
  <c r="L482" i="4"/>
  <c r="L483" i="4" l="1"/>
  <c r="L2014" i="4"/>
  <c r="H65" i="1"/>
  <c r="K65" i="1" s="1"/>
  <c r="N483" i="4"/>
  <c r="L484" i="4" l="1"/>
  <c r="L2015" i="4"/>
  <c r="L2016" i="4" l="1"/>
  <c r="L485" i="4"/>
  <c r="L486" i="4" l="1"/>
  <c r="L2017" i="4"/>
  <c r="L487" i="4" l="1"/>
  <c r="L2018" i="4"/>
  <c r="L488" i="4" l="1"/>
  <c r="L2019" i="4"/>
  <c r="L489" i="4" l="1"/>
  <c r="L2020" i="4"/>
  <c r="L490" i="4" l="1"/>
  <c r="L2021" i="4"/>
  <c r="L491" i="4" l="1"/>
  <c r="L2022" i="4"/>
  <c r="L2023" i="4" l="1"/>
  <c r="L492" i="4"/>
  <c r="H491" i="4"/>
  <c r="H492" i="4" s="1"/>
  <c r="I493" i="4" s="1"/>
  <c r="H66" i="1" l="1"/>
  <c r="K66" i="1" s="1"/>
  <c r="N493" i="4"/>
  <c r="L493" i="4"/>
  <c r="L2024" i="4"/>
  <c r="L494" i="4" l="1"/>
  <c r="L2025" i="4"/>
  <c r="L2026" i="4" l="1"/>
  <c r="L495" i="4"/>
  <c r="L496" i="4" l="1"/>
  <c r="L2027" i="4"/>
  <c r="L497" i="4" l="1"/>
  <c r="L2028" i="4"/>
  <c r="L498" i="4" l="1"/>
  <c r="L2029" i="4"/>
  <c r="L499" i="4" l="1"/>
  <c r="L2030" i="4"/>
  <c r="L500" i="4" l="1"/>
  <c r="L2031" i="4"/>
  <c r="L501" i="4" l="1"/>
  <c r="L2032" i="4"/>
  <c r="L2033" i="4" l="1"/>
  <c r="H501" i="4"/>
  <c r="H502" i="4" s="1"/>
  <c r="I503" i="4" s="1"/>
  <c r="L502" i="4"/>
  <c r="L503" i="4" l="1"/>
  <c r="L2034" i="4"/>
  <c r="N503" i="4"/>
  <c r="H67" i="1"/>
  <c r="K67" i="1" s="1"/>
  <c r="L504" i="4" l="1"/>
  <c r="L2035" i="4"/>
  <c r="L2036" i="4" l="1"/>
  <c r="L505" i="4"/>
  <c r="L506" i="4" l="1"/>
  <c r="L2037" i="4"/>
  <c r="L507" i="4" l="1"/>
  <c r="L2038" i="4"/>
  <c r="L508" i="4" l="1"/>
  <c r="L2039" i="4"/>
  <c r="L509" i="4" l="1"/>
  <c r="L2040" i="4"/>
  <c r="L510" i="4" l="1"/>
  <c r="L2041" i="4"/>
  <c r="L511" i="4" l="1"/>
  <c r="L2042" i="4"/>
  <c r="L2043" i="4" l="1"/>
  <c r="L512" i="4"/>
  <c r="H511" i="4"/>
  <c r="H512" i="4" s="1"/>
  <c r="I513" i="4" s="1"/>
  <c r="H68" i="1" l="1"/>
  <c r="K68" i="1" s="1"/>
  <c r="N513" i="4"/>
  <c r="L513" i="4"/>
  <c r="L2044" i="4"/>
  <c r="L514" i="4" l="1"/>
  <c r="L2045" i="4"/>
  <c r="L2046" i="4" l="1"/>
  <c r="L515" i="4"/>
  <c r="L516" i="4" l="1"/>
  <c r="L2047" i="4"/>
  <c r="L517" i="4" l="1"/>
  <c r="L2048" i="4"/>
  <c r="L518" i="4" l="1"/>
  <c r="L2049" i="4"/>
  <c r="L519" i="4" l="1"/>
  <c r="L2050" i="4"/>
  <c r="L520" i="4" l="1"/>
  <c r="L2051" i="4"/>
  <c r="L521" i="4" l="1"/>
  <c r="L2052" i="4"/>
  <c r="L2053" i="4" l="1"/>
  <c r="L522" i="4"/>
  <c r="H521" i="4"/>
  <c r="H522" i="4" s="1"/>
  <c r="I523" i="4" s="1"/>
  <c r="H69" i="1" l="1"/>
  <c r="K69" i="1" s="1"/>
  <c r="N523" i="4"/>
  <c r="L523" i="4"/>
  <c r="L2054" i="4"/>
  <c r="L524" i="4" l="1"/>
  <c r="L2055" i="4"/>
  <c r="L525" i="4" l="1"/>
  <c r="L2056" i="4"/>
  <c r="L526" i="4" l="1"/>
  <c r="L2057" i="4"/>
  <c r="L527" i="4" l="1"/>
  <c r="L2058" i="4"/>
  <c r="L528" i="4" l="1"/>
  <c r="L2059" i="4"/>
  <c r="L529" i="4" l="1"/>
  <c r="L2060" i="4"/>
  <c r="L530" i="4" l="1"/>
  <c r="L2061" i="4"/>
  <c r="L531" i="4" l="1"/>
  <c r="L2062" i="4"/>
  <c r="L2063" i="4" l="1"/>
  <c r="H531" i="4"/>
  <c r="H532" i="4" s="1"/>
  <c r="I533" i="4" s="1"/>
  <c r="L532" i="4"/>
  <c r="L533" i="4" l="1"/>
  <c r="L2064" i="4"/>
  <c r="N533" i="4"/>
  <c r="H70" i="1"/>
  <c r="K70" i="1" s="1"/>
  <c r="L534" i="4" l="1"/>
  <c r="L2065" i="4"/>
  <c r="L535" i="4" l="1"/>
  <c r="L2066" i="4"/>
  <c r="L536" i="4" l="1"/>
  <c r="L2067" i="4"/>
  <c r="L537" i="4" l="1"/>
  <c r="L2068" i="4"/>
  <c r="L538" i="4" l="1"/>
  <c r="L2069" i="4"/>
  <c r="L539" i="4" l="1"/>
  <c r="L2070" i="4"/>
  <c r="L540" i="4" l="1"/>
  <c r="L2071" i="4"/>
  <c r="L541" i="4" l="1"/>
  <c r="L2072" i="4"/>
  <c r="L2073" i="4" l="1"/>
  <c r="L542" i="4"/>
  <c r="H541" i="4"/>
  <c r="H542" i="4" s="1"/>
  <c r="I543" i="4" s="1"/>
  <c r="H71" i="1" l="1"/>
  <c r="K71" i="1" s="1"/>
  <c r="N543" i="4"/>
  <c r="L543" i="4"/>
  <c r="L2074" i="4"/>
  <c r="L544" i="4" l="1"/>
  <c r="L2075" i="4"/>
  <c r="L545" i="4" l="1"/>
  <c r="L2076" i="4"/>
  <c r="L546" i="4" l="1"/>
  <c r="L2077" i="4"/>
  <c r="L547" i="4" l="1"/>
  <c r="L2078" i="4"/>
  <c r="L548" i="4" l="1"/>
  <c r="L2079" i="4"/>
  <c r="L549" i="4" l="1"/>
  <c r="L2080" i="4"/>
  <c r="L550" i="4" l="1"/>
  <c r="L2081" i="4"/>
  <c r="L551" i="4" l="1"/>
  <c r="L2082" i="4"/>
  <c r="L2083" i="4" l="1"/>
  <c r="L552" i="4"/>
  <c r="H551" i="4"/>
  <c r="H552" i="4" s="1"/>
  <c r="I553" i="4" s="1"/>
  <c r="H72" i="1" l="1"/>
  <c r="K72" i="1" s="1"/>
  <c r="N553" i="4"/>
  <c r="L553" i="4"/>
  <c r="L2084" i="4"/>
  <c r="L554" i="4" l="1"/>
  <c r="L2085" i="4"/>
  <c r="L2086" i="4" l="1"/>
  <c r="L555" i="4"/>
  <c r="L556" i="4" l="1"/>
  <c r="L2087" i="4"/>
  <c r="L557" i="4" l="1"/>
  <c r="L2088" i="4"/>
  <c r="L558" i="4" l="1"/>
  <c r="L2089" i="4"/>
  <c r="L559" i="4" l="1"/>
  <c r="L2090" i="4"/>
  <c r="L560" i="4" l="1"/>
  <c r="L2091" i="4"/>
  <c r="L561" i="4" l="1"/>
  <c r="L2092" i="4"/>
  <c r="L2093" i="4" l="1"/>
  <c r="L562" i="4"/>
  <c r="H561" i="4"/>
  <c r="H562" i="4" s="1"/>
  <c r="I563" i="4" s="1"/>
  <c r="H73" i="1" l="1"/>
  <c r="K73" i="1" s="1"/>
  <c r="N563" i="4"/>
  <c r="L563" i="4"/>
  <c r="L2094" i="4"/>
  <c r="L564" i="4" l="1"/>
  <c r="L2095" i="4"/>
  <c r="L2096" i="4" l="1"/>
  <c r="L565" i="4"/>
  <c r="L566" i="4" l="1"/>
  <c r="L2097" i="4"/>
  <c r="L567" i="4" l="1"/>
  <c r="L2098" i="4"/>
  <c r="L568" i="4" l="1"/>
  <c r="L2099" i="4"/>
  <c r="L569" i="4" l="1"/>
  <c r="L2100" i="4"/>
  <c r="L570" i="4" l="1"/>
  <c r="L2101" i="4"/>
  <c r="H569" i="4"/>
  <c r="H570" i="4" s="1"/>
  <c r="I571" i="4" s="1"/>
  <c r="N571" i="4" l="1"/>
  <c r="H74" i="1"/>
  <c r="K74" i="1" s="1"/>
  <c r="L571" i="4"/>
  <c r="L2102" i="4"/>
  <c r="L572" i="4" l="1"/>
  <c r="L2103" i="4"/>
  <c r="L573" i="4" l="1"/>
  <c r="L2104" i="4"/>
  <c r="L574" i="4" l="1"/>
  <c r="L2105" i="4"/>
  <c r="L575" i="4" l="1"/>
  <c r="L2106" i="4"/>
  <c r="L576" i="4" l="1"/>
  <c r="L2107" i="4"/>
  <c r="L577" i="4" l="1"/>
  <c r="L2108" i="4"/>
  <c r="L578" i="4" l="1"/>
  <c r="L2109" i="4"/>
  <c r="L579" i="4" l="1"/>
  <c r="L2110" i="4"/>
  <c r="L2111" i="4" l="1"/>
  <c r="L580" i="4"/>
  <c r="H579" i="4"/>
  <c r="H580" i="4" s="1"/>
  <c r="I581" i="4" s="1"/>
  <c r="N581" i="4" l="1"/>
  <c r="H75" i="1"/>
  <c r="K75" i="1" s="1"/>
  <c r="L581" i="4"/>
  <c r="L2112" i="4"/>
  <c r="L582" i="4" l="1"/>
  <c r="L2113" i="4"/>
  <c r="L2114" i="4" l="1"/>
  <c r="L583" i="4"/>
  <c r="L584" i="4" l="1"/>
  <c r="L2115" i="4"/>
  <c r="L585" i="4" l="1"/>
  <c r="L2116" i="4"/>
  <c r="L586" i="4" l="1"/>
  <c r="L2117" i="4"/>
  <c r="L587" i="4" l="1"/>
  <c r="L2118" i="4"/>
  <c r="L588" i="4" l="1"/>
  <c r="L2119" i="4"/>
  <c r="L589" i="4" l="1"/>
  <c r="L2120" i="4"/>
  <c r="L2121" i="4" l="1"/>
  <c r="L590" i="4"/>
  <c r="H589" i="4"/>
  <c r="H590" i="4" s="1"/>
  <c r="I591" i="4" s="1"/>
  <c r="N591" i="4" l="1"/>
  <c r="H76" i="1"/>
  <c r="K76" i="1" s="1"/>
  <c r="L591" i="4"/>
  <c r="L2122" i="4"/>
  <c r="L592" i="4" l="1"/>
  <c r="L2123" i="4"/>
  <c r="L593" i="4" l="1"/>
  <c r="L2124" i="4"/>
  <c r="L594" i="4" l="1"/>
  <c r="L2125" i="4"/>
  <c r="L595" i="4" l="1"/>
  <c r="L2126" i="4"/>
  <c r="L596" i="4" l="1"/>
  <c r="L2127" i="4"/>
  <c r="L597" i="4" l="1"/>
  <c r="L2128" i="4"/>
  <c r="L598" i="4" l="1"/>
  <c r="L2129" i="4"/>
  <c r="L599" i="4" l="1"/>
  <c r="L2130" i="4"/>
  <c r="L600" i="4" l="1"/>
  <c r="L2131" i="4"/>
  <c r="L2132" i="4" l="1"/>
  <c r="L601" i="4"/>
  <c r="H600" i="4"/>
  <c r="H601" i="4" s="1"/>
  <c r="I602" i="4" s="1"/>
  <c r="N602" i="4" l="1"/>
  <c r="H77" i="1"/>
  <c r="K77" i="1" s="1"/>
  <c r="L602" i="4"/>
  <c r="L2133" i="4"/>
  <c r="L603" i="4" l="1"/>
  <c r="L2134" i="4"/>
  <c r="L604" i="4" l="1"/>
  <c r="L2135" i="4"/>
  <c r="L605" i="4" l="1"/>
  <c r="L2136" i="4"/>
  <c r="L606" i="4" l="1"/>
  <c r="L2137" i="4"/>
  <c r="L607" i="4" l="1"/>
  <c r="L2138" i="4"/>
  <c r="L608" i="4" l="1"/>
  <c r="L2139" i="4"/>
  <c r="L609" i="4" l="1"/>
  <c r="L2140" i="4"/>
  <c r="L610" i="4" l="1"/>
  <c r="L2141" i="4"/>
  <c r="L2142" i="4" l="1"/>
  <c r="L611" i="4"/>
  <c r="H610" i="4"/>
  <c r="H611" i="4" s="1"/>
  <c r="I612" i="4" s="1"/>
  <c r="H78" i="1" l="1"/>
  <c r="K78" i="1" s="1"/>
  <c r="N612" i="4"/>
  <c r="L612" i="4"/>
  <c r="L2143" i="4"/>
  <c r="L613" i="4" l="1"/>
  <c r="L2144" i="4"/>
  <c r="L2145" i="4" l="1"/>
  <c r="L614" i="4"/>
  <c r="L615" i="4" l="1"/>
  <c r="L2146" i="4"/>
  <c r="L616" i="4" l="1"/>
  <c r="L2147" i="4"/>
  <c r="L617" i="4" l="1"/>
  <c r="L2148" i="4"/>
  <c r="L618" i="4" l="1"/>
  <c r="L2149" i="4"/>
  <c r="L619" i="4" l="1"/>
  <c r="L2150" i="4"/>
  <c r="L620" i="4" l="1"/>
  <c r="L2151" i="4"/>
  <c r="L2152" i="4" l="1"/>
  <c r="L621" i="4"/>
  <c r="H620" i="4"/>
  <c r="H621" i="4" s="1"/>
  <c r="I622" i="4" s="1"/>
  <c r="N622" i="4" l="1"/>
  <c r="H79" i="1"/>
  <c r="K79" i="1" s="1"/>
  <c r="L622" i="4"/>
  <c r="L2153" i="4"/>
  <c r="L623" i="4" l="1"/>
  <c r="L2154" i="4"/>
  <c r="L624" i="4" l="1"/>
  <c r="L2155" i="4"/>
  <c r="L625" i="4" l="1"/>
  <c r="L2156" i="4"/>
  <c r="L626" i="4" l="1"/>
  <c r="L2157" i="4"/>
  <c r="L627" i="4" l="1"/>
  <c r="L2158" i="4"/>
  <c r="L628" i="4" l="1"/>
  <c r="L2159" i="4"/>
  <c r="L629" i="4" l="1"/>
  <c r="L2160" i="4"/>
  <c r="L630" i="4" l="1"/>
  <c r="L2161" i="4"/>
  <c r="L2162" i="4" l="1"/>
  <c r="L631" i="4"/>
  <c r="H630" i="4"/>
  <c r="H631" i="4" s="1"/>
  <c r="I632" i="4" s="1"/>
  <c r="N632" i="4" l="1"/>
  <c r="H80" i="1"/>
  <c r="K80" i="1" s="1"/>
  <c r="L632" i="4"/>
  <c r="L2163" i="4"/>
  <c r="L633" i="4" l="1"/>
  <c r="L2164" i="4"/>
  <c r="L634" i="4" l="1"/>
  <c r="L2165" i="4"/>
  <c r="L635" i="4" l="1"/>
  <c r="L2166" i="4"/>
  <c r="L636" i="4" l="1"/>
  <c r="L2167" i="4"/>
  <c r="L637" i="4" l="1"/>
  <c r="L2168" i="4"/>
  <c r="L638" i="4" l="1"/>
  <c r="L2169" i="4"/>
  <c r="L639" i="4" l="1"/>
  <c r="L2170" i="4"/>
  <c r="L640" i="4" l="1"/>
  <c r="L2171" i="4"/>
  <c r="L2172" i="4" l="1"/>
  <c r="H640" i="4"/>
  <c r="H641" i="4" s="1"/>
  <c r="I642" i="4" s="1"/>
  <c r="L641" i="4"/>
  <c r="L642" i="4" l="1"/>
  <c r="L2173" i="4"/>
  <c r="N642" i="4"/>
  <c r="H81" i="1"/>
  <c r="K81" i="1" s="1"/>
  <c r="L643" i="4" l="1"/>
  <c r="L2174" i="4"/>
  <c r="L2175" i="4" l="1"/>
  <c r="L644" i="4"/>
  <c r="L645" i="4" l="1"/>
  <c r="L2176" i="4"/>
  <c r="L646" i="4" l="1"/>
  <c r="L2177" i="4"/>
  <c r="L647" i="4" l="1"/>
  <c r="L2178" i="4"/>
  <c r="L648" i="4" l="1"/>
  <c r="L2179" i="4"/>
  <c r="L649" i="4" l="1"/>
  <c r="L2180" i="4"/>
  <c r="L650" i="4" l="1"/>
  <c r="L2181" i="4"/>
  <c r="L2182" i="4" l="1"/>
  <c r="H650" i="4"/>
  <c r="H651" i="4" s="1"/>
  <c r="I652" i="4" s="1"/>
  <c r="L651" i="4"/>
  <c r="L652" i="4" l="1"/>
  <c r="L2183" i="4"/>
  <c r="N652" i="4"/>
  <c r="H82" i="1"/>
  <c r="K82" i="1" s="1"/>
  <c r="L653" i="4" l="1"/>
  <c r="L2184" i="4"/>
  <c r="L2185" i="4" l="1"/>
  <c r="L654" i="4"/>
  <c r="L655" i="4" l="1"/>
  <c r="L2186" i="4"/>
  <c r="L656" i="4" l="1"/>
  <c r="L2187" i="4"/>
  <c r="L657" i="4" l="1"/>
  <c r="L2188" i="4"/>
  <c r="L658" i="4" l="1"/>
  <c r="L2189" i="4"/>
  <c r="L659" i="4" l="1"/>
  <c r="L2190" i="4"/>
  <c r="L660" i="4" l="1"/>
  <c r="L2191" i="4"/>
  <c r="L2192" i="4" l="1"/>
  <c r="L661" i="4"/>
  <c r="H660" i="4"/>
  <c r="H661" i="4" s="1"/>
  <c r="I662" i="4" s="1"/>
  <c r="N662" i="4" l="1"/>
  <c r="H83" i="1"/>
  <c r="K83" i="1" s="1"/>
  <c r="L662" i="4"/>
  <c r="L2193" i="4"/>
  <c r="L663" i="4" l="1"/>
  <c r="L2194" i="4"/>
  <c r="L664" i="4" l="1"/>
  <c r="L2195" i="4"/>
  <c r="L665" i="4" l="1"/>
  <c r="L2196" i="4"/>
  <c r="L666" i="4" l="1"/>
  <c r="L2197" i="4"/>
  <c r="L667" i="4" l="1"/>
  <c r="L2198" i="4"/>
  <c r="L668" i="4" l="1"/>
  <c r="L2199" i="4"/>
  <c r="L669" i="4" l="1"/>
  <c r="L2200" i="4"/>
  <c r="L670" i="4" l="1"/>
  <c r="L2201" i="4"/>
  <c r="L2202" i="4" l="1"/>
  <c r="H670" i="4"/>
  <c r="H671" i="4" s="1"/>
  <c r="I672" i="4" s="1"/>
  <c r="L671" i="4"/>
  <c r="L672" i="4" l="1"/>
  <c r="L2203" i="4"/>
  <c r="N672" i="4"/>
  <c r="H84" i="1"/>
  <c r="K84" i="1" s="1"/>
  <c r="L673" i="4" l="1"/>
  <c r="L2204" i="4"/>
  <c r="L674" i="4" l="1"/>
  <c r="L2205" i="4"/>
  <c r="L675" i="4" l="1"/>
  <c r="L2206" i="4"/>
  <c r="L676" i="4" l="1"/>
  <c r="L2207" i="4"/>
  <c r="L677" i="4" l="1"/>
  <c r="L2208" i="4"/>
  <c r="L678" i="4" l="1"/>
  <c r="L2209" i="4"/>
  <c r="L679" i="4" l="1"/>
  <c r="L2210" i="4"/>
  <c r="L680" i="4" l="1"/>
  <c r="L2211" i="4"/>
  <c r="L2212" i="4" l="1"/>
  <c r="L681" i="4"/>
  <c r="H680" i="4"/>
  <c r="H681" i="4" s="1"/>
  <c r="I682" i="4" s="1"/>
  <c r="H85" i="1" l="1"/>
  <c r="K85" i="1" s="1"/>
  <c r="N682" i="4"/>
  <c r="L682" i="4"/>
  <c r="L2213" i="4"/>
  <c r="L683" i="4" l="1"/>
  <c r="L2214" i="4"/>
  <c r="L2215" i="4" l="1"/>
  <c r="L684" i="4"/>
  <c r="L685" i="4" l="1"/>
  <c r="L2216" i="4"/>
  <c r="L686" i="4" l="1"/>
  <c r="L2217" i="4"/>
  <c r="L687" i="4" l="1"/>
  <c r="L2218" i="4"/>
  <c r="L688" i="4" l="1"/>
  <c r="L2219" i="4"/>
  <c r="L689" i="4" l="1"/>
  <c r="L2220" i="4"/>
  <c r="L690" i="4" l="1"/>
  <c r="L2221" i="4"/>
  <c r="L2222" i="4" l="1"/>
  <c r="L691" i="4"/>
  <c r="H690" i="4"/>
  <c r="H691" i="4" s="1"/>
  <c r="I692" i="4" s="1"/>
  <c r="N692" i="4" l="1"/>
  <c r="H86" i="1"/>
  <c r="K86" i="1" s="1"/>
  <c r="L692" i="4"/>
  <c r="L2223" i="4"/>
  <c r="L693" i="4" l="1"/>
  <c r="L2224" i="4"/>
  <c r="L2225" i="4" l="1"/>
  <c r="L694" i="4"/>
  <c r="L695" i="4" l="1"/>
  <c r="L2226" i="4"/>
  <c r="L696" i="4" l="1"/>
  <c r="L2227" i="4"/>
  <c r="L697" i="4" l="1"/>
  <c r="L2228" i="4"/>
  <c r="L698" i="4" l="1"/>
  <c r="L2229" i="4"/>
  <c r="L699" i="4" l="1"/>
  <c r="L2230" i="4"/>
  <c r="L700" i="4" l="1"/>
  <c r="L2231" i="4"/>
  <c r="L2232" i="4" l="1"/>
  <c r="L701" i="4"/>
  <c r="H700" i="4"/>
  <c r="H701" i="4" s="1"/>
  <c r="I702" i="4" s="1"/>
  <c r="N702" i="4" l="1"/>
  <c r="H87" i="1"/>
  <c r="K87" i="1" s="1"/>
  <c r="L702" i="4"/>
  <c r="L2233" i="4"/>
  <c r="L703" i="4" l="1"/>
  <c r="L2234" i="4"/>
  <c r="L2235" i="4" l="1"/>
  <c r="L704" i="4"/>
  <c r="L705" i="4" l="1"/>
  <c r="L2236" i="4"/>
  <c r="L706" i="4" l="1"/>
  <c r="L2237" i="4"/>
  <c r="L707" i="4" l="1"/>
  <c r="L2238" i="4"/>
  <c r="L708" i="4" l="1"/>
  <c r="L2239" i="4"/>
  <c r="L709" i="4" l="1"/>
  <c r="L2240" i="4"/>
  <c r="L710" i="4" l="1"/>
  <c r="L2241" i="4"/>
  <c r="L2242" i="4" l="1"/>
  <c r="H710" i="4"/>
  <c r="H711" i="4" s="1"/>
  <c r="I712" i="4" s="1"/>
  <c r="L711" i="4"/>
  <c r="L712" i="4" l="1"/>
  <c r="L2243" i="4"/>
  <c r="N712" i="4"/>
  <c r="H88" i="1"/>
  <c r="K88" i="1" s="1"/>
  <c r="L2244" i="4" l="1"/>
  <c r="L713" i="4"/>
  <c r="L714" i="4" l="1"/>
  <c r="L2245" i="4"/>
  <c r="L715" i="4" l="1"/>
  <c r="L2246" i="4"/>
  <c r="L716" i="4" l="1"/>
  <c r="L2247" i="4"/>
  <c r="L717" i="4" l="1"/>
  <c r="L2248" i="4"/>
  <c r="L718" i="4" l="1"/>
  <c r="L2249" i="4"/>
  <c r="L719" i="4" l="1"/>
  <c r="L2250" i="4"/>
  <c r="L720" i="4" l="1"/>
  <c r="L2251" i="4"/>
  <c r="L2252" i="4" l="1"/>
  <c r="L721" i="4"/>
  <c r="H720" i="4"/>
  <c r="H721" i="4" s="1"/>
  <c r="I722" i="4" s="1"/>
  <c r="H89" i="1" l="1"/>
  <c r="K89" i="1" s="1"/>
  <c r="N722" i="4"/>
  <c r="L722" i="4"/>
  <c r="L2253" i="4"/>
  <c r="L723" i="4" l="1"/>
  <c r="L2254" i="4"/>
  <c r="L724" i="4" l="1"/>
  <c r="L2255" i="4"/>
  <c r="L725" i="4" l="1"/>
  <c r="L2256" i="4"/>
  <c r="L726" i="4" l="1"/>
  <c r="L2257" i="4"/>
  <c r="L727" i="4" l="1"/>
  <c r="L2258" i="4"/>
  <c r="L728" i="4" l="1"/>
  <c r="L2259" i="4"/>
  <c r="L729" i="4" l="1"/>
  <c r="L2260" i="4"/>
  <c r="L730" i="4" l="1"/>
  <c r="L2261" i="4"/>
  <c r="L2262" i="4" l="1"/>
  <c r="L731" i="4"/>
  <c r="H730" i="4"/>
  <c r="H731" i="4" s="1"/>
  <c r="I732" i="4" s="1"/>
  <c r="N732" i="4" l="1"/>
  <c r="H90" i="1"/>
  <c r="K90" i="1" s="1"/>
  <c r="L732" i="4"/>
  <c r="L2263" i="4"/>
  <c r="L733" i="4" l="1"/>
  <c r="L2264" i="4"/>
  <c r="L2265" i="4" l="1"/>
  <c r="L734" i="4"/>
  <c r="L735" i="4" l="1"/>
  <c r="L2266" i="4"/>
  <c r="L736" i="4" l="1"/>
  <c r="L2267" i="4"/>
  <c r="L737" i="4" l="1"/>
  <c r="L2268" i="4"/>
  <c r="L738" i="4" l="1"/>
  <c r="L2269" i="4"/>
  <c r="L739" i="4" l="1"/>
  <c r="L2270" i="4"/>
  <c r="L740" i="4" l="1"/>
  <c r="L2271" i="4"/>
  <c r="L2272" i="4" l="1"/>
  <c r="L741" i="4"/>
  <c r="H740" i="4"/>
  <c r="H741" i="4" s="1"/>
  <c r="I742" i="4" s="1"/>
  <c r="N742" i="4" l="1"/>
  <c r="H91" i="1"/>
  <c r="K91" i="1" s="1"/>
  <c r="L742" i="4"/>
  <c r="L2273" i="4"/>
  <c r="L743" i="4" l="1"/>
  <c r="L2274" i="4"/>
  <c r="L744" i="4" l="1"/>
  <c r="L2275" i="4"/>
  <c r="L745" i="4" l="1"/>
  <c r="L2276" i="4"/>
  <c r="L746" i="4" l="1"/>
  <c r="L2277" i="4"/>
  <c r="L747" i="4" l="1"/>
  <c r="L2278" i="4"/>
  <c r="L748" i="4" l="1"/>
  <c r="L2279" i="4"/>
  <c r="L749" i="4" l="1"/>
  <c r="L2280" i="4"/>
  <c r="L750" i="4" l="1"/>
  <c r="L2281" i="4"/>
  <c r="L2282" i="4" l="1"/>
  <c r="L751" i="4"/>
  <c r="H750" i="4"/>
  <c r="H751" i="4" s="1"/>
  <c r="I752" i="4" s="1"/>
  <c r="N752" i="4" l="1"/>
  <c r="H92" i="1"/>
  <c r="K92" i="1" s="1"/>
  <c r="L752" i="4"/>
  <c r="L2283" i="4"/>
  <c r="L753" i="4" l="1"/>
  <c r="L2284" i="4"/>
  <c r="L754" i="4" l="1"/>
  <c r="L2285" i="4"/>
  <c r="L755" i="4" l="1"/>
  <c r="L2286" i="4"/>
  <c r="L756" i="4" l="1"/>
  <c r="L2287" i="4"/>
  <c r="L757" i="4" l="1"/>
  <c r="L2288" i="4"/>
  <c r="L758" i="4" l="1"/>
  <c r="L2289" i="4"/>
  <c r="L759" i="4" l="1"/>
  <c r="L2290" i="4"/>
  <c r="L760" i="4" l="1"/>
  <c r="L2291" i="4"/>
  <c r="L2292" i="4" l="1"/>
  <c r="H760" i="4"/>
  <c r="H761" i="4" s="1"/>
  <c r="I762" i="4" s="1"/>
  <c r="L761" i="4"/>
  <c r="L762" i="4" l="1"/>
  <c r="L2293" i="4"/>
  <c r="N762" i="4"/>
  <c r="H93" i="1"/>
  <c r="K93" i="1" s="1"/>
  <c r="L763" i="4" l="1"/>
  <c r="L2294" i="4"/>
  <c r="L764" i="4" l="1"/>
  <c r="L2295" i="4"/>
  <c r="L765" i="4" l="1"/>
  <c r="L2296" i="4"/>
  <c r="L766" i="4" l="1"/>
  <c r="L2297" i="4"/>
  <c r="L767" i="4" l="1"/>
  <c r="L2298" i="4"/>
  <c r="L768" i="4" l="1"/>
  <c r="L2299" i="4"/>
  <c r="L769" i="4" l="1"/>
  <c r="L2300" i="4"/>
  <c r="L770" i="4" l="1"/>
  <c r="L2301" i="4"/>
  <c r="L2302" i="4" l="1"/>
  <c r="L771" i="4"/>
  <c r="H770" i="4"/>
  <c r="H771" i="4" s="1"/>
  <c r="I772" i="4" s="1"/>
  <c r="N772" i="4" l="1"/>
  <c r="H94" i="1"/>
  <c r="K94" i="1" s="1"/>
  <c r="L772" i="4"/>
  <c r="L2303" i="4"/>
  <c r="L773" i="4" l="1"/>
  <c r="L2304" i="4"/>
  <c r="L774" i="4" l="1"/>
  <c r="L2305" i="4"/>
  <c r="L775" i="4" l="1"/>
  <c r="L2306" i="4"/>
  <c r="L776" i="4" l="1"/>
  <c r="L2307" i="4"/>
  <c r="L777" i="4" l="1"/>
  <c r="L2308" i="4"/>
  <c r="L778" i="4" l="1"/>
  <c r="L2309" i="4"/>
  <c r="L779" i="4" l="1"/>
  <c r="L2310" i="4"/>
  <c r="L780" i="4" l="1"/>
  <c r="L2311" i="4"/>
  <c r="L2312" i="4" l="1"/>
  <c r="H780" i="4"/>
  <c r="H781" i="4" s="1"/>
  <c r="I782" i="4" s="1"/>
  <c r="L781" i="4"/>
  <c r="L782" i="4" l="1"/>
  <c r="L2313" i="4"/>
  <c r="H95" i="1"/>
  <c r="K95" i="1" s="1"/>
  <c r="N782" i="4"/>
  <c r="L783" i="4" l="1"/>
  <c r="L2314" i="4"/>
  <c r="L784" i="4" l="1"/>
  <c r="L2315" i="4"/>
  <c r="L2316" i="4" l="1"/>
  <c r="L785" i="4"/>
  <c r="L786" i="4" l="1"/>
  <c r="L2317" i="4"/>
  <c r="L787" i="4" l="1"/>
  <c r="L2318" i="4"/>
  <c r="L788" i="4" l="1"/>
  <c r="L2319" i="4"/>
  <c r="L789" i="4" l="1"/>
  <c r="L2320" i="4"/>
  <c r="L790" i="4" l="1"/>
  <c r="L2321" i="4"/>
  <c r="L791" i="4" l="1"/>
  <c r="L2322" i="4"/>
  <c r="L2323" i="4" l="1"/>
  <c r="H791" i="4"/>
  <c r="H792" i="4" s="1"/>
  <c r="I793" i="4" s="1"/>
  <c r="L792" i="4"/>
  <c r="L793" i="4" l="1"/>
  <c r="L2324" i="4"/>
  <c r="N793" i="4"/>
  <c r="H96" i="1"/>
  <c r="K96" i="1" s="1"/>
  <c r="L794" i="4" l="1"/>
  <c r="L2325" i="4"/>
  <c r="L795" i="4" l="1"/>
  <c r="L2326" i="4"/>
  <c r="L796" i="4" l="1"/>
  <c r="L2327" i="4"/>
  <c r="L797" i="4" l="1"/>
  <c r="L2328" i="4"/>
  <c r="L798" i="4" l="1"/>
  <c r="L2329" i="4"/>
  <c r="L799" i="4" l="1"/>
  <c r="L2330" i="4"/>
  <c r="L800" i="4" l="1"/>
  <c r="L2331" i="4"/>
  <c r="L801" i="4" l="1"/>
  <c r="L2332" i="4"/>
  <c r="L2333" i="4" l="1"/>
  <c r="L802" i="4"/>
  <c r="H801" i="4"/>
  <c r="H802" i="4" s="1"/>
  <c r="I803" i="4" s="1"/>
  <c r="N803" i="4" l="1"/>
  <c r="H97" i="1"/>
  <c r="K97" i="1" s="1"/>
  <c r="L803" i="4"/>
  <c r="L2334" i="4"/>
  <c r="L804" i="4" l="1"/>
  <c r="L2335" i="4"/>
  <c r="L2336" i="4" l="1"/>
  <c r="L805" i="4"/>
  <c r="L806" i="4" l="1"/>
  <c r="L2337" i="4"/>
  <c r="L807" i="4" l="1"/>
  <c r="L2338" i="4"/>
  <c r="L808" i="4" l="1"/>
  <c r="L2339" i="4"/>
  <c r="L809" i="4" l="1"/>
  <c r="L2340" i="4"/>
  <c r="L810" i="4" l="1"/>
  <c r="L2341" i="4"/>
  <c r="L811" i="4" l="1"/>
  <c r="L2342" i="4"/>
  <c r="L2343" i="4" l="1"/>
  <c r="H811" i="4"/>
  <c r="H812" i="4" s="1"/>
  <c r="I813" i="4" s="1"/>
  <c r="L812" i="4"/>
  <c r="L813" i="4" l="1"/>
  <c r="L2344" i="4"/>
  <c r="H98" i="1"/>
  <c r="K98" i="1" s="1"/>
  <c r="N813" i="4"/>
  <c r="L814" i="4" l="1"/>
  <c r="L2345" i="4"/>
  <c r="L815" i="4" l="1"/>
  <c r="L2346" i="4"/>
  <c r="L816" i="4" l="1"/>
  <c r="L2347" i="4"/>
  <c r="L817" i="4" l="1"/>
  <c r="L2348" i="4"/>
  <c r="L818" i="4" l="1"/>
  <c r="L2349" i="4"/>
  <c r="L819" i="4" l="1"/>
  <c r="L2350" i="4"/>
  <c r="L820" i="4" l="1"/>
  <c r="L2351" i="4"/>
  <c r="L821" i="4" l="1"/>
  <c r="L2352" i="4"/>
  <c r="L2353" i="4" l="1"/>
  <c r="L822" i="4"/>
  <c r="H821" i="4"/>
  <c r="H822" i="4" s="1"/>
  <c r="I823" i="4" s="1"/>
  <c r="N823" i="4" l="1"/>
  <c r="H99" i="1"/>
  <c r="K99" i="1" s="1"/>
  <c r="L823" i="4"/>
  <c r="L2354" i="4"/>
  <c r="L824" i="4" l="1"/>
  <c r="L2355" i="4"/>
  <c r="L825" i="4" l="1"/>
  <c r="L2356" i="4"/>
  <c r="L826" i="4" l="1"/>
  <c r="L2357" i="4"/>
  <c r="L827" i="4" l="1"/>
  <c r="L2358" i="4"/>
  <c r="L828" i="4" l="1"/>
  <c r="L2359" i="4"/>
  <c r="L829" i="4" l="1"/>
  <c r="L2360" i="4"/>
  <c r="L830" i="4" l="1"/>
  <c r="L2361" i="4"/>
  <c r="L831" i="4" l="1"/>
  <c r="L2362" i="4"/>
  <c r="L2363" i="4" l="1"/>
  <c r="H831" i="4"/>
  <c r="H832" i="4" s="1"/>
  <c r="I833" i="4" s="1"/>
  <c r="L832" i="4"/>
  <c r="L833" i="4" l="1"/>
  <c r="L2364" i="4"/>
  <c r="H100" i="1"/>
  <c r="K100" i="1" s="1"/>
  <c r="N833" i="4"/>
  <c r="L834" i="4" l="1"/>
  <c r="L2365" i="4"/>
  <c r="L2366" i="4" l="1"/>
  <c r="L835" i="4"/>
  <c r="L836" i="4" l="1"/>
  <c r="L2367" i="4"/>
  <c r="L837" i="4" l="1"/>
  <c r="L2368" i="4"/>
  <c r="L838" i="4" l="1"/>
  <c r="L2369" i="4"/>
  <c r="L839" i="4" l="1"/>
  <c r="L2370" i="4"/>
  <c r="L840" i="4" l="1"/>
  <c r="L2371" i="4"/>
  <c r="L841" i="4" l="1"/>
  <c r="L2372" i="4"/>
  <c r="L2373" i="4" l="1"/>
  <c r="L842" i="4"/>
  <c r="H841" i="4"/>
  <c r="H842" i="4" s="1"/>
  <c r="I843" i="4" s="1"/>
  <c r="N843" i="4" l="1"/>
  <c r="H101" i="1"/>
  <c r="K101" i="1" s="1"/>
  <c r="L843" i="4"/>
  <c r="L2374" i="4"/>
  <c r="L844" i="4" l="1"/>
  <c r="L2375" i="4"/>
  <c r="L2376" i="4" l="1"/>
  <c r="L845" i="4"/>
  <c r="L846" i="4" l="1"/>
  <c r="L2377" i="4"/>
  <c r="L847" i="4" l="1"/>
  <c r="L2378" i="4"/>
  <c r="L848" i="4" l="1"/>
  <c r="L2379" i="4"/>
  <c r="L849" i="4" l="1"/>
  <c r="L2380" i="4"/>
  <c r="L850" i="4" l="1"/>
  <c r="L2381" i="4"/>
  <c r="L851" i="4" l="1"/>
  <c r="L2382" i="4"/>
  <c r="L2383" i="4" l="1"/>
  <c r="L852" i="4"/>
  <c r="H851" i="4"/>
  <c r="H852" i="4" s="1"/>
  <c r="I853" i="4" s="1"/>
  <c r="H102" i="1" l="1"/>
  <c r="K102" i="1" s="1"/>
  <c r="N853" i="4"/>
  <c r="L853" i="4"/>
  <c r="L2384" i="4"/>
  <c r="L854" i="4" l="1"/>
  <c r="L2385" i="4"/>
  <c r="L2386" i="4" l="1"/>
  <c r="L855" i="4"/>
  <c r="L856" i="4" l="1"/>
  <c r="L2387" i="4"/>
  <c r="L857" i="4" l="1"/>
  <c r="L2388" i="4"/>
  <c r="L858" i="4" l="1"/>
  <c r="L2389" i="4"/>
  <c r="L859" i="4" l="1"/>
  <c r="L2390" i="4"/>
  <c r="L860" i="4" l="1"/>
  <c r="L2391" i="4"/>
  <c r="L861" i="4" l="1"/>
  <c r="L2392" i="4"/>
  <c r="L2393" i="4" l="1"/>
  <c r="L862" i="4"/>
  <c r="H861" i="4"/>
  <c r="H862" i="4" s="1"/>
  <c r="I863" i="4" s="1"/>
  <c r="N863" i="4" l="1"/>
  <c r="H103" i="1"/>
  <c r="K103" i="1" s="1"/>
  <c r="L863" i="4"/>
  <c r="L2394" i="4"/>
  <c r="L864" i="4" l="1"/>
  <c r="L2395" i="4"/>
  <c r="L865" i="4" l="1"/>
  <c r="L2396" i="4"/>
  <c r="L866" i="4" l="1"/>
  <c r="L2397" i="4"/>
  <c r="L867" i="4" l="1"/>
  <c r="L2398" i="4"/>
  <c r="L868" i="4" l="1"/>
  <c r="L2399" i="4"/>
  <c r="L869" i="4" l="1"/>
  <c r="L2400" i="4"/>
  <c r="L870" i="4" l="1"/>
  <c r="L2401" i="4"/>
  <c r="L871" i="4" l="1"/>
  <c r="L2402" i="4"/>
  <c r="L2403" i="4" l="1"/>
  <c r="L872" i="4"/>
  <c r="H871" i="4"/>
  <c r="H872" i="4" s="1"/>
  <c r="I873" i="4" s="1"/>
  <c r="H104" i="1" l="1"/>
  <c r="K104" i="1" s="1"/>
  <c r="N873" i="4"/>
  <c r="L873" i="4"/>
  <c r="L2404" i="4"/>
  <c r="L874" i="4" l="1"/>
  <c r="L2405" i="4"/>
  <c r="L875" i="4" l="1"/>
  <c r="L2406" i="4"/>
  <c r="L876" i="4" l="1"/>
  <c r="L2407" i="4"/>
  <c r="L877" i="4" l="1"/>
  <c r="L2408" i="4"/>
  <c r="L878" i="4" l="1"/>
  <c r="L2409" i="4"/>
  <c r="L879" i="4" l="1"/>
  <c r="L2410" i="4"/>
  <c r="L880" i="4" l="1"/>
  <c r="L2411" i="4"/>
  <c r="L881" i="4" l="1"/>
  <c r="L2412" i="4"/>
  <c r="L2413" i="4" l="1"/>
  <c r="L882" i="4"/>
  <c r="H881" i="4"/>
  <c r="H882" i="4" s="1"/>
  <c r="I883" i="4" s="1"/>
  <c r="N883" i="4" l="1"/>
  <c r="H105" i="1"/>
  <c r="K105" i="1" s="1"/>
  <c r="L883" i="4"/>
  <c r="L2414" i="4"/>
  <c r="L884" i="4" l="1"/>
  <c r="L2415" i="4"/>
  <c r="L2416" i="4" l="1"/>
  <c r="L885" i="4"/>
  <c r="L886" i="4" l="1"/>
  <c r="L2417" i="4"/>
  <c r="L887" i="4" l="1"/>
  <c r="L2418" i="4"/>
  <c r="L888" i="4" l="1"/>
  <c r="L2419" i="4"/>
  <c r="L889" i="4" l="1"/>
  <c r="L2420" i="4"/>
  <c r="L890" i="4" l="1"/>
  <c r="L2421" i="4"/>
  <c r="L891" i="4" l="1"/>
  <c r="L2422" i="4"/>
  <c r="L2423" i="4" l="1"/>
  <c r="L892" i="4"/>
  <c r="H891" i="4"/>
  <c r="H892" i="4" s="1"/>
  <c r="I893" i="4" s="1"/>
  <c r="N893" i="4" l="1"/>
  <c r="H106" i="1"/>
  <c r="K106" i="1" s="1"/>
  <c r="L893" i="4"/>
  <c r="L2424" i="4"/>
  <c r="L894" i="4" l="1"/>
  <c r="L2425" i="4"/>
  <c r="L895" i="4" l="1"/>
  <c r="L2426" i="4"/>
  <c r="L896" i="4" l="1"/>
  <c r="L2427" i="4"/>
  <c r="L897" i="4" l="1"/>
  <c r="L2428" i="4"/>
  <c r="L898" i="4" l="1"/>
  <c r="L2429" i="4"/>
  <c r="L899" i="4" l="1"/>
  <c r="L2430" i="4"/>
  <c r="L900" i="4" l="1"/>
  <c r="L2431" i="4"/>
  <c r="L901" i="4" l="1"/>
  <c r="L2432" i="4"/>
  <c r="L2433" i="4" l="1"/>
  <c r="H901" i="4"/>
  <c r="H902" i="4" s="1"/>
  <c r="I903" i="4" s="1"/>
  <c r="L902" i="4"/>
  <c r="L903" i="4" l="1"/>
  <c r="L2434" i="4"/>
  <c r="H107" i="1"/>
  <c r="K107" i="1" s="1"/>
  <c r="N903" i="4"/>
  <c r="L904" i="4" l="1"/>
  <c r="L2435" i="4"/>
  <c r="L905" i="4" l="1"/>
  <c r="L2436" i="4"/>
  <c r="L906" i="4" l="1"/>
  <c r="L2437" i="4"/>
  <c r="L907" i="4" l="1"/>
  <c r="L2438" i="4"/>
  <c r="L908" i="4" l="1"/>
  <c r="L2439" i="4"/>
  <c r="L909" i="4" l="1"/>
  <c r="L2440" i="4"/>
  <c r="L910" i="4" l="1"/>
  <c r="L2441" i="4"/>
  <c r="L911" i="4" l="1"/>
  <c r="L2442" i="4"/>
  <c r="L2443" i="4" l="1"/>
  <c r="H911" i="4"/>
  <c r="H912" i="4" s="1"/>
  <c r="I913" i="4" s="1"/>
  <c r="N913" i="4" s="1"/>
  <c r="L912" i="4"/>
  <c r="L913" i="4" l="1"/>
  <c r="L2444" i="4"/>
  <c r="L914" i="4" l="1"/>
  <c r="L2445" i="4"/>
  <c r="L2446" i="4" l="1"/>
  <c r="L915" i="4"/>
  <c r="L916" i="4" l="1"/>
  <c r="L2447" i="4"/>
  <c r="L917" i="4" l="1"/>
  <c r="L2448" i="4"/>
  <c r="L918" i="4" l="1"/>
  <c r="L2449" i="4"/>
  <c r="L919" i="4" l="1"/>
  <c r="L2450" i="4"/>
  <c r="L920" i="4" l="1"/>
  <c r="L2451" i="4"/>
  <c r="L921" i="4" l="1"/>
  <c r="L2452" i="4"/>
  <c r="L2453" i="4" l="1"/>
  <c r="L922" i="4"/>
  <c r="H921" i="4"/>
  <c r="H922" i="4" s="1"/>
  <c r="I923" i="4" s="1"/>
  <c r="H109" i="1" l="1"/>
  <c r="K109" i="1" s="1"/>
  <c r="N923" i="4"/>
  <c r="L923" i="4"/>
  <c r="L2454" i="4"/>
  <c r="L2455" i="4" l="1"/>
  <c r="L924" i="4"/>
  <c r="L925" i="4" l="1"/>
  <c r="L2456" i="4"/>
  <c r="L926" i="4" l="1"/>
  <c r="L2457" i="4"/>
  <c r="L927" i="4" l="1"/>
  <c r="L2458" i="4"/>
  <c r="L928" i="4" l="1"/>
  <c r="L2459" i="4"/>
  <c r="L929" i="4" l="1"/>
  <c r="L2460" i="4"/>
  <c r="L930" i="4" l="1"/>
  <c r="L2461" i="4"/>
  <c r="L931" i="4" l="1"/>
  <c r="L2462" i="4"/>
  <c r="L2463" i="4" l="1"/>
  <c r="L932" i="4"/>
  <c r="H931" i="4"/>
  <c r="H932" i="4" s="1"/>
  <c r="I933" i="4" s="1"/>
  <c r="N933" i="4" l="1"/>
  <c r="H110" i="1"/>
  <c r="K110" i="1" s="1"/>
  <c r="L933" i="4"/>
  <c r="L2464" i="4"/>
  <c r="L934" i="4" l="1"/>
  <c r="L2465" i="4"/>
  <c r="L935" i="4" l="1"/>
  <c r="L2466" i="4"/>
  <c r="L936" i="4" l="1"/>
  <c r="L2467" i="4"/>
  <c r="L937" i="4" l="1"/>
  <c r="L2468" i="4"/>
  <c r="L938" i="4" l="1"/>
  <c r="L2469" i="4"/>
  <c r="L939" i="4" l="1"/>
  <c r="L2470" i="4"/>
  <c r="L940" i="4" l="1"/>
  <c r="L2471" i="4"/>
  <c r="L941" i="4" l="1"/>
  <c r="L2472" i="4"/>
  <c r="L2473" i="4" l="1"/>
  <c r="L942" i="4"/>
  <c r="H941" i="4"/>
  <c r="H942" i="4" s="1"/>
  <c r="I943" i="4" s="1"/>
  <c r="N943" i="4" l="1"/>
  <c r="H111" i="1"/>
  <c r="K111" i="1" s="1"/>
  <c r="L943" i="4"/>
  <c r="L2474" i="4"/>
  <c r="L944" i="4" l="1"/>
  <c r="L2475" i="4"/>
  <c r="L2476" i="4" l="1"/>
  <c r="L945" i="4"/>
  <c r="L946" i="4" l="1"/>
  <c r="L2477" i="4"/>
  <c r="L947" i="4" l="1"/>
  <c r="L2478" i="4"/>
  <c r="L948" i="4" l="1"/>
  <c r="L2479" i="4"/>
  <c r="L949" i="4" l="1"/>
  <c r="L2480" i="4"/>
  <c r="L950" i="4" l="1"/>
  <c r="L2481" i="4"/>
  <c r="L951" i="4" l="1"/>
  <c r="L2482" i="4"/>
  <c r="L2483" i="4" l="1"/>
  <c r="L952" i="4"/>
  <c r="H951" i="4"/>
  <c r="H952" i="4" s="1"/>
  <c r="I953" i="4" s="1"/>
  <c r="H112" i="1" l="1"/>
  <c r="K112" i="1" s="1"/>
  <c r="N953" i="4"/>
  <c r="L953" i="4"/>
  <c r="L2484" i="4"/>
  <c r="L954" i="4" l="1"/>
  <c r="L2485" i="4"/>
  <c r="L2486" i="4" l="1"/>
  <c r="L955" i="4"/>
  <c r="L956" i="4" l="1"/>
  <c r="L2487" i="4"/>
  <c r="L957" i="4" l="1"/>
  <c r="L2488" i="4"/>
  <c r="L958" i="4" l="1"/>
  <c r="L2489" i="4"/>
  <c r="L959" i="4" l="1"/>
  <c r="L2490" i="4"/>
  <c r="L960" i="4" l="1"/>
  <c r="L2491" i="4"/>
  <c r="L961" i="4" l="1"/>
  <c r="L2492" i="4"/>
  <c r="L2493" i="4" l="1"/>
  <c r="L962" i="4"/>
  <c r="H961" i="4"/>
  <c r="H962" i="4" s="1"/>
  <c r="I963" i="4" s="1"/>
  <c r="H113" i="1" l="1"/>
  <c r="K113" i="1" s="1"/>
  <c r="N963" i="4"/>
  <c r="L963" i="4"/>
  <c r="L2494" i="4"/>
  <c r="L964" i="4" l="1"/>
  <c r="L2495" i="4"/>
  <c r="L2496" i="4" l="1"/>
  <c r="L965" i="4"/>
  <c r="L966" i="4" l="1"/>
  <c r="L2497" i="4"/>
  <c r="L967" i="4" l="1"/>
  <c r="L2498" i="4"/>
  <c r="L968" i="4" l="1"/>
  <c r="L2499" i="4"/>
  <c r="L969" i="4" l="1"/>
  <c r="L2500" i="4"/>
  <c r="L970" i="4" l="1"/>
  <c r="L2501" i="4"/>
  <c r="L971" i="4" l="1"/>
  <c r="L2502" i="4"/>
  <c r="L2503" i="4" l="1"/>
  <c r="L972" i="4"/>
  <c r="H971" i="4"/>
  <c r="H972" i="4" s="1"/>
  <c r="I973" i="4" s="1"/>
  <c r="N973" i="4" l="1"/>
  <c r="H114" i="1"/>
  <c r="K114" i="1" s="1"/>
  <c r="L973" i="4"/>
  <c r="L2504" i="4"/>
  <c r="L974" i="4" l="1"/>
  <c r="L2505" i="4"/>
  <c r="L2506" i="4" l="1"/>
  <c r="L975" i="4"/>
  <c r="L976" i="4" l="1"/>
  <c r="L2507" i="4"/>
  <c r="L977" i="4" l="1"/>
  <c r="L2508" i="4"/>
  <c r="L978" i="4" l="1"/>
  <c r="L2509" i="4"/>
  <c r="L979" i="4" l="1"/>
  <c r="L2510" i="4"/>
  <c r="L980" i="4" l="1"/>
  <c r="L2511" i="4"/>
  <c r="L981" i="4" l="1"/>
  <c r="L2512" i="4"/>
  <c r="L2513" i="4" l="1"/>
  <c r="H981" i="4"/>
  <c r="H982" i="4" s="1"/>
  <c r="I983" i="4" s="1"/>
  <c r="L982" i="4"/>
  <c r="L983" i="4" l="1"/>
  <c r="L2514" i="4"/>
  <c r="H115" i="1"/>
  <c r="K115" i="1" s="1"/>
  <c r="N983" i="4"/>
  <c r="L984" i="4" l="1"/>
  <c r="L2515" i="4"/>
  <c r="L2516" i="4" l="1"/>
  <c r="L985" i="4"/>
  <c r="L986" i="4" l="1"/>
  <c r="L2517" i="4"/>
  <c r="L987" i="4" l="1"/>
  <c r="L2518" i="4"/>
  <c r="L988" i="4" l="1"/>
  <c r="L2519" i="4"/>
  <c r="L989" i="4" l="1"/>
  <c r="L2520" i="4"/>
  <c r="L990" i="4" l="1"/>
  <c r="L2521" i="4"/>
  <c r="L991" i="4" l="1"/>
  <c r="L2522" i="4"/>
  <c r="L2523" i="4" l="1"/>
  <c r="L992" i="4"/>
  <c r="H991" i="4"/>
  <c r="H992" i="4" s="1"/>
  <c r="I993" i="4" s="1"/>
  <c r="N993" i="4" l="1"/>
  <c r="H116" i="1"/>
  <c r="K116" i="1" s="1"/>
  <c r="L993" i="4"/>
  <c r="L2524" i="4"/>
  <c r="L994" i="4" l="1"/>
  <c r="L2525" i="4"/>
  <c r="L2526" i="4" l="1"/>
  <c r="L995" i="4"/>
  <c r="L996" i="4" l="1"/>
  <c r="L2527" i="4"/>
  <c r="L997" i="4" l="1"/>
  <c r="L2528" i="4"/>
  <c r="L998" i="4" l="1"/>
  <c r="L2529" i="4"/>
  <c r="L999" i="4" l="1"/>
  <c r="L2530" i="4"/>
  <c r="L1000" i="4" l="1"/>
  <c r="L2531" i="4"/>
  <c r="L1001" i="4" l="1"/>
  <c r="L2532" i="4"/>
  <c r="L2533" i="4" l="1"/>
  <c r="L1002" i="4"/>
  <c r="H1001" i="4"/>
  <c r="H1002" i="4" s="1"/>
  <c r="I1003" i="4" s="1"/>
  <c r="H117" i="1" l="1"/>
  <c r="K117" i="1" s="1"/>
  <c r="N1003" i="4"/>
  <c r="L1003" i="4"/>
  <c r="L2534" i="4"/>
  <c r="L1004" i="4" l="1"/>
  <c r="L2535" i="4"/>
  <c r="L2536" i="4" l="1"/>
  <c r="L1005" i="4"/>
  <c r="L1006" i="4" l="1"/>
  <c r="L2537" i="4"/>
  <c r="L1007" i="4" l="1"/>
  <c r="L2538" i="4"/>
  <c r="L1008" i="4" l="1"/>
  <c r="L2539" i="4"/>
  <c r="L1009" i="4" l="1"/>
  <c r="L2540" i="4"/>
  <c r="L1010" i="4" l="1"/>
  <c r="L2541" i="4"/>
  <c r="L1011" i="4" l="1"/>
  <c r="L2542" i="4"/>
  <c r="L2543" i="4" l="1"/>
  <c r="L1012" i="4"/>
  <c r="H1011" i="4"/>
  <c r="H1012" i="4" s="1"/>
  <c r="I1013" i="4" s="1"/>
  <c r="N1013" i="4" l="1"/>
  <c r="H118" i="1"/>
  <c r="K118" i="1" s="1"/>
  <c r="L1013" i="4"/>
  <c r="L2544" i="4"/>
  <c r="L1014" i="4" l="1"/>
  <c r="L2545" i="4"/>
  <c r="L2546" i="4" l="1"/>
  <c r="L1015" i="4"/>
  <c r="L1016" i="4" l="1"/>
  <c r="L2547" i="4"/>
  <c r="L1017" i="4" l="1"/>
  <c r="L2548" i="4"/>
  <c r="L1018" i="4" l="1"/>
  <c r="L2549" i="4"/>
  <c r="L1019" i="4" l="1"/>
  <c r="L2550" i="4"/>
  <c r="L1020" i="4" l="1"/>
  <c r="L2551" i="4"/>
  <c r="L1021" i="4" l="1"/>
  <c r="L2552" i="4"/>
  <c r="L2553" i="4" l="1"/>
  <c r="L1022" i="4"/>
  <c r="H1021" i="4"/>
  <c r="H1022" i="4" s="1"/>
  <c r="I1023" i="4" s="1"/>
  <c r="N1023" i="4" l="1"/>
  <c r="H119" i="1"/>
  <c r="K119" i="1" s="1"/>
  <c r="L1023" i="4"/>
  <c r="L2554" i="4"/>
  <c r="L1024" i="4" l="1"/>
  <c r="L2555" i="4"/>
  <c r="L2556" i="4" l="1"/>
  <c r="L1025" i="4"/>
  <c r="L1026" i="4" l="1"/>
  <c r="L2557" i="4"/>
  <c r="L1027" i="4" l="1"/>
  <c r="L2558" i="4"/>
  <c r="L1028" i="4" l="1"/>
  <c r="L2559" i="4"/>
  <c r="L1029" i="4" l="1"/>
  <c r="L2560" i="4"/>
  <c r="L1030" i="4" l="1"/>
  <c r="L2561" i="4"/>
  <c r="L1031" i="4" l="1"/>
  <c r="L2562" i="4"/>
  <c r="L2563" i="4" l="1"/>
  <c r="H1031" i="4"/>
  <c r="H1032" i="4" s="1"/>
  <c r="I1033" i="4" s="1"/>
  <c r="L1032" i="4"/>
  <c r="L1033" i="4" l="1"/>
  <c r="L2564" i="4"/>
  <c r="N1033" i="4"/>
  <c r="H120" i="1"/>
  <c r="K120" i="1" s="1"/>
  <c r="L1034" i="4" l="1"/>
  <c r="L2565" i="4"/>
  <c r="L2566" i="4" l="1"/>
  <c r="L1035" i="4"/>
  <c r="L1036" i="4" l="1"/>
  <c r="L2567" i="4"/>
  <c r="L1037" i="4" l="1"/>
  <c r="L2568" i="4"/>
  <c r="L1038" i="4" l="1"/>
  <c r="L2569" i="4"/>
  <c r="L1039" i="4" l="1"/>
  <c r="L2570" i="4"/>
  <c r="L1040" i="4" l="1"/>
  <c r="L2571" i="4"/>
  <c r="L1041" i="4" l="1"/>
  <c r="L2572" i="4"/>
  <c r="L2573" i="4" l="1"/>
  <c r="L1042" i="4"/>
  <c r="H1041" i="4"/>
  <c r="H1042" i="4" s="1"/>
  <c r="I1043" i="4" s="1"/>
  <c r="N1043" i="4" l="1"/>
  <c r="H121" i="1"/>
  <c r="K121" i="1" s="1"/>
  <c r="L1043" i="4"/>
  <c r="L2574" i="4"/>
  <c r="L1044" i="4" l="1"/>
  <c r="L2575" i="4"/>
  <c r="L2576" i="4" l="1"/>
  <c r="L1045" i="4"/>
  <c r="L1046" i="4" l="1"/>
  <c r="L2577" i="4"/>
  <c r="L1047" i="4" l="1"/>
  <c r="L2578" i="4"/>
  <c r="L1048" i="4" l="1"/>
  <c r="L2579" i="4"/>
  <c r="L1049" i="4" l="1"/>
  <c r="L2580" i="4"/>
  <c r="L1050" i="4" l="1"/>
  <c r="L2581" i="4"/>
  <c r="L1051" i="4" l="1"/>
  <c r="L2582" i="4"/>
  <c r="L2583" i="4" l="1"/>
  <c r="H1051" i="4"/>
  <c r="H1052" i="4" s="1"/>
  <c r="I1053" i="4" s="1"/>
  <c r="L1052" i="4"/>
  <c r="L1053" i="4" l="1"/>
  <c r="L2584" i="4"/>
  <c r="N1053" i="4"/>
  <c r="H122" i="1"/>
  <c r="K122" i="1" s="1"/>
  <c r="L1054" i="4" l="1"/>
  <c r="L2585" i="4"/>
  <c r="L2586" i="4" l="1"/>
  <c r="L1055" i="4"/>
  <c r="L1056" i="4" l="1"/>
  <c r="L2587" i="4"/>
  <c r="L1057" i="4" l="1"/>
  <c r="L2588" i="4"/>
  <c r="L1058" i="4" l="1"/>
  <c r="L2589" i="4"/>
  <c r="L1059" i="4" l="1"/>
  <c r="L2590" i="4"/>
  <c r="L1060" i="4" l="1"/>
  <c r="L2591" i="4"/>
  <c r="L1061" i="4" l="1"/>
  <c r="L2592" i="4"/>
  <c r="L2593" i="4" l="1"/>
  <c r="H1061" i="4"/>
  <c r="H1062" i="4" s="1"/>
  <c r="I1063" i="4" s="1"/>
  <c r="L1062" i="4"/>
  <c r="L1063" i="4" l="1"/>
  <c r="L2594" i="4"/>
  <c r="N1063" i="4"/>
  <c r="H123" i="1"/>
  <c r="K123" i="1" s="1"/>
  <c r="L1064" i="4" l="1"/>
  <c r="L2595" i="4"/>
  <c r="L2596" i="4" l="1"/>
  <c r="L1065" i="4"/>
  <c r="L1066" i="4" l="1"/>
  <c r="L2597" i="4"/>
  <c r="L1067" i="4" l="1"/>
  <c r="L2598" i="4"/>
  <c r="L1068" i="4" l="1"/>
  <c r="L2599" i="4"/>
  <c r="L1069" i="4" l="1"/>
  <c r="L2600" i="4"/>
  <c r="L1070" i="4" l="1"/>
  <c r="L2601" i="4"/>
  <c r="L1071" i="4" l="1"/>
  <c r="L2602" i="4"/>
  <c r="L2603" i="4" l="1"/>
  <c r="L1072" i="4"/>
  <c r="H1071" i="4"/>
  <c r="H1072" i="4" s="1"/>
  <c r="I1073" i="4" s="1"/>
  <c r="H124" i="1" l="1"/>
  <c r="K124" i="1" s="1"/>
  <c r="N1073" i="4"/>
  <c r="L1073" i="4"/>
  <c r="L2604" i="4"/>
  <c r="L1074" i="4" l="1"/>
  <c r="L2605" i="4"/>
  <c r="L2606" i="4" l="1"/>
  <c r="L1075" i="4"/>
  <c r="L1076" i="4" l="1"/>
  <c r="L2607" i="4"/>
  <c r="L1077" i="4" l="1"/>
  <c r="L2608" i="4"/>
  <c r="L1078" i="4" l="1"/>
  <c r="L2609" i="4"/>
  <c r="L1079" i="4" l="1"/>
  <c r="L2610" i="4"/>
  <c r="L1080" i="4" l="1"/>
  <c r="L2611" i="4"/>
  <c r="L1081" i="4" l="1"/>
  <c r="L2612" i="4"/>
  <c r="L2613" i="4" l="1"/>
  <c r="L1082" i="4"/>
  <c r="H1081" i="4"/>
  <c r="H1082" i="4" s="1"/>
  <c r="I1083" i="4" s="1"/>
  <c r="H125" i="1" l="1"/>
  <c r="K125" i="1" s="1"/>
  <c r="N1083" i="4"/>
  <c r="L1083" i="4"/>
  <c r="L2614" i="4"/>
  <c r="L1084" i="4" l="1"/>
  <c r="L2615" i="4"/>
  <c r="L2616" i="4" l="1"/>
  <c r="L1085" i="4"/>
  <c r="L1086" i="4" l="1"/>
  <c r="L2617" i="4"/>
  <c r="L1087" i="4" l="1"/>
  <c r="L2618" i="4"/>
  <c r="L1088" i="4" l="1"/>
  <c r="L2619" i="4"/>
  <c r="L1089" i="4" l="1"/>
  <c r="L2620" i="4"/>
  <c r="L1090" i="4" l="1"/>
  <c r="L2621" i="4"/>
  <c r="L1091" i="4" l="1"/>
  <c r="L2622" i="4"/>
  <c r="L2623" i="4" l="1"/>
  <c r="H1091" i="4"/>
  <c r="H1092" i="4" s="1"/>
  <c r="I1093" i="4" s="1"/>
  <c r="L1092" i="4"/>
  <c r="L1093" i="4" l="1"/>
  <c r="L2624" i="4"/>
  <c r="N1093" i="4"/>
  <c r="H126" i="1"/>
  <c r="K126" i="1" s="1"/>
  <c r="L1095" i="4" l="1"/>
  <c r="L2625" i="4"/>
  <c r="L1096" i="4" l="1"/>
  <c r="L2627" i="4"/>
  <c r="L1097" i="4" l="1"/>
  <c r="L2628" i="4"/>
  <c r="L1098" i="4" l="1"/>
  <c r="L2629" i="4"/>
  <c r="L1099" i="4" l="1"/>
  <c r="L2630" i="4"/>
  <c r="L1100" i="4" l="1"/>
  <c r="L2631" i="4"/>
  <c r="L1101" i="4" l="1"/>
  <c r="L2632" i="4"/>
  <c r="L2633" i="4" l="1"/>
  <c r="L1102" i="4"/>
  <c r="H1101" i="4"/>
  <c r="H1102" i="4" s="1"/>
  <c r="I1103" i="4" s="1"/>
  <c r="N1103" i="4" l="1"/>
  <c r="H127" i="1"/>
  <c r="K127" i="1" s="1"/>
  <c r="L1103" i="4"/>
  <c r="L2634" i="4"/>
  <c r="L2635" i="4" l="1"/>
  <c r="L1104" i="4"/>
  <c r="L2636" i="4" s="1"/>
  <c r="L1105" i="4"/>
  <c r="L1106" i="4" l="1"/>
  <c r="L2637" i="4"/>
  <c r="L1107" i="4" l="1"/>
  <c r="L2638" i="4"/>
  <c r="L1108" i="4" l="1"/>
  <c r="L2639" i="4"/>
  <c r="L1109" i="4" l="1"/>
  <c r="L2640" i="4"/>
  <c r="L1110" i="4" l="1"/>
  <c r="L2641" i="4"/>
  <c r="L1111" i="4" l="1"/>
  <c r="L2642" i="4"/>
  <c r="L2643" i="4" l="1"/>
  <c r="H1111" i="4"/>
  <c r="H1112" i="4" s="1"/>
  <c r="I1113" i="4" s="1"/>
  <c r="L1112" i="4"/>
  <c r="L1113" i="4" l="1"/>
  <c r="L2644" i="4"/>
  <c r="N1113" i="4"/>
  <c r="H128" i="1"/>
  <c r="K128" i="1" s="1"/>
  <c r="L2645" i="4" l="1"/>
  <c r="L1114" i="4"/>
  <c r="L2646" i="4" s="1"/>
  <c r="L1115" i="4"/>
  <c r="L1116" i="4" l="1"/>
  <c r="L2647" i="4"/>
  <c r="L1117" i="4" l="1"/>
  <c r="L2648" i="4"/>
  <c r="L1118" i="4" l="1"/>
  <c r="L2649" i="4"/>
  <c r="L1119" i="4" l="1"/>
  <c r="L2650" i="4"/>
  <c r="L1120" i="4" l="1"/>
  <c r="L2651" i="4"/>
  <c r="L1121" i="4" l="1"/>
  <c r="L2652" i="4"/>
  <c r="L2653" i="4" l="1"/>
  <c r="H1121" i="4"/>
  <c r="H1122" i="4" s="1"/>
  <c r="I1123" i="4" s="1"/>
  <c r="L1122" i="4"/>
  <c r="L1123" i="4" l="1"/>
  <c r="L2654" i="4"/>
  <c r="N1123" i="4"/>
  <c r="H129" i="1"/>
  <c r="K129" i="1" s="1"/>
  <c r="L2655" i="4" l="1"/>
  <c r="L1125" i="4"/>
  <c r="L1126" i="4" l="1"/>
  <c r="L2657" i="4"/>
  <c r="L1127" i="4" l="1"/>
  <c r="L2658" i="4"/>
  <c r="L1128" i="4" l="1"/>
  <c r="L2659" i="4"/>
  <c r="L1129" i="4" l="1"/>
  <c r="L2660" i="4"/>
  <c r="L1130" i="4" l="1"/>
  <c r="L2661" i="4"/>
  <c r="L1131" i="4" l="1"/>
  <c r="L2662" i="4"/>
  <c r="L2663" i="4" l="1"/>
  <c r="L1132" i="4"/>
  <c r="H1131" i="4"/>
  <c r="H1132" i="4" s="1"/>
  <c r="I1133" i="4" s="1"/>
  <c r="N1133" i="4" l="1"/>
  <c r="H130" i="1"/>
  <c r="K130" i="1" s="1"/>
  <c r="L1133" i="4"/>
  <c r="L2664" i="4"/>
  <c r="L1135" i="4" l="1"/>
  <c r="L2665" i="4"/>
  <c r="L1136" i="4" l="1"/>
  <c r="L2667" i="4"/>
  <c r="L1137" i="4" l="1"/>
  <c r="L2668" i="4"/>
  <c r="L1138" i="4" l="1"/>
  <c r="L2669" i="4"/>
  <c r="L1139" i="4" l="1"/>
  <c r="L2670" i="4"/>
  <c r="L1140" i="4" l="1"/>
  <c r="L2671" i="4"/>
  <c r="L1141" i="4" l="1"/>
  <c r="L2672" i="4"/>
  <c r="L2673" i="4" l="1"/>
  <c r="L1142" i="4"/>
  <c r="H1141" i="4"/>
  <c r="H1142" i="4" s="1"/>
  <c r="I1143" i="4" s="1"/>
  <c r="N1143" i="4" l="1"/>
  <c r="H131" i="1"/>
  <c r="K131" i="1" s="1"/>
  <c r="L1143" i="4"/>
  <c r="L2674" i="4"/>
  <c r="L2675" i="4" l="1"/>
  <c r="L1145" i="4"/>
  <c r="L1144" i="4"/>
  <c r="L2676" i="4" s="1"/>
  <c r="L1146" i="4" l="1"/>
  <c r="L2677" i="4"/>
  <c r="L1147" i="4" l="1"/>
  <c r="L2678" i="4"/>
  <c r="L1148" i="4" l="1"/>
  <c r="L2679" i="4"/>
  <c r="L1149" i="4" l="1"/>
  <c r="L2680" i="4"/>
  <c r="L1150" i="4" l="1"/>
  <c r="L2681" i="4"/>
  <c r="L1151" i="4" l="1"/>
  <c r="L2682" i="4"/>
  <c r="L2683" i="4" l="1"/>
  <c r="L1152" i="4"/>
  <c r="H1151" i="4"/>
  <c r="H1152" i="4" s="1"/>
  <c r="I1153" i="4" s="1"/>
  <c r="N1153" i="4" l="1"/>
  <c r="H132" i="1"/>
  <c r="K132" i="1" s="1"/>
  <c r="L1153" i="4"/>
  <c r="L2684" i="4"/>
  <c r="L2685" i="4" l="1"/>
  <c r="L1154" i="4"/>
  <c r="L2686" i="4" s="1"/>
  <c r="L1155" i="4"/>
  <c r="L1156" i="4" l="1"/>
  <c r="L2687" i="4"/>
  <c r="L1157" i="4" l="1"/>
  <c r="L2688" i="4"/>
  <c r="L1158" i="4" l="1"/>
  <c r="L2689" i="4"/>
  <c r="L1159" i="4" l="1"/>
  <c r="L2690" i="4"/>
  <c r="L1160" i="4" l="1"/>
  <c r="L2691" i="4"/>
  <c r="L1161" i="4" l="1"/>
  <c r="L2692" i="4"/>
  <c r="L2693" i="4" l="1"/>
  <c r="H1161" i="4"/>
  <c r="H1162" i="4" s="1"/>
  <c r="I1163" i="4" s="1"/>
  <c r="N1163" i="4" s="1"/>
  <c r="L1162" i="4"/>
  <c r="L1163" i="4" l="1"/>
  <c r="L2694" i="4"/>
  <c r="L2695" i="4" l="1"/>
  <c r="L1164" i="4"/>
  <c r="L2696" i="4" s="1"/>
  <c r="L1165" i="4"/>
  <c r="L1166" i="4" l="1"/>
  <c r="L2697" i="4"/>
  <c r="L1167" i="4" l="1"/>
  <c r="L2698" i="4"/>
  <c r="L1168" i="4" l="1"/>
  <c r="L2699" i="4"/>
  <c r="L1169" i="4" l="1"/>
  <c r="L2700" i="4"/>
  <c r="L1170" i="4" l="1"/>
  <c r="L2701" i="4"/>
  <c r="L1171" i="4" l="1"/>
  <c r="L2702" i="4"/>
  <c r="L2703" i="4" l="1"/>
  <c r="L1172" i="4"/>
  <c r="H1171" i="4"/>
  <c r="H1172" i="4" s="1"/>
  <c r="I1173" i="4" s="1"/>
  <c r="H134" i="1" l="1"/>
  <c r="K134" i="1" s="1"/>
  <c r="K41" i="1" s="1"/>
  <c r="N1173" i="4"/>
  <c r="L1173" i="4"/>
  <c r="L2704" i="4"/>
  <c r="L2705" i="4" l="1"/>
  <c r="L1175" i="4"/>
  <c r="C18" i="2"/>
  <c r="U18" i="3" l="1"/>
  <c r="G18" i="2"/>
  <c r="L1176" i="4"/>
  <c r="L2707" i="4"/>
  <c r="L2708" i="4" l="1"/>
  <c r="L1177" i="4"/>
  <c r="I18" i="3"/>
  <c r="E18" i="3"/>
  <c r="E34" i="3" s="1"/>
  <c r="G18" i="3"/>
  <c r="K18" i="3"/>
  <c r="E36" i="3" l="1"/>
  <c r="L1178" i="4"/>
  <c r="L2709" i="4"/>
  <c r="L1179" i="4" l="1"/>
  <c r="L2710" i="4"/>
  <c r="L1180" i="4" l="1"/>
  <c r="L2711" i="4"/>
  <c r="L1181" i="4" l="1"/>
  <c r="L2712" i="4"/>
  <c r="L1182" i="4" l="1"/>
  <c r="L2713" i="4"/>
  <c r="L2714" i="4" l="1"/>
  <c r="H1182" i="4"/>
  <c r="H1183" i="4" s="1"/>
  <c r="I1184" i="4" s="1"/>
  <c r="L1183" i="4"/>
  <c r="L1184" i="4" l="1"/>
  <c r="L2715" i="4"/>
  <c r="N1184" i="4"/>
  <c r="H137" i="1"/>
  <c r="K137" i="1" s="1"/>
  <c r="L1186" i="4" l="1"/>
  <c r="L2716" i="4"/>
  <c r="L1187" i="4" l="1"/>
  <c r="L2718" i="4"/>
  <c r="L1188" i="4" l="1"/>
  <c r="L2719" i="4"/>
  <c r="L1189" i="4" l="1"/>
  <c r="L2720" i="4"/>
  <c r="L1190" i="4" l="1"/>
  <c r="L2721" i="4"/>
  <c r="L1191" i="4" l="1"/>
  <c r="L2722" i="4"/>
  <c r="L1192" i="4" l="1"/>
  <c r="L2723" i="4"/>
  <c r="L1193" i="4" l="1"/>
  <c r="L2724" i="4"/>
  <c r="L2725" i="4" l="1"/>
  <c r="L1194" i="4"/>
  <c r="H1193" i="4"/>
  <c r="H1194" i="4" s="1"/>
  <c r="I1195" i="4" s="1"/>
  <c r="H138" i="1" l="1"/>
  <c r="K138" i="1" s="1"/>
  <c r="K136" i="1" s="1"/>
  <c r="N1195" i="4"/>
  <c r="L1195" i="4"/>
  <c r="L2726" i="4"/>
  <c r="L2727" i="4" l="1"/>
  <c r="L1197" i="4"/>
  <c r="L1196" i="4"/>
  <c r="L2728" i="4" s="1"/>
  <c r="C19" i="2"/>
  <c r="K384" i="1"/>
  <c r="G19" i="2" l="1"/>
  <c r="U19" i="3"/>
  <c r="L1198" i="4"/>
  <c r="L2729" i="4"/>
  <c r="G19" i="3" l="1"/>
  <c r="G34" i="3" s="1"/>
  <c r="K19" i="3"/>
  <c r="I19" i="3"/>
  <c r="I34" i="3" s="1"/>
  <c r="L1199" i="4"/>
  <c r="L2730" i="4"/>
  <c r="L1200" i="4" l="1"/>
  <c r="L2731" i="4"/>
  <c r="G36" i="3"/>
  <c r="L1201" i="4" l="1"/>
  <c r="L2732" i="4"/>
  <c r="I36" i="3"/>
  <c r="L1202" i="4" l="1"/>
  <c r="L2733" i="4"/>
  <c r="L1203" i="4" l="1"/>
  <c r="L2734" i="4"/>
  <c r="L1204" i="4" l="1"/>
  <c r="L2735" i="4"/>
  <c r="L1205" i="4" l="1"/>
  <c r="L2736" i="4"/>
  <c r="H1204" i="4"/>
  <c r="H1205" i="4" s="1"/>
  <c r="L1206" i="4" l="1"/>
  <c r="L2737" i="4"/>
  <c r="L1207" i="4" l="1"/>
  <c r="L2738" i="4"/>
  <c r="L1208" i="4" l="1"/>
  <c r="L2739" i="4"/>
  <c r="L1209" i="4" l="1"/>
  <c r="L2740" i="4"/>
  <c r="L1210" i="4" l="1"/>
  <c r="L2741" i="4"/>
  <c r="L2742" i="4" l="1"/>
  <c r="L1211" i="4"/>
  <c r="L1212" i="4" l="1"/>
  <c r="L2743" i="4"/>
  <c r="L1213" i="4" l="1"/>
  <c r="L2744" i="4"/>
  <c r="L2745" i="4" l="1"/>
  <c r="L1214" i="4"/>
  <c r="L1215" i="4" l="1"/>
  <c r="L2746" i="4"/>
  <c r="H1214" i="4"/>
  <c r="H1215" i="4" s="1"/>
  <c r="L1216" i="4" l="1"/>
  <c r="L2747" i="4"/>
  <c r="L2748" i="4" l="1"/>
  <c r="L1217" i="4"/>
  <c r="L1218" i="4" l="1"/>
  <c r="L2749" i="4"/>
  <c r="L2750" i="4" l="1"/>
  <c r="L1219" i="4"/>
  <c r="L1220" i="4" l="1"/>
  <c r="L2751" i="4"/>
  <c r="L1221" i="4" l="1"/>
  <c r="L2752" i="4"/>
  <c r="L1222" i="4" l="1"/>
  <c r="L2753" i="4"/>
  <c r="L1223" i="4" l="1"/>
  <c r="L2754" i="4"/>
  <c r="L1224" i="4" l="1"/>
  <c r="L2755" i="4"/>
  <c r="L1225" i="4" l="1"/>
  <c r="L2756" i="4"/>
  <c r="L1226" i="4" l="1"/>
  <c r="L2757" i="4"/>
  <c r="L1227" i="4" l="1"/>
  <c r="L2758" i="4"/>
  <c r="H1226" i="4"/>
  <c r="H1227" i="4" s="1"/>
  <c r="L1228" i="4" l="1"/>
  <c r="L2759" i="4"/>
  <c r="L1229" i="4" l="1"/>
  <c r="L2760" i="4"/>
  <c r="L1230" i="4" l="1"/>
  <c r="L2761" i="4"/>
  <c r="L1231" i="4" l="1"/>
  <c r="L2762" i="4"/>
  <c r="L1232" i="4" l="1"/>
  <c r="L2763" i="4"/>
  <c r="L1233" i="4" l="1"/>
  <c r="L2764" i="4"/>
  <c r="L1234" i="4" l="1"/>
  <c r="L2765" i="4"/>
  <c r="L1235" i="4" l="1"/>
  <c r="L2766" i="4"/>
  <c r="L2767" i="4" l="1"/>
  <c r="L1236" i="4"/>
  <c r="L1237" i="4" l="1"/>
  <c r="L2768" i="4"/>
  <c r="L1238" i="4" l="1"/>
  <c r="L2769" i="4"/>
  <c r="H1237" i="4"/>
  <c r="H1238" i="4" s="1"/>
  <c r="L1239" i="4" l="1"/>
  <c r="L2770" i="4"/>
  <c r="L1240" i="4" l="1"/>
  <c r="L2771" i="4"/>
  <c r="L1241" i="4" l="1"/>
  <c r="L1242" i="4" s="1"/>
  <c r="L1243" i="4" s="1"/>
  <c r="L1244" i="4" s="1"/>
  <c r="L1245" i="4" s="1"/>
  <c r="L1246" i="4" s="1"/>
  <c r="L1247" i="4" s="1"/>
  <c r="L1248" i="4" s="1"/>
  <c r="L1249" i="4" s="1"/>
  <c r="L1250" i="4" s="1"/>
  <c r="L2772" i="4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l="1"/>
  <c r="L2783" i="4" s="1"/>
  <c r="L2784" i="4" s="1"/>
  <c r="L2785" i="4" s="1"/>
  <c r="L2786" i="4" s="1"/>
  <c r="L2787" i="4" s="1"/>
  <c r="L2788" i="4" s="1"/>
  <c r="L2789" i="4" s="1"/>
  <c r="L2790" i="4" s="1"/>
  <c r="L2791" i="4" s="1"/>
  <c r="L2792" i="4" s="1"/>
  <c r="L2793" i="4" s="1"/>
  <c r="L2794" i="4" s="1"/>
  <c r="H2781" i="4"/>
  <c r="H2782" i="4" s="1"/>
  <c r="H1247" i="4"/>
  <c r="H1248" i="4" s="1"/>
  <c r="L1251" i="4" l="1"/>
  <c r="L1252" i="4" s="1"/>
  <c r="L1253" i="4" s="1"/>
  <c r="L1254" i="4" s="1"/>
  <c r="L1255" i="4" s="1"/>
  <c r="L1256" i="4" s="1"/>
  <c r="L1257" i="4" s="1"/>
  <c r="L1258" i="4" s="1"/>
  <c r="L1259" i="4" s="1"/>
  <c r="L2795" i="4"/>
  <c r="L2796" i="4" s="1"/>
  <c r="L2797" i="4" s="1"/>
  <c r="L2798" i="4" s="1"/>
  <c r="L2799" i="4" s="1"/>
  <c r="L2800" i="4" s="1"/>
  <c r="L2801" i="4" s="1"/>
  <c r="L2802" i="4" s="1"/>
  <c r="L2803" i="4" s="1"/>
  <c r="L2804" i="4" s="1"/>
  <c r="L2805" i="4" s="1"/>
  <c r="H2794" i="4"/>
  <c r="H2795" i="4" s="1"/>
  <c r="L2806" i="4" l="1"/>
  <c r="L2807" i="4" s="1"/>
  <c r="L2808" i="4" s="1"/>
  <c r="L2809" i="4" s="1"/>
  <c r="L2810" i="4" s="1"/>
  <c r="L2811" i="4" s="1"/>
  <c r="L2812" i="4" s="1"/>
  <c r="L2813" i="4" s="1"/>
  <c r="L2814" i="4" s="1"/>
  <c r="L2815" i="4" s="1"/>
  <c r="L2816" i="4" s="1"/>
  <c r="H2805" i="4"/>
  <c r="H2806" i="4" s="1"/>
  <c r="L1260" i="4"/>
  <c r="L1261" i="4" s="1"/>
  <c r="L1262" i="4" s="1"/>
  <c r="L1263" i="4" s="1"/>
  <c r="L1264" i="4" s="1"/>
  <c r="L1265" i="4" s="1"/>
  <c r="L1266" i="4" s="1"/>
  <c r="L1267" i="4" s="1"/>
  <c r="H1257" i="4"/>
  <c r="H1258" i="4" s="1"/>
  <c r="L1268" i="4" l="1"/>
  <c r="L1269" i="4" s="1"/>
  <c r="L1270" i="4" s="1"/>
  <c r="H1267" i="4"/>
  <c r="H1268" i="4" s="1"/>
  <c r="L2817" i="4"/>
  <c r="L2818" i="4" s="1"/>
  <c r="L2819" i="4" s="1"/>
  <c r="L2820" i="4" s="1"/>
  <c r="L2821" i="4" s="1"/>
  <c r="L2822" i="4" s="1"/>
  <c r="L2823" i="4" s="1"/>
  <c r="L2824" i="4" s="1"/>
  <c r="L2825" i="4" s="1"/>
  <c r="L2826" i="4" s="1"/>
  <c r="H2816" i="4"/>
  <c r="L2827" i="4" l="1"/>
  <c r="L2828" i="4" s="1"/>
  <c r="L2829" i="4" s="1"/>
  <c r="L2830" i="4" s="1"/>
  <c r="L2831" i="4" s="1"/>
  <c r="L2832" i="4" s="1"/>
  <c r="L2833" i="4" s="1"/>
  <c r="L2834" i="4" s="1"/>
  <c r="L2835" i="4" s="1"/>
  <c r="L2836" i="4" s="1"/>
  <c r="H2826" i="4"/>
  <c r="H2827" i="4" s="1"/>
  <c r="H2817" i="4"/>
  <c r="I2818" i="4" s="1"/>
  <c r="H247" i="1" s="1"/>
  <c r="K247" i="1" s="1"/>
  <c r="K246" i="1" s="1"/>
  <c r="L1271" i="4"/>
  <c r="L1272" i="4" s="1"/>
  <c r="C23" i="2" l="1"/>
  <c r="K377" i="1"/>
  <c r="K381" i="1" s="1"/>
  <c r="L1279" i="4"/>
  <c r="L1280" i="4" s="1"/>
  <c r="L1290" i="4" s="1"/>
  <c r="L1300" i="4" s="1"/>
  <c r="L1310" i="4" s="1"/>
  <c r="L1320" i="4" s="1"/>
  <c r="L1330" i="4" s="1"/>
  <c r="L1340" i="4" s="1"/>
  <c r="L1341" i="4" s="1"/>
  <c r="L1342" i="4" s="1"/>
  <c r="L1343" i="4" s="1"/>
  <c r="L1344" i="4" s="1"/>
  <c r="L1345" i="4" s="1"/>
  <c r="L1346" i="4" s="1"/>
  <c r="L1347" i="4" s="1"/>
  <c r="L1348" i="4" s="1"/>
  <c r="L1349" i="4" s="1"/>
  <c r="L1350" i="4" s="1"/>
  <c r="L1351" i="4" s="1"/>
  <c r="L1352" i="4" s="1"/>
  <c r="L1353" i="4" s="1"/>
  <c r="L1354" i="4" s="1"/>
  <c r="L1355" i="4" s="1"/>
  <c r="L1356" i="4" s="1"/>
  <c r="L1357" i="4" s="1"/>
  <c r="L1358" i="4" s="1"/>
  <c r="L1359" i="4" s="1"/>
  <c r="L1360" i="4" s="1"/>
  <c r="L1361" i="4" s="1"/>
  <c r="L1362" i="4" s="1"/>
  <c r="L1363" i="4" s="1"/>
  <c r="L1364" i="4" s="1"/>
  <c r="L1365" i="4" s="1"/>
  <c r="L1366" i="4" s="1"/>
  <c r="L1367" i="4" s="1"/>
  <c r="L1368" i="4" s="1"/>
  <c r="L1369" i="4" s="1"/>
  <c r="L1370" i="4" s="1"/>
  <c r="L1371" i="4" s="1"/>
  <c r="L1372" i="4" s="1"/>
  <c r="L1373" i="4" s="1"/>
  <c r="L1374" i="4" s="1"/>
  <c r="L1375" i="4" s="1"/>
  <c r="L1376" i="4" s="1"/>
  <c r="L1377" i="4" s="1"/>
  <c r="L1378" i="4" s="1"/>
  <c r="L1379" i="4" s="1"/>
  <c r="L1380" i="4" s="1"/>
  <c r="L1381" i="4" s="1"/>
  <c r="L1382" i="4" s="1"/>
  <c r="L1383" i="4" s="1"/>
  <c r="L1384" i="4" s="1"/>
  <c r="L1385" i="4" s="1"/>
  <c r="L1386" i="4" s="1"/>
  <c r="L1387" i="4" s="1"/>
  <c r="L1388" i="4" s="1"/>
  <c r="L1389" i="4" s="1"/>
  <c r="L1390" i="4" s="1"/>
  <c r="L1391" i="4" s="1"/>
  <c r="L1392" i="4" s="1"/>
  <c r="L1393" i="4" s="1"/>
  <c r="L1394" i="4" s="1"/>
  <c r="L1395" i="4" s="1"/>
  <c r="L1396" i="4" s="1"/>
  <c r="L1397" i="4" s="1"/>
  <c r="L1398" i="4" s="1"/>
  <c r="L1399" i="4" s="1"/>
  <c r="L1400" i="4" s="1"/>
  <c r="L1401" i="4" s="1"/>
  <c r="L1402" i="4" s="1"/>
  <c r="L1403" i="4" s="1"/>
  <c r="L1404" i="4" s="1"/>
  <c r="L1405" i="4" s="1"/>
  <c r="L1406" i="4" s="1"/>
  <c r="L1407" i="4" s="1"/>
  <c r="L1408" i="4" s="1"/>
  <c r="L1409" i="4" s="1"/>
  <c r="L1410" i="4" s="1"/>
  <c r="L1411" i="4" s="1"/>
  <c r="L1412" i="4" s="1"/>
  <c r="L1413" i="4" s="1"/>
  <c r="L1414" i="4" s="1"/>
  <c r="L1415" i="4" s="1"/>
  <c r="L1416" i="4" s="1"/>
  <c r="L1417" i="4" s="1"/>
  <c r="L1418" i="4" s="1"/>
  <c r="L1419" i="4" s="1"/>
  <c r="L1420" i="4" s="1"/>
  <c r="L1421" i="4" s="1"/>
  <c r="L1422" i="4" s="1"/>
  <c r="L1423" i="4" s="1"/>
  <c r="L1424" i="4" s="1"/>
  <c r="L1425" i="4" s="1"/>
  <c r="L1426" i="4" s="1"/>
  <c r="L1427" i="4" s="1"/>
  <c r="L1428" i="4" s="1"/>
  <c r="L1429" i="4" s="1"/>
  <c r="L1430" i="4" s="1"/>
  <c r="L1431" i="4" s="1"/>
  <c r="L1432" i="4" s="1"/>
  <c r="L1433" i="4" s="1"/>
  <c r="L1434" i="4" s="1"/>
  <c r="L1435" i="4" s="1"/>
  <c r="L1436" i="4" s="1"/>
  <c r="L1437" i="4" s="1"/>
  <c r="L1438" i="4" s="1"/>
  <c r="L1439" i="4" s="1"/>
  <c r="L1440" i="4" s="1"/>
  <c r="L1441" i="4" s="1"/>
  <c r="L1442" i="4" s="1"/>
  <c r="L1443" i="4" s="1"/>
  <c r="L1444" i="4" s="1"/>
  <c r="L1445" i="4" s="1"/>
  <c r="L1446" i="4" s="1"/>
  <c r="L1447" i="4" s="1"/>
  <c r="L1448" i="4" s="1"/>
  <c r="L1449" i="4" s="1"/>
  <c r="L1450" i="4" s="1"/>
  <c r="L1451" i="4" s="1"/>
  <c r="L1452" i="4" s="1"/>
  <c r="L1453" i="4" s="1"/>
  <c r="L1454" i="4" s="1"/>
  <c r="L1455" i="4" s="1"/>
  <c r="L1456" i="4" s="1"/>
  <c r="L1457" i="4" s="1"/>
  <c r="L1458" i="4" s="1"/>
  <c r="L1459" i="4" s="1"/>
  <c r="L1460" i="4" s="1"/>
  <c r="L1461" i="4" s="1"/>
  <c r="L1462" i="4" s="1"/>
  <c r="L1463" i="4" s="1"/>
  <c r="L1464" i="4" s="1"/>
  <c r="L1465" i="4" s="1"/>
  <c r="L1466" i="4" s="1"/>
  <c r="L1467" i="4" s="1"/>
  <c r="L1468" i="4" s="1"/>
  <c r="L1469" i="4" s="1"/>
  <c r="L1470" i="4" s="1"/>
  <c r="L1471" i="4" s="1"/>
  <c r="L1472" i="4" s="1"/>
  <c r="L1473" i="4" s="1"/>
  <c r="L1474" i="4" s="1"/>
  <c r="L1475" i="4" s="1"/>
  <c r="L1476" i="4" s="1"/>
  <c r="L1477" i="4" s="1"/>
  <c r="L1478" i="4" s="1"/>
  <c r="L1479" i="4" s="1"/>
  <c r="L1480" i="4" s="1"/>
  <c r="L1481" i="4" s="1"/>
  <c r="L1482" i="4" s="1"/>
  <c r="L1483" i="4" s="1"/>
  <c r="L1484" i="4" s="1"/>
  <c r="L1485" i="4" s="1"/>
  <c r="L1486" i="4" s="1"/>
  <c r="L1487" i="4" s="1"/>
  <c r="L1488" i="4" s="1"/>
  <c r="L1489" i="4" s="1"/>
  <c r="L1490" i="4" s="1"/>
  <c r="L1491" i="4" s="1"/>
  <c r="L1492" i="4" s="1"/>
  <c r="L1493" i="4" s="1"/>
  <c r="L1494" i="4" s="1"/>
  <c r="L1495" i="4" s="1"/>
  <c r="L1496" i="4" s="1"/>
  <c r="L1497" i="4" s="1"/>
  <c r="L1498" i="4" s="1"/>
  <c r="L1499" i="4" s="1"/>
  <c r="L1500" i="4" s="1"/>
  <c r="L1501" i="4" s="1"/>
  <c r="L1502" i="4" s="1"/>
  <c r="L1503" i="4" s="1"/>
  <c r="L1504" i="4" s="1"/>
  <c r="L1505" i="4" s="1"/>
  <c r="L1506" i="4" s="1"/>
  <c r="L1507" i="4" s="1"/>
  <c r="L1508" i="4" s="1"/>
  <c r="L1509" i="4" s="1"/>
  <c r="L1510" i="4" s="1"/>
  <c r="L1511" i="4" s="1"/>
  <c r="L1512" i="4" s="1"/>
  <c r="L1513" i="4" s="1"/>
  <c r="L1514" i="4" s="1"/>
  <c r="L1515" i="4" s="1"/>
  <c r="L1516" i="4" s="1"/>
  <c r="L1517" i="4" s="1"/>
  <c r="L1518" i="4" s="1"/>
  <c r="L1519" i="4" s="1"/>
  <c r="L1520" i="4" s="1"/>
  <c r="L1521" i="4" s="1"/>
  <c r="L1522" i="4" s="1"/>
  <c r="L1523" i="4" s="1"/>
  <c r="L1524" i="4" s="1"/>
  <c r="L1525" i="4" s="1"/>
  <c r="L1526" i="4" s="1"/>
  <c r="L1527" i="4" s="1"/>
  <c r="L1528" i="4" s="1"/>
  <c r="L1529" i="4" s="1"/>
  <c r="L1530" i="4" s="1"/>
  <c r="L1531" i="4" s="1"/>
  <c r="L1532" i="4" s="1"/>
  <c r="L1533" i="4" s="1"/>
  <c r="L1534" i="4" s="1"/>
  <c r="L1535" i="4" s="1"/>
  <c r="L1536" i="4" s="1"/>
  <c r="L1537" i="4" s="1"/>
  <c r="L1538" i="4" s="1"/>
  <c r="L1539" i="4" s="1"/>
  <c r="L1540" i="4" s="1"/>
  <c r="L1541" i="4" s="1"/>
  <c r="L1542" i="4" s="1"/>
  <c r="L1543" i="4" s="1"/>
  <c r="L1544" i="4" s="1"/>
  <c r="L1545" i="4" s="1"/>
  <c r="L1546" i="4" s="1"/>
  <c r="L1547" i="4" s="1"/>
  <c r="L1548" i="4" s="1"/>
  <c r="L1549" i="4" s="1"/>
  <c r="L1550" i="4" s="1"/>
  <c r="L1551" i="4" s="1"/>
  <c r="L1552" i="4" s="1"/>
  <c r="L1553" i="4" s="1"/>
  <c r="L1554" i="4" s="1"/>
  <c r="L1555" i="4" s="1"/>
  <c r="L1556" i="4" s="1"/>
  <c r="L1557" i="4" s="1"/>
  <c r="L1558" i="4" s="1"/>
  <c r="L1559" i="4" s="1"/>
  <c r="L1560" i="4" s="1"/>
  <c r="L1561" i="4" s="1"/>
  <c r="L1562" i="4" s="1"/>
  <c r="L1563" i="4" s="1"/>
  <c r="L1564" i="4" s="1"/>
  <c r="L1565" i="4" s="1"/>
  <c r="L1566" i="4" s="1"/>
  <c r="L1567" i="4" s="1"/>
  <c r="L1568" i="4" s="1"/>
  <c r="L1569" i="4" s="1"/>
  <c r="L1570" i="4" s="1"/>
  <c r="L1571" i="4" s="1"/>
  <c r="L1572" i="4" s="1"/>
  <c r="L1573" i="4" s="1"/>
  <c r="L1574" i="4" s="1"/>
  <c r="L1575" i="4" s="1"/>
  <c r="L1576" i="4" s="1"/>
  <c r="L1577" i="4" s="1"/>
  <c r="L1578" i="4" s="1"/>
  <c r="L1579" i="4" s="1"/>
  <c r="L1580" i="4" s="1"/>
  <c r="L1581" i="4" s="1"/>
  <c r="L1582" i="4" s="1"/>
  <c r="L1583" i="4" s="1"/>
  <c r="L1584" i="4" s="1"/>
  <c r="L1585" i="4" s="1"/>
  <c r="L1586" i="4" s="1"/>
  <c r="L1587" i="4" s="1"/>
  <c r="L1588" i="4" s="1"/>
  <c r="L1589" i="4" s="1"/>
  <c r="L1590" i="4" s="1"/>
  <c r="L1591" i="4" s="1"/>
  <c r="L1592" i="4" s="1"/>
  <c r="L1593" i="4" s="1"/>
  <c r="L1594" i="4" s="1"/>
  <c r="L1595" i="4" s="1"/>
  <c r="L1596" i="4" s="1"/>
  <c r="L1597" i="4" s="1"/>
  <c r="L1598" i="4" s="1"/>
  <c r="L1599" i="4" s="1"/>
  <c r="L1600" i="4" s="1"/>
  <c r="L1601" i="4" s="1"/>
  <c r="L1602" i="4" s="1"/>
  <c r="L1603" i="4" s="1"/>
  <c r="L1604" i="4" s="1"/>
  <c r="L1605" i="4" s="1"/>
  <c r="L1606" i="4" s="1"/>
  <c r="L1607" i="4" s="1"/>
  <c r="L1608" i="4" s="1"/>
  <c r="L1609" i="4" s="1"/>
  <c r="L1610" i="4" s="1"/>
  <c r="L1611" i="4" s="1"/>
  <c r="L1612" i="4" s="1"/>
  <c r="L1613" i="4" s="1"/>
  <c r="L1614" i="4" s="1"/>
  <c r="L1615" i="4" s="1"/>
  <c r="L1616" i="4" s="1"/>
  <c r="L1617" i="4" s="1"/>
  <c r="L1618" i="4" s="1"/>
  <c r="H1277" i="4"/>
  <c r="H1278" i="4" s="1"/>
  <c r="L2837" i="4"/>
  <c r="L2838" i="4" s="1"/>
  <c r="L2839" i="4" s="1"/>
  <c r="H2836" i="4"/>
  <c r="H2837" i="4" s="1"/>
  <c r="G23" i="2" l="1"/>
  <c r="U23" i="3"/>
  <c r="C34" i="2"/>
  <c r="D14" i="2" l="1"/>
  <c r="D31" i="2"/>
  <c r="D29" i="2"/>
  <c r="D20" i="2"/>
  <c r="D33" i="2"/>
  <c r="C39" i="2"/>
  <c r="C40" i="2" s="1"/>
  <c r="C17" i="5"/>
  <c r="D26" i="2"/>
  <c r="D17" i="2"/>
  <c r="D22" i="2"/>
  <c r="D30" i="2"/>
  <c r="D27" i="2"/>
  <c r="D15" i="2"/>
  <c r="I35" i="2"/>
  <c r="J35" i="2" s="1"/>
  <c r="C18" i="5"/>
  <c r="D32" i="2"/>
  <c r="D24" i="2"/>
  <c r="D16" i="2"/>
  <c r="D28" i="2"/>
  <c r="D25" i="2"/>
  <c r="D21" i="2"/>
  <c r="D18" i="2"/>
  <c r="D19" i="2"/>
  <c r="O23" i="3"/>
  <c r="O34" i="3" s="1"/>
  <c r="O35" i="3" s="1"/>
  <c r="M23" i="3"/>
  <c r="M34" i="3" s="1"/>
  <c r="S23" i="3"/>
  <c r="S34" i="3" s="1"/>
  <c r="K23" i="3"/>
  <c r="K34" i="3" s="1"/>
  <c r="Q23" i="3"/>
  <c r="Q34" i="3" s="1"/>
  <c r="Q35" i="3" s="1"/>
  <c r="U34" i="3"/>
  <c r="D23" i="2"/>
  <c r="K35" i="3" l="1"/>
  <c r="K36" i="3"/>
  <c r="D17" i="5"/>
  <c r="J7" i="5"/>
  <c r="L7" i="5"/>
  <c r="L8" i="5" s="1"/>
  <c r="S36" i="3"/>
  <c r="S37" i="3" s="1"/>
  <c r="C35" i="3"/>
  <c r="C37" i="3"/>
  <c r="E35" i="3"/>
  <c r="E37" i="3"/>
  <c r="I35" i="3"/>
  <c r="G35" i="3"/>
  <c r="G37" i="3"/>
  <c r="I37" i="3"/>
  <c r="M35" i="3"/>
  <c r="D34" i="2"/>
  <c r="K37" i="3" l="1"/>
  <c r="M36" i="3"/>
  <c r="M37" i="3" l="1"/>
  <c r="O36" i="3"/>
  <c r="O37" i="3" l="1"/>
  <c r="Q36" i="3"/>
  <c r="Q37" i="3" s="1"/>
</calcChain>
</file>

<file path=xl/sharedStrings.xml><?xml version="1.0" encoding="utf-8"?>
<sst xmlns="http://schemas.openxmlformats.org/spreadsheetml/2006/main" count="2309" uniqueCount="996">
  <si>
    <t>PLANILHA DE QUANTIDADES E PREÇOS</t>
  </si>
  <si>
    <t>ITEM</t>
  </si>
  <si>
    <t>SERVIÇOS</t>
  </si>
  <si>
    <t>TOTAL</t>
  </si>
  <si>
    <t>1.1</t>
  </si>
  <si>
    <t>1.2</t>
  </si>
  <si>
    <t>1.3</t>
  </si>
  <si>
    <t>1.4</t>
  </si>
  <si>
    <t>CJ</t>
  </si>
  <si>
    <t>m²</t>
  </si>
  <si>
    <t>m</t>
  </si>
  <si>
    <t>m³</t>
  </si>
  <si>
    <t>kg</t>
  </si>
  <si>
    <t>2.1</t>
  </si>
  <si>
    <t>2.2</t>
  </si>
  <si>
    <t>3.1</t>
  </si>
  <si>
    <t>4.1</t>
  </si>
  <si>
    <t>4.2</t>
  </si>
  <si>
    <t>6.1</t>
  </si>
  <si>
    <t>7.1</t>
  </si>
  <si>
    <t>10.1</t>
  </si>
  <si>
    <t>11.1</t>
  </si>
  <si>
    <t>11.2</t>
  </si>
  <si>
    <t>11.3</t>
  </si>
  <si>
    <t>12.2</t>
  </si>
  <si>
    <t>13.1</t>
  </si>
  <si>
    <t>14.1</t>
  </si>
  <si>
    <t>15.1</t>
  </si>
  <si>
    <t>15.2</t>
  </si>
  <si>
    <t>15.3</t>
  </si>
  <si>
    <t>15.4</t>
  </si>
  <si>
    <t>16.1</t>
  </si>
  <si>
    <t>16.2</t>
  </si>
  <si>
    <t>16.3</t>
  </si>
  <si>
    <t>17.1</t>
  </si>
  <si>
    <t/>
  </si>
  <si>
    <t>RESUMO DE ORÇAMENTO</t>
  </si>
  <si>
    <t>VALOR (R$)</t>
  </si>
  <si>
    <t>%</t>
  </si>
  <si>
    <t>9.1</t>
  </si>
  <si>
    <t>cod</t>
  </si>
  <si>
    <t>8.1</t>
  </si>
  <si>
    <t>12.1</t>
  </si>
  <si>
    <t>12.3</t>
  </si>
  <si>
    <t>13.2</t>
  </si>
  <si>
    <t>14.2</t>
  </si>
  <si>
    <t>9.2</t>
  </si>
  <si>
    <t>9.3</t>
  </si>
  <si>
    <t>14.3</t>
  </si>
  <si>
    <t>14.4</t>
  </si>
  <si>
    <t>Un</t>
  </si>
  <si>
    <t>Custo Direto</t>
  </si>
  <si>
    <t>M2</t>
  </si>
  <si>
    <t>H</t>
  </si>
  <si>
    <t>Servente</t>
  </si>
  <si>
    <t>Kg</t>
  </si>
  <si>
    <t>Carpinteiro</t>
  </si>
  <si>
    <t>M²</t>
  </si>
  <si>
    <t>U N</t>
  </si>
  <si>
    <t>Eletricista</t>
  </si>
  <si>
    <t>Encanador</t>
  </si>
  <si>
    <t>M3</t>
  </si>
  <si>
    <t>M</t>
  </si>
  <si>
    <t xml:space="preserve">M </t>
  </si>
  <si>
    <t>M³</t>
  </si>
  <si>
    <t>DESCRIÇÃO DOS SERVIÇOS</t>
  </si>
  <si>
    <t>UNID.</t>
  </si>
  <si>
    <t>QUANT.</t>
  </si>
  <si>
    <t>Total</t>
  </si>
  <si>
    <t>SERVIÇOS PRLIMINARES</t>
  </si>
  <si>
    <t>u n</t>
  </si>
  <si>
    <t>2.3</t>
  </si>
  <si>
    <t>IMPERMEABILIZAÇÃO</t>
  </si>
  <si>
    <t>PINTURA</t>
  </si>
  <si>
    <t>11.4</t>
  </si>
  <si>
    <t>12.4</t>
  </si>
  <si>
    <t>cj</t>
  </si>
  <si>
    <t>14.5</t>
  </si>
  <si>
    <t>TOTAL GERAL COM BDI</t>
  </si>
  <si>
    <t>1º MÊS (30 DIAS)</t>
  </si>
  <si>
    <t>2º MÊS (60 DIAS)</t>
  </si>
  <si>
    <t>3º MÊS (90 DIAS)</t>
  </si>
  <si>
    <t>R$</t>
  </si>
  <si>
    <t>VALOR</t>
  </si>
  <si>
    <t>(%)</t>
  </si>
  <si>
    <t>Parcial Simples</t>
  </si>
  <si>
    <t>Percentual Simples (%)</t>
  </si>
  <si>
    <t>Toral Acumulado</t>
  </si>
  <si>
    <t>Percentual Acumulado (%)</t>
  </si>
  <si>
    <t>SERVIÇO / DESCRIÇÃO</t>
  </si>
  <si>
    <t>PREÇO
UNIT. (R$)</t>
  </si>
  <si>
    <t>Qtd. / Coef.</t>
  </si>
  <si>
    <t>Valor Total c/ Taxas</t>
  </si>
  <si>
    <t>vb</t>
  </si>
  <si>
    <t>KG</t>
  </si>
  <si>
    <t>COMPOSIÇÃO DE CUSTO UNITÁRIO</t>
  </si>
  <si>
    <t>CRONOGRAMA FISICO-FINANCEIRO</t>
  </si>
  <si>
    <t>TOTAL GERAL C/ BDI</t>
  </si>
  <si>
    <t>1.5</t>
  </si>
  <si>
    <t>BDI</t>
  </si>
  <si>
    <t>L. S</t>
  </si>
  <si>
    <t>79517/1</t>
  </si>
  <si>
    <t>L</t>
  </si>
  <si>
    <t>UNIT.</t>
  </si>
  <si>
    <t>Placa da obra - padrão Governo Federal</t>
  </si>
  <si>
    <t>Instalações provisórias de esgoto</t>
  </si>
  <si>
    <t>76444/1</t>
  </si>
  <si>
    <t>73907/6</t>
  </si>
  <si>
    <t>74138/3</t>
  </si>
  <si>
    <t>74007/1</t>
  </si>
  <si>
    <t>3.2</t>
  </si>
  <si>
    <t>3.3</t>
  </si>
  <si>
    <t>3.4</t>
  </si>
  <si>
    <t>3.5</t>
  </si>
  <si>
    <t>3.6</t>
  </si>
  <si>
    <t>74254/2</t>
  </si>
  <si>
    <t>3.7</t>
  </si>
  <si>
    <t>73942/2</t>
  </si>
  <si>
    <t>3.8</t>
  </si>
  <si>
    <t>MERCADO</t>
  </si>
  <si>
    <t>73910/5</t>
  </si>
  <si>
    <t>73906/3</t>
  </si>
  <si>
    <t>6.9</t>
  </si>
  <si>
    <t>6.10</t>
  </si>
  <si>
    <t>6.11</t>
  </si>
  <si>
    <t>6.12</t>
  </si>
  <si>
    <t>6.13</t>
  </si>
  <si>
    <t>6.16</t>
  </si>
  <si>
    <t>6.14</t>
  </si>
  <si>
    <t>6.15</t>
  </si>
  <si>
    <t>VIDROS</t>
  </si>
  <si>
    <t>7.2</t>
  </si>
  <si>
    <t>7.3</t>
  </si>
  <si>
    <t>7.4</t>
  </si>
  <si>
    <t>7.5</t>
  </si>
  <si>
    <t>7.6</t>
  </si>
  <si>
    <t>73907/3</t>
  </si>
  <si>
    <t>73922/5</t>
  </si>
  <si>
    <t>C4623</t>
  </si>
  <si>
    <t>C2284</t>
  </si>
  <si>
    <t>C2285</t>
  </si>
  <si>
    <t>10.14</t>
  </si>
  <si>
    <t>10.15</t>
  </si>
  <si>
    <t>73892/2</t>
  </si>
  <si>
    <t>73764/4</t>
  </si>
  <si>
    <t>C4624</t>
  </si>
  <si>
    <t>C1207</t>
  </si>
  <si>
    <t>74065/2</t>
  </si>
  <si>
    <t>74065/1</t>
  </si>
  <si>
    <t>11.5</t>
  </si>
  <si>
    <t>11.6</t>
  </si>
  <si>
    <t>C1520</t>
  </si>
  <si>
    <t>C2041</t>
  </si>
  <si>
    <t>C4409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</si>
  <si>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</si>
  <si>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</si>
  <si>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</si>
  <si>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</si>
  <si>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</si>
  <si>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</si>
  <si>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</si>
  <si>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</si>
  <si>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</si>
  <si>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</si>
  <si>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</si>
  <si>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</si>
  <si>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</si>
  <si>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</si>
  <si>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</si>
  <si>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</si>
  <si>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</si>
  <si>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1.6</t>
  </si>
  <si>
    <t>2.5</t>
  </si>
  <si>
    <t>2.6</t>
  </si>
  <si>
    <t>3.9</t>
  </si>
  <si>
    <t>5.1</t>
  </si>
  <si>
    <t>5.2</t>
  </si>
  <si>
    <t>5.3</t>
  </si>
  <si>
    <t>5.4</t>
  </si>
  <si>
    <t>5.5</t>
  </si>
  <si>
    <t>5.6</t>
  </si>
  <si>
    <t>5.7</t>
  </si>
  <si>
    <t>6.2</t>
  </si>
  <si>
    <t>6.3</t>
  </si>
  <si>
    <t>6.4</t>
  </si>
  <si>
    <t>6.5</t>
  </si>
  <si>
    <t>6.6</t>
  </si>
  <si>
    <t>6.7</t>
  </si>
  <si>
    <t>6.8</t>
  </si>
  <si>
    <t>11.7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</si>
  <si>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</si>
  <si>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</si>
  <si>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</si>
  <si>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</si>
  <si>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</si>
  <si>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</si>
  <si>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</si>
  <si>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</si>
  <si>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</si>
  <si>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</si>
  <si>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</si>
  <si>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</si>
  <si>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</si>
  <si>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</si>
  <si>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</si>
  <si>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</si>
  <si>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</si>
  <si>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</si>
  <si>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</si>
  <si>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</si>
  <si>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</si>
  <si>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</si>
  <si>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</si>
  <si>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</si>
  <si>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</si>
  <si>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</si>
  <si>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18.1</t>
  </si>
  <si>
    <t>18.2</t>
  </si>
  <si>
    <t>18.3</t>
  </si>
  <si>
    <t>18.4</t>
  </si>
  <si>
    <t>18.5</t>
  </si>
  <si>
    <t>18.6</t>
  </si>
  <si>
    <t>19.1</t>
  </si>
  <si>
    <t>19.2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</si>
  <si>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</si>
  <si>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</si>
  <si>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</si>
  <si>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</si>
  <si>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</si>
  <si>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</si>
  <si>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</si>
  <si>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</si>
  <si>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</si>
  <si>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</si>
  <si>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</si>
  <si>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</si>
  <si>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</si>
  <si>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20.15</t>
  </si>
  <si>
    <t>20.14</t>
  </si>
  <si>
    <t>20.16</t>
  </si>
  <si>
    <t>20.17</t>
  </si>
  <si>
    <t>20.18</t>
  </si>
  <si>
    <t>20.19</t>
  </si>
  <si>
    <t>20.20</t>
  </si>
  <si>
    <t>20.21</t>
  </si>
  <si>
    <t>20.22</t>
  </si>
  <si>
    <t>74209/1</t>
  </si>
  <si>
    <t>73910/3</t>
  </si>
  <si>
    <t xml:space="preserve">m </t>
  </si>
  <si>
    <t>PREÇO Total (R$)</t>
  </si>
  <si>
    <t>M. OBRA</t>
  </si>
  <si>
    <t>MAT.</t>
  </si>
  <si>
    <t>PECA DE MADEIRA DE LEI *2,5 X 7,5* CM (1" X 3"), NÃO APARELHADA, (P/TELHADO)</t>
  </si>
  <si>
    <t>PECA DE MADEIRA NATIVA / REGIONAL 7,5 X 7,5CM (3X3) NAO APARELHADA
(P/FORMA)</t>
  </si>
  <si>
    <t>PREGO POLIDO COM CABECA 18 X 30</t>
  </si>
  <si>
    <t>PLACA DE OBRA (PARA CONSTRUCAO CIVIL) EM CHAPA GALVANIZADA</t>
  </si>
  <si>
    <t>PECA DE MADEIRA NATIVA / REGIONAL 7,5 X 7,5CM (3X3) NAO APARELHADA (P/FORMA)</t>
  </si>
  <si>
    <t>PEçA DE MADEIRA NATIVA / REGIONAL 7,5 X 7,5CM (3X3) NAO APARELHADA (P/FORMA)</t>
  </si>
  <si>
    <t>ELETRICISTA</t>
  </si>
  <si>
    <t>SERVENTE</t>
  </si>
  <si>
    <t>Materiais para ligações provisórias de energia elétrica</t>
  </si>
  <si>
    <t>CONCRETO FCK=15MPA, PREPARO COM BETONEIRA, SEM LANCAMENTO</t>
  </si>
  <si>
    <t>PISO CIMENTADO E=1,5CM C/ARGAMASSA 1:3 CIMENTO AREIA ALISADO COLHER SOBRE BASE EXISTENTE.</t>
  </si>
  <si>
    <t>LANCAMENTO/APLICACAO MANUAL DE CONCRETO EM ESTRUTURAS</t>
  </si>
  <si>
    <t>CHAPA DE MADEIRA COMPENSADA PLASTIFICADA PARA FORMA DE CONCRETO, DE *2,44 X 1,22* M, E = 10 MM</t>
  </si>
  <si>
    <t>DISJUNTOR TIPO NEMA, MONOPOLAR 10 ATE 30A</t>
  </si>
  <si>
    <t>PECA DE MADEIRA NATIVA/REGIONAL 7,5 X 12,50 CM (3X5") NÃO APARELHADA (P/FORMA)</t>
  </si>
  <si>
    <t>CADEADO LATAO CROMADO H = 35MM / 5 PINOS / HASTE CROMADA H = 30MM</t>
  </si>
  <si>
    <t>PORTA CADEADO ZINCADO OXIDADO PRETO</t>
  </si>
  <si>
    <t>TELHA DE FIBROCIMENTO ONDULADA E = 6 MM, DE *2,44 X 1,10* M (SEM AMIANTO)</t>
  </si>
  <si>
    <t>VIDRO LISO INCOLOR 3 MM - SEM COLOCACAO</t>
  </si>
  <si>
    <t>PORTA DE MADEIRA SEMI-OCA, FOLHA LISA PARA PINTURA *80 X 210 X 3,5* CM</t>
  </si>
  <si>
    <t>TABUA MADEIRA 3A QUALIDADE 2,5 X 23,0CM (1 X 9") NAO APARELHADA</t>
  </si>
  <si>
    <t>CANTONEIRA ACO ABAS IGUAIS (QUALQUER BITOLA), E = 1/8 "</t>
  </si>
  <si>
    <t>PARAFUSO ROSCA SOBERBA ZINCADO CABECA CHATA FENDA SIMPLES 3,8 X 30 MM (1.1/4 ")</t>
  </si>
  <si>
    <t>FECHADURA SOBREPOR FERRO PINTADO CHAVE GRANDE</t>
  </si>
  <si>
    <t>FIO/CORDAO COBRE ISOLADO PARALELO OU TORCIDO 2 X 2,5MM2, TIPO PLASTIFLEX PIRELLI OU EQUIV</t>
  </si>
  <si>
    <t>INTERRUPTOR SOBREPOR 1 TECLA SIMPLES, TIPO SILENTOQUE PIAL OU EQUIV</t>
  </si>
  <si>
    <t>TOMADA SOBREPOR 2P UNIVERSAL 10A/250V, TIPO SILENTOQUE PIAL OU EQUIV</t>
  </si>
  <si>
    <t>BOCAL/SOQUETE/RECEPTACULO DE PORCELANA</t>
  </si>
  <si>
    <t>GLOBO ESFERICO DE VIDRO LISO TAMANHO MEDIO</t>
  </si>
  <si>
    <t>FITA ISOLANTE ADESIVA ANTI-CHAMA EM ROLOS 19MM X 5M</t>
  </si>
  <si>
    <t>CARPINTEIRO</t>
  </si>
  <si>
    <t>SERRALHEIRO</t>
  </si>
  <si>
    <t>AUXILIAR DE SERRALHEIRO</t>
  </si>
  <si>
    <t>CONJUNTO ARRUELAS DE VEDACAO 5/16" PARA TELHA FIBROCIMENTO (UMA ARRUELA METALICA E UMA ARRUELA PVC - CONICAS)</t>
  </si>
  <si>
    <t>ARAME RECOZIDO 18 BWG, 1,25 MM (0,01 KG/M)</t>
  </si>
  <si>
    <t>PREGO POLIDO COM CABECA 18 X 27</t>
  </si>
  <si>
    <t>COMPACTADOR DE SOLOS COM PLACA VIBRATORIA, DE 135 A 156 KG, COM MOTOR A DIESEL OU GASOLINA DE 4 A 6 HP, NAO REVERSIVEL (LOCACAO)</t>
  </si>
  <si>
    <t>PEDREIRO</t>
  </si>
  <si>
    <t>PECA DE MADEIRA NATIVA/REGIONAL 2,5 X 7,0 CM (SARRAFO-P/FORMA)</t>
  </si>
  <si>
    <t>TABUA MADEIRA 2A QUALIDADE 2,5 X 30,0CM (1 X 12") NAO APARELHADA</t>
  </si>
  <si>
    <t>FERREIRO</t>
  </si>
  <si>
    <t>AJUDANTE</t>
  </si>
  <si>
    <t>CONCRETO USINADO BOMBEAVEL, CLASSE DE RESISTENCIA C25, COM BRITA 0 E 1, SLUMP = 100 +/- 20 MM, INCLUI SERVICO DE BOMBEAMENTO (NBR 8953)</t>
  </si>
  <si>
    <t>PECA DE MADEIRA NATIVA/REGIONAL 2,5 X 5CM (1X2") NAO APARELHADA (SARRAFO-P/FORMA)</t>
  </si>
  <si>
    <t>DESMOLDANTE PROTETOR PARA FORMAS DE MADEIRA</t>
  </si>
  <si>
    <t>SERVENTE]</t>
  </si>
  <si>
    <t>ELEMENTO VAZADO DE CONCRETO, QUADRICULADO, 16 FUROS *29 X 29 X 6*CM</t>
  </si>
  <si>
    <t>PINO DE ACO COM FURO, HASTE = 27 MM (ACAO DIRETA)</t>
  </si>
  <si>
    <t>MIL</t>
  </si>
  <si>
    <t>CENTO</t>
  </si>
  <si>
    <t>MONTADOR</t>
  </si>
  <si>
    <t>ENCANADOR</t>
  </si>
  <si>
    <t>Instalações provisórias de água</t>
  </si>
  <si>
    <t>CONCRETO NAO ESTRUTURAL, CONSUMO 150KG/M3</t>
  </si>
  <si>
    <t>PINHO DE TERCEIRA 1" X 12" E 1" X 9"</t>
  </si>
  <si>
    <t>DOBRADICA FERRO POLIDO OU GALV 3 X 3" E=2MM</t>
  </si>
  <si>
    <t>VIBRADOR DE IMERSAO C/ MOTOR ELETRICO 2HP MON.</t>
  </si>
  <si>
    <t xml:space="preserve">ARGAMASSA TRAÇO 1:2:8 (CIMENTO, CAL E AREIA MÉDIA) </t>
  </si>
  <si>
    <t xml:space="preserve">TELA DE ACO SOLDADA GALVANIZADA PARA ALVENARIA, </t>
  </si>
  <si>
    <t>BLOCO CERAMICO DE 9 X 19 X 19 CM</t>
  </si>
  <si>
    <t xml:space="preserve">ARGAMASSA TRAÇO 1:4 (CIMENTO E AREIA MÉDIA) </t>
  </si>
  <si>
    <t>ESTRUTURA METÁLICA</t>
  </si>
  <si>
    <t>TELHA SANDUICHE METÁLICA</t>
  </si>
  <si>
    <t>4º MÊS (120 DIAS)</t>
  </si>
  <si>
    <t>5º MÊS (150 DIAS)</t>
  </si>
  <si>
    <t>6º MÊS (180 DIAS)</t>
  </si>
  <si>
    <t>7º MÊS (210 DIAS)</t>
  </si>
  <si>
    <t>8º MÊS (240 DIAS)</t>
  </si>
  <si>
    <t>9º MÊS (270 DIAS)</t>
  </si>
  <si>
    <t>RESUMO</t>
  </si>
  <si>
    <t xml:space="preserve">OBRA </t>
  </si>
  <si>
    <t>Valor (R$)</t>
  </si>
  <si>
    <t>CONSTRUÇÃO DE 01 (UMA) UNIDADE DE ENSINO INFANTIL PROINFÂNCIA - TIPO 1 NO BAIRRO MULTIRÃO NA SEDE DO MUNICIPIO DE BAIÃO/PA</t>
  </si>
  <si>
    <t>TOTAL DA OBRA</t>
  </si>
  <si>
    <t>PIS</t>
  </si>
  <si>
    <t>ISS/ICMS</t>
  </si>
  <si>
    <t>CONFINS</t>
  </si>
  <si>
    <t>CSLL</t>
  </si>
  <si>
    <r>
      <t xml:space="preserve">  H C GOMES CONSTRUTORA COMÉRCIO E SERVIÇOS EIRELI - EPP</t>
    </r>
    <r>
      <rPr>
        <b/>
        <sz val="16"/>
        <rFont val="Times New Roman"/>
        <family val="1"/>
      </rPr>
      <t xml:space="preserve">                                                                                       </t>
    </r>
    <r>
      <rPr>
        <b/>
        <sz val="12"/>
        <rFont val="Times New Roman"/>
        <family val="1"/>
      </rPr>
      <t>CNPJ: 18.235.336/0001-07, Incs. Municipal: 30.476, Trav. João Augusto, nº 847 -                                                      Bairro: São Pedro - CEP: 68.400-000 - Cametá - Pará</t>
    </r>
  </si>
  <si>
    <t>COMPOSIÇÃO DE ENCARGOS - (HORISTA)</t>
  </si>
  <si>
    <t>CONCEITO DE ANO PRODUTIVO</t>
  </si>
  <si>
    <t>CONCORRÊNCIA PÚBLICA Nº 003/2015 - SEMED - PMC</t>
  </si>
  <si>
    <t>Jornada mensal de trabalho (220 horas/mês)</t>
  </si>
  <si>
    <t>horas/mês</t>
  </si>
  <si>
    <t>Jornada diária de trabalho =&gt; (220 horas/30 dias)</t>
  </si>
  <si>
    <t>horas/dia</t>
  </si>
  <si>
    <t>HORAS NÃO TRABALHADAS</t>
  </si>
  <si>
    <t>TAXAS DE LEIS SOCIAIS E RISCOS DE TRABALHO HORISTAS</t>
  </si>
  <si>
    <t>Domingos ou Repouso Semanal Remunerado</t>
  </si>
  <si>
    <t>horas</t>
  </si>
  <si>
    <t>A: Encargos Sociais Básicos</t>
  </si>
  <si>
    <t>Feriados</t>
  </si>
  <si>
    <t>12,5</t>
  </si>
  <si>
    <t>A.1</t>
  </si>
  <si>
    <t>Previdência Social (INSS)</t>
  </si>
  <si>
    <t>Auxílio Efermidade - Doença (15 dias, ocorrência de 3,40%)</t>
  </si>
  <si>
    <t>A.2</t>
  </si>
  <si>
    <t>Fundo de Garantia por Tempo de Serviço (FGTS)</t>
  </si>
  <si>
    <t>Licença Paternidade (5 dias, incidência (92,36%), proporção (85,64%) e rocorre (5,93%)</t>
  </si>
  <si>
    <t>A.3</t>
  </si>
  <si>
    <t>Salário Educação</t>
  </si>
  <si>
    <t>Licença Maternidade (120 dias, natalidade (4,33%), incidência (7,64%), proporção (82,40%)</t>
  </si>
  <si>
    <t>A.4</t>
  </si>
  <si>
    <t>Serviço Social da Industria (SESI)</t>
  </si>
  <si>
    <t>Faltas Justificadas</t>
  </si>
  <si>
    <t>A.5</t>
  </si>
  <si>
    <t>Serviço Nacional de Aprendizagem Industrial (SENAI)</t>
  </si>
  <si>
    <t>Dias de Chuvas</t>
  </si>
  <si>
    <t>A.6</t>
  </si>
  <si>
    <t>Serviço de Apoio a Pequena e Média Empresa (SEBRAE)</t>
  </si>
  <si>
    <t>Auxílio Acidente de Trabalho (incremento 3,50%)</t>
  </si>
  <si>
    <t>A.7</t>
  </si>
  <si>
    <t>Instituto Nacional de Colonização e Reforma Agraria (INCRA)</t>
  </si>
  <si>
    <t>Férias Gozadas + 1/3 Adicional</t>
  </si>
  <si>
    <t>A.8</t>
  </si>
  <si>
    <t>Seguro Contra os Acidentes de Trabalho (INSS)</t>
  </si>
  <si>
    <r>
      <t xml:space="preserve">ANO PRODUTIVO </t>
    </r>
    <r>
      <rPr>
        <sz val="9"/>
        <rFont val="Arial"/>
        <family val="2"/>
      </rPr>
      <t>(1 ano =&gt; 365 dias + 1/4 dia ano bisexto)</t>
    </r>
  </si>
  <si>
    <t>A.9</t>
  </si>
  <si>
    <t>SECONCI</t>
  </si>
  <si>
    <t>ANO PRODUTIVO MENOS HORAS NÃO TRABALHADAS</t>
  </si>
  <si>
    <t>12</t>
  </si>
  <si>
    <t>Subtotal (A)</t>
  </si>
  <si>
    <t>13º Salário (30 dias)</t>
  </si>
  <si>
    <t>B: Encargos Sociais que recebem as incidências de A</t>
  </si>
  <si>
    <t>Aviso prévio Indenizado (30 dias + 3 dias p/ano, incidência (90,00%)</t>
  </si>
  <si>
    <t>B.1</t>
  </si>
  <si>
    <t>Repouso Semanal e Feriados</t>
  </si>
  <si>
    <t>Aviso prévio trabalhado (7 dias)</t>
  </si>
  <si>
    <t>B.2</t>
  </si>
  <si>
    <t>Auxílio-enfermidade</t>
  </si>
  <si>
    <t>Férias Indenizadas + 1/3 Adicional (6,26 meses)</t>
  </si>
  <si>
    <t>B.3</t>
  </si>
  <si>
    <t>Licença-paternidade</t>
  </si>
  <si>
    <t>Depósito por Despedida Injusta</t>
  </si>
  <si>
    <t>B.4</t>
  </si>
  <si>
    <t>13º Salário</t>
  </si>
  <si>
    <t>Indenização Adicional (1/12 - adotado)</t>
  </si>
  <si>
    <t>B.5</t>
  </si>
  <si>
    <t>Dias de chuva/ falta justificadas/ acidentes de trabalho/ greves/ alta ou atraso na entrega de materiais ou serviços de obra/ outras dificuldades</t>
  </si>
  <si>
    <t>Subtotal (B)</t>
  </si>
  <si>
    <t>Legenda</t>
  </si>
  <si>
    <t>C: Encargos Sociais que não recebem as incidências globais de A</t>
  </si>
  <si>
    <t>C.1</t>
  </si>
  <si>
    <t>Depósito por despedida injusta: 50% sobre [A.2+(A.2xB)] (supondo apenas rescisões por despedida injusta)</t>
  </si>
  <si>
    <t>CUSTOS MÉDIOS ESTIMADOS</t>
  </si>
  <si>
    <t>VALORES</t>
  </si>
  <si>
    <t>C.2</t>
  </si>
  <si>
    <t>Férias (indenizadas)</t>
  </si>
  <si>
    <t>Custo Médio (un.) da Condução - C</t>
  </si>
  <si>
    <t>C.3</t>
  </si>
  <si>
    <t>Aviso Prévio Indenizado</t>
  </si>
  <si>
    <t>Número de Conduções - NC</t>
  </si>
  <si>
    <t>Subtotal (C)</t>
  </si>
  <si>
    <t>Custo Médio (un.) de um Café da Manhã - F</t>
  </si>
  <si>
    <t>D: Taxa de Reincidências</t>
  </si>
  <si>
    <t>Custo Médio (un.) da Refeição - R</t>
  </si>
  <si>
    <t>D.1</t>
  </si>
  <si>
    <t>Reincidência de A sobre B</t>
  </si>
  <si>
    <t>Número de Refeições - NR</t>
  </si>
  <si>
    <t>D.2</t>
  </si>
  <si>
    <t>Reicidência de A2 sobre C3</t>
  </si>
  <si>
    <t>Subtotal (D)</t>
  </si>
  <si>
    <t>Custo Médio (un.) do seguro - C</t>
  </si>
  <si>
    <t>TOTAL DE ENCARGOS SOCIAIS</t>
  </si>
  <si>
    <t>Custo Médio do EPI (mês)/-1/3 de calçado + 1/10 de capacete + 1/10 cinturão - K</t>
  </si>
  <si>
    <t>E: Complementos</t>
  </si>
  <si>
    <t>Salário Médio Nominal (mês)</t>
  </si>
  <si>
    <t>E.1</t>
  </si>
  <si>
    <t>Vale Transporte = (CxNCx0,06)/S%</t>
  </si>
  <si>
    <t>Ferramentas manuais</t>
  </si>
  <si>
    <t>E.2</t>
  </si>
  <si>
    <t>Vale Café da Manhâ = (FxNR-S/30x22x0,01)/S%</t>
  </si>
  <si>
    <t>E.3</t>
  </si>
  <si>
    <t>Refeição = (RxNRx0,95)/S%</t>
  </si>
  <si>
    <t>E.4</t>
  </si>
  <si>
    <t>Seguro de vida e Acidente em Grupo = C/S%</t>
  </si>
  <si>
    <t>E.5</t>
  </si>
  <si>
    <t>Equipamento de Proteção Individual = K/S%</t>
  </si>
  <si>
    <t>E.6</t>
  </si>
  <si>
    <t>Pesquisa de Dados no CAGED</t>
  </si>
  <si>
    <t>TOTAL DE COMPLEMENTOS</t>
  </si>
  <si>
    <t>TOTAL GERAL (Encargos Sociais + Complementos)</t>
  </si>
  <si>
    <t>Desligamentos</t>
  </si>
  <si>
    <t>Dispensados com Justa Causa</t>
  </si>
  <si>
    <t>Dispensados sem Justa Causa</t>
  </si>
  <si>
    <t>Espontâneos</t>
  </si>
  <si>
    <t>Fim de Contrato por Prazo Determinado</t>
  </si>
  <si>
    <t>Término de Contrato</t>
  </si>
  <si>
    <t>Aposentados</t>
  </si>
  <si>
    <t>Mortos</t>
  </si>
  <si>
    <t>Transferência de Saída</t>
  </si>
  <si>
    <t>Estoque</t>
  </si>
  <si>
    <t>Estoque Recuperado Início do Período</t>
  </si>
  <si>
    <t>Estoque Recuperado Final do Período</t>
  </si>
  <si>
    <t>Estoque Médio</t>
  </si>
  <si>
    <t>Dispensados Descontados (não considera os desligamentos espontâneos, aposentados, mortos e transferência de saída)</t>
  </si>
  <si>
    <t>Dispensados (não considera os aposentados, mortos e transferência de saída)</t>
  </si>
  <si>
    <t>Taxa de Rotatividade Descontada (apenas dispensados sem justa causa)</t>
  </si>
  <si>
    <t>Taxa de Rotatividade Não Descontada</t>
  </si>
  <si>
    <t>Desligados Espontâneos</t>
  </si>
  <si>
    <t>Duração Média de Emprego - (meses)</t>
  </si>
  <si>
    <t>Percentual de Dispensados sem Justa Causa</t>
  </si>
  <si>
    <t>COMPOSIÇÃO DE ENCARGOS - (MENSALISTA)</t>
  </si>
  <si>
    <t>TAXAS DE LEIS SOCIAIS E RISCOS DE TRABALHO MENSALISTA</t>
  </si>
  <si>
    <t>Salário</t>
  </si>
  <si>
    <t>Reicindência de A2 sobre C3</t>
  </si>
  <si>
    <t>LS(%): 148,42</t>
  </si>
  <si>
    <t>20.23</t>
  </si>
  <si>
    <t>20.24</t>
  </si>
  <si>
    <t>1 - ADMINISTRAÇÃO CENTRAL</t>
  </si>
  <si>
    <t>DESCRIÇÃO</t>
  </si>
  <si>
    <t>MÃO DE OBRA</t>
  </si>
  <si>
    <t>TRANSPORTES</t>
  </si>
  <si>
    <t>MANUTENÇÃO E OPERAÇÃO DO ESCRITÓRIO CENTRAL</t>
  </si>
  <si>
    <t>DESPESAS DIVERSAS</t>
  </si>
  <si>
    <t>TAXA (%)</t>
  </si>
  <si>
    <t>TOTAL DA ADMINISTRAÇÃO CENTRAL</t>
  </si>
  <si>
    <t>COMPOSIÇÃO ANALÍTICA DA TAXA DE B.D.I.</t>
  </si>
  <si>
    <t>2 - DESPESAS FISCAIS</t>
  </si>
  <si>
    <t>IRPJ</t>
  </si>
  <si>
    <t>TOTAL DAS DISPESAS FISCAIS</t>
  </si>
  <si>
    <t>3 - DIVERSOS</t>
  </si>
  <si>
    <t>BONIFICAÇÃO DA EMPRESA (LUCRO)</t>
  </si>
  <si>
    <t>DESPESAS FINANCEIRAS</t>
  </si>
  <si>
    <t>SEGURO OBRIGATÓRIO</t>
  </si>
  <si>
    <t>RISCOS E EVENTUAIS</t>
  </si>
  <si>
    <t>TOTAL DIVERSOS</t>
  </si>
  <si>
    <t>BONIFICAÇÃO E DESPESAS INDIRETAS (B.D.I)</t>
  </si>
  <si>
    <t>BDI =</t>
  </si>
  <si>
    <t xml:space="preserve">             (1 - I)</t>
  </si>
  <si>
    <r>
      <t>(1 + X) x (1 + Y) x (1 + Z)</t>
    </r>
    <r>
      <rPr>
        <sz val="10"/>
        <rFont val="Arial"/>
        <family val="2"/>
      </rPr>
      <t xml:space="preserve">  - 1</t>
    </r>
  </si>
  <si>
    <t>26275,44</t>
  </si>
  <si>
    <t xml:space="preserve"> PREFEITURA MUNICIPAL DE OEIRAS DO PARÁ</t>
  </si>
  <si>
    <t>CONCORRÊNCIA  PUBLICA N° 001/2015 - CPL/ PMOP/ SEMED</t>
  </si>
  <si>
    <t>OBRA:  CONSTRUÇÃO DE ESCOLA PADRÃO FNDE 12 (DOZE) SALAS DE AULA NO MUNICIPIO DE OEIRAS DO PARÁ/PA</t>
  </si>
  <si>
    <t>Barracão de obra</t>
  </si>
  <si>
    <t>Ligação  provisória de água</t>
  </si>
  <si>
    <t>Ligação provisórias de esgoto</t>
  </si>
  <si>
    <t>PR. UNIT (R$)   sem bdi</t>
  </si>
  <si>
    <t>PR. UNIT (R$) com bdi</t>
  </si>
  <si>
    <t>SERVIÇO EM TERRA</t>
  </si>
  <si>
    <t>BDI (%): 29,99</t>
  </si>
  <si>
    <t>Ligação provisória de energia</t>
  </si>
  <si>
    <t>Locação da obra - execução de gabarito</t>
  </si>
  <si>
    <t>Escavação manual de valas até a profundidade de 1 metro</t>
  </si>
  <si>
    <t>Reaterro  com apiloamento</t>
  </si>
  <si>
    <t>Aterro interno com apiloamento</t>
  </si>
  <si>
    <t>Embassamento c/tijolo comum</t>
  </si>
  <si>
    <t>Estaca a trado diam. 30 cm com inclusive ferragem</t>
  </si>
  <si>
    <t>Escavação manual de valas (sapatas/blocos)</t>
  </si>
  <si>
    <t>Reaterro  c/ apiloamento (blocos/sapatas)</t>
  </si>
  <si>
    <t>Escavação tubulões a céu aberto - (obras civis)</t>
  </si>
  <si>
    <t>Concreto simples para lastro</t>
  </si>
  <si>
    <t>Concreto armado  fck=20 MPa,usinado,Bombeado, lançado e adensado, para uso geral, inclusive formas.</t>
  </si>
  <si>
    <t>Concreto armado  fck=20 MPa,usinado,Bombeado, lançado e adensado, para tubulão</t>
  </si>
  <si>
    <t>Fundação em pedra rachão</t>
  </si>
  <si>
    <t>FUNDAÇÃO E SONDAGENS</t>
  </si>
  <si>
    <t>ESTRUTURA</t>
  </si>
  <si>
    <t>Forro de laje pre-moldada, inclusive  capeamento  (e=2cm) c/ ferr. Distrib.</t>
  </si>
  <si>
    <t>INSTALAÇÕES ELÉTRICAS/TELEFONICAS/LÓGICA</t>
  </si>
  <si>
    <t xml:space="preserve">Arandela a prova de intempéries, c/grade met.sup.90 gr&lt;100w </t>
  </si>
  <si>
    <t>unid</t>
  </si>
  <si>
    <t>Bandeja para rack de telecomunicações 1u</t>
  </si>
  <si>
    <t>Base p/ globo ou drops ( 1 lâmpada ) boca 10 '' cmcls</t>
  </si>
  <si>
    <t>Bloco BER - 10  ( bloco de engate rápido)</t>
  </si>
  <si>
    <t>Cabeçote de liga de alumínio diam. 3''</t>
  </si>
  <si>
    <t>Cabo de cobre nu no. 10 mm² (11,11m /kg)</t>
  </si>
  <si>
    <t xml:space="preserve">Cabo de cobre nu no. 35 mm² </t>
  </si>
  <si>
    <t>5.8</t>
  </si>
  <si>
    <t>Cabo flexível isolado 1 kv 10 mm²</t>
  </si>
  <si>
    <t>5.9</t>
  </si>
  <si>
    <t>Cabo flexível isolado 1 kv 16 mm²</t>
  </si>
  <si>
    <t>Cabo flexível isolado 1 kv 2,5 mm²</t>
  </si>
  <si>
    <t>5.10</t>
  </si>
  <si>
    <t>5.11</t>
  </si>
  <si>
    <t>Cabo flexível isolado 1 kv 35 mm²</t>
  </si>
  <si>
    <t>5.12</t>
  </si>
  <si>
    <t>Cabo flexível isolado 1 kv 4 mm²</t>
  </si>
  <si>
    <t>5.13</t>
  </si>
  <si>
    <t>Cabo flexível isolado 1 kv 6 mm²</t>
  </si>
  <si>
    <t>Cabo flexível isolado 1 kv 95 mm²</t>
  </si>
  <si>
    <t>5.14</t>
  </si>
  <si>
    <t>5.15</t>
  </si>
  <si>
    <t>Cabo flexível isolado 750v 2,5 mm²</t>
  </si>
  <si>
    <t>5.16</t>
  </si>
  <si>
    <t>Cabo flexível isolado 750v 4 mm²</t>
  </si>
  <si>
    <t>5.17</t>
  </si>
  <si>
    <t>Cabo flexível isolado 750v 6 mm²</t>
  </si>
  <si>
    <t>5.18</t>
  </si>
  <si>
    <t>Cabo isolado PP 3 x 4,0 mm²</t>
  </si>
  <si>
    <t>5.19</t>
  </si>
  <si>
    <t>Cabo lógico STP-4pares categoria 5e</t>
  </si>
  <si>
    <t>5.20</t>
  </si>
  <si>
    <t xml:space="preserve">Cabo telefônico cce-50-4 pares </t>
  </si>
  <si>
    <t>5.21</t>
  </si>
  <si>
    <t>Cabo telefônico ci-50- 10 pares ( uso interno)</t>
  </si>
  <si>
    <t>5.22</t>
  </si>
  <si>
    <t>Cabo UTP-4p, cat. 5e, 24 awg</t>
  </si>
  <si>
    <t>5.23</t>
  </si>
  <si>
    <t xml:space="preserve">Caixa de passagem metálica 15x15x12 cm </t>
  </si>
  <si>
    <t>5.24</t>
  </si>
  <si>
    <t>Caixa distribuição telefônica 40x40x12 cm</t>
  </si>
  <si>
    <t>5.25</t>
  </si>
  <si>
    <t>Caixa distribuição telefônica 60x60x12 cm</t>
  </si>
  <si>
    <t>5.26</t>
  </si>
  <si>
    <t>Caixa met. Hexagonal p/arandela (sextavada 3''x3'')</t>
  </si>
  <si>
    <t>5.27</t>
  </si>
  <si>
    <t>Caixa de pvc octogonal fundo móvel, dupla 4''</t>
  </si>
  <si>
    <t>5.28</t>
  </si>
  <si>
    <t>Caixa pvc quadrada 4''x4''x2''</t>
  </si>
  <si>
    <t>5.29</t>
  </si>
  <si>
    <t xml:space="preserve">Caixa pvc 4'' x 2'' x 2'' </t>
  </si>
  <si>
    <t>5.30</t>
  </si>
  <si>
    <t>Caixa passagem 20x20x25 fundo brita s/tampa</t>
  </si>
  <si>
    <t>5.31</t>
  </si>
  <si>
    <t>Caixa passagem 35x60x50 fundo de conc. (p/tampa r1)</t>
  </si>
  <si>
    <t>5.32</t>
  </si>
  <si>
    <t xml:space="preserve">Caixa passagem 50x50x60 fundo de brita s/tampa </t>
  </si>
  <si>
    <t>5.33</t>
  </si>
  <si>
    <t>Certificado digital</t>
  </si>
  <si>
    <t>5.34</t>
  </si>
  <si>
    <t>Condulete PVC Ib 3/4'' s/ tampa</t>
  </si>
  <si>
    <t>5.35</t>
  </si>
  <si>
    <t>Condulete PVC t 3/4'' s/ tampa</t>
  </si>
  <si>
    <t>5.36</t>
  </si>
  <si>
    <t>Condulete PVC x 3/4'' s/ tampa</t>
  </si>
  <si>
    <t>5.37</t>
  </si>
  <si>
    <t>Convesor de fibra óptica para cabo UTP</t>
  </si>
  <si>
    <t>5.38</t>
  </si>
  <si>
    <t>Disjuntor monopolar de 10 a 30-a</t>
  </si>
  <si>
    <t>5.39</t>
  </si>
  <si>
    <t>5.40</t>
  </si>
  <si>
    <t>Disjuntor tripolar de 40 a 50-a</t>
  </si>
  <si>
    <t>Disjuntor tripolar de 10 a 35-a</t>
  </si>
  <si>
    <t>5.41</t>
  </si>
  <si>
    <t>Disjuntor tripolar de 200-a</t>
  </si>
  <si>
    <t>5.42</t>
  </si>
  <si>
    <t>Disjuntor diferencial residual 25a, 30 ma</t>
  </si>
  <si>
    <t>5.43</t>
  </si>
  <si>
    <t>Dispositivo interno óptico 1 u para rack</t>
  </si>
  <si>
    <t>5.44</t>
  </si>
  <si>
    <t>Eletroduto de PVC rigido diâmetro 1'' inclusive conexões</t>
  </si>
  <si>
    <t>5.45</t>
  </si>
  <si>
    <t>Eletroduto de PVC rigido diâmetro 2'' inclusive conexões</t>
  </si>
  <si>
    <t>5.46</t>
  </si>
  <si>
    <t>Eletroduto de PVC rigido diâmetro 3'' inclusive conexões</t>
  </si>
  <si>
    <t>5.47</t>
  </si>
  <si>
    <t>Eletroduto de PVC rigido diâmetro 3/4'' inclusive conexões</t>
  </si>
  <si>
    <t>5.48</t>
  </si>
  <si>
    <t>Eletroduto de PVC rigido diâmetro 4'' inclusive conexões</t>
  </si>
  <si>
    <t>5.49</t>
  </si>
  <si>
    <t>Eletroduto de ferro galvanizado  diâmetro 3'' inclusive conexões</t>
  </si>
  <si>
    <t>5.50</t>
  </si>
  <si>
    <t>Espelho baquelite 4'' x 2'' 2 furos RJ-45</t>
  </si>
  <si>
    <t>5.51</t>
  </si>
  <si>
    <t>Fibra óptica monomodo geleado</t>
  </si>
  <si>
    <t>5.52</t>
  </si>
  <si>
    <t>Fio de cobre nu no. 6 mm² (18,00 m/kg)</t>
  </si>
  <si>
    <t>5.53</t>
  </si>
  <si>
    <t>Haste Copperweld 5/8'' x 3,00 m c/ conector</t>
  </si>
  <si>
    <t>5.54</t>
  </si>
  <si>
    <t>Interruptor para ventilador</t>
  </si>
  <si>
    <t>5.55</t>
  </si>
  <si>
    <t>Interruptor paralelo simples (1 seção)</t>
  </si>
  <si>
    <t>5.56</t>
  </si>
  <si>
    <t>Interruptor  simples (1 seção)</t>
  </si>
  <si>
    <t>5.57</t>
  </si>
  <si>
    <t>Interruptor  simples (2 seção)</t>
  </si>
  <si>
    <t>5.58</t>
  </si>
  <si>
    <t>Interruptor  simples (3 seção)</t>
  </si>
  <si>
    <t>UNID</t>
  </si>
  <si>
    <t>5.59</t>
  </si>
  <si>
    <t>Interruptor  simples 1 tomada univ. conjugados</t>
  </si>
  <si>
    <t>5.60</t>
  </si>
  <si>
    <t xml:space="preserve">Line cord up - 4p, cat. 5 e, flexivel, 2,0 m </t>
  </si>
  <si>
    <t>5.61</t>
  </si>
  <si>
    <t>Luminaria circular com vidro p/quadr 400 w, p/base e-40</t>
  </si>
  <si>
    <t>5.62</t>
  </si>
  <si>
    <t>Luminaria conj.c/1 pétala simpl. (ate 400 w) padrão b</t>
  </si>
  <si>
    <t>5.63</t>
  </si>
  <si>
    <t>Luminaria fluorescente de embutir 2 x 32 ou 2 x 40 w, completa, reator eletrônico e lâmpada conforme projeto</t>
  </si>
  <si>
    <t>5.64</t>
  </si>
  <si>
    <t>Organizador de  Cabos (guias)</t>
  </si>
  <si>
    <t>5.65</t>
  </si>
  <si>
    <t xml:space="preserve">Patch cord utp-4 p, cat 5e, flexível 2,0 m </t>
  </si>
  <si>
    <t>5.66</t>
  </si>
  <si>
    <t>Patch pannel padrão 19'' cat. 5e, com 24 portas</t>
  </si>
  <si>
    <t>5.67</t>
  </si>
  <si>
    <t>5.68</t>
  </si>
  <si>
    <t>5.69</t>
  </si>
  <si>
    <t>Petrolet c 1'' s/tampa</t>
  </si>
  <si>
    <t>Petrolet c 3/4'' s/tampa</t>
  </si>
  <si>
    <t>Petrolet II, Ir ou Ib 1'' s/tampa</t>
  </si>
  <si>
    <t>5.70</t>
  </si>
  <si>
    <t>Poste circular em fº gº d=100/60mm e h= 12 m)</t>
  </si>
  <si>
    <t>Poste de concreto quad. 10 cm lado c/2,5 metros  de comp.</t>
  </si>
  <si>
    <t>5.71</t>
  </si>
  <si>
    <t>5.72</t>
  </si>
  <si>
    <t>Projetor circular( ate 200 w) base e-27 completo inclusive lâmpada, conforme projeto</t>
  </si>
  <si>
    <t>5.73</t>
  </si>
  <si>
    <t>Projetor retangular c/ porta ( ate 400w) base e40 completo lãmpada, conforme projeto</t>
  </si>
  <si>
    <t>5.74</t>
  </si>
  <si>
    <t xml:space="preserve">Quadro de distribuição cb 12e - 100a </t>
  </si>
  <si>
    <t>5.75</t>
  </si>
  <si>
    <t>Quadro de distribuição cb 12e - 150a</t>
  </si>
  <si>
    <t>5.76</t>
  </si>
  <si>
    <t>Quadro de distribuição cb 18e - 150a</t>
  </si>
  <si>
    <t>5.77</t>
  </si>
  <si>
    <t>Quadro de distribuição cb 50e - 225a</t>
  </si>
  <si>
    <t>5.78</t>
  </si>
  <si>
    <t>Rack de telecomunicações fechado em acrilico 19'' 12u's</t>
  </si>
  <si>
    <t>5.79</t>
  </si>
  <si>
    <t>Rack de telecomunicações fechado em acrilico 19'' 40u's</t>
  </si>
  <si>
    <t>5.80</t>
  </si>
  <si>
    <t>Régua com 8 tomadas</t>
  </si>
  <si>
    <t>5.81</t>
  </si>
  <si>
    <t xml:space="preserve">Rele Foto elétrico com base </t>
  </si>
  <si>
    <t>5.82</t>
  </si>
  <si>
    <t>Switch 24 portas 10/100mbps</t>
  </si>
  <si>
    <t>5.83</t>
  </si>
  <si>
    <t>Tampa cega condulete PVC 1''</t>
  </si>
  <si>
    <t>5.84</t>
  </si>
  <si>
    <t>Tampa cega Petrolet 1''</t>
  </si>
  <si>
    <t>5.85</t>
  </si>
  <si>
    <t xml:space="preserve">Tampa concreto e=5 cm p/cx. Passagem </t>
  </si>
  <si>
    <t>5.86</t>
  </si>
  <si>
    <t>Tampa de ferro fundido R1 com base</t>
  </si>
  <si>
    <t>5.87</t>
  </si>
  <si>
    <t>Tampa de  PVC 4'' x 2'' com furo central</t>
  </si>
  <si>
    <t>5.88</t>
  </si>
  <si>
    <t>Tampa de  PVC 4'' x 2'' x 2'' com furo central</t>
  </si>
  <si>
    <t>5.89</t>
  </si>
  <si>
    <t>Tomada de 2 pólos mais terra</t>
  </si>
  <si>
    <t>5.90</t>
  </si>
  <si>
    <t>Tomada de 3 pólos mais terra</t>
  </si>
  <si>
    <t>5.91</t>
  </si>
  <si>
    <t>Tomada lógica RJ-45 tipo Keystone Jack, cat. 5e</t>
  </si>
  <si>
    <t>5.92</t>
  </si>
  <si>
    <t>Tomada universal</t>
  </si>
  <si>
    <t>5.93</t>
  </si>
  <si>
    <t>Ventilador para rack</t>
  </si>
  <si>
    <t>SUBESTAÇÃO</t>
  </si>
  <si>
    <t>CAIXA DE INSPEÇÃO  DE ATERRAMENTO 250x250x250mm</t>
  </si>
  <si>
    <t>PREDEIRO</t>
  </si>
  <si>
    <t>Caixa de passagem em alvenaria 500x500x800mm</t>
  </si>
  <si>
    <t>Caixa para medidor trifásico padrão concessionaria local</t>
  </si>
  <si>
    <t>Chave fusível, 15 kV, 100a</t>
  </si>
  <si>
    <t>Cruzeta de concreto armado 1900mm</t>
  </si>
  <si>
    <t>Curva de 90 graus de pvc rigido diam. 4''</t>
  </si>
  <si>
    <t>Disjuntor termomagnético tripolar 200a</t>
  </si>
  <si>
    <t>Eletroduto de PVC rigido diâmetro 4''</t>
  </si>
  <si>
    <t xml:space="preserve">Elo fusivel 6k </t>
  </si>
  <si>
    <t>Isolador polietileno de ancoragem</t>
  </si>
  <si>
    <t xml:space="preserve">isolador tipo roldana  de porcelana </t>
  </si>
  <si>
    <t xml:space="preserve">isolador, pino 15 kV rosca 25 mm </t>
  </si>
  <si>
    <t>Para raios distribuição, vávula bloco 12 kv, 5 kva</t>
  </si>
  <si>
    <t>Poste de Concreto SC 11/400</t>
  </si>
  <si>
    <t xml:space="preserve">suporte p/ transformador em poste duplo t </t>
  </si>
  <si>
    <t>Transformador trifasico 112,5 kva</t>
  </si>
  <si>
    <t xml:space="preserve">INSTALAÇÃO HIDRO - SANITARIAS </t>
  </si>
  <si>
    <t>Cabide tipo gacho (louça)</t>
  </si>
  <si>
    <t xml:space="preserve">caixa de alvenaria para torneira </t>
  </si>
  <si>
    <t xml:space="preserve">caixa de areia 60 x 60 c/grelha metalica </t>
  </si>
  <si>
    <t xml:space="preserve">caixa de areia 80 x 80 c/ tampa de concreto  </t>
  </si>
  <si>
    <t>caixa de gordura 1,60 x 0,90 c/ tampa  de ferro fundido</t>
  </si>
  <si>
    <t xml:space="preserve">caixa de gordura 600 l concreto </t>
  </si>
  <si>
    <t>7.7</t>
  </si>
  <si>
    <t>caixa de inspeção 60 x 60  com tampo de ferro fundido</t>
  </si>
  <si>
    <t>7.8</t>
  </si>
  <si>
    <t>caixa de passagem 60 x 60 cm</t>
  </si>
  <si>
    <t>7.9</t>
  </si>
  <si>
    <t xml:space="preserve">chuveiro eletrico metálico c/braço metalico </t>
  </si>
  <si>
    <t>7.10</t>
  </si>
  <si>
    <t xml:space="preserve">corpo sifonado diam. 100 x 150 x 50 </t>
  </si>
  <si>
    <t>7.11</t>
  </si>
  <si>
    <t xml:space="preserve">corpo sifonado diam. 150 x 185 x 75 </t>
  </si>
  <si>
    <t>7.12</t>
  </si>
  <si>
    <t>Corpo ralo seco cônico diam. 100 x 40 mm</t>
  </si>
  <si>
    <t>7.13</t>
  </si>
  <si>
    <t>Corpo ralo sinfonado cônico diam. 100 x 40 mm</t>
  </si>
  <si>
    <t>7.14</t>
  </si>
  <si>
    <t xml:space="preserve">cuba de louça de embutir oval </t>
  </si>
  <si>
    <t>7.15</t>
  </si>
  <si>
    <t xml:space="preserve">cuba dupla inox 84x50x20/25cm ch. 20 </t>
  </si>
  <si>
    <t>7.16</t>
  </si>
  <si>
    <t>cuba de inox 46x30x15 cm e=0,6mm - aço 304 (cuba n°1)</t>
  </si>
  <si>
    <t>7.17</t>
  </si>
  <si>
    <t>cuba de inox 60x50x35 ch. 20</t>
  </si>
  <si>
    <t>7.18</t>
  </si>
  <si>
    <t>filtro tanque inox vazão 3000 l/h instalado</t>
  </si>
  <si>
    <t>7.19</t>
  </si>
  <si>
    <t>fossa septica 7500 l, área util = 4,10 x 1,35 x 2,00</t>
  </si>
  <si>
    <t>7.20</t>
  </si>
  <si>
    <t>grelha quadrada cromada diam. 150 mm</t>
  </si>
  <si>
    <t>7.21</t>
  </si>
  <si>
    <t>grelha quadrada cromada diam. 100 mm</t>
  </si>
  <si>
    <t>7.22</t>
  </si>
  <si>
    <t>grelha redonda branca diam 100 mm</t>
  </si>
  <si>
    <t>7.23</t>
  </si>
  <si>
    <t>grelha redonda cromada diam 100 mm</t>
  </si>
  <si>
    <t>7.24</t>
  </si>
  <si>
    <t>hidrômetro diam. Ramal = 25 mm vazão = 3m³</t>
  </si>
  <si>
    <t>7.25</t>
  </si>
  <si>
    <t>inst. De conj. Motor- bomba centrifuga de 1 hp</t>
  </si>
  <si>
    <t>7.26</t>
  </si>
  <si>
    <t>Lavatorio completo c/coluna, inclusive vávula metalica, sifao, ligação e fixadores</t>
  </si>
  <si>
    <t>ligação flexivel p/ pia metalica 1/2</t>
  </si>
  <si>
    <t>7.27</t>
  </si>
  <si>
    <t>7.28</t>
  </si>
  <si>
    <t>Mictório completo de louca c/sifão integrado, inclusive valvula descarga de 1ª linha de valvula metálica de esgotamento e fixadores</t>
  </si>
  <si>
    <t>7.29</t>
  </si>
  <si>
    <t>Papeleira de embutir</t>
  </si>
  <si>
    <t>7.30</t>
  </si>
  <si>
    <t>Porta grelha quadrado cromado diam. 150 mm</t>
  </si>
  <si>
    <t>7.31</t>
  </si>
  <si>
    <t>porta grelha quadrado p/ grel. Quad. Diam. 100 mm</t>
  </si>
  <si>
    <t>7.32</t>
  </si>
  <si>
    <t>porta grelha quadrado p/ grel. Red. branc. Diam. 100 mm</t>
  </si>
  <si>
    <t>7.33</t>
  </si>
  <si>
    <t>porta grelha quadrado p/ grel. Red. Crom.. Diam. 100 mm</t>
  </si>
  <si>
    <t>7.34</t>
  </si>
  <si>
    <t>registro de gaveta bruto diametro 1''</t>
  </si>
  <si>
    <t>7.35</t>
  </si>
  <si>
    <t>registro de gaveta bruto diametro 1 1/2''</t>
  </si>
  <si>
    <t>7.36</t>
  </si>
  <si>
    <t>registro de gaveta bruto diametro 2'</t>
  </si>
  <si>
    <t>7.37</t>
  </si>
  <si>
    <t>registro de gaveta c/ canopla diâmetro 1''</t>
  </si>
  <si>
    <t>7.40</t>
  </si>
  <si>
    <t>registro de gaveta c/ canopla diâmetro 1. 1/4''</t>
  </si>
  <si>
    <t>7.38</t>
  </si>
  <si>
    <t>7.39</t>
  </si>
  <si>
    <t>registro de gaveta c/ canopla diâmetro 3/4''</t>
  </si>
  <si>
    <t>registro de pressao de 1 linha c/ canopla cromada diam. 3/4''</t>
  </si>
  <si>
    <t>7.41</t>
  </si>
  <si>
    <t xml:space="preserve">saboneteria de louca de embutir </t>
  </si>
  <si>
    <t>7.42</t>
  </si>
  <si>
    <t xml:space="preserve">sifão p/ lavatorio pvc de embutir </t>
  </si>
  <si>
    <t>7.43</t>
  </si>
  <si>
    <t xml:space="preserve">sifão p/pia 1.1/2'' x 2'' metal </t>
  </si>
  <si>
    <t>7.44</t>
  </si>
  <si>
    <t xml:space="preserve">sifao p/tanque 1'' x 1.1/2'' - pvc </t>
  </si>
  <si>
    <t>7.45</t>
  </si>
  <si>
    <t>sumidouro d: 1,60 m prof. 6,0 m</t>
  </si>
  <si>
    <t>7.46</t>
  </si>
  <si>
    <t>Tampa p/cx. Passagem. Ferro fund. 60x53</t>
  </si>
  <si>
    <t>7.47</t>
  </si>
  <si>
    <t xml:space="preserve">tampa p/ vaso sanitario </t>
  </si>
  <si>
    <t>7.48</t>
  </si>
  <si>
    <t>tanque de louca c/coluna completo, inclusive vávula metalica, sifao metalico , ligaçao flexivel  metalica e fixadores</t>
  </si>
  <si>
    <t>7.49</t>
  </si>
  <si>
    <t>torneira boia diametro 1'' ( 25 mm)</t>
  </si>
  <si>
    <t>7.50</t>
  </si>
  <si>
    <t>torneira de bancanda de 1ª linha p/ pia diam. 1/2 e 3/4''</t>
  </si>
  <si>
    <t>7.51</t>
  </si>
  <si>
    <t>torneira de jardim  de 1ª linha c/bico p/mangueira diam. 3/4''</t>
  </si>
  <si>
    <t>7.52</t>
  </si>
  <si>
    <t>torneira de parede de 1ª linha p/bebedouro diam. 1/2''</t>
  </si>
  <si>
    <t>7.53</t>
  </si>
  <si>
    <t>torneira de parede de 1ª linha p/tanque diam. 1/2'' e 3/4''</t>
  </si>
  <si>
    <t>7.54</t>
  </si>
  <si>
    <t>torneira para lavatorio diâmetro 1/2''</t>
  </si>
  <si>
    <t>7.55</t>
  </si>
  <si>
    <t xml:space="preserve">torneira p/pia diam. 1/2'' e 3/4'' parede </t>
  </si>
  <si>
    <t>7.56</t>
  </si>
  <si>
    <t>tubo de ferro galv. Diam. 1. 1/2''</t>
  </si>
  <si>
    <t>7.57</t>
  </si>
  <si>
    <t>tubo de pvc p/águas pluviais diam. 150 mm com conexões</t>
  </si>
  <si>
    <t>7.58</t>
  </si>
  <si>
    <t>tubo de pvc p/águas pluviais diam. 200 mm com conexões</t>
  </si>
  <si>
    <t>7.59</t>
  </si>
  <si>
    <t>tubo de pvc p/águas pluviais diam. 250 mm com conexões</t>
  </si>
  <si>
    <t>7.60</t>
  </si>
  <si>
    <t>tubo de pvc p/águas pluviais diam. 300 mm com conexões</t>
  </si>
  <si>
    <t>7.61</t>
  </si>
  <si>
    <t>tubo soldavel p/esgoto diam. 40 mm com conexões</t>
  </si>
  <si>
    <t>7.62</t>
  </si>
  <si>
    <t>tubo soldavel p/esgoto diam. 50 mm com conexões</t>
  </si>
  <si>
    <t>7.63</t>
  </si>
  <si>
    <t>tubo soldavel p/esgoto diam. 100 mm com conexões</t>
  </si>
  <si>
    <t>7.64</t>
  </si>
  <si>
    <t>tubo soldavel p/esgoto diam. 75 mm com conexões</t>
  </si>
  <si>
    <t>7.65</t>
  </si>
  <si>
    <t xml:space="preserve">tubo soldavel pvc marrom diam 25 mm com conexoes </t>
  </si>
  <si>
    <t>7.66</t>
  </si>
  <si>
    <t xml:space="preserve">tubo soldavel pvc marrom diam 32 mm com conexoes </t>
  </si>
  <si>
    <t>7.67</t>
  </si>
  <si>
    <t xml:space="preserve">tubo soldavel pvc marrom diam 40 mm com conexoes </t>
  </si>
  <si>
    <t>7.68</t>
  </si>
  <si>
    <t xml:space="preserve">tubo soldavel pvc marrom diam 50 mm com conexoes </t>
  </si>
  <si>
    <t>7.69</t>
  </si>
  <si>
    <t xml:space="preserve">tubo soldavel pvc marrom diam 60 mm com conexoes </t>
  </si>
  <si>
    <t>7.70</t>
  </si>
  <si>
    <t xml:space="preserve">tubo soldavel pvc marrom diam 75 mm com conexoes </t>
  </si>
  <si>
    <t>7.71</t>
  </si>
  <si>
    <t xml:space="preserve">tubo soldavel pvc marrom diam 85 mm com conexoes </t>
  </si>
  <si>
    <t>7.72</t>
  </si>
  <si>
    <t>valvula de descarga cromada</t>
  </si>
  <si>
    <t>7.73</t>
  </si>
  <si>
    <t>valvula de descarga  c/ acabamento anti-vandalismo</t>
  </si>
  <si>
    <t>7.74</t>
  </si>
  <si>
    <t>valvula de fluxo 3/4''</t>
  </si>
  <si>
    <t>7.75</t>
  </si>
  <si>
    <t>valvula de retençao horizontal 1''</t>
  </si>
  <si>
    <t>7.76</t>
  </si>
  <si>
    <t>valvula de retençao vertical 1''</t>
  </si>
  <si>
    <t>7.77</t>
  </si>
  <si>
    <t>7.78</t>
  </si>
  <si>
    <t>válvula para bebedouro metálica diam. 1''</t>
  </si>
  <si>
    <t>valvula  p/ pia metalica diam. 1. 1/2'' x 3. 3/4''</t>
  </si>
  <si>
    <t>7.79</t>
  </si>
  <si>
    <t>valvula p/pia tipo americana diam. 3. 1/2'' ( metal)</t>
  </si>
  <si>
    <t>7.80</t>
  </si>
  <si>
    <t>vaso sanitario completo, com parafusos de fixação tubo de ligação metalico cromado, tubo de descarga e anel de vedação</t>
  </si>
  <si>
    <t>ALVENARIA E DIVISORIAS</t>
  </si>
  <si>
    <t>8.2</t>
  </si>
  <si>
    <t>8.3</t>
  </si>
  <si>
    <t>alvenaria de tijolo comum 1/2 vez</t>
  </si>
  <si>
    <t xml:space="preserve">alvenaria de tijolo comum 1/4 vez </t>
  </si>
  <si>
    <t>elemento vazado de concreto</t>
  </si>
  <si>
    <t>impermeabilização vigas baldrames e=2,0 cm</t>
  </si>
  <si>
    <t xml:space="preserve">impermeabilização - argam. Sint. Semí - flexivel </t>
  </si>
  <si>
    <t>impermeabilização - c/ cimento cristalizante 3 demãos</t>
  </si>
  <si>
    <t>ESTRUTURA METALICA</t>
  </si>
  <si>
    <t xml:space="preserve">estrutura metalica em aço A036 para cobertura </t>
  </si>
  <si>
    <t>COBERTURA</t>
  </si>
  <si>
    <t>cobertura com telha colonial-plan</t>
  </si>
  <si>
    <t>cobertura com telha fiber-glass c/veu proteção 1,5mm</t>
  </si>
  <si>
    <t>cobetura em telha de aço galvanizado trapezoidal 0,5 mm, inclusive pintura</t>
  </si>
  <si>
    <t xml:space="preserve">cumeeira para telha colonial-plan </t>
  </si>
  <si>
    <t>cumeeira para telha  galvanizada trapezoidal 0,5 mm</t>
  </si>
  <si>
    <t>embocamento de beiral</t>
  </si>
  <si>
    <t>embocamento lateral</t>
  </si>
  <si>
    <t>ESQUADRIAS METALICAS</t>
  </si>
  <si>
    <t xml:space="preserve">escada de marinheiro em metalon </t>
  </si>
  <si>
    <t>escada marinheiro metalon c/ proteção</t>
  </si>
  <si>
    <t>esquadria basculante com ferragesn</t>
  </si>
  <si>
    <t>esquadria de correr com ferragens</t>
  </si>
  <si>
    <t>esquadria guiche em chapa 16 cantoneira com grade para vidro com ferragens</t>
  </si>
  <si>
    <t xml:space="preserve">esquadria em metalon em chapa 14 dobrada com ferrangens </t>
  </si>
  <si>
    <t xml:space="preserve">grade de frente  h= 2,00 m conforme projeto </t>
  </si>
  <si>
    <t>grade proteção ferro chato 1/8'' x 7/8'' nas esquadrias</t>
  </si>
  <si>
    <t>gradil eletrosoldado h=2,00m</t>
  </si>
  <si>
    <t>guarda bicicleta</t>
  </si>
  <si>
    <t>porta abrir em chapa com ferragens</t>
  </si>
  <si>
    <t>porta  abrir para WC em  chapa com ferragens</t>
  </si>
  <si>
    <t xml:space="preserve">porta abrir/veneziana com ferragens </t>
  </si>
  <si>
    <t>porta de abrir/fixa em chapa 16 com ferragens</t>
  </si>
  <si>
    <t>porta de correr/fixa em chapa 16 com ferragens</t>
  </si>
  <si>
    <t>porta de enrolar com ferragens</t>
  </si>
  <si>
    <t>portão em chapa trapezoidal, tubo de aço com ferragens</t>
  </si>
  <si>
    <t>portão tela em chapa 16 com ferragens</t>
  </si>
  <si>
    <t xml:space="preserve">portao tela/cano ch. 16 c/ ferragens </t>
  </si>
  <si>
    <t>vedação junta de dilatação ch. 16 paraf. c/30-pintada</t>
  </si>
  <si>
    <t>veneziana ch. 16 60 cm 2 unid.</t>
  </si>
  <si>
    <t>Vidro liso 3 mm</t>
  </si>
  <si>
    <t>Vidro mini-boreal</t>
  </si>
  <si>
    <t>REVESTIMENTO DE PAREDES</t>
  </si>
  <si>
    <t>chapisco comum</t>
  </si>
  <si>
    <t>emboco (1cl:4 arml)</t>
  </si>
  <si>
    <t>reboco paulista a-14 (1calh:4armlc+100kgcl/m³)</t>
  </si>
  <si>
    <t xml:space="preserve">revestimento cerâmico 10 x 10 </t>
  </si>
  <si>
    <t xml:space="preserve">revestimento cerâmico 20 x 20 </t>
  </si>
  <si>
    <t>FORROS</t>
  </si>
  <si>
    <t>chapisco rolado (1 cim:3arml)+(1 cola : 10cim)</t>
  </si>
  <si>
    <t>cornija de gesso</t>
  </si>
  <si>
    <t>gesso corrido em teto</t>
  </si>
  <si>
    <t>reboco paulista em forro</t>
  </si>
  <si>
    <t>REVESTIMENTOS DE PISO</t>
  </si>
  <si>
    <t xml:space="preserve">cerâmica 40 x 40  cm PEI 5 </t>
  </si>
  <si>
    <t>concreto desempenado inclusive lastro e=7,0 cm</t>
  </si>
  <si>
    <t>grama  em placas</t>
  </si>
  <si>
    <t>granitina c/ ox. Ferro regul. E= 2 cm junta pl. 27 mm</t>
  </si>
  <si>
    <t>granitina c/regular . E= 2 cm e junta plástica 27 mm</t>
  </si>
  <si>
    <t xml:space="preserve">ladrilho hidráulico 40 x 40 cm </t>
  </si>
  <si>
    <t xml:space="preserve">lastro de concreto  impermeabilizado 1:3:6 </t>
  </si>
  <si>
    <t>Passeio de proteção em conc. Desempen. Polido 5 cm 1:2,5:3,5</t>
  </si>
  <si>
    <t>piso de concreto desempenado e= 5 cm 1:2,5:3,5</t>
  </si>
  <si>
    <t>piso em conc desempenado  e=7 cm 1:2,5:3,5</t>
  </si>
  <si>
    <t xml:space="preserve">piso intertravado com bloco de concreto  e = 8 cm </t>
  </si>
  <si>
    <t>prreparo concreto  p/lastro sem betoneira</t>
  </si>
  <si>
    <t>aplicação de resina acrilica duas demãos</t>
  </si>
  <si>
    <t xml:space="preserve">rodapé de granitina </t>
  </si>
  <si>
    <t>rodapé de massa (ici: 3 armg)</t>
  </si>
  <si>
    <t>demarc. Quadra/vagas tinta bor. Clorada</t>
  </si>
  <si>
    <t>emassamento acrilico 2 demaos</t>
  </si>
  <si>
    <t xml:space="preserve">emassamento com massa PVA  uma demão </t>
  </si>
  <si>
    <t xml:space="preserve">fundo super  galvite 1 demão </t>
  </si>
  <si>
    <t>letreiro em parede feito de papel feito a pincel</t>
  </si>
  <si>
    <t>pint. Esmalte sint. Paredes - 2 dem. c/selador</t>
  </si>
  <si>
    <t>pint.esmalte/esquad. Ferro c/fundo anticor</t>
  </si>
  <si>
    <t>pint. Poliesportiva - 2 dem. (pisos e cimentados )</t>
  </si>
  <si>
    <t>pintura cerâmica p/beiral</t>
  </si>
  <si>
    <t xml:space="preserve">pintura com selador acrilico </t>
  </si>
  <si>
    <t>pintura esmalte est. Metal. 1 demão</t>
  </si>
  <si>
    <t>pintura esmalte est. Metal. 2demãos</t>
  </si>
  <si>
    <t>pintura latex acrilica 2 demãos c/selador</t>
  </si>
  <si>
    <t>pintura latex acrilica 3 demãos c/selador</t>
  </si>
  <si>
    <t>pintura pva látex 2 demãos com selador</t>
  </si>
  <si>
    <t>pintura pva látex 2 demãos sem selador</t>
  </si>
  <si>
    <t>pintura texturizada c/selador acrilico</t>
  </si>
  <si>
    <t>ATERRAMENTO E PROTEÇÃO CONTRA DESCARGAS ATMOSFERICAS - SPDA</t>
  </si>
  <si>
    <t>captor tipo franklin</t>
  </si>
  <si>
    <t>cabo de cobre nu 35 mm²</t>
  </si>
  <si>
    <t>cabo de cobre nu 50  mm²</t>
  </si>
  <si>
    <t>terminal aéreo c/ suporte  guia p/ quina</t>
  </si>
  <si>
    <t>haste em caixa de inspeção</t>
  </si>
  <si>
    <t>suporte guia reforçado</t>
  </si>
  <si>
    <t>INSTALAÇÕES DE COMBATE A INCEDIO E PREVENÇÃO A INCEDIO</t>
  </si>
  <si>
    <t>extintor pqs 6 kg</t>
  </si>
  <si>
    <t>extintor pqs 4 kg</t>
  </si>
  <si>
    <t>19.3</t>
  </si>
  <si>
    <t>extintor co 2 6  4 kg</t>
  </si>
  <si>
    <t xml:space="preserve">19.4 </t>
  </si>
  <si>
    <t>suporte tipo I para extintor</t>
  </si>
  <si>
    <t>19.5</t>
  </si>
  <si>
    <t>sinalizador fotoluminescente</t>
  </si>
  <si>
    <t>DIVERSOS</t>
  </si>
  <si>
    <t>arquibancada c/2 degraus completa  c/bl 19 x 9x 39</t>
  </si>
  <si>
    <t>bancada de concreto polido</t>
  </si>
  <si>
    <t xml:space="preserve">bancada de granito c/ espelho </t>
  </si>
  <si>
    <t xml:space="preserve">banco concreto polido e alvenaria  </t>
  </si>
  <si>
    <t>barra p/ deficiente fisico</t>
  </si>
  <si>
    <t xml:space="preserve"> bebedoruo em alvenaria para 6 torneiras azulejads ( sem inst. H. sanit) conf. Detalhamento</t>
  </si>
  <si>
    <t>caneleta concr. Desemp. 30 x 5 cm c/ grelha ferro quadr. D=3/8''</t>
  </si>
  <si>
    <t>escada marinheiro s/guar. Corpo ch. Ferro redondo</t>
  </si>
  <si>
    <t>exaustor diamentro 40 cm</t>
  </si>
  <si>
    <t>coifa em chapa galvanizada epóxi 95x70x60cm c/tubo saida</t>
  </si>
  <si>
    <t>mastro para bandeira ferro galvanizado 3un (assent. Pintado)</t>
  </si>
  <si>
    <t>quadro de giz emboco/lam. Melaminico compl. 6,87x1,39m</t>
  </si>
  <si>
    <t>sinalização - placa  aérea  a1 - 2,00 x 0,50 m</t>
  </si>
  <si>
    <t>sinalização - placa  especial   e1 - 3,50 x 0,60 m + suporte</t>
  </si>
  <si>
    <t>sinalização - placa  especial   e2 - 1,50 x 0,50 m - estacion.</t>
  </si>
  <si>
    <t>sinalização - placas  aérea  a2, a3, a4, a5 - 1,00 m x 0,30 m</t>
  </si>
  <si>
    <t xml:space="preserve">sinalização - placas   p1 a p20 - 0,30 m x 0,40 m </t>
  </si>
  <si>
    <t xml:space="preserve">sinalização - placas   s1 a s7 - 0,21 m x 0,31 m </t>
  </si>
  <si>
    <t>conjunto de voleibol com pintura (2 suportes)</t>
  </si>
  <si>
    <t>trave em ferro galvanizado para futebol salão pintada</t>
  </si>
  <si>
    <t>suporte em tubo indust. Removível para tabela de basquete assentada e pintada</t>
  </si>
  <si>
    <t>tabela de basquete em estrtura metalica e madeira de lei  assentada e pintada com aro metalico</t>
  </si>
  <si>
    <t>tampas metalicas - 1,80 m²</t>
  </si>
  <si>
    <t xml:space="preserve">limpeza final de obra </t>
  </si>
  <si>
    <t>PRAZO DE EXECUÇÃO: 9 MESES</t>
  </si>
  <si>
    <t>TERPLANC - TERRAPLENAGEM  PLANEJAMENTO CONSTRUÇÃO E SEVIÇOS  EIRELE - 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</si>
</sst>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#,"/>
    <numFmt numFmtId="167" formatCode="#,#00"/>
    <numFmt numFmtId="168" formatCode="%#,#00"/>
    <numFmt numFmtId="169" formatCode="#.##000"/>
    <numFmt numFmtId="170" formatCode="&quot;R$ &quot;#,##0.00"/>
    <numFmt numFmtId="171" formatCode="_(* #,##0.0000_);_(* \(#,##0.0000\);_(* &quot;-&quot;??_);_(@_)"/>
    <numFmt numFmtId="172" formatCode="0.0000"/>
    <numFmt numFmtId="173" formatCode="_-* #,##0.0000_-;\-* #,##0.0000_-;_-* &quot;-&quot;??_-;_-@_-"/>
    <numFmt numFmtId="174" formatCode="0.0000%"/>
    <numFmt numFmtId="175" formatCode="_-[$R$-416]\ * #,##0.00_-;\-[$R$-416]\ * #,##0.00_-;_-[$R$-416]\ * &quot;-&quot;??_-;_-@_-"/>
    <numFmt numFmtId="176" formatCode="_(&quot;R$&quot;* #,##0.00_);_(&quot;R$&quot;* \(#,##0.00\);_(&quot;R$&quot;* &quot;-&quot;??_);_(@_)"/>
    <numFmt numFmtId="177" formatCode="0.00000000000000000000000000000000000000%"/>
    <numFmt numFmtId="178" formatCode="0.000"/>
    <numFmt numFmtId="179" formatCode="_-&quot;R$&quot;\ * #,##0.000_-;\-&quot;R$&quot;\ * #,##0.000_-;_-&quot;R$&quot;\ * &quot;-&quot;??_-;_-@_-"/>
    <numFmt numFmtId="180" formatCode="_-&quot;R$&quot;\ * #,##0.0000000_-;\-&quot;R$&quot;\ * #,##0.0000000_-;_-&quot;R$&quot;\ * &quot;-&quot;??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ourier"/>
      <family val="3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b/>
      <sz val="1"/>
      <color indexed="16"/>
      <name val="Courier"/>
      <family val="3"/>
    </font>
    <font>
      <sz val="1"/>
      <color indexed="18"/>
      <name val="Courier"/>
      <family val="3"/>
    </font>
    <font>
      <sz val="10"/>
      <name val="MS Sans Serif"/>
      <family val="2"/>
    </font>
    <font>
      <vertAlign val="superscript"/>
      <sz val="9"/>
      <name val="Courier New"/>
      <family val="3"/>
    </font>
    <font>
      <b/>
      <sz val="1"/>
      <color indexed="8"/>
      <name val="Courier"/>
      <family val="3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b/>
      <sz val="16"/>
      <name val="Times New Roman"/>
      <family val="1"/>
    </font>
    <font>
      <b/>
      <u/>
      <sz val="14"/>
      <name val="Arial"/>
      <family val="2"/>
    </font>
    <font>
      <b/>
      <sz val="9"/>
      <name val="Times New Roman"/>
      <family val="1"/>
    </font>
    <font>
      <b/>
      <sz val="12"/>
      <name val="Arial"/>
      <family val="2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166" fontId="5" fillId="0" borderId="0">
      <protection locked="0"/>
    </xf>
    <xf numFmtId="166" fontId="5" fillId="0" borderId="0">
      <protection locked="0"/>
    </xf>
    <xf numFmtId="166" fontId="5" fillId="0" borderId="0">
      <protection locked="0"/>
    </xf>
    <xf numFmtId="166" fontId="5" fillId="0" borderId="0">
      <protection locked="0"/>
    </xf>
    <xf numFmtId="0" fontId="6" fillId="0" borderId="0">
      <protection locked="0"/>
    </xf>
    <xf numFmtId="166" fontId="5" fillId="0" borderId="0">
      <protection locked="0"/>
    </xf>
    <xf numFmtId="0" fontId="2" fillId="0" borderId="0"/>
    <xf numFmtId="166" fontId="5" fillId="0" borderId="0">
      <protection locked="0"/>
    </xf>
    <xf numFmtId="167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4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9" fillId="0" borderId="0"/>
    <xf numFmtId="0" fontId="2" fillId="0" borderId="0"/>
    <xf numFmtId="166" fontId="5" fillId="0" borderId="0">
      <protection locked="0"/>
    </xf>
    <xf numFmtId="168" fontId="6" fillId="0" borderId="0">
      <protection locked="0"/>
    </xf>
    <xf numFmtId="169" fontId="6" fillId="0" borderId="0">
      <protection locked="0"/>
    </xf>
    <xf numFmtId="9" fontId="2" fillId="0" borderId="0" applyFont="0" applyFill="0" applyBorder="0" applyAlignment="0" applyProtection="0"/>
    <xf numFmtId="166" fontId="8" fillId="0" borderId="0">
      <protection locked="0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166" fontId="11" fillId="0" borderId="0">
      <protection locked="0"/>
    </xf>
    <xf numFmtId="166" fontId="11" fillId="0" borderId="0">
      <protection locked="0"/>
    </xf>
    <xf numFmtId="165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quotePrefix="1" applyFont="0" applyFill="0" applyBorder="0" applyAlignment="0">
      <protection locked="0"/>
    </xf>
    <xf numFmtId="9" fontId="2" fillId="0" borderId="0" quotePrefix="1" applyFont="0" applyFill="0" applyBorder="0" applyAlignment="0">
      <protection locked="0"/>
    </xf>
    <xf numFmtId="17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9" fillId="0" borderId="0"/>
  </cellStyleXfs>
  <cellXfs count="526">
    <xf numFmtId="0" fontId="0" fillId="0" borderId="0" xfId="0"/>
    <xf numFmtId="0" fontId="2" fillId="0" borderId="0" xfId="42" applyFont="1" applyBorder="1"/>
    <xf numFmtId="10" fontId="12" fillId="0" borderId="0" xfId="45" applyNumberFormat="1" applyFont="1" applyBorder="1">
      <protection locked="0"/>
    </xf>
    <xf numFmtId="0" fontId="12" fillId="0" borderId="0" xfId="42" applyFont="1" applyBorder="1"/>
    <xf numFmtId="0" fontId="1" fillId="2" borderId="0" xfId="88" applyFill="1" applyBorder="1"/>
    <xf numFmtId="0" fontId="13" fillId="0" borderId="0" xfId="63" applyFont="1" applyAlignment="1">
      <alignment vertical="center" wrapText="1"/>
    </xf>
    <xf numFmtId="0" fontId="20" fillId="0" borderId="0" xfId="0" applyFont="1"/>
    <xf numFmtId="0" fontId="17" fillId="0" borderId="0" xfId="42" applyFont="1" applyBorder="1"/>
    <xf numFmtId="0" fontId="19" fillId="0" borderId="1" xfId="42" applyNumberFormat="1" applyFont="1" applyFill="1" applyBorder="1" applyAlignment="1">
      <alignment horizontal="center" vertical="center"/>
    </xf>
    <xf numFmtId="0" fontId="19" fillId="0" borderId="1" xfId="43" applyNumberFormat="1" applyFont="1" applyFill="1" applyBorder="1" applyAlignment="1" applyProtection="1">
      <alignment horizontal="left" vertical="center" wrapText="1"/>
    </xf>
    <xf numFmtId="170" fontId="16" fillId="0" borderId="1" xfId="46" applyFont="1" applyBorder="1" applyAlignment="1" applyProtection="1">
      <protection locked="0"/>
    </xf>
    <xf numFmtId="0" fontId="17" fillId="0" borderId="0" xfId="42" applyNumberFormat="1" applyFont="1" applyBorder="1"/>
    <xf numFmtId="0" fontId="14" fillId="0" borderId="0" xfId="42" applyFon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14" fillId="0" borderId="0" xfId="41" applyFont="1" applyFill="1" applyAlignment="1">
      <alignment wrapTex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9" fontId="14" fillId="0" borderId="0" xfId="109" applyFont="1"/>
    <xf numFmtId="9" fontId="16" fillId="0" borderId="1" xfId="109" applyFont="1" applyBorder="1" applyAlignment="1" applyProtection="1">
      <protection locked="0"/>
    </xf>
    <xf numFmtId="9" fontId="17" fillId="0" borderId="0" xfId="109" applyFont="1" applyBorder="1"/>
    <xf numFmtId="10" fontId="19" fillId="0" borderId="1" xfId="109" applyNumberFormat="1" applyFont="1" applyFill="1" applyBorder="1" applyAlignment="1" applyProtection="1">
      <alignment horizontal="right" vertical="center" wrapText="1"/>
      <protection locked="0"/>
    </xf>
    <xf numFmtId="43" fontId="20" fillId="0" borderId="0" xfId="1" applyFont="1" applyAlignment="1">
      <alignment vertical="center"/>
    </xf>
    <xf numFmtId="0" fontId="1" fillId="2" borderId="0" xfId="88" applyFill="1" applyBorder="1" applyAlignment="1">
      <alignment horizontal="center" vertical="center"/>
    </xf>
    <xf numFmtId="0" fontId="1" fillId="2" borderId="0" xfId="88" applyFill="1" applyBorder="1" applyAlignment="1">
      <alignment horizontal="center"/>
    </xf>
    <xf numFmtId="0" fontId="22" fillId="0" borderId="0" xfId="0" applyFont="1" applyFill="1" applyAlignment="1">
      <alignment horizontal="center" vertical="center" wrapText="1"/>
    </xf>
    <xf numFmtId="0" fontId="20" fillId="2" borderId="0" xfId="88" applyFont="1" applyFill="1" applyBorder="1" applyAlignment="1">
      <alignment horizontal="center"/>
    </xf>
    <xf numFmtId="43" fontId="17" fillId="0" borderId="0" xfId="1" applyFont="1" applyBorder="1"/>
    <xf numFmtId="10" fontId="17" fillId="0" borderId="0" xfId="42" applyNumberFormat="1" applyFont="1" applyBorder="1"/>
    <xf numFmtId="10" fontId="17" fillId="0" borderId="0" xfId="109" applyNumberFormat="1" applyFont="1" applyBorder="1"/>
    <xf numFmtId="0" fontId="18" fillId="2" borderId="0" xfId="88" applyFont="1" applyFill="1" applyBorder="1" applyAlignment="1">
      <alignment horizontal="center" vertical="center"/>
    </xf>
    <xf numFmtId="0" fontId="18" fillId="2" borderId="0" xfId="88" applyFont="1" applyFill="1" applyBorder="1" applyAlignment="1">
      <alignment vertical="center"/>
    </xf>
    <xf numFmtId="0" fontId="1" fillId="2" borderId="0" xfId="88" applyFill="1" applyBorder="1" applyAlignment="1">
      <alignment vertical="center"/>
    </xf>
    <xf numFmtId="0" fontId="22" fillId="0" borderId="0" xfId="0" applyFont="1" applyFill="1" applyAlignment="1">
      <alignment vertical="center"/>
    </xf>
    <xf numFmtId="43" fontId="24" fillId="0" borderId="0" xfId="1" applyFont="1" applyBorder="1" applyAlignment="1">
      <alignment vertical="center" wrapText="1"/>
    </xf>
    <xf numFmtId="43" fontId="24" fillId="0" borderId="0" xfId="1" applyFont="1" applyBorder="1" applyAlignment="1">
      <alignment vertical="center"/>
    </xf>
    <xf numFmtId="43" fontId="23" fillId="0" borderId="0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/>
    </xf>
    <xf numFmtId="172" fontId="20" fillId="2" borderId="0" xfId="88" applyNumberFormat="1" applyFont="1" applyFill="1" applyBorder="1" applyAlignment="1">
      <alignment vertical="center"/>
    </xf>
    <xf numFmtId="172" fontId="19" fillId="2" borderId="0" xfId="88" applyNumberFormat="1" applyFont="1" applyFill="1" applyBorder="1" applyAlignment="1">
      <alignment vertical="center"/>
    </xf>
    <xf numFmtId="172" fontId="20" fillId="2" borderId="0" xfId="88" applyNumberFormat="1" applyFont="1" applyFill="1" applyBorder="1"/>
    <xf numFmtId="43" fontId="14" fillId="0" borderId="0" xfId="1" applyFont="1" applyFill="1" applyAlignment="1">
      <alignment wrapText="1"/>
    </xf>
    <xf numFmtId="4" fontId="23" fillId="0" borderId="1" xfId="110" applyNumberFormat="1" applyFont="1" applyFill="1" applyBorder="1" applyAlignment="1">
      <alignment vertical="center"/>
    </xf>
    <xf numFmtId="43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20" fillId="0" borderId="0" xfId="0" applyNumberFormat="1" applyFont="1" applyAlignment="1">
      <alignment horizontal="center"/>
    </xf>
    <xf numFmtId="2" fontId="26" fillId="0" borderId="1" xfId="0" applyNumberFormat="1" applyFont="1" applyFill="1" applyBorder="1" applyAlignment="1">
      <alignment horizontal="center" vertical="center"/>
    </xf>
    <xf numFmtId="2" fontId="28" fillId="0" borderId="0" xfId="0" applyNumberFormat="1" applyFont="1" applyAlignment="1">
      <alignment horizontal="center"/>
    </xf>
    <xf numFmtId="43" fontId="23" fillId="0" borderId="1" xfId="1" applyFont="1" applyFill="1" applyBorder="1" applyAlignment="1">
      <alignment vertical="center"/>
    </xf>
    <xf numFmtId="43" fontId="23" fillId="0" borderId="0" xfId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center" vertical="center"/>
    </xf>
    <xf numFmtId="172" fontId="20" fillId="2" borderId="0" xfId="88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" fillId="2" borderId="0" xfId="88" applyFill="1" applyBorder="1" applyAlignment="1"/>
    <xf numFmtId="0" fontId="29" fillId="2" borderId="0" xfId="88" applyFont="1" applyFill="1" applyBorder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1" fillId="2" borderId="0" xfId="88" applyFont="1" applyFill="1" applyBorder="1" applyAlignment="1">
      <alignment vertical="center"/>
    </xf>
    <xf numFmtId="43" fontId="1" fillId="0" borderId="1" xfId="1" applyFont="1" applyFill="1" applyBorder="1" applyAlignment="1">
      <alignment vertical="center"/>
    </xf>
    <xf numFmtId="0" fontId="0" fillId="0" borderId="0" xfId="0"/>
    <xf numFmtId="0" fontId="1" fillId="2" borderId="0" xfId="88" applyFill="1" applyBorder="1" applyAlignment="1">
      <alignment horizontal="center" vertical="center"/>
    </xf>
    <xf numFmtId="0" fontId="1" fillId="2" borderId="0" xfId="88" applyFill="1" applyBorder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43" fontId="35" fillId="0" borderId="0" xfId="1" applyFont="1" applyFill="1" applyAlignment="1">
      <alignment vertical="center"/>
    </xf>
    <xf numFmtId="43" fontId="35" fillId="0" borderId="0" xfId="1" applyFont="1" applyFill="1" applyAlignment="1"/>
    <xf numFmtId="43" fontId="34" fillId="0" borderId="0" xfId="1" applyFont="1" applyFill="1" applyAlignment="1">
      <alignment vertical="center"/>
    </xf>
    <xf numFmtId="0" fontId="34" fillId="0" borderId="0" xfId="0" applyFont="1" applyFill="1" applyAlignment="1">
      <alignment vertical="center" wrapText="1"/>
    </xf>
    <xf numFmtId="171" fontId="35" fillId="0" borderId="0" xfId="37" applyNumberFormat="1" applyFont="1" applyFill="1" applyAlignment="1">
      <alignment vertical="center"/>
    </xf>
    <xf numFmtId="43" fontId="35" fillId="0" borderId="0" xfId="1" applyFont="1" applyFill="1"/>
    <xf numFmtId="0" fontId="26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5" fillId="0" borderId="0" xfId="0" applyNumberFormat="1" applyFont="1" applyFill="1" applyAlignment="1">
      <alignment horizontal="center" vertical="center"/>
    </xf>
    <xf numFmtId="0" fontId="34" fillId="0" borderId="0" xfId="0" applyNumberFormat="1" applyFont="1" applyFill="1" applyAlignment="1">
      <alignment vertical="center" wrapText="1"/>
    </xf>
    <xf numFmtId="0" fontId="37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44" fontId="24" fillId="0" borderId="1" xfId="110" applyFont="1" applyFill="1" applyBorder="1" applyAlignment="1">
      <alignment vertical="center"/>
    </xf>
    <xf numFmtId="2" fontId="28" fillId="0" borderId="0" xfId="0" applyNumberFormat="1" applyFont="1" applyFill="1" applyAlignment="1">
      <alignment horizontal="center" vertical="center"/>
    </xf>
    <xf numFmtId="43" fontId="20" fillId="0" borderId="0" xfId="1" applyFont="1" applyFill="1" applyAlignment="1">
      <alignment vertical="center"/>
    </xf>
    <xf numFmtId="10" fontId="20" fillId="0" borderId="0" xfId="109" applyNumberFormat="1" applyFont="1" applyFill="1" applyAlignment="1">
      <alignment vertical="center"/>
    </xf>
    <xf numFmtId="173" fontId="20" fillId="0" borderId="0" xfId="109" applyNumberFormat="1" applyFont="1" applyFill="1" applyAlignment="1">
      <alignment vertical="center"/>
    </xf>
    <xf numFmtId="10" fontId="0" fillId="0" borderId="0" xfId="109" applyNumberFormat="1" applyFont="1" applyFill="1" applyAlignment="1">
      <alignment vertical="center"/>
    </xf>
    <xf numFmtId="10" fontId="0" fillId="0" borderId="0" xfId="0" applyNumberFormat="1" applyFill="1" applyAlignment="1">
      <alignment vertical="center"/>
    </xf>
    <xf numFmtId="43" fontId="1" fillId="2" borderId="0" xfId="88" applyNumberForma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43" fontId="35" fillId="0" borderId="0" xfId="1" applyFont="1" applyFill="1" applyAlignment="1">
      <alignment horizontal="center" vertical="center"/>
    </xf>
    <xf numFmtId="43" fontId="34" fillId="0" borderId="0" xfId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0" fillId="0" borderId="0" xfId="0" applyNumberFormat="1" applyFont="1" applyAlignment="1">
      <alignment horizontal="left"/>
    </xf>
    <xf numFmtId="0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43" fontId="38" fillId="0" borderId="1" xfId="1" applyFont="1" applyFill="1" applyBorder="1" applyAlignment="1">
      <alignment vertical="center"/>
    </xf>
    <xf numFmtId="0" fontId="38" fillId="0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43" fontId="23" fillId="4" borderId="0" xfId="1" applyFont="1" applyFill="1" applyBorder="1" applyAlignment="1">
      <alignment vertical="center"/>
    </xf>
    <xf numFmtId="43" fontId="0" fillId="4" borderId="0" xfId="0" applyNumberFormat="1" applyFill="1" applyAlignment="1">
      <alignment vertical="center"/>
    </xf>
    <xf numFmtId="44" fontId="20" fillId="0" borderId="0" xfId="0" applyNumberFormat="1" applyFont="1" applyFill="1" applyAlignment="1">
      <alignment vertical="center"/>
    </xf>
    <xf numFmtId="4" fontId="24" fillId="0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center" vertical="center" wrapText="1"/>
    </xf>
    <xf numFmtId="0" fontId="31" fillId="0" borderId="0" xfId="41" applyFont="1" applyFill="1" applyAlignment="1">
      <alignment horizontal="center" vertical="center" wrapText="1"/>
    </xf>
    <xf numFmtId="43" fontId="31" fillId="0" borderId="0" xfId="1" applyFont="1" applyFill="1" applyAlignment="1">
      <alignment vertical="center"/>
    </xf>
    <xf numFmtId="0" fontId="31" fillId="0" borderId="0" xfId="41" applyNumberFormat="1" applyFont="1" applyFill="1" applyAlignment="1">
      <alignment horizontal="center" vertical="center"/>
    </xf>
    <xf numFmtId="2" fontId="35" fillId="0" borderId="0" xfId="1" applyNumberFormat="1" applyFont="1" applyFill="1" applyAlignment="1">
      <alignment horizontal="center" vertical="center"/>
    </xf>
    <xf numFmtId="4" fontId="31" fillId="0" borderId="0" xfId="1" applyNumberFormat="1" applyFont="1" applyFill="1" applyAlignment="1">
      <alignment horizontal="right" vertical="center"/>
    </xf>
    <xf numFmtId="4" fontId="31" fillId="0" borderId="0" xfId="22" applyNumberFormat="1" applyFont="1" applyFill="1" applyAlignment="1">
      <alignment vertical="center"/>
    </xf>
    <xf numFmtId="0" fontId="32" fillId="0" borderId="0" xfId="41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NumberFormat="1" applyFont="1" applyFill="1" applyAlignment="1">
      <alignment horizontal="center" vertical="center"/>
    </xf>
    <xf numFmtId="0" fontId="32" fillId="0" borderId="0" xfId="41" applyNumberFormat="1" applyFont="1" applyFill="1" applyAlignment="1">
      <alignment horizontal="left" vertical="center" wrapText="1"/>
    </xf>
    <xf numFmtId="49" fontId="24" fillId="0" borderId="2" xfId="0" applyNumberFormat="1" applyFont="1" applyFill="1" applyBorder="1" applyAlignment="1">
      <alignment vertical="center"/>
    </xf>
    <xf numFmtId="0" fontId="23" fillId="0" borderId="1" xfId="0" applyNumberFormat="1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center" vertical="center"/>
    </xf>
    <xf numFmtId="0" fontId="38" fillId="0" borderId="1" xfId="0" applyNumberFormat="1" applyFont="1" applyFill="1" applyBorder="1" applyAlignment="1">
      <alignment horizontal="left" vertical="center" wrapText="1"/>
    </xf>
    <xf numFmtId="4" fontId="19" fillId="0" borderId="1" xfId="43" applyNumberFormat="1" applyFont="1" applyFill="1" applyBorder="1" applyAlignment="1" applyProtection="1">
      <alignment horizontal="left" vertical="center" wrapText="1"/>
    </xf>
    <xf numFmtId="0" fontId="35" fillId="0" borderId="0" xfId="0" applyFont="1" applyFill="1" applyAlignment="1">
      <alignment vertical="center" wrapText="1"/>
    </xf>
    <xf numFmtId="0" fontId="40" fillId="2" borderId="0" xfId="88" applyFont="1" applyFill="1" applyBorder="1" applyAlignment="1">
      <alignment horizontal="center" vertical="center"/>
    </xf>
    <xf numFmtId="0" fontId="35" fillId="0" borderId="0" xfId="42" applyFont="1" applyAlignment="1">
      <alignment vertical="center"/>
    </xf>
    <xf numFmtId="0" fontId="35" fillId="0" borderId="0" xfId="42" applyFont="1" applyAlignment="1">
      <alignment horizontal="center" vertical="center"/>
    </xf>
    <xf numFmtId="0" fontId="35" fillId="0" borderId="0" xfId="63" applyFont="1" applyFill="1" applyAlignment="1">
      <alignment vertical="center" wrapText="1"/>
    </xf>
    <xf numFmtId="43" fontId="35" fillId="0" borderId="0" xfId="1" applyFont="1" applyFill="1" applyAlignment="1">
      <alignment vertical="center" wrapText="1"/>
    </xf>
    <xf numFmtId="0" fontId="34" fillId="0" borderId="0" xfId="63" applyFont="1" applyAlignment="1">
      <alignment vertical="center" wrapText="1"/>
    </xf>
    <xf numFmtId="4" fontId="35" fillId="0" borderId="0" xfId="22" applyNumberFormat="1" applyFont="1" applyAlignment="1">
      <alignment vertical="center"/>
    </xf>
    <xf numFmtId="0" fontId="35" fillId="0" borderId="0" xfId="88" applyFont="1" applyFill="1" applyBorder="1" applyAlignment="1">
      <alignment vertical="center" wrapText="1"/>
    </xf>
    <xf numFmtId="43" fontId="35" fillId="0" borderId="0" xfId="1" applyFont="1" applyFill="1" applyBorder="1" applyAlignment="1">
      <alignment vertical="center"/>
    </xf>
    <xf numFmtId="2" fontId="35" fillId="0" borderId="0" xfId="88" applyNumberFormat="1" applyFont="1" applyFill="1" applyBorder="1" applyAlignment="1">
      <alignment vertical="center"/>
    </xf>
    <xf numFmtId="0" fontId="35" fillId="0" borderId="0" xfId="88" applyFont="1" applyFill="1" applyBorder="1" applyAlignment="1">
      <alignment vertical="center"/>
    </xf>
    <xf numFmtId="0" fontId="26" fillId="2" borderId="0" xfId="88" applyFont="1" applyFill="1" applyBorder="1" applyAlignment="1">
      <alignment vertical="center"/>
    </xf>
    <xf numFmtId="0" fontId="26" fillId="2" borderId="0" xfId="88" applyFont="1" applyFill="1" applyBorder="1" applyAlignment="1">
      <alignment horizontal="center" vertical="center"/>
    </xf>
    <xf numFmtId="0" fontId="35" fillId="0" borderId="0" xfId="0" applyFont="1" applyFill="1" applyAlignment="1">
      <alignment wrapText="1"/>
    </xf>
    <xf numFmtId="0" fontId="35" fillId="0" borderId="0" xfId="0" applyNumberFormat="1" applyFont="1" applyFill="1" applyAlignment="1">
      <alignment horizontal="center"/>
    </xf>
    <xf numFmtId="0" fontId="26" fillId="2" borderId="0" xfId="88" applyFont="1" applyFill="1" applyBorder="1" applyAlignment="1"/>
    <xf numFmtId="0" fontId="26" fillId="2" borderId="0" xfId="88" applyFont="1" applyFill="1" applyBorder="1" applyAlignment="1">
      <alignment horizontal="center"/>
    </xf>
    <xf numFmtId="43" fontId="35" fillId="0" borderId="0" xfId="1" applyFont="1" applyFill="1" applyBorder="1" applyAlignment="1"/>
    <xf numFmtId="0" fontId="36" fillId="2" borderId="0" xfId="88" applyFont="1" applyFill="1" applyBorder="1" applyAlignment="1">
      <alignment vertical="center"/>
    </xf>
    <xf numFmtId="0" fontId="35" fillId="0" borderId="0" xfId="88" applyFont="1" applyFill="1" applyBorder="1" applyAlignment="1">
      <alignment wrapText="1"/>
    </xf>
    <xf numFmtId="43" fontId="35" fillId="0" borderId="0" xfId="1" applyFont="1" applyFill="1" applyBorder="1"/>
    <xf numFmtId="0" fontId="26" fillId="2" borderId="0" xfId="88" applyFont="1" applyFill="1" applyBorder="1"/>
    <xf numFmtId="0" fontId="35" fillId="0" borderId="0" xfId="88" applyNumberFormat="1" applyFont="1" applyFill="1" applyBorder="1" applyAlignment="1">
      <alignment horizontal="center"/>
    </xf>
    <xf numFmtId="0" fontId="26" fillId="0" borderId="0" xfId="0" applyFont="1"/>
    <xf numFmtId="43" fontId="35" fillId="0" borderId="0" xfId="88" applyNumberFormat="1" applyFont="1" applyFill="1" applyBorder="1" applyAlignment="1">
      <alignment vertical="center"/>
    </xf>
    <xf numFmtId="0" fontId="34" fillId="0" borderId="0" xfId="0" applyFont="1" applyFill="1" applyAlignment="1">
      <alignment horizontal="center" wrapText="1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4" fillId="0" borderId="0" xfId="0" applyNumberFormat="1" applyFont="1" applyFill="1" applyAlignment="1">
      <alignment horizontal="center"/>
    </xf>
    <xf numFmtId="0" fontId="34" fillId="0" borderId="0" xfId="88" applyFont="1" applyFill="1" applyBorder="1" applyAlignment="1">
      <alignment horizontal="center"/>
    </xf>
    <xf numFmtId="171" fontId="35" fillId="0" borderId="0" xfId="63" applyNumberFormat="1" applyFont="1" applyFill="1" applyAlignment="1">
      <alignment vertical="center" wrapText="1"/>
    </xf>
    <xf numFmtId="171" fontId="35" fillId="0" borderId="0" xfId="22" applyNumberFormat="1" applyFont="1" applyFill="1" applyAlignment="1">
      <alignment vertical="center"/>
    </xf>
    <xf numFmtId="171" fontId="35" fillId="0" borderId="0" xfId="88" applyNumberFormat="1" applyFont="1" applyFill="1" applyBorder="1" applyAlignment="1">
      <alignment vertical="center"/>
    </xf>
    <xf numFmtId="171" fontId="35" fillId="0" borderId="0" xfId="37" applyNumberFormat="1" applyFont="1" applyFill="1" applyAlignment="1"/>
    <xf numFmtId="171" fontId="35" fillId="0" borderId="0" xfId="1" applyNumberFormat="1" applyFont="1" applyFill="1" applyAlignment="1">
      <alignment vertical="center"/>
    </xf>
    <xf numFmtId="171" fontId="35" fillId="0" borderId="0" xfId="88" applyNumberFormat="1" applyFont="1" applyFill="1" applyBorder="1" applyAlignment="1"/>
    <xf numFmtId="0" fontId="35" fillId="0" borderId="0" xfId="63" applyNumberFormat="1" applyFont="1" applyFill="1" applyAlignment="1">
      <alignment horizontal="center" vertical="center" wrapText="1"/>
    </xf>
    <xf numFmtId="0" fontId="35" fillId="0" borderId="0" xfId="22" applyNumberFormat="1" applyFont="1" applyFill="1" applyAlignment="1">
      <alignment horizontal="center" vertical="center" wrapText="1"/>
    </xf>
    <xf numFmtId="0" fontId="35" fillId="0" borderId="0" xfId="88" applyNumberFormat="1" applyFont="1" applyFill="1" applyBorder="1" applyAlignment="1">
      <alignment horizontal="center" vertical="center"/>
    </xf>
    <xf numFmtId="43" fontId="27" fillId="0" borderId="0" xfId="1" applyFont="1" applyFill="1" applyAlignment="1">
      <alignment vertical="center"/>
    </xf>
    <xf numFmtId="43" fontId="27" fillId="0" borderId="0" xfId="1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vertical="center" wrapText="1"/>
    </xf>
    <xf numFmtId="44" fontId="20" fillId="0" borderId="0" xfId="109" applyNumberFormat="1" applyFont="1" applyFill="1" applyAlignment="1">
      <alignment vertical="center"/>
    </xf>
    <xf numFmtId="0" fontId="23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 wrapText="1"/>
    </xf>
    <xf numFmtId="0" fontId="25" fillId="6" borderId="1" xfId="0" applyNumberFormat="1" applyFont="1" applyFill="1" applyBorder="1" applyAlignment="1">
      <alignment horizontal="center" vertical="center"/>
    </xf>
    <xf numFmtId="2" fontId="26" fillId="6" borderId="1" xfId="0" applyNumberFormat="1" applyFont="1" applyFill="1" applyBorder="1" applyAlignment="1">
      <alignment horizontal="center" vertical="center"/>
    </xf>
    <xf numFmtId="43" fontId="23" fillId="6" borderId="1" xfId="1" applyFont="1" applyFill="1" applyBorder="1" applyAlignment="1">
      <alignment vertical="center"/>
    </xf>
    <xf numFmtId="43" fontId="1" fillId="6" borderId="1" xfId="1" applyFont="1" applyFill="1" applyBorder="1" applyAlignment="1">
      <alignment vertical="center"/>
    </xf>
    <xf numFmtId="4" fontId="24" fillId="6" borderId="1" xfId="110" applyNumberFormat="1" applyFont="1" applyFill="1" applyBorder="1" applyAlignment="1">
      <alignment vertical="center"/>
    </xf>
    <xf numFmtId="0" fontId="26" fillId="6" borderId="1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43" fontId="24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0" xfId="0" applyBorder="1"/>
    <xf numFmtId="43" fontId="34" fillId="7" borderId="0" xfId="1" applyFont="1" applyFill="1" applyAlignment="1">
      <alignment vertical="center"/>
    </xf>
    <xf numFmtId="4" fontId="2" fillId="0" borderId="0" xfId="42" applyNumberFormat="1" applyFont="1" applyBorder="1"/>
    <xf numFmtId="174" fontId="2" fillId="0" borderId="0" xfId="109" applyNumberFormat="1" applyFont="1" applyBorder="1"/>
    <xf numFmtId="0" fontId="1" fillId="7" borderId="0" xfId="88" applyFill="1" applyBorder="1" applyAlignment="1">
      <alignment horizontal="center" vertical="center"/>
    </xf>
    <xf numFmtId="0" fontId="34" fillId="7" borderId="0" xfId="88" applyFont="1" applyFill="1" applyBorder="1" applyAlignment="1">
      <alignment horizontal="center"/>
    </xf>
    <xf numFmtId="0" fontId="35" fillId="7" borderId="0" xfId="0" applyFont="1" applyFill="1" applyAlignment="1">
      <alignment vertical="center" wrapText="1"/>
    </xf>
    <xf numFmtId="0" fontId="35" fillId="7" borderId="0" xfId="0" applyNumberFormat="1" applyFont="1" applyFill="1" applyAlignment="1">
      <alignment horizontal="center" vertical="center"/>
    </xf>
    <xf numFmtId="43" fontId="35" fillId="7" borderId="0" xfId="1" applyFont="1" applyFill="1" applyAlignment="1">
      <alignment vertical="center"/>
    </xf>
    <xf numFmtId="0" fontId="26" fillId="7" borderId="0" xfId="88" applyFont="1" applyFill="1" applyBorder="1" applyAlignment="1">
      <alignment vertical="center"/>
    </xf>
    <xf numFmtId="0" fontId="20" fillId="7" borderId="0" xfId="88" applyFont="1" applyFill="1" applyBorder="1" applyAlignment="1">
      <alignment horizontal="center"/>
    </xf>
    <xf numFmtId="0" fontId="1" fillId="7" borderId="0" xfId="88" applyFill="1" applyBorder="1" applyAlignment="1">
      <alignment vertical="center"/>
    </xf>
    <xf numFmtId="0" fontId="2" fillId="0" borderId="0" xfId="70" applyFont="1" applyFill="1"/>
    <xf numFmtId="0" fontId="2" fillId="0" borderId="0" xfId="70" applyFont="1" applyFill="1" applyAlignment="1">
      <alignment horizontal="center"/>
    </xf>
    <xf numFmtId="0" fontId="22" fillId="0" borderId="0" xfId="70" applyFont="1" applyAlignment="1">
      <alignment horizontal="center"/>
    </xf>
    <xf numFmtId="0" fontId="22" fillId="0" borderId="0" xfId="70" applyFont="1"/>
    <xf numFmtId="0" fontId="22" fillId="0" borderId="0" xfId="63" applyFont="1" applyAlignment="1">
      <alignment vertical="center" wrapText="1"/>
    </xf>
    <xf numFmtId="0" fontId="22" fillId="0" borderId="0" xfId="41" applyFont="1" applyFill="1"/>
    <xf numFmtId="0" fontId="22" fillId="0" borderId="0" xfId="89" applyFont="1" applyAlignment="1">
      <alignment wrapText="1"/>
    </xf>
    <xf numFmtId="0" fontId="22" fillId="0" borderId="3" xfId="70" applyNumberFormat="1" applyFont="1" applyBorder="1" applyAlignment="1"/>
    <xf numFmtId="0" fontId="22" fillId="0" borderId="3" xfId="70" applyNumberFormat="1" applyFont="1" applyBorder="1" applyAlignment="1">
      <alignment wrapText="1"/>
    </xf>
    <xf numFmtId="0" fontId="2" fillId="0" borderId="0" xfId="70" applyFont="1" applyFill="1" applyAlignment="1">
      <alignment wrapText="1"/>
    </xf>
    <xf numFmtId="165" fontId="25" fillId="0" borderId="1" xfId="37" applyFont="1" applyBorder="1" applyAlignment="1">
      <alignment horizontal="center" vertical="center"/>
    </xf>
    <xf numFmtId="10" fontId="25" fillId="0" borderId="1" xfId="28" applyNumberFormat="1" applyFont="1" applyBorder="1" applyAlignment="1">
      <alignment horizontal="center" vertical="center"/>
    </xf>
    <xf numFmtId="9" fontId="25" fillId="0" borderId="1" xfId="28" applyFont="1" applyBorder="1" applyAlignment="1">
      <alignment horizontal="center" vertical="center"/>
    </xf>
    <xf numFmtId="165" fontId="25" fillId="0" borderId="1" xfId="37" applyFont="1" applyFill="1" applyBorder="1" applyAlignment="1">
      <alignment horizontal="center" vertical="center"/>
    </xf>
    <xf numFmtId="9" fontId="25" fillId="0" borderId="1" xfId="28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wrapText="1"/>
    </xf>
    <xf numFmtId="165" fontId="2" fillId="3" borderId="1" xfId="37" applyFont="1" applyFill="1" applyBorder="1"/>
    <xf numFmtId="10" fontId="2" fillId="0" borderId="1" xfId="28" applyNumberFormat="1" applyFont="1" applyBorder="1"/>
    <xf numFmtId="165" fontId="2" fillId="0" borderId="1" xfId="37" applyFont="1" applyBorder="1"/>
    <xf numFmtId="10" fontId="2" fillId="0" borderId="1" xfId="0" applyNumberFormat="1" applyFont="1" applyBorder="1"/>
    <xf numFmtId="43" fontId="2" fillId="0" borderId="1" xfId="0" applyNumberFormat="1" applyFont="1" applyBorder="1"/>
    <xf numFmtId="165" fontId="2" fillId="0" borderId="1" xfId="37" applyFont="1" applyFill="1" applyBorder="1"/>
    <xf numFmtId="0" fontId="22" fillId="0" borderId="0" xfId="70" applyFont="1" applyBorder="1" applyAlignment="1"/>
    <xf numFmtId="43" fontId="2" fillId="0" borderId="1" xfId="0" applyNumberFormat="1" applyFont="1" applyFill="1" applyBorder="1"/>
    <xf numFmtId="0" fontId="2" fillId="0" borderId="0" xfId="70" applyFont="1" applyAlignment="1">
      <alignment vertical="top"/>
    </xf>
    <xf numFmtId="10" fontId="2" fillId="0" borderId="1" xfId="0" applyNumberFormat="1" applyFont="1" applyFill="1" applyBorder="1"/>
    <xf numFmtId="10" fontId="2" fillId="0" borderId="1" xfId="28" applyNumberFormat="1" applyFont="1" applyFill="1" applyBorder="1"/>
    <xf numFmtId="43" fontId="2" fillId="3" borderId="1" xfId="0" applyNumberFormat="1" applyFont="1" applyFill="1" applyBorder="1"/>
    <xf numFmtId="165" fontId="25" fillId="3" borderId="1" xfId="37" applyNumberFormat="1" applyFont="1" applyFill="1" applyBorder="1"/>
    <xf numFmtId="165" fontId="25" fillId="3" borderId="1" xfId="28" applyNumberFormat="1" applyFont="1" applyFill="1" applyBorder="1"/>
    <xf numFmtId="0" fontId="2" fillId="3" borderId="1" xfId="0" applyFont="1" applyFill="1" applyBorder="1"/>
    <xf numFmtId="10" fontId="25" fillId="0" borderId="1" xfId="28" applyNumberFormat="1" applyFont="1" applyBorder="1"/>
    <xf numFmtId="9" fontId="25" fillId="0" borderId="1" xfId="28" applyFont="1" applyBorder="1"/>
    <xf numFmtId="9" fontId="2" fillId="0" borderId="1" xfId="28" applyFont="1" applyBorder="1"/>
    <xf numFmtId="10" fontId="25" fillId="3" borderId="1" xfId="28" applyNumberFormat="1" applyFont="1" applyFill="1" applyBorder="1"/>
    <xf numFmtId="171" fontId="2" fillId="3" borderId="1" xfId="0" applyNumberFormat="1" applyFont="1" applyFill="1" applyBorder="1"/>
    <xf numFmtId="0" fontId="2" fillId="0" borderId="1" xfId="0" applyFont="1" applyFill="1" applyBorder="1"/>
    <xf numFmtId="44" fontId="0" fillId="0" borderId="0" xfId="110" applyFont="1" applyFill="1" applyAlignment="1">
      <alignment vertical="center"/>
    </xf>
    <xf numFmtId="44" fontId="0" fillId="0" borderId="0" xfId="0" applyNumberFormat="1" applyFill="1" applyAlignment="1">
      <alignment vertical="center"/>
    </xf>
    <xf numFmtId="0" fontId="26" fillId="0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34" fillId="0" borderId="0" xfId="88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0" fontId="34" fillId="0" borderId="0" xfId="88" applyFont="1" applyFill="1" applyBorder="1" applyAlignment="1">
      <alignment horizontal="center"/>
    </xf>
    <xf numFmtId="0" fontId="2" fillId="0" borderId="0" xfId="49" applyAlignment="1">
      <alignment horizontal="right"/>
    </xf>
    <xf numFmtId="0" fontId="2" fillId="0" borderId="0" xfId="49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45" fillId="0" borderId="0" xfId="49" applyFont="1" applyAlignment="1">
      <alignment vertical="center"/>
    </xf>
    <xf numFmtId="0" fontId="2" fillId="0" borderId="0" xfId="49"/>
    <xf numFmtId="0" fontId="45" fillId="0" borderId="0" xfId="49" applyFont="1" applyAlignment="1">
      <alignment vertical="center" wrapText="1"/>
    </xf>
    <xf numFmtId="0" fontId="22" fillId="0" borderId="0" xfId="49" applyFont="1" applyAlignment="1">
      <alignment vertical="center"/>
    </xf>
    <xf numFmtId="0" fontId="2" fillId="0" borderId="0" xfId="49" applyAlignment="1">
      <alignment vertical="center"/>
    </xf>
    <xf numFmtId="0" fontId="17" fillId="0" borderId="13" xfId="49" applyFont="1" applyBorder="1" applyAlignment="1">
      <alignment horizontal="center" vertical="center"/>
    </xf>
    <xf numFmtId="0" fontId="17" fillId="0" borderId="1" xfId="49" applyFont="1" applyBorder="1" applyAlignment="1">
      <alignment horizontal="left" vertical="center" wrapText="1"/>
    </xf>
    <xf numFmtId="175" fontId="17" fillId="0" borderId="1" xfId="49" applyNumberFormat="1" applyFont="1" applyFill="1" applyBorder="1" applyAlignment="1">
      <alignment horizontal="right" vertical="center"/>
    </xf>
    <xf numFmtId="10" fontId="17" fillId="0" borderId="17" xfId="28" applyNumberFormat="1" applyFont="1" applyBorder="1" applyAlignment="1">
      <alignment horizontal="center" vertical="center"/>
    </xf>
    <xf numFmtId="175" fontId="16" fillId="8" borderId="20" xfId="111" applyNumberFormat="1" applyFont="1" applyFill="1" applyBorder="1" applyAlignment="1">
      <alignment vertical="center"/>
    </xf>
    <xf numFmtId="10" fontId="17" fillId="0" borderId="21" xfId="28" applyNumberFormat="1" applyFont="1" applyFill="1" applyBorder="1" applyAlignment="1">
      <alignment horizontal="center" vertical="center"/>
    </xf>
    <xf numFmtId="0" fontId="45" fillId="0" borderId="0" xfId="49" applyFont="1" applyAlignment="1">
      <alignment horizontal="right" vertical="center"/>
    </xf>
    <xf numFmtId="0" fontId="22" fillId="0" borderId="0" xfId="49" applyFont="1" applyAlignment="1">
      <alignment horizontal="left" vertical="center"/>
    </xf>
    <xf numFmtId="10" fontId="2" fillId="0" borderId="0" xfId="49" applyNumberFormat="1" applyAlignment="1">
      <alignment vertical="center"/>
    </xf>
    <xf numFmtId="0" fontId="46" fillId="0" borderId="0" xfId="113" applyFont="1" applyAlignment="1">
      <alignment horizontal="center" vertical="center"/>
    </xf>
    <xf numFmtId="0" fontId="22" fillId="0" borderId="0" xfId="113" applyFont="1" applyAlignment="1">
      <alignment vertical="center"/>
    </xf>
    <xf numFmtId="0" fontId="12" fillId="0" borderId="0" xfId="113" applyFont="1" applyAlignment="1">
      <alignment horizontal="center" vertical="center"/>
    </xf>
    <xf numFmtId="0" fontId="2" fillId="0" borderId="0" xfId="113" applyFont="1" applyAlignment="1">
      <alignment vertical="center"/>
    </xf>
    <xf numFmtId="0" fontId="2" fillId="0" borderId="0" xfId="113" applyFont="1" applyAlignment="1">
      <alignment horizontal="right" vertical="center"/>
    </xf>
    <xf numFmtId="2" fontId="2" fillId="0" borderId="0" xfId="113" applyNumberFormat="1" applyFont="1" applyAlignment="1">
      <alignment vertical="center"/>
    </xf>
    <xf numFmtId="0" fontId="16" fillId="0" borderId="0" xfId="113" applyFont="1" applyAlignment="1">
      <alignment horizontal="left" vertical="center"/>
    </xf>
    <xf numFmtId="0" fontId="46" fillId="0" borderId="0" xfId="113" applyFont="1" applyFill="1" applyBorder="1" applyAlignment="1">
      <alignment horizontal="center" vertical="center"/>
    </xf>
    <xf numFmtId="0" fontId="2" fillId="0" borderId="0" xfId="113" applyFont="1" applyAlignment="1">
      <alignment horizontal="left" vertical="center" wrapText="1"/>
    </xf>
    <xf numFmtId="3" fontId="2" fillId="0" borderId="0" xfId="49" applyNumberFormat="1" applyFont="1" applyBorder="1" applyAlignment="1">
      <alignment horizontal="right" vertical="center"/>
    </xf>
    <xf numFmtId="49" fontId="2" fillId="0" borderId="0" xfId="113" applyNumberFormat="1" applyFont="1" applyFill="1" applyBorder="1" applyAlignment="1">
      <alignment horizontal="right" vertical="center"/>
    </xf>
    <xf numFmtId="0" fontId="22" fillId="0" borderId="1" xfId="49" applyFont="1" applyBorder="1" applyAlignment="1">
      <alignment horizontal="center"/>
    </xf>
    <xf numFmtId="0" fontId="22" fillId="0" borderId="0" xfId="49" applyFont="1" applyBorder="1" applyAlignment="1">
      <alignment horizontal="center"/>
    </xf>
    <xf numFmtId="0" fontId="17" fillId="0" borderId="0" xfId="113" applyFont="1" applyAlignment="1">
      <alignment horizontal="left" vertical="center"/>
    </xf>
    <xf numFmtId="49" fontId="17" fillId="0" borderId="0" xfId="113" applyNumberFormat="1" applyFont="1" applyAlignment="1">
      <alignment horizontal="right" vertical="center"/>
    </xf>
    <xf numFmtId="4" fontId="2" fillId="0" borderId="0" xfId="49" applyNumberFormat="1" applyFont="1" applyBorder="1" applyAlignment="1">
      <alignment horizontal="right"/>
    </xf>
    <xf numFmtId="0" fontId="22" fillId="0" borderId="1" xfId="113" applyFont="1" applyBorder="1" applyAlignment="1">
      <alignment horizontal="center" vertical="center"/>
    </xf>
    <xf numFmtId="0" fontId="22" fillId="0" borderId="1" xfId="49" applyFont="1" applyBorder="1" applyAlignment="1">
      <alignment horizontal="left"/>
    </xf>
    <xf numFmtId="4" fontId="22" fillId="0" borderId="1" xfId="49" applyNumberFormat="1" applyFont="1" applyFill="1" applyBorder="1" applyAlignment="1">
      <alignment horizontal="center"/>
    </xf>
    <xf numFmtId="4" fontId="22" fillId="0" borderId="0" xfId="49" applyNumberFormat="1" applyFont="1" applyBorder="1" applyAlignment="1">
      <alignment horizontal="center"/>
    </xf>
    <xf numFmtId="3" fontId="2" fillId="0" borderId="0" xfId="49" applyNumberFormat="1" applyFont="1" applyBorder="1" applyAlignment="1">
      <alignment horizontal="right"/>
    </xf>
    <xf numFmtId="0" fontId="17" fillId="0" borderId="0" xfId="113" applyFont="1" applyAlignment="1">
      <alignment vertical="center"/>
    </xf>
    <xf numFmtId="4" fontId="17" fillId="0" borderId="0" xfId="49" applyNumberFormat="1" applyFont="1" applyBorder="1" applyAlignment="1">
      <alignment horizontal="left" vertical="center"/>
    </xf>
    <xf numFmtId="4" fontId="2" fillId="0" borderId="0" xfId="49" applyNumberFormat="1" applyFont="1" applyBorder="1" applyAlignment="1">
      <alignment horizontal="right" vertical="center"/>
    </xf>
    <xf numFmtId="4" fontId="17" fillId="0" borderId="0" xfId="49" applyNumberFormat="1" applyFont="1" applyBorder="1" applyAlignment="1">
      <alignment horizontal="left"/>
    </xf>
    <xf numFmtId="4" fontId="22" fillId="0" borderId="0" xfId="49" applyNumberFormat="1" applyFont="1" applyFill="1" applyBorder="1" applyAlignment="1">
      <alignment horizontal="center"/>
    </xf>
    <xf numFmtId="3" fontId="17" fillId="0" borderId="0" xfId="49" applyNumberFormat="1" applyFont="1" applyBorder="1" applyAlignment="1">
      <alignment horizontal="right" vertical="center"/>
    </xf>
    <xf numFmtId="4" fontId="17" fillId="0" borderId="0" xfId="49" applyNumberFormat="1" applyFont="1" applyBorder="1" applyAlignment="1">
      <alignment horizontal="right" vertical="center"/>
    </xf>
    <xf numFmtId="0" fontId="17" fillId="0" borderId="0" xfId="113" applyFont="1" applyAlignment="1">
      <alignment horizontal="right" vertical="center"/>
    </xf>
    <xf numFmtId="2" fontId="16" fillId="0" borderId="0" xfId="113" applyNumberFormat="1" applyFont="1" applyAlignment="1">
      <alignment vertical="center"/>
    </xf>
    <xf numFmtId="4" fontId="22" fillId="0" borderId="1" xfId="49" applyNumberFormat="1" applyFont="1" applyBorder="1" applyAlignment="1">
      <alignment horizontal="center"/>
    </xf>
    <xf numFmtId="4" fontId="22" fillId="0" borderId="1" xfId="113" applyNumberFormat="1" applyFont="1" applyBorder="1" applyAlignment="1">
      <alignment horizontal="center" vertical="center"/>
    </xf>
    <xf numFmtId="4" fontId="22" fillId="0" borderId="0" xfId="113" applyNumberFormat="1" applyFont="1" applyBorder="1" applyAlignment="1">
      <alignment horizontal="center" vertical="center"/>
    </xf>
    <xf numFmtId="0" fontId="22" fillId="0" borderId="0" xfId="113" applyFont="1" applyBorder="1" applyAlignment="1">
      <alignment horizontal="center" vertical="center"/>
    </xf>
    <xf numFmtId="4" fontId="17" fillId="0" borderId="0" xfId="113" applyNumberFormat="1" applyFont="1" applyBorder="1" applyAlignment="1">
      <alignment horizontal="left" vertical="center"/>
    </xf>
    <xf numFmtId="3" fontId="17" fillId="0" borderId="0" xfId="113" applyNumberFormat="1" applyFont="1" applyBorder="1" applyAlignment="1">
      <alignment horizontal="right" vertical="center"/>
    </xf>
    <xf numFmtId="4" fontId="17" fillId="0" borderId="0" xfId="113" applyNumberFormat="1" applyFont="1" applyBorder="1" applyAlignment="1">
      <alignment horizontal="right" vertical="center"/>
    </xf>
    <xf numFmtId="0" fontId="22" fillId="0" borderId="1" xfId="113" applyFont="1" applyBorder="1" applyAlignment="1">
      <alignment horizontal="left" vertical="center"/>
    </xf>
    <xf numFmtId="2" fontId="17" fillId="0" borderId="0" xfId="113" applyNumberFormat="1" applyFont="1" applyBorder="1" applyAlignment="1">
      <alignment horizontal="right" vertical="center"/>
    </xf>
    <xf numFmtId="0" fontId="17" fillId="0" borderId="0" xfId="113" applyFont="1" applyBorder="1" applyAlignment="1">
      <alignment horizontal="left" vertical="center"/>
    </xf>
    <xf numFmtId="0" fontId="22" fillId="0" borderId="1" xfId="113" applyFont="1" applyBorder="1" applyAlignment="1">
      <alignment horizontal="left" vertical="center" wrapText="1"/>
    </xf>
    <xf numFmtId="2" fontId="22" fillId="0" borderId="1" xfId="113" applyNumberFormat="1" applyFont="1" applyBorder="1" applyAlignment="1">
      <alignment horizontal="center" vertical="center"/>
    </xf>
    <xf numFmtId="0" fontId="2" fillId="0" borderId="0" xfId="113" applyFont="1" applyBorder="1" applyAlignment="1">
      <alignment horizontal="right" vertical="center"/>
    </xf>
    <xf numFmtId="0" fontId="22" fillId="0" borderId="1" xfId="49" applyFont="1" applyBorder="1" applyAlignment="1">
      <alignment horizontal="left" wrapText="1"/>
    </xf>
    <xf numFmtId="0" fontId="17" fillId="0" borderId="1" xfId="113" applyFont="1" applyBorder="1" applyAlignment="1">
      <alignment vertical="center"/>
    </xf>
    <xf numFmtId="0" fontId="22" fillId="0" borderId="0" xfId="113" applyFont="1" applyBorder="1" applyAlignment="1">
      <alignment horizontal="right" vertical="center"/>
    </xf>
    <xf numFmtId="0" fontId="22" fillId="0" borderId="1" xfId="113" applyFont="1" applyFill="1" applyBorder="1" applyAlignment="1">
      <alignment vertical="center"/>
    </xf>
    <xf numFmtId="175" fontId="17" fillId="0" borderId="1" xfId="113" applyNumberFormat="1" applyFont="1" applyBorder="1" applyAlignment="1">
      <alignment vertical="center"/>
    </xf>
    <xf numFmtId="0" fontId="2" fillId="0" borderId="1" xfId="113" applyFont="1" applyBorder="1" applyAlignment="1">
      <alignment horizontal="right" vertical="center"/>
    </xf>
    <xf numFmtId="0" fontId="2" fillId="0" borderId="1" xfId="113" applyFont="1" applyBorder="1" applyAlignment="1">
      <alignment vertical="center"/>
    </xf>
    <xf numFmtId="0" fontId="22" fillId="0" borderId="1" xfId="49" applyFont="1" applyBorder="1" applyAlignment="1">
      <alignment horizontal="center" vertical="center"/>
    </xf>
    <xf numFmtId="0" fontId="22" fillId="0" borderId="1" xfId="49" applyFont="1" applyBorder="1" applyAlignment="1">
      <alignment horizontal="left" vertical="center"/>
    </xf>
    <xf numFmtId="0" fontId="2" fillId="0" borderId="0" xfId="113" applyFont="1" applyFill="1" applyBorder="1" applyAlignment="1">
      <alignment vertical="center"/>
    </xf>
    <xf numFmtId="4" fontId="22" fillId="0" borderId="0" xfId="49" applyNumberFormat="1" applyFont="1" applyBorder="1" applyAlignment="1">
      <alignment horizontal="center" vertical="center"/>
    </xf>
    <xf numFmtId="0" fontId="2" fillId="0" borderId="0" xfId="113" applyFont="1" applyFill="1" applyBorder="1" applyAlignment="1">
      <alignment horizontal="center" vertical="center"/>
    </xf>
    <xf numFmtId="0" fontId="22" fillId="0" borderId="1" xfId="113" applyFont="1" applyBorder="1" applyAlignment="1">
      <alignment horizontal="right" vertical="center"/>
    </xf>
    <xf numFmtId="0" fontId="2" fillId="0" borderId="27" xfId="49" applyFont="1" applyBorder="1" applyAlignment="1">
      <alignment vertical="center" wrapText="1"/>
    </xf>
    <xf numFmtId="10" fontId="22" fillId="0" borderId="1" xfId="28" applyNumberFormat="1" applyFont="1" applyBorder="1" applyAlignment="1">
      <alignment horizontal="right" vertical="center"/>
    </xf>
    <xf numFmtId="2" fontId="22" fillId="0" borderId="1" xfId="49" applyNumberFormat="1" applyFont="1" applyBorder="1" applyAlignment="1">
      <alignment horizontal="right" vertical="center"/>
    </xf>
    <xf numFmtId="0" fontId="22" fillId="0" borderId="0" xfId="113" applyFont="1" applyBorder="1" applyAlignment="1">
      <alignment horizontal="left" vertical="center"/>
    </xf>
    <xf numFmtId="0" fontId="16" fillId="0" borderId="0" xfId="113" applyFont="1" applyAlignment="1">
      <alignment horizontal="center" vertical="center"/>
    </xf>
    <xf numFmtId="0" fontId="2" fillId="5" borderId="1" xfId="113" applyFont="1" applyFill="1" applyBorder="1" applyAlignment="1">
      <alignment vertical="center"/>
    </xf>
    <xf numFmtId="0" fontId="2" fillId="0" borderId="0" xfId="113" applyFont="1" applyFill="1" applyAlignment="1">
      <alignment vertical="center"/>
    </xf>
    <xf numFmtId="0" fontId="22" fillId="0" borderId="1" xfId="113" applyFont="1" applyFill="1" applyBorder="1" applyAlignment="1">
      <alignment horizontal="left" vertical="center"/>
    </xf>
    <xf numFmtId="0" fontId="22" fillId="0" borderId="1" xfId="113" applyFont="1" applyFill="1" applyBorder="1" applyAlignment="1">
      <alignment horizontal="right" vertical="center"/>
    </xf>
    <xf numFmtId="0" fontId="2" fillId="0" borderId="0" xfId="49" applyFill="1" applyAlignment="1">
      <alignment vertical="center"/>
    </xf>
    <xf numFmtId="172" fontId="26" fillId="2" borderId="0" xfId="88" applyNumberFormat="1" applyFont="1" applyFill="1" applyBorder="1" applyAlignment="1">
      <alignment horizontal="center" vertical="center"/>
    </xf>
    <xf numFmtId="10" fontId="26" fillId="2" borderId="0" xfId="88" applyNumberFormat="1" applyFont="1" applyFill="1" applyBorder="1" applyAlignment="1">
      <alignment horizontal="center" vertical="center"/>
    </xf>
    <xf numFmtId="2" fontId="20" fillId="2" borderId="0" xfId="88" applyNumberFormat="1" applyFont="1" applyFill="1" applyBorder="1" applyAlignment="1">
      <alignment vertical="center"/>
    </xf>
    <xf numFmtId="43" fontId="35" fillId="4" borderId="0" xfId="1" applyFont="1" applyFill="1" applyAlignment="1">
      <alignment horizontal="right" vertical="center"/>
    </xf>
    <xf numFmtId="43" fontId="35" fillId="4" borderId="0" xfId="1" applyFont="1" applyFill="1" applyAlignment="1">
      <alignment horizontal="right" vertical="center" wrapText="1"/>
    </xf>
    <xf numFmtId="43" fontId="35" fillId="4" borderId="0" xfId="1" applyFont="1" applyFill="1" applyBorder="1" applyAlignment="1">
      <alignment horizontal="right" vertical="center"/>
    </xf>
    <xf numFmtId="43" fontId="34" fillId="4" borderId="0" xfId="1" applyFont="1" applyFill="1" applyAlignment="1">
      <alignment horizontal="right" vertical="center" wrapText="1"/>
    </xf>
    <xf numFmtId="43" fontId="35" fillId="4" borderId="0" xfId="1" applyFont="1" applyFill="1" applyAlignment="1">
      <alignment horizontal="right"/>
    </xf>
    <xf numFmtId="43" fontId="35" fillId="4" borderId="0" xfId="1" applyFont="1" applyFill="1" applyBorder="1" applyAlignment="1">
      <alignment horizontal="right"/>
    </xf>
    <xf numFmtId="0" fontId="35" fillId="4" borderId="0" xfId="0" applyFont="1" applyFill="1" applyAlignment="1">
      <alignment horizontal="right"/>
    </xf>
    <xf numFmtId="2" fontId="35" fillId="4" borderId="0" xfId="15" applyNumberFormat="1" applyFont="1" applyFill="1" applyAlignment="1">
      <alignment horizontal="right" vertical="center"/>
    </xf>
    <xf numFmtId="49" fontId="23" fillId="7" borderId="2" xfId="0" applyNumberFormat="1" applyFont="1" applyFill="1" applyBorder="1" applyAlignment="1">
      <alignment vertical="center"/>
    </xf>
    <xf numFmtId="0" fontId="23" fillId="7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left" vertical="center" wrapText="1"/>
    </xf>
    <xf numFmtId="0" fontId="26" fillId="7" borderId="1" xfId="0" applyNumberFormat="1" applyFont="1" applyFill="1" applyBorder="1" applyAlignment="1">
      <alignment horizontal="center" vertical="center"/>
    </xf>
    <xf numFmtId="2" fontId="26" fillId="7" borderId="1" xfId="0" applyNumberFormat="1" applyFont="1" applyFill="1" applyBorder="1" applyAlignment="1">
      <alignment horizontal="center" vertical="center"/>
    </xf>
    <xf numFmtId="43" fontId="1" fillId="7" borderId="1" xfId="1" applyFont="1" applyFill="1" applyBorder="1" applyAlignment="1">
      <alignment vertical="center"/>
    </xf>
    <xf numFmtId="4" fontId="23" fillId="7" borderId="1" xfId="11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23" fillId="7" borderId="0" xfId="1" applyFont="1" applyFill="1" applyBorder="1" applyAlignment="1">
      <alignment vertical="center"/>
    </xf>
    <xf numFmtId="43" fontId="0" fillId="7" borderId="0" xfId="0" applyNumberFormat="1" applyFill="1" applyAlignment="1">
      <alignment vertical="center"/>
    </xf>
    <xf numFmtId="43" fontId="35" fillId="4" borderId="0" xfId="1" applyFont="1" applyFill="1" applyAlignment="1">
      <alignment vertical="center"/>
    </xf>
    <xf numFmtId="0" fontId="22" fillId="0" borderId="0" xfId="70" applyFont="1" applyAlignment="1">
      <alignment horizontal="center"/>
    </xf>
    <xf numFmtId="0" fontId="2" fillId="0" borderId="1" xfId="49" applyFont="1" applyBorder="1" applyAlignment="1">
      <alignment horizontal="left" vertical="top"/>
    </xf>
    <xf numFmtId="0" fontId="22" fillId="0" borderId="5" xfId="49" applyFont="1" applyBorder="1" applyAlignment="1">
      <alignment horizontal="left" vertical="top"/>
    </xf>
    <xf numFmtId="0" fontId="2" fillId="0" borderId="4" xfId="49" applyFont="1" applyBorder="1" applyAlignment="1">
      <alignment horizontal="left" vertical="top"/>
    </xf>
    <xf numFmtId="2" fontId="22" fillId="0" borderId="32" xfId="49" applyNumberFormat="1" applyFont="1" applyBorder="1" applyAlignment="1">
      <alignment horizontal="center" vertical="top"/>
    </xf>
    <xf numFmtId="0" fontId="22" fillId="0" borderId="16" xfId="49" applyFont="1" applyBorder="1" applyAlignment="1">
      <alignment horizontal="center" vertical="top"/>
    </xf>
    <xf numFmtId="2" fontId="2" fillId="0" borderId="17" xfId="49" applyNumberFormat="1" applyFont="1" applyBorder="1" applyAlignment="1">
      <alignment horizontal="center" vertical="top"/>
    </xf>
    <xf numFmtId="2" fontId="2" fillId="0" borderId="15" xfId="49" applyNumberFormat="1" applyFont="1" applyBorder="1" applyAlignment="1">
      <alignment horizontal="center" vertical="top"/>
    </xf>
    <xf numFmtId="0" fontId="22" fillId="0" borderId="33" xfId="49" applyFont="1" applyBorder="1" applyAlignment="1">
      <alignment horizontal="center" vertical="center"/>
    </xf>
    <xf numFmtId="0" fontId="2" fillId="0" borderId="13" xfId="49" applyFont="1" applyBorder="1" applyAlignment="1">
      <alignment horizontal="center" vertical="top"/>
    </xf>
    <xf numFmtId="0" fontId="2" fillId="0" borderId="34" xfId="49" applyFont="1" applyBorder="1" applyAlignment="1">
      <alignment horizontal="center" vertical="top"/>
    </xf>
    <xf numFmtId="10" fontId="22" fillId="0" borderId="21" xfId="28" applyNumberFormat="1" applyFont="1" applyBorder="1" applyAlignment="1">
      <alignment horizontal="center" vertical="top"/>
    </xf>
    <xf numFmtId="0" fontId="2" fillId="0" borderId="24" xfId="49" applyBorder="1" applyAlignment="1">
      <alignment vertical="center"/>
    </xf>
    <xf numFmtId="0" fontId="2" fillId="0" borderId="35" xfId="49" applyBorder="1" applyAlignment="1">
      <alignment vertical="center"/>
    </xf>
    <xf numFmtId="0" fontId="2" fillId="0" borderId="26" xfId="49" applyBorder="1" applyAlignment="1">
      <alignment vertical="center"/>
    </xf>
    <xf numFmtId="0" fontId="47" fillId="0" borderId="23" xfId="49" applyFont="1" applyBorder="1" applyAlignment="1">
      <alignment vertical="center"/>
    </xf>
    <xf numFmtId="177" fontId="2" fillId="0" borderId="0" xfId="49" applyNumberFormat="1" applyAlignment="1">
      <alignment vertical="center"/>
    </xf>
    <xf numFmtId="0" fontId="34" fillId="7" borderId="0" xfId="0" applyFont="1" applyFill="1" applyAlignment="1">
      <alignment horizontal="center" wrapText="1"/>
    </xf>
    <xf numFmtId="0" fontId="34" fillId="7" borderId="0" xfId="0" applyFont="1" applyFill="1" applyAlignment="1">
      <alignment horizontal="center"/>
    </xf>
    <xf numFmtId="175" fontId="12" fillId="0" borderId="0" xfId="110" applyNumberFormat="1" applyFont="1" applyBorder="1" applyAlignment="1">
      <alignment horizontal="right"/>
    </xf>
    <xf numFmtId="4" fontId="12" fillId="0" borderId="0" xfId="42" applyNumberFormat="1" applyFont="1" applyBorder="1"/>
    <xf numFmtId="4" fontId="12" fillId="4" borderId="0" xfId="42" applyNumberFormat="1" applyFont="1" applyFill="1" applyBorder="1"/>
    <xf numFmtId="0" fontId="2" fillId="0" borderId="0" xfId="70" applyFont="1" applyFill="1" applyAlignment="1">
      <alignment horizontal="center" wrapText="1"/>
    </xf>
    <xf numFmtId="0" fontId="2" fillId="0" borderId="0" xfId="42" applyFont="1" applyAlignment="1">
      <alignment wrapText="1"/>
    </xf>
    <xf numFmtId="0" fontId="2" fillId="0" borderId="0" xfId="70" applyFont="1" applyAlignment="1"/>
    <xf numFmtId="178" fontId="41" fillId="5" borderId="0" xfId="88" applyNumberFormat="1" applyFont="1" applyFill="1" applyBorder="1" applyAlignment="1">
      <alignment vertical="center"/>
    </xf>
    <xf numFmtId="44" fontId="2" fillId="0" borderId="0" xfId="49" applyNumberFormat="1" applyAlignment="1">
      <alignment horizontal="center" vertical="center"/>
    </xf>
    <xf numFmtId="179" fontId="2" fillId="0" borderId="0" xfId="49" applyNumberFormat="1" applyAlignment="1">
      <alignment horizontal="center" vertical="center"/>
    </xf>
    <xf numFmtId="180" fontId="2" fillId="0" borderId="0" xfId="49" applyNumberFormat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45" fillId="0" borderId="0" xfId="49" applyFont="1" applyAlignment="1">
      <alignment horizontal="right" vertical="center" wrapText="1"/>
    </xf>
    <xf numFmtId="0" fontId="2" fillId="0" borderId="0" xfId="49" applyAlignment="1">
      <alignment wrapText="1"/>
    </xf>
    <xf numFmtId="43" fontId="35" fillId="0" borderId="0" xfId="1" applyFont="1" applyFill="1" applyAlignment="1">
      <alignment horizontal="center" vertical="center"/>
    </xf>
    <xf numFmtId="171" fontId="34" fillId="0" borderId="0" xfId="37" applyNumberFormat="1" applyFont="1" applyFill="1" applyAlignment="1">
      <alignment vertical="center" wrapText="1"/>
    </xf>
    <xf numFmtId="0" fontId="0" fillId="2" borderId="0" xfId="88" applyFont="1" applyFill="1" applyBorder="1" applyAlignment="1">
      <alignment horizontal="center" vertical="center"/>
    </xf>
    <xf numFmtId="0" fontId="34" fillId="0" borderId="0" xfId="88" applyFont="1" applyFill="1" applyBorder="1" applyAlignment="1">
      <alignment horizontal="center"/>
    </xf>
    <xf numFmtId="0" fontId="34" fillId="0" borderId="0" xfId="0" applyNumberFormat="1" applyFont="1" applyFill="1" applyAlignment="1">
      <alignment horizontal="center" vertical="center"/>
    </xf>
    <xf numFmtId="43" fontId="34" fillId="0" borderId="0" xfId="1" applyFont="1" applyFill="1" applyAlignment="1">
      <alignment horizontal="center" vertical="center" wrapText="1"/>
    </xf>
    <xf numFmtId="0" fontId="34" fillId="0" borderId="0" xfId="0" applyFont="1" applyFill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43" fontId="35" fillId="0" borderId="0" xfId="1" applyFont="1" applyFill="1" applyAlignment="1">
      <alignment horizontal="center" vertical="center"/>
    </xf>
    <xf numFmtId="0" fontId="34" fillId="0" borderId="0" xfId="88" applyFont="1" applyFill="1" applyBorder="1" applyAlignment="1">
      <alignment horizontal="center"/>
    </xf>
    <xf numFmtId="0" fontId="34" fillId="0" borderId="0" xfId="0" applyNumberFormat="1" applyFont="1" applyFill="1" applyAlignment="1">
      <alignment horizontal="center" vertical="center"/>
    </xf>
    <xf numFmtId="0" fontId="34" fillId="0" borderId="0" xfId="0" applyFont="1" applyFill="1" applyAlignment="1">
      <alignment vertical="center" wrapText="1"/>
    </xf>
    <xf numFmtId="4" fontId="1" fillId="2" borderId="0" xfId="88" applyNumberFormat="1" applyFill="1" applyBorder="1" applyAlignment="1">
      <alignment vertical="center"/>
    </xf>
    <xf numFmtId="43" fontId="1" fillId="7" borderId="0" xfId="88" applyNumberFormat="1" applyFill="1" applyBorder="1" applyAlignment="1">
      <alignment vertical="center"/>
    </xf>
    <xf numFmtId="0" fontId="0" fillId="2" borderId="0" xfId="88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43" fontId="2" fillId="0" borderId="0" xfId="70" applyNumberFormat="1" applyFont="1" applyFill="1"/>
    <xf numFmtId="10" fontId="25" fillId="0" borderId="1" xfId="109" applyNumberFormat="1" applyFont="1" applyBorder="1"/>
    <xf numFmtId="0" fontId="17" fillId="0" borderId="18" xfId="49" quotePrefix="1" applyFont="1" applyBorder="1" applyAlignment="1">
      <alignment horizontal="right" vertical="center"/>
    </xf>
    <xf numFmtId="0" fontId="17" fillId="0" borderId="19" xfId="49" quotePrefix="1" applyFont="1" applyBorder="1" applyAlignment="1">
      <alignment horizontal="right" vertical="center"/>
    </xf>
    <xf numFmtId="0" fontId="45" fillId="0" borderId="0" xfId="49" applyFont="1" applyAlignment="1">
      <alignment horizontal="left" vertical="center"/>
    </xf>
    <xf numFmtId="0" fontId="45" fillId="0" borderId="0" xfId="49" applyFont="1" applyAlignment="1">
      <alignment horizontal="left" vertical="center" wrapText="1"/>
    </xf>
    <xf numFmtId="0" fontId="22" fillId="0" borderId="0" xfId="49" applyFont="1" applyAlignment="1">
      <alignment horizontal="left" vertical="center"/>
    </xf>
    <xf numFmtId="0" fontId="22" fillId="0" borderId="9" xfId="49" applyFont="1" applyBorder="1" applyAlignment="1">
      <alignment horizontal="center" vertical="center"/>
    </xf>
    <xf numFmtId="0" fontId="22" fillId="0" borderId="13" xfId="49" applyFont="1" applyBorder="1" applyAlignment="1">
      <alignment horizontal="center" vertical="center"/>
    </xf>
    <xf numFmtId="0" fontId="22" fillId="0" borderId="10" xfId="49" applyFont="1" applyBorder="1" applyAlignment="1">
      <alignment horizontal="center" vertical="center" wrapText="1"/>
    </xf>
    <xf numFmtId="0" fontId="22" fillId="0" borderId="14" xfId="49" applyFont="1" applyBorder="1" applyAlignment="1">
      <alignment horizontal="center" vertical="center" wrapText="1"/>
    </xf>
    <xf numFmtId="0" fontId="22" fillId="0" borderId="5" xfId="49" applyFont="1" applyBorder="1" applyAlignment="1">
      <alignment horizontal="center" vertical="center" wrapText="1"/>
    </xf>
    <xf numFmtId="0" fontId="22" fillId="0" borderId="11" xfId="49" applyFont="1" applyBorder="1" applyAlignment="1">
      <alignment horizontal="center" vertical="center" wrapText="1"/>
    </xf>
    <xf numFmtId="0" fontId="22" fillId="0" borderId="12" xfId="49" applyFont="1" applyBorder="1" applyAlignment="1">
      <alignment horizontal="center" vertical="center" wrapText="1"/>
    </xf>
    <xf numFmtId="0" fontId="22" fillId="0" borderId="4" xfId="49" applyFont="1" applyBorder="1" applyAlignment="1">
      <alignment horizontal="center" vertical="center" wrapText="1"/>
    </xf>
    <xf numFmtId="0" fontId="22" fillId="0" borderId="15" xfId="49" applyFont="1" applyBorder="1" applyAlignment="1">
      <alignment horizontal="center" vertical="center"/>
    </xf>
    <xf numFmtId="0" fontId="22" fillId="0" borderId="16" xfId="49" applyFont="1" applyBorder="1" applyAlignment="1">
      <alignment horizontal="center" vertical="center"/>
    </xf>
    <xf numFmtId="44" fontId="2" fillId="0" borderId="0" xfId="110" applyFont="1" applyAlignment="1">
      <alignment horizontal="center" vertical="center"/>
    </xf>
    <xf numFmtId="0" fontId="42" fillId="0" borderId="0" xfId="49" applyFont="1" applyAlignment="1">
      <alignment horizontal="center" vertical="center" wrapText="1"/>
    </xf>
    <xf numFmtId="0" fontId="2" fillId="0" borderId="0" xfId="49" applyFont="1" applyAlignment="1">
      <alignment horizontal="center" vertical="center"/>
    </xf>
    <xf numFmtId="0" fontId="2" fillId="0" borderId="0" xfId="49" applyAlignment="1">
      <alignment horizontal="center" vertical="center"/>
    </xf>
    <xf numFmtId="0" fontId="44" fillId="0" borderId="0" xfId="49" applyFont="1" applyAlignment="1">
      <alignment horizontal="center" vertical="center"/>
    </xf>
    <xf numFmtId="0" fontId="13" fillId="0" borderId="4" xfId="42" applyFont="1" applyFill="1" applyBorder="1" applyAlignment="1">
      <alignment horizontal="center" vertical="center" wrapText="1"/>
    </xf>
    <xf numFmtId="0" fontId="13" fillId="0" borderId="5" xfId="42" applyFont="1" applyFill="1" applyBorder="1" applyAlignment="1">
      <alignment horizontal="center" vertical="center" wrapText="1"/>
    </xf>
    <xf numFmtId="0" fontId="13" fillId="0" borderId="4" xfId="42" applyNumberFormat="1" applyFont="1" applyFill="1" applyBorder="1" applyAlignment="1">
      <alignment horizontal="center" vertical="center" wrapText="1"/>
    </xf>
    <xf numFmtId="0" fontId="13" fillId="0" borderId="5" xfId="42" applyNumberFormat="1" applyFont="1" applyFill="1" applyBorder="1" applyAlignment="1">
      <alignment horizontal="center" vertical="center" wrapText="1"/>
    </xf>
    <xf numFmtId="9" fontId="13" fillId="0" borderId="4" xfId="109" applyFont="1" applyFill="1" applyBorder="1" applyAlignment="1">
      <alignment horizontal="center" vertical="center" wrapText="1"/>
    </xf>
    <xf numFmtId="9" fontId="13" fillId="0" borderId="5" xfId="109" applyFont="1" applyFill="1" applyBorder="1" applyAlignment="1">
      <alignment horizontal="center" vertical="center" wrapText="1"/>
    </xf>
    <xf numFmtId="0" fontId="16" fillId="0" borderId="2" xfId="42" applyFont="1" applyBorder="1" applyAlignment="1">
      <alignment horizontal="center"/>
    </xf>
    <xf numFmtId="0" fontId="16" fillId="0" borderId="6" xfId="42" applyFont="1" applyBorder="1" applyAlignment="1">
      <alignment horizontal="center"/>
    </xf>
    <xf numFmtId="0" fontId="14" fillId="0" borderId="0" xfId="41" applyFont="1" applyFill="1" applyAlignment="1">
      <alignment horizontal="left" wrapText="1"/>
    </xf>
    <xf numFmtId="14" fontId="14" fillId="0" borderId="3" xfId="42" applyNumberFormat="1" applyFont="1" applyBorder="1" applyAlignment="1"/>
    <xf numFmtId="0" fontId="14" fillId="0" borderId="3" xfId="42" applyFont="1" applyBorder="1" applyAlignment="1"/>
    <xf numFmtId="0" fontId="13" fillId="0" borderId="0" xfId="42" applyFont="1" applyBorder="1" applyAlignment="1">
      <alignment horizontal="center"/>
    </xf>
    <xf numFmtId="0" fontId="14" fillId="7" borderId="0" xfId="41" applyFont="1" applyFill="1" applyAlignment="1">
      <alignment horizontal="left" wrapText="1"/>
    </xf>
    <xf numFmtId="43" fontId="35" fillId="0" borderId="0" xfId="1" applyFont="1" applyFill="1" applyAlignment="1">
      <alignment horizontal="center" vertical="center"/>
    </xf>
    <xf numFmtId="165" fontId="35" fillId="0" borderId="0" xfId="37" applyNumberFormat="1" applyFont="1" applyFill="1" applyAlignment="1">
      <alignment horizontal="center" vertical="center"/>
    </xf>
    <xf numFmtId="43" fontId="35" fillId="7" borderId="0" xfId="1" applyFont="1" applyFill="1" applyAlignment="1">
      <alignment horizontal="center" vertical="center"/>
    </xf>
    <xf numFmtId="165" fontId="34" fillId="0" borderId="0" xfId="37" applyFont="1" applyFill="1" applyAlignment="1">
      <alignment horizontal="center" vertical="center" wrapText="1"/>
    </xf>
    <xf numFmtId="171" fontId="34" fillId="0" borderId="0" xfId="37" applyNumberFormat="1" applyFont="1" applyFill="1" applyAlignment="1">
      <alignment vertical="center" wrapText="1"/>
    </xf>
    <xf numFmtId="0" fontId="0" fillId="2" borderId="0" xfId="88" applyFont="1" applyFill="1" applyBorder="1" applyAlignment="1">
      <alignment horizontal="center" vertical="center"/>
    </xf>
    <xf numFmtId="0" fontId="34" fillId="0" borderId="0" xfId="88" applyFont="1" applyFill="1" applyBorder="1" applyAlignment="1">
      <alignment horizontal="center"/>
    </xf>
    <xf numFmtId="0" fontId="34" fillId="0" borderId="0" xfId="0" applyNumberFormat="1" applyFont="1" applyFill="1" applyAlignment="1">
      <alignment horizontal="center" vertical="center"/>
    </xf>
    <xf numFmtId="43" fontId="34" fillId="0" borderId="0" xfId="1" applyFont="1" applyFill="1" applyAlignment="1">
      <alignment horizontal="center" vertical="center" wrapText="1"/>
    </xf>
    <xf numFmtId="0" fontId="34" fillId="0" borderId="0" xfId="0" applyFont="1" applyFill="1" applyAlignment="1">
      <alignment vertical="center" wrapText="1"/>
    </xf>
    <xf numFmtId="0" fontId="35" fillId="0" borderId="0" xfId="63" applyFont="1" applyFill="1" applyAlignment="1">
      <alignment horizontal="center" vertical="center" wrapText="1"/>
    </xf>
    <xf numFmtId="0" fontId="34" fillId="0" borderId="0" xfId="42" applyFont="1" applyFill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" fontId="23" fillId="0" borderId="1" xfId="0" applyNumberFormat="1" applyFont="1" applyFill="1" applyBorder="1" applyAlignment="1">
      <alignment horizontal="center" vertical="center"/>
    </xf>
    <xf numFmtId="0" fontId="33" fillId="0" borderId="0" xfId="63" applyFont="1" applyFill="1" applyAlignment="1">
      <alignment horizontal="center" vertical="center" wrapText="1"/>
    </xf>
    <xf numFmtId="43" fontId="24" fillId="0" borderId="0" xfId="1" applyFont="1" applyBorder="1" applyAlignment="1">
      <alignment vertical="center" wrapText="1"/>
    </xf>
    <xf numFmtId="43" fontId="24" fillId="0" borderId="0" xfId="1" applyFont="1" applyBorder="1" applyAlignment="1">
      <alignment vertical="center"/>
    </xf>
    <xf numFmtId="0" fontId="31" fillId="0" borderId="0" xfId="41" applyFont="1" applyFill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32" fillId="0" borderId="0" xfId="41" applyFont="1" applyFill="1" applyAlignment="1">
      <alignment horizontal="center" vertical="center"/>
    </xf>
    <xf numFmtId="43" fontId="23" fillId="0" borderId="4" xfId="1" applyFont="1" applyFill="1" applyBorder="1" applyAlignment="1">
      <alignment horizontal="center" vertical="center" wrapText="1"/>
    </xf>
    <xf numFmtId="43" fontId="23" fillId="0" borderId="5" xfId="1" applyFont="1" applyFill="1" applyBorder="1" applyAlignment="1">
      <alignment horizontal="center" vertical="center" wrapText="1"/>
    </xf>
    <xf numFmtId="0" fontId="31" fillId="0" borderId="0" xfId="41" applyFont="1" applyFill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2" fontId="26" fillId="0" borderId="4" xfId="0" applyNumberFormat="1" applyFont="1" applyFill="1" applyBorder="1" applyAlignment="1">
      <alignment horizontal="center" vertical="center" wrapText="1"/>
    </xf>
    <xf numFmtId="2" fontId="26" fillId="0" borderId="5" xfId="0" applyNumberFormat="1" applyFont="1" applyFill="1" applyBorder="1" applyAlignment="1">
      <alignment horizontal="center" vertical="center" wrapText="1"/>
    </xf>
    <xf numFmtId="0" fontId="13" fillId="0" borderId="0" xfId="70" applyFont="1" applyAlignment="1">
      <alignment horizontal="center" wrapText="1"/>
    </xf>
    <xf numFmtId="0" fontId="22" fillId="0" borderId="2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" fillId="0" borderId="0" xfId="41" applyFont="1" applyFill="1" applyAlignment="1">
      <alignment horizontal="left"/>
    </xf>
    <xf numFmtId="0" fontId="22" fillId="0" borderId="0" xfId="63" applyFont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5" fontId="25" fillId="0" borderId="1" xfId="37" applyFont="1" applyBorder="1" applyAlignment="1">
      <alignment horizontal="center" vertical="center"/>
    </xf>
    <xf numFmtId="0" fontId="25" fillId="3" borderId="2" xfId="0" applyFont="1" applyFill="1" applyBorder="1" applyAlignment="1">
      <alignment horizontal="center"/>
    </xf>
    <xf numFmtId="0" fontId="25" fillId="3" borderId="6" xfId="0" applyFont="1" applyFill="1" applyBorder="1" applyAlignment="1">
      <alignment horizontal="center"/>
    </xf>
    <xf numFmtId="9" fontId="25" fillId="0" borderId="2" xfId="28" applyFont="1" applyBorder="1" applyAlignment="1">
      <alignment horizontal="center"/>
    </xf>
    <xf numFmtId="9" fontId="25" fillId="0" borderId="6" xfId="28" applyFont="1" applyBorder="1" applyAlignment="1">
      <alignment horizontal="center"/>
    </xf>
    <xf numFmtId="0" fontId="22" fillId="0" borderId="28" xfId="49" applyFont="1" applyBorder="1" applyAlignment="1">
      <alignment horizontal="right" vertical="top"/>
    </xf>
    <xf numFmtId="0" fontId="22" fillId="0" borderId="31" xfId="49" applyFont="1" applyBorder="1" applyAlignment="1">
      <alignment horizontal="right" vertical="top"/>
    </xf>
    <xf numFmtId="0" fontId="2" fillId="0" borderId="22" xfId="49" applyBorder="1" applyAlignment="1">
      <alignment horizontal="center" vertical="center"/>
    </xf>
    <xf numFmtId="0" fontId="2" fillId="0" borderId="25" xfId="49" applyBorder="1" applyAlignment="1">
      <alignment horizontal="center" vertical="center"/>
    </xf>
    <xf numFmtId="0" fontId="22" fillId="9" borderId="22" xfId="49" applyFont="1" applyFill="1" applyBorder="1" applyAlignment="1">
      <alignment horizontal="center" vertical="top"/>
    </xf>
    <xf numFmtId="0" fontId="22" fillId="9" borderId="23" xfId="49" applyFont="1" applyFill="1" applyBorder="1" applyAlignment="1">
      <alignment horizontal="center" vertical="top"/>
    </xf>
    <xf numFmtId="0" fontId="22" fillId="9" borderId="24" xfId="49" applyFont="1" applyFill="1" applyBorder="1" applyAlignment="1">
      <alignment horizontal="center" vertical="top"/>
    </xf>
    <xf numFmtId="0" fontId="22" fillId="0" borderId="28" xfId="49" applyFont="1" applyBorder="1" applyAlignment="1">
      <alignment horizontal="left" vertical="top"/>
    </xf>
    <xf numFmtId="0" fontId="22" fillId="0" borderId="29" xfId="49" applyFont="1" applyBorder="1" applyAlignment="1">
      <alignment horizontal="left" vertical="top"/>
    </xf>
    <xf numFmtId="0" fontId="22" fillId="0" borderId="30" xfId="49" applyFont="1" applyBorder="1" applyAlignment="1">
      <alignment horizontal="left" vertical="top"/>
    </xf>
    <xf numFmtId="0" fontId="2" fillId="9" borderId="1" xfId="113" applyFont="1" applyFill="1" applyBorder="1" applyAlignment="1">
      <alignment horizontal="center" vertical="center"/>
    </xf>
    <xf numFmtId="0" fontId="22" fillId="0" borderId="1" xfId="113" applyFont="1" applyBorder="1" applyAlignment="1">
      <alignment horizontal="left" vertical="center"/>
    </xf>
    <xf numFmtId="0" fontId="22" fillId="0" borderId="1" xfId="113" applyFont="1" applyBorder="1" applyAlignment="1">
      <alignment horizontal="right" vertical="center"/>
    </xf>
    <xf numFmtId="0" fontId="17" fillId="0" borderId="0" xfId="113" applyFont="1" applyAlignment="1">
      <alignment horizontal="center" vertical="center"/>
    </xf>
    <xf numFmtId="0" fontId="22" fillId="0" borderId="1" xfId="49" applyFont="1" applyFill="1" applyBorder="1" applyAlignment="1">
      <alignment horizontal="left" vertical="center"/>
    </xf>
    <xf numFmtId="0" fontId="46" fillId="0" borderId="0" xfId="113" applyFont="1" applyAlignment="1">
      <alignment horizontal="center" vertical="center"/>
    </xf>
    <xf numFmtId="0" fontId="12" fillId="0" borderId="0" xfId="113" applyFont="1" applyAlignment="1">
      <alignment horizontal="center" vertical="center"/>
    </xf>
    <xf numFmtId="0" fontId="46" fillId="9" borderId="1" xfId="113" applyFont="1" applyFill="1" applyBorder="1" applyAlignment="1">
      <alignment horizontal="center" vertical="center"/>
    </xf>
    <xf numFmtId="0" fontId="22" fillId="0" borderId="1" xfId="49" applyFont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 wrapText="1"/>
    </xf>
    <xf numFmtId="0" fontId="23" fillId="4" borderId="1" xfId="0" applyNumberFormat="1" applyFont="1" applyFill="1" applyBorder="1" applyAlignment="1">
      <alignment horizontal="left" vertical="center"/>
    </xf>
    <xf numFmtId="0" fontId="23" fillId="4" borderId="1" xfId="0" applyNumberFormat="1" applyFont="1" applyFill="1" applyBorder="1" applyAlignment="1">
      <alignment horizontal="left" vertical="center" wrapText="1"/>
    </xf>
    <xf numFmtId="0" fontId="23" fillId="5" borderId="1" xfId="0" applyNumberFormat="1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1" fillId="10" borderId="0" xfId="88" applyFill="1" applyBorder="1" applyAlignment="1">
      <alignment horizontal="center" vertical="center"/>
    </xf>
    <xf numFmtId="0" fontId="34" fillId="10" borderId="0" xfId="88" applyFont="1" applyFill="1" applyBorder="1" applyAlignment="1">
      <alignment horizontal="center"/>
    </xf>
    <xf numFmtId="0" fontId="35" fillId="10" borderId="0" xfId="0" applyFont="1" applyFill="1" applyAlignment="1">
      <alignment vertical="center" wrapText="1"/>
    </xf>
    <xf numFmtId="0" fontId="35" fillId="10" borderId="0" xfId="0" applyNumberFormat="1" applyFont="1" applyFill="1" applyAlignment="1">
      <alignment horizontal="center" vertical="center"/>
    </xf>
    <xf numFmtId="43" fontId="35" fillId="10" borderId="0" xfId="1" applyFont="1" applyFill="1" applyAlignment="1">
      <alignment vertical="center"/>
    </xf>
    <xf numFmtId="43" fontId="35" fillId="10" borderId="0" xfId="1" applyFont="1" applyFill="1" applyAlignment="1">
      <alignment horizontal="right" vertical="center"/>
    </xf>
    <xf numFmtId="171" fontId="35" fillId="10" borderId="0" xfId="37" applyNumberFormat="1" applyFont="1" applyFill="1" applyAlignment="1">
      <alignment vertical="center"/>
    </xf>
    <xf numFmtId="0" fontId="26" fillId="10" borderId="0" xfId="88" applyFont="1" applyFill="1" applyBorder="1" applyAlignment="1">
      <alignment vertical="center"/>
    </xf>
    <xf numFmtId="172" fontId="26" fillId="10" borderId="0" xfId="88" applyNumberFormat="1" applyFont="1" applyFill="1" applyBorder="1" applyAlignment="1">
      <alignment horizontal="center" vertical="center"/>
    </xf>
    <xf numFmtId="0" fontId="20" fillId="10" borderId="0" xfId="88" applyFont="1" applyFill="1" applyBorder="1" applyAlignment="1">
      <alignment horizontal="center"/>
    </xf>
    <xf numFmtId="0" fontId="1" fillId="10" borderId="0" xfId="88" applyFill="1" applyBorder="1" applyAlignment="1">
      <alignment vertical="center"/>
    </xf>
  </cellXfs>
  <cellStyles count="114">
    <cellStyle name="0,0_x000d__x000a_NA_x000d__x000a_" xfId="3"/>
    <cellStyle name="Comma" xfId="4"/>
    <cellStyle name="Comma0" xfId="5"/>
    <cellStyle name="Currency" xfId="6"/>
    <cellStyle name="Currency0" xfId="7"/>
    <cellStyle name="Data" xfId="8"/>
    <cellStyle name="Date" xfId="9"/>
    <cellStyle name="Euro" xfId="10"/>
    <cellStyle name="Fixed" xfId="11"/>
    <cellStyle name="Fixo" xfId="12"/>
    <cellStyle name="Heading 1" xfId="13"/>
    <cellStyle name="Heading 2" xfId="14"/>
    <cellStyle name="Moeda" xfId="110" builtinId="4"/>
    <cellStyle name="Moeda 2" xfId="15"/>
    <cellStyle name="Moeda 2 2" xfId="46"/>
    <cellStyle name="Moeda 3" xfId="111"/>
    <cellStyle name="Moeda0" xfId="16"/>
    <cellStyle name="Normal" xfId="0" builtinId="0"/>
    <cellStyle name="Normal 10" xfId="48"/>
    <cellStyle name="Normal 11 2" xfId="49"/>
    <cellStyle name="Normal 11 3" xfId="50"/>
    <cellStyle name="Normal 11 4" xfId="51"/>
    <cellStyle name="Normal 11 5" xfId="52"/>
    <cellStyle name="Normal 11 6" xfId="53"/>
    <cellStyle name="Normal 11 7" xfId="54"/>
    <cellStyle name="Normal 11 8" xfId="55"/>
    <cellStyle name="Normal 13" xfId="56"/>
    <cellStyle name="Normal 2" xfId="17"/>
    <cellStyle name="Normal 2 10" xfId="57"/>
    <cellStyle name="Normal 2 11" xfId="58"/>
    <cellStyle name="Normal 2 12" xfId="59"/>
    <cellStyle name="Normal 2 2" xfId="18"/>
    <cellStyle name="Normal 2 2 10" xfId="60"/>
    <cellStyle name="Normal 2 2 11" xfId="61"/>
    <cellStyle name="Normal 2 2 2" xfId="62"/>
    <cellStyle name="Normal 2 2 2 2" xfId="63"/>
    <cellStyle name="Normal 2 2 2 3" xfId="64"/>
    <cellStyle name="Normal 2 2 2 4" xfId="65"/>
    <cellStyle name="Normal 2 2 2 5" xfId="66"/>
    <cellStyle name="Normal 2 2 2 6" xfId="67"/>
    <cellStyle name="Normal 2 2 2 7" xfId="68"/>
    <cellStyle name="Normal 2 2 2 8" xfId="69"/>
    <cellStyle name="Normal 2 2 3" xfId="70"/>
    <cellStyle name="Normal 2 2 4" xfId="71"/>
    <cellStyle name="Normal 2 2 5" xfId="72"/>
    <cellStyle name="Normal 2 2 6" xfId="73"/>
    <cellStyle name="Normal 2 2 7" xfId="74"/>
    <cellStyle name="Normal 2 2 8" xfId="75"/>
    <cellStyle name="Normal 2 2 9" xfId="76"/>
    <cellStyle name="Normal 2 3" xfId="19"/>
    <cellStyle name="Normal 2 3 2" xfId="77"/>
    <cellStyle name="Normal 2 3 3" xfId="78"/>
    <cellStyle name="Normal 2 3 4" xfId="79"/>
    <cellStyle name="Normal 2 3 5" xfId="80"/>
    <cellStyle name="Normal 2 3 6" xfId="81"/>
    <cellStyle name="Normal 2 3 7" xfId="82"/>
    <cellStyle name="Normal 2 3 8" xfId="83"/>
    <cellStyle name="Normal 2 4" xfId="20"/>
    <cellStyle name="Normal 2 5" xfId="43"/>
    <cellStyle name="Normal 2 6" xfId="84"/>
    <cellStyle name="Normal 2 7" xfId="85"/>
    <cellStyle name="Normal 2 8" xfId="86"/>
    <cellStyle name="Normal 2 9" xfId="87"/>
    <cellStyle name="Normal 2_Orçamento Duque de Caxias" xfId="21"/>
    <cellStyle name="Normal 3" xfId="22"/>
    <cellStyle name="Normal 3 2" xfId="23"/>
    <cellStyle name="Normal 3 2 2" xfId="42"/>
    <cellStyle name="Normal 3 3" xfId="88"/>
    <cellStyle name="Normal 4" xfId="24"/>
    <cellStyle name="Normal 4 2" xfId="89"/>
    <cellStyle name="Normal 49" xfId="112"/>
    <cellStyle name="Normal 5" xfId="2"/>
    <cellStyle name="Normal 5 2" xfId="90"/>
    <cellStyle name="Normal 5 3" xfId="91"/>
    <cellStyle name="Normal 5 4" xfId="92"/>
    <cellStyle name="Normal 5 5" xfId="93"/>
    <cellStyle name="Normal 6" xfId="39"/>
    <cellStyle name="Normal 7" xfId="40"/>
    <cellStyle name="Normal 8" xfId="94"/>
    <cellStyle name="Normal 9" xfId="95"/>
    <cellStyle name="Normal_22 - Memória 22ª medição REDENÇÃO (ADITIVO) 2" xfId="41"/>
    <cellStyle name="Normal_COMPCUST" xfId="113"/>
    <cellStyle name="Percent" xfId="25"/>
    <cellStyle name="Percentual" xfId="26"/>
    <cellStyle name="Ponto" xfId="27"/>
    <cellStyle name="Porcentagem" xfId="109" builtinId="5"/>
    <cellStyle name="Porcentagem 2" xfId="28"/>
    <cellStyle name="Porcentagem 2 2" xfId="96"/>
    <cellStyle name="Porcentagem 2 3" xfId="97"/>
    <cellStyle name="Porcentagem 2 4" xfId="98"/>
    <cellStyle name="Porcentagem 2 5" xfId="99"/>
    <cellStyle name="Porcentagem 2 6" xfId="100"/>
    <cellStyle name="Porcentagem 3" xfId="101"/>
    <cellStyle name="Porcentagem 4" xfId="45"/>
    <cellStyle name="Porcentagem 5" xfId="102"/>
    <cellStyle name="Separador de m" xfId="29"/>
    <cellStyle name="Separador de milhares 2" xfId="30"/>
    <cellStyle name="Separador de milhares 2 2" xfId="31"/>
    <cellStyle name="Separador de milhares 2 3" xfId="32"/>
    <cellStyle name="Separador de milhares 2 4" xfId="103"/>
    <cellStyle name="Separador de milhares 2 5" xfId="104"/>
    <cellStyle name="Separador de milhares 2 6" xfId="105"/>
    <cellStyle name="Separador de milhares 3" xfId="33"/>
    <cellStyle name="Separador de milhares 3 2" xfId="106"/>
    <cellStyle name="SUB" xfId="34"/>
    <cellStyle name="Titulo1" xfId="35"/>
    <cellStyle name="Titulo2" xfId="36"/>
    <cellStyle name="Vírgula" xfId="1" builtinId="3"/>
    <cellStyle name="Vírgula 2" xfId="37"/>
    <cellStyle name="Vírgula 2 2" xfId="47"/>
    <cellStyle name="Vírgula 3" xfId="44"/>
    <cellStyle name="Vírgula 4" xfId="107"/>
    <cellStyle name="Vírgula 5" xfId="108"/>
    <cellStyle name="Vírgula0" xf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9</xdr:row>
      <xdr:rowOff>0</xdr:rowOff>
    </xdr:from>
    <xdr:ext cx="184731" cy="264560"/>
    <xdr:sp macro="" textlink="">
      <xdr:nvSpPr>
        <xdr:cNvPr id="2" name="CaixaDeTexto 1"/>
        <xdr:cNvSpPr txBox="1"/>
      </xdr:nvSpPr>
      <xdr:spPr>
        <a:xfrm>
          <a:off x="420052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view="pageBreakPreview" zoomScale="110" zoomScaleNormal="100" zoomScaleSheetLayoutView="110" workbookViewId="0">
      <selection activeCell="A5" sqref="A5:D5"/>
    </sheetView>
  </sheetViews>
  <sheetFormatPr defaultRowHeight="12.75" x14ac:dyDescent="0.2"/>
  <cols>
    <col min="1" max="1" width="8.7109375" style="245" customWidth="1"/>
    <col min="2" max="2" width="59.140625" style="245" customWidth="1"/>
    <col min="3" max="3" width="15.140625" style="245" bestFit="1" customWidth="1"/>
    <col min="4" max="4" width="8.7109375" style="245" customWidth="1"/>
    <col min="5" max="11" width="9.140625" style="245"/>
    <col min="12" max="12" width="19.42578125" style="245" bestFit="1" customWidth="1"/>
    <col min="13" max="256" width="9.140625" style="245"/>
    <col min="257" max="257" width="8.7109375" style="245" customWidth="1"/>
    <col min="258" max="258" width="59.140625" style="245" customWidth="1"/>
    <col min="259" max="259" width="14.28515625" style="245" bestFit="1" customWidth="1"/>
    <col min="260" max="260" width="8.7109375" style="245" customWidth="1"/>
    <col min="261" max="512" width="9.140625" style="245"/>
    <col min="513" max="513" width="8.7109375" style="245" customWidth="1"/>
    <col min="514" max="514" width="59.140625" style="245" customWidth="1"/>
    <col min="515" max="515" width="14.28515625" style="245" bestFit="1" customWidth="1"/>
    <col min="516" max="516" width="8.7109375" style="245" customWidth="1"/>
    <col min="517" max="768" width="9.140625" style="245"/>
    <col min="769" max="769" width="8.7109375" style="245" customWidth="1"/>
    <col min="770" max="770" width="59.140625" style="245" customWidth="1"/>
    <col min="771" max="771" width="14.28515625" style="245" bestFit="1" customWidth="1"/>
    <col min="772" max="772" width="8.7109375" style="245" customWidth="1"/>
    <col min="773" max="1024" width="9.140625" style="245"/>
    <col min="1025" max="1025" width="8.7109375" style="245" customWidth="1"/>
    <col min="1026" max="1026" width="59.140625" style="245" customWidth="1"/>
    <col min="1027" max="1027" width="14.28515625" style="245" bestFit="1" customWidth="1"/>
    <col min="1028" max="1028" width="8.7109375" style="245" customWidth="1"/>
    <col min="1029" max="1280" width="9.140625" style="245"/>
    <col min="1281" max="1281" width="8.7109375" style="245" customWidth="1"/>
    <col min="1282" max="1282" width="59.140625" style="245" customWidth="1"/>
    <col min="1283" max="1283" width="14.28515625" style="245" bestFit="1" customWidth="1"/>
    <col min="1284" max="1284" width="8.7109375" style="245" customWidth="1"/>
    <col min="1285" max="1536" width="9.140625" style="245"/>
    <col min="1537" max="1537" width="8.7109375" style="245" customWidth="1"/>
    <col min="1538" max="1538" width="59.140625" style="245" customWidth="1"/>
    <col min="1539" max="1539" width="14.28515625" style="245" bestFit="1" customWidth="1"/>
    <col min="1540" max="1540" width="8.7109375" style="245" customWidth="1"/>
    <col min="1541" max="1792" width="9.140625" style="245"/>
    <col min="1793" max="1793" width="8.7109375" style="245" customWidth="1"/>
    <col min="1794" max="1794" width="59.140625" style="245" customWidth="1"/>
    <col min="1795" max="1795" width="14.28515625" style="245" bestFit="1" customWidth="1"/>
    <col min="1796" max="1796" width="8.7109375" style="245" customWidth="1"/>
    <col min="1797" max="2048" width="9.140625" style="245"/>
    <col min="2049" max="2049" width="8.7109375" style="245" customWidth="1"/>
    <col min="2050" max="2050" width="59.140625" style="245" customWidth="1"/>
    <col min="2051" max="2051" width="14.28515625" style="245" bestFit="1" customWidth="1"/>
    <col min="2052" max="2052" width="8.7109375" style="245" customWidth="1"/>
    <col min="2053" max="2304" width="9.140625" style="245"/>
    <col min="2305" max="2305" width="8.7109375" style="245" customWidth="1"/>
    <col min="2306" max="2306" width="59.140625" style="245" customWidth="1"/>
    <col min="2307" max="2307" width="14.28515625" style="245" bestFit="1" customWidth="1"/>
    <col min="2308" max="2308" width="8.7109375" style="245" customWidth="1"/>
    <col min="2309" max="2560" width="9.140625" style="245"/>
    <col min="2561" max="2561" width="8.7109375" style="245" customWidth="1"/>
    <col min="2562" max="2562" width="59.140625" style="245" customWidth="1"/>
    <col min="2563" max="2563" width="14.28515625" style="245" bestFit="1" customWidth="1"/>
    <col min="2564" max="2564" width="8.7109375" style="245" customWidth="1"/>
    <col min="2565" max="2816" width="9.140625" style="245"/>
    <col min="2817" max="2817" width="8.7109375" style="245" customWidth="1"/>
    <col min="2818" max="2818" width="59.140625" style="245" customWidth="1"/>
    <col min="2819" max="2819" width="14.28515625" style="245" bestFit="1" customWidth="1"/>
    <col min="2820" max="2820" width="8.7109375" style="245" customWidth="1"/>
    <col min="2821" max="3072" width="9.140625" style="245"/>
    <col min="3073" max="3073" width="8.7109375" style="245" customWidth="1"/>
    <col min="3074" max="3074" width="59.140625" style="245" customWidth="1"/>
    <col min="3075" max="3075" width="14.28515625" style="245" bestFit="1" customWidth="1"/>
    <col min="3076" max="3076" width="8.7109375" style="245" customWidth="1"/>
    <col min="3077" max="3328" width="9.140625" style="245"/>
    <col min="3329" max="3329" width="8.7109375" style="245" customWidth="1"/>
    <col min="3330" max="3330" width="59.140625" style="245" customWidth="1"/>
    <col min="3331" max="3331" width="14.28515625" style="245" bestFit="1" customWidth="1"/>
    <col min="3332" max="3332" width="8.7109375" style="245" customWidth="1"/>
    <col min="3333" max="3584" width="9.140625" style="245"/>
    <col min="3585" max="3585" width="8.7109375" style="245" customWidth="1"/>
    <col min="3586" max="3586" width="59.140625" style="245" customWidth="1"/>
    <col min="3587" max="3587" width="14.28515625" style="245" bestFit="1" customWidth="1"/>
    <col min="3588" max="3588" width="8.7109375" style="245" customWidth="1"/>
    <col min="3589" max="3840" width="9.140625" style="245"/>
    <col min="3841" max="3841" width="8.7109375" style="245" customWidth="1"/>
    <col min="3842" max="3842" width="59.140625" style="245" customWidth="1"/>
    <col min="3843" max="3843" width="14.28515625" style="245" bestFit="1" customWidth="1"/>
    <col min="3844" max="3844" width="8.7109375" style="245" customWidth="1"/>
    <col min="3845" max="4096" width="9.140625" style="245"/>
    <col min="4097" max="4097" width="8.7109375" style="245" customWidth="1"/>
    <col min="4098" max="4098" width="59.140625" style="245" customWidth="1"/>
    <col min="4099" max="4099" width="14.28515625" style="245" bestFit="1" customWidth="1"/>
    <col min="4100" max="4100" width="8.7109375" style="245" customWidth="1"/>
    <col min="4101" max="4352" width="9.140625" style="245"/>
    <col min="4353" max="4353" width="8.7109375" style="245" customWidth="1"/>
    <col min="4354" max="4354" width="59.140625" style="245" customWidth="1"/>
    <col min="4355" max="4355" width="14.28515625" style="245" bestFit="1" customWidth="1"/>
    <col min="4356" max="4356" width="8.7109375" style="245" customWidth="1"/>
    <col min="4357" max="4608" width="9.140625" style="245"/>
    <col min="4609" max="4609" width="8.7109375" style="245" customWidth="1"/>
    <col min="4610" max="4610" width="59.140625" style="245" customWidth="1"/>
    <col min="4611" max="4611" width="14.28515625" style="245" bestFit="1" customWidth="1"/>
    <col min="4612" max="4612" width="8.7109375" style="245" customWidth="1"/>
    <col min="4613" max="4864" width="9.140625" style="245"/>
    <col min="4865" max="4865" width="8.7109375" style="245" customWidth="1"/>
    <col min="4866" max="4866" width="59.140625" style="245" customWidth="1"/>
    <col min="4867" max="4867" width="14.28515625" style="245" bestFit="1" customWidth="1"/>
    <col min="4868" max="4868" width="8.7109375" style="245" customWidth="1"/>
    <col min="4869" max="5120" width="9.140625" style="245"/>
    <col min="5121" max="5121" width="8.7109375" style="245" customWidth="1"/>
    <col min="5122" max="5122" width="59.140625" style="245" customWidth="1"/>
    <col min="5123" max="5123" width="14.28515625" style="245" bestFit="1" customWidth="1"/>
    <col min="5124" max="5124" width="8.7109375" style="245" customWidth="1"/>
    <col min="5125" max="5376" width="9.140625" style="245"/>
    <col min="5377" max="5377" width="8.7109375" style="245" customWidth="1"/>
    <col min="5378" max="5378" width="59.140625" style="245" customWidth="1"/>
    <col min="5379" max="5379" width="14.28515625" style="245" bestFit="1" customWidth="1"/>
    <col min="5380" max="5380" width="8.7109375" style="245" customWidth="1"/>
    <col min="5381" max="5632" width="9.140625" style="245"/>
    <col min="5633" max="5633" width="8.7109375" style="245" customWidth="1"/>
    <col min="5634" max="5634" width="59.140625" style="245" customWidth="1"/>
    <col min="5635" max="5635" width="14.28515625" style="245" bestFit="1" customWidth="1"/>
    <col min="5636" max="5636" width="8.7109375" style="245" customWidth="1"/>
    <col min="5637" max="5888" width="9.140625" style="245"/>
    <col min="5889" max="5889" width="8.7109375" style="245" customWidth="1"/>
    <col min="5890" max="5890" width="59.140625" style="245" customWidth="1"/>
    <col min="5891" max="5891" width="14.28515625" style="245" bestFit="1" customWidth="1"/>
    <col min="5892" max="5892" width="8.7109375" style="245" customWidth="1"/>
    <col min="5893" max="6144" width="9.140625" style="245"/>
    <col min="6145" max="6145" width="8.7109375" style="245" customWidth="1"/>
    <col min="6146" max="6146" width="59.140625" style="245" customWidth="1"/>
    <col min="6147" max="6147" width="14.28515625" style="245" bestFit="1" customWidth="1"/>
    <col min="6148" max="6148" width="8.7109375" style="245" customWidth="1"/>
    <col min="6149" max="6400" width="9.140625" style="245"/>
    <col min="6401" max="6401" width="8.7109375" style="245" customWidth="1"/>
    <col min="6402" max="6402" width="59.140625" style="245" customWidth="1"/>
    <col min="6403" max="6403" width="14.28515625" style="245" bestFit="1" customWidth="1"/>
    <col min="6404" max="6404" width="8.7109375" style="245" customWidth="1"/>
    <col min="6405" max="6656" width="9.140625" style="245"/>
    <col min="6657" max="6657" width="8.7109375" style="245" customWidth="1"/>
    <col min="6658" max="6658" width="59.140625" style="245" customWidth="1"/>
    <col min="6659" max="6659" width="14.28515625" style="245" bestFit="1" customWidth="1"/>
    <col min="6660" max="6660" width="8.7109375" style="245" customWidth="1"/>
    <col min="6661" max="6912" width="9.140625" style="245"/>
    <col min="6913" max="6913" width="8.7109375" style="245" customWidth="1"/>
    <col min="6914" max="6914" width="59.140625" style="245" customWidth="1"/>
    <col min="6915" max="6915" width="14.28515625" style="245" bestFit="1" customWidth="1"/>
    <col min="6916" max="6916" width="8.7109375" style="245" customWidth="1"/>
    <col min="6917" max="7168" width="9.140625" style="245"/>
    <col min="7169" max="7169" width="8.7109375" style="245" customWidth="1"/>
    <col min="7170" max="7170" width="59.140625" style="245" customWidth="1"/>
    <col min="7171" max="7171" width="14.28515625" style="245" bestFit="1" customWidth="1"/>
    <col min="7172" max="7172" width="8.7109375" style="245" customWidth="1"/>
    <col min="7173" max="7424" width="9.140625" style="245"/>
    <col min="7425" max="7425" width="8.7109375" style="245" customWidth="1"/>
    <col min="7426" max="7426" width="59.140625" style="245" customWidth="1"/>
    <col min="7427" max="7427" width="14.28515625" style="245" bestFit="1" customWidth="1"/>
    <col min="7428" max="7428" width="8.7109375" style="245" customWidth="1"/>
    <col min="7429" max="7680" width="9.140625" style="245"/>
    <col min="7681" max="7681" width="8.7109375" style="245" customWidth="1"/>
    <col min="7682" max="7682" width="59.140625" style="245" customWidth="1"/>
    <col min="7683" max="7683" width="14.28515625" style="245" bestFit="1" customWidth="1"/>
    <col min="7684" max="7684" width="8.7109375" style="245" customWidth="1"/>
    <col min="7685" max="7936" width="9.140625" style="245"/>
    <col min="7937" max="7937" width="8.7109375" style="245" customWidth="1"/>
    <col min="7938" max="7938" width="59.140625" style="245" customWidth="1"/>
    <col min="7939" max="7939" width="14.28515625" style="245" bestFit="1" customWidth="1"/>
    <col min="7940" max="7940" width="8.7109375" style="245" customWidth="1"/>
    <col min="7941" max="8192" width="9.140625" style="245"/>
    <col min="8193" max="8193" width="8.7109375" style="245" customWidth="1"/>
    <col min="8194" max="8194" width="59.140625" style="245" customWidth="1"/>
    <col min="8195" max="8195" width="14.28515625" style="245" bestFit="1" customWidth="1"/>
    <col min="8196" max="8196" width="8.7109375" style="245" customWidth="1"/>
    <col min="8197" max="8448" width="9.140625" style="245"/>
    <col min="8449" max="8449" width="8.7109375" style="245" customWidth="1"/>
    <col min="8450" max="8450" width="59.140625" style="245" customWidth="1"/>
    <col min="8451" max="8451" width="14.28515625" style="245" bestFit="1" customWidth="1"/>
    <col min="8452" max="8452" width="8.7109375" style="245" customWidth="1"/>
    <col min="8453" max="8704" width="9.140625" style="245"/>
    <col min="8705" max="8705" width="8.7109375" style="245" customWidth="1"/>
    <col min="8706" max="8706" width="59.140625" style="245" customWidth="1"/>
    <col min="8707" max="8707" width="14.28515625" style="245" bestFit="1" customWidth="1"/>
    <col min="8708" max="8708" width="8.7109375" style="245" customWidth="1"/>
    <col min="8709" max="8960" width="9.140625" style="245"/>
    <col min="8961" max="8961" width="8.7109375" style="245" customWidth="1"/>
    <col min="8962" max="8962" width="59.140625" style="245" customWidth="1"/>
    <col min="8963" max="8963" width="14.28515625" style="245" bestFit="1" customWidth="1"/>
    <col min="8964" max="8964" width="8.7109375" style="245" customWidth="1"/>
    <col min="8965" max="9216" width="9.140625" style="245"/>
    <col min="9217" max="9217" width="8.7109375" style="245" customWidth="1"/>
    <col min="9218" max="9218" width="59.140625" style="245" customWidth="1"/>
    <col min="9219" max="9219" width="14.28515625" style="245" bestFit="1" customWidth="1"/>
    <col min="9220" max="9220" width="8.7109375" style="245" customWidth="1"/>
    <col min="9221" max="9472" width="9.140625" style="245"/>
    <col min="9473" max="9473" width="8.7109375" style="245" customWidth="1"/>
    <col min="9474" max="9474" width="59.140625" style="245" customWidth="1"/>
    <col min="9475" max="9475" width="14.28515625" style="245" bestFit="1" customWidth="1"/>
    <col min="9476" max="9476" width="8.7109375" style="245" customWidth="1"/>
    <col min="9477" max="9728" width="9.140625" style="245"/>
    <col min="9729" max="9729" width="8.7109375" style="245" customWidth="1"/>
    <col min="9730" max="9730" width="59.140625" style="245" customWidth="1"/>
    <col min="9731" max="9731" width="14.28515625" style="245" bestFit="1" customWidth="1"/>
    <col min="9732" max="9732" width="8.7109375" style="245" customWidth="1"/>
    <col min="9733" max="9984" width="9.140625" style="245"/>
    <col min="9985" max="9985" width="8.7109375" style="245" customWidth="1"/>
    <col min="9986" max="9986" width="59.140625" style="245" customWidth="1"/>
    <col min="9987" max="9987" width="14.28515625" style="245" bestFit="1" customWidth="1"/>
    <col min="9988" max="9988" width="8.7109375" style="245" customWidth="1"/>
    <col min="9989" max="10240" width="9.140625" style="245"/>
    <col min="10241" max="10241" width="8.7109375" style="245" customWidth="1"/>
    <col min="10242" max="10242" width="59.140625" style="245" customWidth="1"/>
    <col min="10243" max="10243" width="14.28515625" style="245" bestFit="1" customWidth="1"/>
    <col min="10244" max="10244" width="8.7109375" style="245" customWidth="1"/>
    <col min="10245" max="10496" width="9.140625" style="245"/>
    <col min="10497" max="10497" width="8.7109375" style="245" customWidth="1"/>
    <col min="10498" max="10498" width="59.140625" style="245" customWidth="1"/>
    <col min="10499" max="10499" width="14.28515625" style="245" bestFit="1" customWidth="1"/>
    <col min="10500" max="10500" width="8.7109375" style="245" customWidth="1"/>
    <col min="10501" max="10752" width="9.140625" style="245"/>
    <col min="10753" max="10753" width="8.7109375" style="245" customWidth="1"/>
    <col min="10754" max="10754" width="59.140625" style="245" customWidth="1"/>
    <col min="10755" max="10755" width="14.28515625" style="245" bestFit="1" customWidth="1"/>
    <col min="10756" max="10756" width="8.7109375" style="245" customWidth="1"/>
    <col min="10757" max="11008" width="9.140625" style="245"/>
    <col min="11009" max="11009" width="8.7109375" style="245" customWidth="1"/>
    <col min="11010" max="11010" width="59.140625" style="245" customWidth="1"/>
    <col min="11011" max="11011" width="14.28515625" style="245" bestFit="1" customWidth="1"/>
    <col min="11012" max="11012" width="8.7109375" style="245" customWidth="1"/>
    <col min="11013" max="11264" width="9.140625" style="245"/>
    <col min="11265" max="11265" width="8.7109375" style="245" customWidth="1"/>
    <col min="11266" max="11266" width="59.140625" style="245" customWidth="1"/>
    <col min="11267" max="11267" width="14.28515625" style="245" bestFit="1" customWidth="1"/>
    <col min="11268" max="11268" width="8.7109375" style="245" customWidth="1"/>
    <col min="11269" max="11520" width="9.140625" style="245"/>
    <col min="11521" max="11521" width="8.7109375" style="245" customWidth="1"/>
    <col min="11522" max="11522" width="59.140625" style="245" customWidth="1"/>
    <col min="11523" max="11523" width="14.28515625" style="245" bestFit="1" customWidth="1"/>
    <col min="11524" max="11524" width="8.7109375" style="245" customWidth="1"/>
    <col min="11525" max="11776" width="9.140625" style="245"/>
    <col min="11777" max="11777" width="8.7109375" style="245" customWidth="1"/>
    <col min="11778" max="11778" width="59.140625" style="245" customWidth="1"/>
    <col min="11779" max="11779" width="14.28515625" style="245" bestFit="1" customWidth="1"/>
    <col min="11780" max="11780" width="8.7109375" style="245" customWidth="1"/>
    <col min="11781" max="12032" width="9.140625" style="245"/>
    <col min="12033" max="12033" width="8.7109375" style="245" customWidth="1"/>
    <col min="12034" max="12034" width="59.140625" style="245" customWidth="1"/>
    <col min="12035" max="12035" width="14.28515625" style="245" bestFit="1" customWidth="1"/>
    <col min="12036" max="12036" width="8.7109375" style="245" customWidth="1"/>
    <col min="12037" max="12288" width="9.140625" style="245"/>
    <col min="12289" max="12289" width="8.7109375" style="245" customWidth="1"/>
    <col min="12290" max="12290" width="59.140625" style="245" customWidth="1"/>
    <col min="12291" max="12291" width="14.28515625" style="245" bestFit="1" customWidth="1"/>
    <col min="12292" max="12292" width="8.7109375" style="245" customWidth="1"/>
    <col min="12293" max="12544" width="9.140625" style="245"/>
    <col min="12545" max="12545" width="8.7109375" style="245" customWidth="1"/>
    <col min="12546" max="12546" width="59.140625" style="245" customWidth="1"/>
    <col min="12547" max="12547" width="14.28515625" style="245" bestFit="1" customWidth="1"/>
    <col min="12548" max="12548" width="8.7109375" style="245" customWidth="1"/>
    <col min="12549" max="12800" width="9.140625" style="245"/>
    <col min="12801" max="12801" width="8.7109375" style="245" customWidth="1"/>
    <col min="12802" max="12802" width="59.140625" style="245" customWidth="1"/>
    <col min="12803" max="12803" width="14.28515625" style="245" bestFit="1" customWidth="1"/>
    <col min="12804" max="12804" width="8.7109375" style="245" customWidth="1"/>
    <col min="12805" max="13056" width="9.140625" style="245"/>
    <col min="13057" max="13057" width="8.7109375" style="245" customWidth="1"/>
    <col min="13058" max="13058" width="59.140625" style="245" customWidth="1"/>
    <col min="13059" max="13059" width="14.28515625" style="245" bestFit="1" customWidth="1"/>
    <col min="13060" max="13060" width="8.7109375" style="245" customWidth="1"/>
    <col min="13061" max="13312" width="9.140625" style="245"/>
    <col min="13313" max="13313" width="8.7109375" style="245" customWidth="1"/>
    <col min="13314" max="13314" width="59.140625" style="245" customWidth="1"/>
    <col min="13315" max="13315" width="14.28515625" style="245" bestFit="1" customWidth="1"/>
    <col min="13316" max="13316" width="8.7109375" style="245" customWidth="1"/>
    <col min="13317" max="13568" width="9.140625" style="245"/>
    <col min="13569" max="13569" width="8.7109375" style="245" customWidth="1"/>
    <col min="13570" max="13570" width="59.140625" style="245" customWidth="1"/>
    <col min="13571" max="13571" width="14.28515625" style="245" bestFit="1" customWidth="1"/>
    <col min="13572" max="13572" width="8.7109375" style="245" customWidth="1"/>
    <col min="13573" max="13824" width="9.140625" style="245"/>
    <col min="13825" max="13825" width="8.7109375" style="245" customWidth="1"/>
    <col min="13826" max="13826" width="59.140625" style="245" customWidth="1"/>
    <col min="13827" max="13827" width="14.28515625" style="245" bestFit="1" customWidth="1"/>
    <col min="13828" max="13828" width="8.7109375" style="245" customWidth="1"/>
    <col min="13829" max="14080" width="9.140625" style="245"/>
    <col min="14081" max="14081" width="8.7109375" style="245" customWidth="1"/>
    <col min="14082" max="14082" width="59.140625" style="245" customWidth="1"/>
    <col min="14083" max="14083" width="14.28515625" style="245" bestFit="1" customWidth="1"/>
    <col min="14084" max="14084" width="8.7109375" style="245" customWidth="1"/>
    <col min="14085" max="14336" width="9.140625" style="245"/>
    <col min="14337" max="14337" width="8.7109375" style="245" customWidth="1"/>
    <col min="14338" max="14338" width="59.140625" style="245" customWidth="1"/>
    <col min="14339" max="14339" width="14.28515625" style="245" bestFit="1" customWidth="1"/>
    <col min="14340" max="14340" width="8.7109375" style="245" customWidth="1"/>
    <col min="14341" max="14592" width="9.140625" style="245"/>
    <col min="14593" max="14593" width="8.7109375" style="245" customWidth="1"/>
    <col min="14594" max="14594" width="59.140625" style="245" customWidth="1"/>
    <col min="14595" max="14595" width="14.28515625" style="245" bestFit="1" customWidth="1"/>
    <col min="14596" max="14596" width="8.7109375" style="245" customWidth="1"/>
    <col min="14597" max="14848" width="9.140625" style="245"/>
    <col min="14849" max="14849" width="8.7109375" style="245" customWidth="1"/>
    <col min="14850" max="14850" width="59.140625" style="245" customWidth="1"/>
    <col min="14851" max="14851" width="14.28515625" style="245" bestFit="1" customWidth="1"/>
    <col min="14852" max="14852" width="8.7109375" style="245" customWidth="1"/>
    <col min="14853" max="15104" width="9.140625" style="245"/>
    <col min="15105" max="15105" width="8.7109375" style="245" customWidth="1"/>
    <col min="15106" max="15106" width="59.140625" style="245" customWidth="1"/>
    <col min="15107" max="15107" width="14.28515625" style="245" bestFit="1" customWidth="1"/>
    <col min="15108" max="15108" width="8.7109375" style="245" customWidth="1"/>
    <col min="15109" max="15360" width="9.140625" style="245"/>
    <col min="15361" max="15361" width="8.7109375" style="245" customWidth="1"/>
    <col min="15362" max="15362" width="59.140625" style="245" customWidth="1"/>
    <col min="15363" max="15363" width="14.28515625" style="245" bestFit="1" customWidth="1"/>
    <col min="15364" max="15364" width="8.7109375" style="245" customWidth="1"/>
    <col min="15365" max="15616" width="9.140625" style="245"/>
    <col min="15617" max="15617" width="8.7109375" style="245" customWidth="1"/>
    <col min="15618" max="15618" width="59.140625" style="245" customWidth="1"/>
    <col min="15619" max="15619" width="14.28515625" style="245" bestFit="1" customWidth="1"/>
    <col min="15620" max="15620" width="8.7109375" style="245" customWidth="1"/>
    <col min="15621" max="15872" width="9.140625" style="245"/>
    <col min="15873" max="15873" width="8.7109375" style="245" customWidth="1"/>
    <col min="15874" max="15874" width="59.140625" style="245" customWidth="1"/>
    <col min="15875" max="15875" width="14.28515625" style="245" bestFit="1" customWidth="1"/>
    <col min="15876" max="15876" width="8.7109375" style="245" customWidth="1"/>
    <col min="15877" max="16128" width="9.140625" style="245"/>
    <col min="16129" max="16129" width="8.7109375" style="245" customWidth="1"/>
    <col min="16130" max="16130" width="59.140625" style="245" customWidth="1"/>
    <col min="16131" max="16131" width="14.28515625" style="245" bestFit="1" customWidth="1"/>
    <col min="16132" max="16132" width="8.7109375" style="245" customWidth="1"/>
    <col min="16133" max="16384" width="9.140625" style="245"/>
  </cols>
  <sheetData>
    <row r="1" spans="1:14" s="242" customFormat="1" ht="12.75" customHeight="1" x14ac:dyDescent="0.2">
      <c r="A1" s="421" t="s">
        <v>995</v>
      </c>
      <c r="B1" s="421"/>
      <c r="C1" s="421"/>
      <c r="D1" s="421"/>
      <c r="E1" s="241"/>
      <c r="F1" s="241"/>
    </row>
    <row r="2" spans="1:14" s="242" customFormat="1" ht="12.75" customHeight="1" x14ac:dyDescent="0.2">
      <c r="A2" s="421"/>
      <c r="B2" s="421"/>
      <c r="C2" s="421"/>
      <c r="D2" s="421"/>
      <c r="E2" s="241"/>
      <c r="F2" s="241"/>
    </row>
    <row r="3" spans="1:14" s="242" customFormat="1" ht="12.75" customHeight="1" x14ac:dyDescent="0.2">
      <c r="A3" s="421"/>
      <c r="B3" s="421"/>
      <c r="C3" s="421"/>
      <c r="D3" s="421"/>
      <c r="E3" s="241"/>
      <c r="F3" s="241"/>
    </row>
    <row r="4" spans="1:14" s="242" customFormat="1" ht="12.75" customHeight="1" x14ac:dyDescent="0.25">
      <c r="A4" s="421"/>
      <c r="B4" s="421"/>
      <c r="C4" s="421"/>
      <c r="D4" s="421"/>
    </row>
    <row r="5" spans="1:14" s="242" customFormat="1" ht="12.75" customHeight="1" x14ac:dyDescent="0.25">
      <c r="A5" s="422"/>
      <c r="B5" s="423"/>
      <c r="C5" s="423"/>
      <c r="D5" s="423"/>
      <c r="L5" s="242">
        <v>478.5223849711474</v>
      </c>
    </row>
    <row r="6" spans="1:14" s="242" customFormat="1" ht="12.75" customHeight="1" x14ac:dyDescent="0.25">
      <c r="A6" s="243"/>
      <c r="J6" s="420">
        <v>1885668.95</v>
      </c>
      <c r="K6" s="420"/>
      <c r="L6" s="373"/>
    </row>
    <row r="7" spans="1:14" s="242" customFormat="1" ht="15.75" customHeight="1" x14ac:dyDescent="0.25">
      <c r="A7" s="424" t="s">
        <v>321</v>
      </c>
      <c r="B7" s="424"/>
      <c r="C7" s="424"/>
      <c r="D7" s="424"/>
      <c r="J7" s="242">
        <f>C18/J6</f>
        <v>2.2457559503285993</v>
      </c>
      <c r="L7" s="375">
        <f>J6-C18</f>
        <v>-2349083.3148123818</v>
      </c>
    </row>
    <row r="8" spans="1:14" s="242" customFormat="1" ht="12.75" customHeight="1" x14ac:dyDescent="0.25">
      <c r="L8" s="374">
        <f>(L7+L5)/J6</f>
        <v>-1.245502182356776</v>
      </c>
    </row>
    <row r="9" spans="1:14" s="242" customFormat="1" ht="12.75" customHeight="1" x14ac:dyDescent="0.25">
      <c r="A9" s="407" t="s">
        <v>484</v>
      </c>
      <c r="B9" s="407"/>
      <c r="K9" s="242">
        <v>1</v>
      </c>
      <c r="L9" s="242">
        <v>0.155</v>
      </c>
      <c r="M9" s="242">
        <f>K9-L9</f>
        <v>0.84499999999999997</v>
      </c>
    </row>
    <row r="10" spans="1:14" ht="16.5" customHeight="1" x14ac:dyDescent="0.2">
      <c r="A10" s="407" t="s">
        <v>485</v>
      </c>
      <c r="B10" s="407"/>
      <c r="C10" s="407"/>
      <c r="D10" s="407"/>
      <c r="E10" s="244"/>
      <c r="F10" s="244"/>
      <c r="G10" s="244"/>
    </row>
    <row r="11" spans="1:14" ht="24" customHeight="1" x14ac:dyDescent="0.2">
      <c r="A11" s="408" t="s">
        <v>486</v>
      </c>
      <c r="B11" s="408"/>
      <c r="C11" s="408"/>
      <c r="D11" s="408"/>
      <c r="E11" s="246"/>
      <c r="F11" s="246"/>
      <c r="G11" s="246"/>
    </row>
    <row r="12" spans="1:14" s="248" customFormat="1" x14ac:dyDescent="0.25">
      <c r="A12" s="409" t="s">
        <v>994</v>
      </c>
      <c r="B12" s="409"/>
      <c r="C12" s="409"/>
      <c r="D12" s="409"/>
      <c r="E12" s="247"/>
      <c r="F12" s="247"/>
      <c r="G12" s="247"/>
      <c r="H12" s="247"/>
      <c r="I12" s="247"/>
      <c r="J12" s="247"/>
      <c r="K12" s="247"/>
      <c r="L12" s="247"/>
      <c r="M12" s="247"/>
      <c r="N12" s="247"/>
    </row>
    <row r="13" spans="1:14" ht="13.5" thickBot="1" x14ac:dyDescent="0.25"/>
    <row r="14" spans="1:14" x14ac:dyDescent="0.2">
      <c r="A14" s="410">
        <v>1</v>
      </c>
      <c r="B14" s="412" t="s">
        <v>322</v>
      </c>
      <c r="C14" s="415" t="s">
        <v>68</v>
      </c>
      <c r="D14" s="416"/>
    </row>
    <row r="15" spans="1:14" x14ac:dyDescent="0.2">
      <c r="A15" s="411"/>
      <c r="B15" s="413"/>
      <c r="C15" s="417" t="s">
        <v>323</v>
      </c>
      <c r="D15" s="418" t="s">
        <v>84</v>
      </c>
    </row>
    <row r="16" spans="1:14" x14ac:dyDescent="0.2">
      <c r="A16" s="411"/>
      <c r="B16" s="414"/>
      <c r="C16" s="414"/>
      <c r="D16" s="419"/>
    </row>
    <row r="17" spans="1:4" ht="39.75" customHeight="1" x14ac:dyDescent="0.2">
      <c r="A17" s="249" t="s">
        <v>4</v>
      </c>
      <c r="B17" s="250" t="s">
        <v>324</v>
      </c>
      <c r="C17" s="251">
        <f>'Resumo Geral'!C34</f>
        <v>4234752.2648123819</v>
      </c>
      <c r="D17" s="252">
        <f>C17/$C$18</f>
        <v>1</v>
      </c>
    </row>
    <row r="18" spans="1:4" ht="13.5" thickBot="1" x14ac:dyDescent="0.25">
      <c r="A18" s="405" t="s">
        <v>325</v>
      </c>
      <c r="B18" s="406"/>
      <c r="C18" s="253">
        <f>'Resumo Geral'!C34</f>
        <v>4234752.2648123819</v>
      </c>
      <c r="D18" s="254">
        <v>1</v>
      </c>
    </row>
  </sheetData>
  <mergeCells count="15">
    <mergeCell ref="J6:K6"/>
    <mergeCell ref="A1:D4"/>
    <mergeCell ref="A5:D5"/>
    <mergeCell ref="A7:D7"/>
    <mergeCell ref="A10:B10"/>
    <mergeCell ref="C10:D10"/>
    <mergeCell ref="A18:B18"/>
    <mergeCell ref="A9:B9"/>
    <mergeCell ref="A11:D11"/>
    <mergeCell ref="A12:D12"/>
    <mergeCell ref="A14:A16"/>
    <mergeCell ref="B14:B16"/>
    <mergeCell ref="C14:D14"/>
    <mergeCell ref="C15:C16"/>
    <mergeCell ref="D15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view="pageBreakPreview" zoomScale="90" zoomScaleNormal="100" zoomScaleSheetLayoutView="90" workbookViewId="0">
      <selection activeCell="A5" sqref="A5:B5"/>
    </sheetView>
  </sheetViews>
  <sheetFormatPr defaultColWidth="9.85546875" defaultRowHeight="12.75" x14ac:dyDescent="0.2"/>
  <cols>
    <col min="1" max="1" width="8.42578125" style="7" bestFit="1" customWidth="1"/>
    <col min="2" max="2" width="61.85546875" style="11" customWidth="1"/>
    <col min="3" max="3" width="14" style="7" bestFit="1" customWidth="1"/>
    <col min="4" max="4" width="12.42578125" style="21" bestFit="1" customWidth="1"/>
    <col min="5" max="5" width="9.85546875" style="1"/>
    <col min="6" max="6" width="19.85546875" style="1" bestFit="1" customWidth="1"/>
    <col min="7" max="7" width="12.7109375" style="1" bestFit="1" customWidth="1"/>
    <col min="8" max="8" width="12.5703125" style="1" bestFit="1" customWidth="1"/>
    <col min="9" max="9" width="10.42578125" style="1" bestFit="1" customWidth="1"/>
    <col min="10" max="16384" width="9.85546875" style="1"/>
  </cols>
  <sheetData>
    <row r="1" spans="1:7" ht="15" customHeight="1" x14ac:dyDescent="0.2">
      <c r="A1" s="421" t="str">
        <f>Resumo!A1</f>
        <v>TERPLANC - TERRAPLENAGEM  PLANEJAMENTO CONSTRUÇÃO E SEVIÇOS  EIRELE - EPP</v>
      </c>
      <c r="B1" s="421"/>
      <c r="C1" s="421"/>
      <c r="D1" s="421"/>
      <c r="E1" s="5"/>
    </row>
    <row r="2" spans="1:7" x14ac:dyDescent="0.2">
      <c r="A2" s="421">
        <f>orçamento!A2</f>
        <v>0</v>
      </c>
      <c r="B2" s="421"/>
      <c r="C2" s="421"/>
      <c r="D2" s="421"/>
    </row>
    <row r="3" spans="1:7" ht="15" customHeight="1" x14ac:dyDescent="0.2">
      <c r="A3" s="421">
        <f>orçamento!A4</f>
        <v>0</v>
      </c>
      <c r="B3" s="421"/>
      <c r="C3" s="421"/>
      <c r="D3" s="421"/>
      <c r="E3" s="5"/>
    </row>
    <row r="4" spans="1:7" x14ac:dyDescent="0.2">
      <c r="A4" s="421"/>
      <c r="B4" s="421"/>
      <c r="C4" s="421"/>
      <c r="D4" s="421"/>
    </row>
    <row r="5" spans="1:7" ht="30.75" customHeight="1" x14ac:dyDescent="0.2">
      <c r="A5" s="433" t="str">
        <f>Resumo!A9</f>
        <v xml:space="preserve"> PREFEITURA MUNICIPAL DE OEIRAS DO PARÁ</v>
      </c>
      <c r="B5" s="433"/>
      <c r="C5" s="433"/>
      <c r="D5" s="433"/>
    </row>
    <row r="6" spans="1:7" ht="14.25" x14ac:dyDescent="0.2">
      <c r="A6" s="433" t="str">
        <f>Resumo!A10</f>
        <v>CONCORRÊNCIA  PUBLICA N° 001/2015 - CPL/ PMOP/ SEMED</v>
      </c>
      <c r="B6" s="433"/>
      <c r="C6" s="15"/>
      <c r="D6" s="44"/>
    </row>
    <row r="7" spans="1:7" ht="14.25" customHeight="1" x14ac:dyDescent="0.2">
      <c r="A7" s="433" t="str">
        <f>Resumo!A11</f>
        <v>OBRA:  CONSTRUÇÃO DE ESCOLA PADRÃO FNDE 12 (DOZE) SALAS DE AULA NO MUNICIPIO DE OEIRAS DO PARÁ/PA</v>
      </c>
      <c r="B7" s="433"/>
      <c r="C7" s="12"/>
      <c r="D7" s="19"/>
    </row>
    <row r="8" spans="1:7" ht="14.25" x14ac:dyDescent="0.2">
      <c r="A8" s="433"/>
      <c r="B8" s="433"/>
      <c r="C8" s="12"/>
      <c r="D8" s="19"/>
    </row>
    <row r="9" spans="1:7" ht="16.5" customHeight="1" x14ac:dyDescent="0.2">
      <c r="A9" s="437" t="str">
        <f>orçamento!A8</f>
        <v>PRAZO DE EXECUÇÃO: 9 MESES</v>
      </c>
      <c r="B9" s="437"/>
      <c r="C9" s="437"/>
      <c r="D9" s="437"/>
    </row>
    <row r="10" spans="1:7" ht="16.5" customHeight="1" x14ac:dyDescent="0.25">
      <c r="A10" s="436" t="s">
        <v>36</v>
      </c>
      <c r="B10" s="436"/>
      <c r="C10" s="436"/>
      <c r="D10" s="436"/>
    </row>
    <row r="11" spans="1:7" ht="14.25" customHeight="1" x14ac:dyDescent="0.2">
      <c r="A11" s="434"/>
      <c r="B11" s="435"/>
      <c r="C11" s="12"/>
      <c r="D11" s="19"/>
    </row>
    <row r="12" spans="1:7" ht="12.75" customHeight="1" x14ac:dyDescent="0.2">
      <c r="A12" s="425" t="s">
        <v>1</v>
      </c>
      <c r="B12" s="427" t="s">
        <v>2</v>
      </c>
      <c r="C12" s="425" t="s">
        <v>37</v>
      </c>
      <c r="D12" s="429" t="s">
        <v>38</v>
      </c>
    </row>
    <row r="13" spans="1:7" ht="12.75" customHeight="1" x14ac:dyDescent="0.2">
      <c r="A13" s="426"/>
      <c r="B13" s="428"/>
      <c r="C13" s="426"/>
      <c r="D13" s="430"/>
    </row>
    <row r="14" spans="1:7" s="3" customFormat="1" ht="15" x14ac:dyDescent="0.2">
      <c r="A14" s="8">
        <v>1</v>
      </c>
      <c r="B14" s="9" t="str">
        <f>orçamento!D13</f>
        <v>SERVIÇOS PRLIMINARES</v>
      </c>
      <c r="C14" s="121">
        <f>orçamento!K13</f>
        <v>39731.124964448136</v>
      </c>
      <c r="D14" s="22">
        <f>C14/C34</f>
        <v>9.3821603909593522E-3</v>
      </c>
      <c r="E14" s="2"/>
      <c r="F14" s="366" t="s">
        <v>483</v>
      </c>
      <c r="G14" s="367">
        <f>C14-F14</f>
        <v>13455.684964448137</v>
      </c>
    </row>
    <row r="15" spans="1:7" s="3" customFormat="1" ht="15" x14ac:dyDescent="0.2">
      <c r="A15" s="8">
        <v>2</v>
      </c>
      <c r="B15" s="9" t="str">
        <f>orçamento!D21</f>
        <v>SERVIÇO EM TERRA</v>
      </c>
      <c r="C15" s="121">
        <f>orçamento!K21</f>
        <v>39870.368296809618</v>
      </c>
      <c r="D15" s="22">
        <f>C15/C34</f>
        <v>9.4150414956035329E-3</v>
      </c>
      <c r="F15" s="366">
        <v>11330.96</v>
      </c>
      <c r="G15" s="367">
        <f t="shared" ref="G15:G33" si="0">C15-F15</f>
        <v>28539.408296809619</v>
      </c>
    </row>
    <row r="16" spans="1:7" s="3" customFormat="1" ht="15" x14ac:dyDescent="0.2">
      <c r="A16" s="8">
        <v>3</v>
      </c>
      <c r="B16" s="9" t="str">
        <f>orçamento!D26</f>
        <v>FUNDAÇÃO E SONDAGENS</v>
      </c>
      <c r="C16" s="121">
        <f>orçamento!K26</f>
        <v>638991.15157507162</v>
      </c>
      <c r="D16" s="22">
        <f>C16/C34</f>
        <v>0.15089221555759219</v>
      </c>
      <c r="F16" s="366">
        <v>139522.82999999999</v>
      </c>
      <c r="G16" s="367">
        <f t="shared" si="0"/>
        <v>499468.32157507166</v>
      </c>
    </row>
    <row r="17" spans="1:7" s="3" customFormat="1" ht="15" x14ac:dyDescent="0.2">
      <c r="A17" s="8">
        <v>4</v>
      </c>
      <c r="B17" s="9" t="str">
        <f>orçamento!D37</f>
        <v>ESTRUTURA</v>
      </c>
      <c r="C17" s="121">
        <f>orçamento!K37</f>
        <v>311228.15611453634</v>
      </c>
      <c r="D17" s="22">
        <f>C17/C34</f>
        <v>7.3493828364083802E-2</v>
      </c>
      <c r="F17" s="366">
        <v>107214.54</v>
      </c>
      <c r="G17" s="367">
        <f t="shared" si="0"/>
        <v>204013.61611453636</v>
      </c>
    </row>
    <row r="18" spans="1:7" s="3" customFormat="1" ht="15" x14ac:dyDescent="0.2">
      <c r="A18" s="8">
        <v>5</v>
      </c>
      <c r="B18" s="9" t="str">
        <f>orçamento!D41</f>
        <v>INSTALAÇÕES ELÉTRICAS/TELEFONICAS/LÓGICA</v>
      </c>
      <c r="C18" s="121">
        <f>orçamento!K41</f>
        <v>315779.48777966353</v>
      </c>
      <c r="D18" s="22">
        <f>C18/C34</f>
        <v>7.4568585842330004E-2</v>
      </c>
      <c r="F18" s="366">
        <v>108820.89</v>
      </c>
      <c r="G18" s="368">
        <f t="shared" si="0"/>
        <v>206958.59777966351</v>
      </c>
    </row>
    <row r="19" spans="1:7" s="3" customFormat="1" ht="15" x14ac:dyDescent="0.2">
      <c r="A19" s="8">
        <v>6</v>
      </c>
      <c r="B19" s="9" t="str">
        <f>orçamento!D136</f>
        <v>SUBESTAÇÃO</v>
      </c>
      <c r="C19" s="121">
        <f>orçamento!K136</f>
        <v>15977.051454852171</v>
      </c>
      <c r="D19" s="22">
        <f>C19/C34</f>
        <v>3.7728420591706148E-3</v>
      </c>
      <c r="F19" s="366">
        <v>215397.29</v>
      </c>
      <c r="G19" s="367">
        <f t="shared" si="0"/>
        <v>-199420.23854514785</v>
      </c>
    </row>
    <row r="20" spans="1:7" s="3" customFormat="1" ht="15" x14ac:dyDescent="0.2">
      <c r="A20" s="8">
        <v>7</v>
      </c>
      <c r="B20" s="9" t="str">
        <f>orçamento!D154</f>
        <v xml:space="preserve">INSTALAÇÃO HIDRO - SANITARIAS </v>
      </c>
      <c r="C20" s="121">
        <f>orçamento!K154</f>
        <v>122886.27</v>
      </c>
      <c r="D20" s="22">
        <f>C20/C34</f>
        <v>2.9018526306979708E-2</v>
      </c>
      <c r="F20" s="366">
        <v>241888.56</v>
      </c>
      <c r="G20" s="367">
        <f t="shared" si="0"/>
        <v>-119002.29</v>
      </c>
    </row>
    <row r="21" spans="1:7" s="3" customFormat="1" ht="15" x14ac:dyDescent="0.2">
      <c r="A21" s="8">
        <v>8</v>
      </c>
      <c r="B21" s="9" t="str">
        <f>orçamento!D236</f>
        <v>ALVENARIA E DIVISORIAS</v>
      </c>
      <c r="C21" s="121">
        <f>orçamento!K236</f>
        <v>130033.75729999998</v>
      </c>
      <c r="D21" s="22">
        <f>C21/C34</f>
        <v>3.0706343410093446E-2</v>
      </c>
      <c r="F21" s="366">
        <v>6729.94</v>
      </c>
      <c r="G21" s="367">
        <f t="shared" si="0"/>
        <v>123303.81729999998</v>
      </c>
    </row>
    <row r="22" spans="1:7" s="3" customFormat="1" ht="15" x14ac:dyDescent="0.2">
      <c r="A22" s="8">
        <v>9</v>
      </c>
      <c r="B22" s="9" t="str">
        <f>orçamento!D241</f>
        <v>IMPERMEABILIZAÇÃO</v>
      </c>
      <c r="C22" s="121">
        <f>orçamento!K241</f>
        <v>18626.026400000002</v>
      </c>
      <c r="D22" s="22">
        <f>C22/C34</f>
        <v>4.3983745058166273E-3</v>
      </c>
      <c r="F22" s="366">
        <v>255193.14</v>
      </c>
      <c r="G22" s="367">
        <f t="shared" si="0"/>
        <v>-236567.11360000001</v>
      </c>
    </row>
    <row r="23" spans="1:7" s="3" customFormat="1" ht="15" x14ac:dyDescent="0.2">
      <c r="A23" s="8">
        <v>10</v>
      </c>
      <c r="B23" s="9" t="str">
        <f>orçamento!D246</f>
        <v>ESTRUTURA METALICA</v>
      </c>
      <c r="C23" s="121">
        <f>orçamento!K246</f>
        <v>559632.64772699971</v>
      </c>
      <c r="D23" s="22">
        <f>C23/C34</f>
        <v>0.13215239351239685</v>
      </c>
      <c r="F23" s="366">
        <v>202672.86</v>
      </c>
      <c r="G23" s="367">
        <f t="shared" si="0"/>
        <v>356959.78772699973</v>
      </c>
    </row>
    <row r="24" spans="1:7" s="3" customFormat="1" ht="15" x14ac:dyDescent="0.2">
      <c r="A24" s="8">
        <v>11</v>
      </c>
      <c r="B24" s="9" t="str">
        <f>orçamento!D249</f>
        <v>COBERTURA</v>
      </c>
      <c r="C24" s="121">
        <f>orçamento!K249</f>
        <v>211220.04819999999</v>
      </c>
      <c r="D24" s="22">
        <f>C24/C34</f>
        <v>4.9877781506861764E-2</v>
      </c>
      <c r="F24" s="366">
        <v>76423.5</v>
      </c>
      <c r="G24" s="367">
        <f t="shared" si="0"/>
        <v>134796.54819999999</v>
      </c>
    </row>
    <row r="25" spans="1:7" s="3" customFormat="1" ht="15" x14ac:dyDescent="0.2">
      <c r="A25" s="8">
        <v>12</v>
      </c>
      <c r="B25" s="9" t="str">
        <f>orçamento!D258</f>
        <v>ESQUADRIAS METALICAS</v>
      </c>
      <c r="C25" s="121">
        <f>orçamento!K258</f>
        <v>370375.38810000016</v>
      </c>
      <c r="D25" s="22">
        <f>C25/C34</f>
        <v>8.746093394353717E-2</v>
      </c>
      <c r="F25" s="366">
        <v>27853.68</v>
      </c>
      <c r="G25" s="367">
        <f t="shared" si="0"/>
        <v>342521.70810000016</v>
      </c>
    </row>
    <row r="26" spans="1:7" s="3" customFormat="1" ht="15" x14ac:dyDescent="0.2">
      <c r="A26" s="8">
        <v>13</v>
      </c>
      <c r="B26" s="9" t="str">
        <f>orçamento!D281</f>
        <v>VIDROS</v>
      </c>
      <c r="C26" s="121">
        <f>orçamento!K281</f>
        <v>18004.844000000001</v>
      </c>
      <c r="D26" s="22">
        <f>C26/C34</f>
        <v>4.2516876724068989E-3</v>
      </c>
      <c r="F26" s="366">
        <v>13355.68</v>
      </c>
      <c r="G26" s="367">
        <f t="shared" si="0"/>
        <v>4649.1640000000007</v>
      </c>
    </row>
    <row r="27" spans="1:7" s="3" customFormat="1" ht="15" x14ac:dyDescent="0.2">
      <c r="A27" s="8">
        <v>14</v>
      </c>
      <c r="B27" s="9" t="str">
        <f>orçamento!D285</f>
        <v>REVESTIMENTO DE PAREDES</v>
      </c>
      <c r="C27" s="121">
        <f>orçamento!K285</f>
        <v>180082.46</v>
      </c>
      <c r="D27" s="22">
        <f>C27/C34</f>
        <v>4.2524910251858249E-2</v>
      </c>
      <c r="F27" s="366">
        <v>36786.26</v>
      </c>
      <c r="G27" s="367">
        <f t="shared" si="0"/>
        <v>143296.19999999998</v>
      </c>
    </row>
    <row r="28" spans="1:7" s="3" customFormat="1" ht="15" x14ac:dyDescent="0.2">
      <c r="A28" s="8">
        <v>15</v>
      </c>
      <c r="B28" s="9" t="str">
        <f>orçamento!D292</f>
        <v>FORROS</v>
      </c>
      <c r="C28" s="121">
        <f>orçamento!K292</f>
        <v>57201.067999999999</v>
      </c>
      <c r="D28" s="22">
        <f>C28/C34</f>
        <v>1.3507535842249382E-2</v>
      </c>
      <c r="F28" s="366">
        <v>63917.17</v>
      </c>
      <c r="G28" s="367">
        <f t="shared" si="0"/>
        <v>-6716.101999999999</v>
      </c>
    </row>
    <row r="29" spans="1:7" s="3" customFormat="1" ht="15" x14ac:dyDescent="0.2">
      <c r="A29" s="8">
        <v>16</v>
      </c>
      <c r="B29" s="9" t="str">
        <f>orçamento!D298</f>
        <v>REVESTIMENTOS DE PISO</v>
      </c>
      <c r="C29" s="121">
        <f>orçamento!K298</f>
        <v>735612.32579999999</v>
      </c>
      <c r="D29" s="22">
        <f>C29/C34</f>
        <v>0.17370846741434845</v>
      </c>
      <c r="F29" s="366">
        <v>6160.71</v>
      </c>
      <c r="G29" s="367">
        <f t="shared" si="0"/>
        <v>729451.61580000003</v>
      </c>
    </row>
    <row r="30" spans="1:7" s="3" customFormat="1" ht="15" x14ac:dyDescent="0.2">
      <c r="A30" s="8">
        <v>17</v>
      </c>
      <c r="B30" s="9" t="str">
        <f>orçamento!D315</f>
        <v>PINTURA</v>
      </c>
      <c r="C30" s="121">
        <f>orçamento!K315</f>
        <v>269826.21199999994</v>
      </c>
      <c r="D30" s="22">
        <f>C30/C34</f>
        <v>6.3717118529471858E-2</v>
      </c>
      <c r="F30" s="366">
        <v>50164.71</v>
      </c>
      <c r="G30" s="367">
        <f t="shared" si="0"/>
        <v>219661.50199999995</v>
      </c>
    </row>
    <row r="31" spans="1:7" s="3" customFormat="1" ht="24" x14ac:dyDescent="0.2">
      <c r="A31" s="8">
        <v>18</v>
      </c>
      <c r="B31" s="9" t="str">
        <f>orçamento!D336</f>
        <v>ATERRAMENTO E PROTEÇÃO CONTRA DESCARGAS ATMOSFERICAS - SPDA</v>
      </c>
      <c r="C31" s="121">
        <f>orçamento!K336</f>
        <v>65208.71</v>
      </c>
      <c r="D31" s="22">
        <f>C31/C34</f>
        <v>1.5398471013720334E-2</v>
      </c>
      <c r="F31" s="366">
        <v>140215.82</v>
      </c>
      <c r="G31" s="367">
        <f t="shared" si="0"/>
        <v>-75007.110000000015</v>
      </c>
    </row>
    <row r="32" spans="1:7" s="3" customFormat="1" ht="15" x14ac:dyDescent="0.2">
      <c r="A32" s="8">
        <v>19</v>
      </c>
      <c r="B32" s="9" t="str">
        <f>orçamento!D344</f>
        <v>INSTALAÇÕES DE COMBATE A INCEDIO E PREVENÇÃO A INCEDIO</v>
      </c>
      <c r="C32" s="121">
        <f>orçamento!K344</f>
        <v>8396.9900000000016</v>
      </c>
      <c r="D32" s="22">
        <f>C32/C34</f>
        <v>1.9828763230786122E-3</v>
      </c>
      <c r="F32" s="366">
        <v>499.8</v>
      </c>
      <c r="G32" s="367">
        <f t="shared" si="0"/>
        <v>7897.1900000000014</v>
      </c>
    </row>
    <row r="33" spans="1:10" s="3" customFormat="1" ht="15" x14ac:dyDescent="0.2">
      <c r="A33" s="8">
        <v>20</v>
      </c>
      <c r="B33" s="9" t="str">
        <f>orçamento!D351</f>
        <v>DIVERSOS</v>
      </c>
      <c r="C33" s="121">
        <f>orçamento!K351</f>
        <v>126068.17710000002</v>
      </c>
      <c r="D33" s="22">
        <f>C33/C34</f>
        <v>2.9769906057440974E-2</v>
      </c>
      <c r="F33" s="366">
        <v>70974.27</v>
      </c>
      <c r="G33" s="367">
        <f t="shared" si="0"/>
        <v>55093.907100000011</v>
      </c>
    </row>
    <row r="34" spans="1:10" x14ac:dyDescent="0.2">
      <c r="A34" s="431" t="s">
        <v>97</v>
      </c>
      <c r="B34" s="432"/>
      <c r="C34" s="10">
        <f>SUM(C14:C33)</f>
        <v>4234752.2648123819</v>
      </c>
      <c r="D34" s="20">
        <f>SUM(D14:D33)</f>
        <v>0.99999999999999978</v>
      </c>
    </row>
    <row r="35" spans="1:10" x14ac:dyDescent="0.2">
      <c r="H35" s="183">
        <v>1249782.67</v>
      </c>
      <c r="I35" s="183">
        <f>H35-C34</f>
        <v>-2984969.594812382</v>
      </c>
      <c r="J35" s="184">
        <f>I35/H35</f>
        <v>-2.3883909310507421</v>
      </c>
    </row>
    <row r="38" spans="1:10" x14ac:dyDescent="0.2">
      <c r="C38" s="28">
        <v>408000</v>
      </c>
    </row>
    <row r="39" spans="1:10" x14ac:dyDescent="0.2">
      <c r="C39" s="30">
        <f>C34/C38</f>
        <v>10.379294766697015</v>
      </c>
    </row>
    <row r="40" spans="1:10" x14ac:dyDescent="0.2">
      <c r="C40" s="29">
        <f>1-C39</f>
        <v>-9.379294766697015</v>
      </c>
    </row>
  </sheetData>
  <mergeCells count="13">
    <mergeCell ref="A1:D4"/>
    <mergeCell ref="A6:B6"/>
    <mergeCell ref="A7:B8"/>
    <mergeCell ref="A11:B11"/>
    <mergeCell ref="A10:D10"/>
    <mergeCell ref="A9:D9"/>
    <mergeCell ref="A5:B5"/>
    <mergeCell ref="C5:D5"/>
    <mergeCell ref="A12:A13"/>
    <mergeCell ref="B12:B13"/>
    <mergeCell ref="C12:C13"/>
    <mergeCell ref="D12:D13"/>
    <mergeCell ref="A34:B34"/>
  </mergeCells>
  <pageMargins left="0.78740157480314965" right="0.39370078740157483" top="0.39370078740157483" bottom="0.59055118110236227" header="0.31496062992125984" footer="0.31496062992125984"/>
  <pageSetup paperSize="9" scale="93" fitToHeight="0" orientation="portrait" r:id="rId1"/>
  <ignoredErrors>
    <ignoredError sqref="C34 D14:D34" unlockedFormula="1"/>
    <ignoredError sqref="F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2"/>
  <sheetViews>
    <sheetView showGridLines="0" tabSelected="1" view="pageBreakPreview" topLeftCell="A1332" zoomScaleNormal="100" zoomScaleSheetLayoutView="100" zoomScalePageLayoutView="90" workbookViewId="0">
      <selection activeCell="B1331" sqref="B1331"/>
    </sheetView>
  </sheetViews>
  <sheetFormatPr defaultRowHeight="15" x14ac:dyDescent="0.25"/>
  <cols>
    <col min="1" max="1" width="11.5703125" style="25" bestFit="1" customWidth="1"/>
    <col min="2" max="2" width="11.85546875" style="152" bestFit="1" customWidth="1"/>
    <col min="3" max="3" width="54.28515625" style="142" customWidth="1"/>
    <col min="4" max="4" width="6.140625" style="145" bestFit="1" customWidth="1"/>
    <col min="5" max="5" width="9.140625" style="143" customWidth="1"/>
    <col min="6" max="6" width="9" style="332" hidden="1" customWidth="1"/>
    <col min="7" max="7" width="10.5703125" style="158" customWidth="1"/>
    <col min="8" max="8" width="8.42578125" style="143" bestFit="1" customWidth="1"/>
    <col min="9" max="9" width="9.5703125" style="143" bestFit="1" customWidth="1"/>
    <col min="10" max="10" width="6.28515625" style="144" customWidth="1"/>
    <col min="11" max="11" width="7.42578125" style="139" bestFit="1" customWidth="1"/>
    <col min="12" max="12" width="10.42578125" style="43" bestFit="1" customWidth="1"/>
    <col min="13" max="13" width="10.42578125" style="4" bestFit="1" customWidth="1"/>
    <col min="14" max="14" width="12" style="4" bestFit="1" customWidth="1"/>
    <col min="15" max="15" width="12.140625" style="4" bestFit="1" customWidth="1"/>
    <col min="16" max="259" width="9.140625" style="4"/>
    <col min="260" max="260" width="31" style="4" customWidth="1"/>
    <col min="261" max="261" width="14" style="4" customWidth="1"/>
    <col min="262" max="262" width="9.140625" style="4"/>
    <col min="263" max="263" width="12.85546875" style="4" bestFit="1" customWidth="1"/>
    <col min="264" max="264" width="19.140625" style="4" customWidth="1"/>
    <col min="265" max="265" width="9.140625" style="4"/>
    <col min="266" max="266" width="12.42578125" style="4" bestFit="1" customWidth="1"/>
    <col min="267" max="267" width="10.42578125" style="4" bestFit="1" customWidth="1"/>
    <col min="268" max="268" width="5.7109375" style="4" bestFit="1" customWidth="1"/>
    <col min="269" max="269" width="12.140625" style="4" bestFit="1" customWidth="1"/>
    <col min="270" max="270" width="9.85546875" style="4" bestFit="1" customWidth="1"/>
    <col min="271" max="515" width="9.140625" style="4"/>
    <col min="516" max="516" width="31" style="4" customWidth="1"/>
    <col min="517" max="517" width="14" style="4" customWidth="1"/>
    <col min="518" max="518" width="9.140625" style="4"/>
    <col min="519" max="519" width="12.85546875" style="4" bestFit="1" customWidth="1"/>
    <col min="520" max="520" width="19.140625" style="4" customWidth="1"/>
    <col min="521" max="521" width="9.140625" style="4"/>
    <col min="522" max="522" width="12.42578125" style="4" bestFit="1" customWidth="1"/>
    <col min="523" max="523" width="10.42578125" style="4" bestFit="1" customWidth="1"/>
    <col min="524" max="524" width="5.7109375" style="4" bestFit="1" customWidth="1"/>
    <col min="525" max="525" width="12.140625" style="4" bestFit="1" customWidth="1"/>
    <col min="526" max="526" width="9.85546875" style="4" bestFit="1" customWidth="1"/>
    <col min="527" max="771" width="9.140625" style="4"/>
    <col min="772" max="772" width="31" style="4" customWidth="1"/>
    <col min="773" max="773" width="14" style="4" customWidth="1"/>
    <col min="774" max="774" width="9.140625" style="4"/>
    <col min="775" max="775" width="12.85546875" style="4" bestFit="1" customWidth="1"/>
    <col min="776" max="776" width="19.140625" style="4" customWidth="1"/>
    <col min="777" max="777" width="9.140625" style="4"/>
    <col min="778" max="778" width="12.42578125" style="4" bestFit="1" customWidth="1"/>
    <col min="779" max="779" width="10.42578125" style="4" bestFit="1" customWidth="1"/>
    <col min="780" max="780" width="5.7109375" style="4" bestFit="1" customWidth="1"/>
    <col min="781" max="781" width="12.140625" style="4" bestFit="1" customWidth="1"/>
    <col min="782" max="782" width="9.85546875" style="4" bestFit="1" customWidth="1"/>
    <col min="783" max="1027" width="9.140625" style="4"/>
    <col min="1028" max="1028" width="31" style="4" customWidth="1"/>
    <col min="1029" max="1029" width="14" style="4" customWidth="1"/>
    <col min="1030" max="1030" width="9.140625" style="4"/>
    <col min="1031" max="1031" width="12.85546875" style="4" bestFit="1" customWidth="1"/>
    <col min="1032" max="1032" width="19.140625" style="4" customWidth="1"/>
    <col min="1033" max="1033" width="9.140625" style="4"/>
    <col min="1034" max="1034" width="12.42578125" style="4" bestFit="1" customWidth="1"/>
    <col min="1035" max="1035" width="10.42578125" style="4" bestFit="1" customWidth="1"/>
    <col min="1036" max="1036" width="5.7109375" style="4" bestFit="1" customWidth="1"/>
    <col min="1037" max="1037" width="12.140625" style="4" bestFit="1" customWidth="1"/>
    <col min="1038" max="1038" width="9.85546875" style="4" bestFit="1" customWidth="1"/>
    <col min="1039" max="1283" width="9.140625" style="4"/>
    <col min="1284" max="1284" width="31" style="4" customWidth="1"/>
    <col min="1285" max="1285" width="14" style="4" customWidth="1"/>
    <col min="1286" max="1286" width="9.140625" style="4"/>
    <col min="1287" max="1287" width="12.85546875" style="4" bestFit="1" customWidth="1"/>
    <col min="1288" max="1288" width="19.140625" style="4" customWidth="1"/>
    <col min="1289" max="1289" width="9.140625" style="4"/>
    <col min="1290" max="1290" width="12.42578125" style="4" bestFit="1" customWidth="1"/>
    <col min="1291" max="1291" width="10.42578125" style="4" bestFit="1" customWidth="1"/>
    <col min="1292" max="1292" width="5.7109375" style="4" bestFit="1" customWidth="1"/>
    <col min="1293" max="1293" width="12.140625" style="4" bestFit="1" customWidth="1"/>
    <col min="1294" max="1294" width="9.85546875" style="4" bestFit="1" customWidth="1"/>
    <col min="1295" max="1539" width="9.140625" style="4"/>
    <col min="1540" max="1540" width="31" style="4" customWidth="1"/>
    <col min="1541" max="1541" width="14" style="4" customWidth="1"/>
    <col min="1542" max="1542" width="9.140625" style="4"/>
    <col min="1543" max="1543" width="12.85546875" style="4" bestFit="1" customWidth="1"/>
    <col min="1544" max="1544" width="19.140625" style="4" customWidth="1"/>
    <col min="1545" max="1545" width="9.140625" style="4"/>
    <col min="1546" max="1546" width="12.42578125" style="4" bestFit="1" customWidth="1"/>
    <col min="1547" max="1547" width="10.42578125" style="4" bestFit="1" customWidth="1"/>
    <col min="1548" max="1548" width="5.7109375" style="4" bestFit="1" customWidth="1"/>
    <col min="1549" max="1549" width="12.140625" style="4" bestFit="1" customWidth="1"/>
    <col min="1550" max="1550" width="9.85546875" style="4" bestFit="1" customWidth="1"/>
    <col min="1551" max="1795" width="9.140625" style="4"/>
    <col min="1796" max="1796" width="31" style="4" customWidth="1"/>
    <col min="1797" max="1797" width="14" style="4" customWidth="1"/>
    <col min="1798" max="1798" width="9.140625" style="4"/>
    <col min="1799" max="1799" width="12.85546875" style="4" bestFit="1" customWidth="1"/>
    <col min="1800" max="1800" width="19.140625" style="4" customWidth="1"/>
    <col min="1801" max="1801" width="9.140625" style="4"/>
    <col min="1802" max="1802" width="12.42578125" style="4" bestFit="1" customWidth="1"/>
    <col min="1803" max="1803" width="10.42578125" style="4" bestFit="1" customWidth="1"/>
    <col min="1804" max="1804" width="5.7109375" style="4" bestFit="1" customWidth="1"/>
    <col min="1805" max="1805" width="12.140625" style="4" bestFit="1" customWidth="1"/>
    <col min="1806" max="1806" width="9.85546875" style="4" bestFit="1" customWidth="1"/>
    <col min="1807" max="2051" width="9.140625" style="4"/>
    <col min="2052" max="2052" width="31" style="4" customWidth="1"/>
    <col min="2053" max="2053" width="14" style="4" customWidth="1"/>
    <col min="2054" max="2054" width="9.140625" style="4"/>
    <col min="2055" max="2055" width="12.85546875" style="4" bestFit="1" customWidth="1"/>
    <col min="2056" max="2056" width="19.140625" style="4" customWidth="1"/>
    <col min="2057" max="2057" width="9.140625" style="4"/>
    <col min="2058" max="2058" width="12.42578125" style="4" bestFit="1" customWidth="1"/>
    <col min="2059" max="2059" width="10.42578125" style="4" bestFit="1" customWidth="1"/>
    <col min="2060" max="2060" width="5.7109375" style="4" bestFit="1" customWidth="1"/>
    <col min="2061" max="2061" width="12.140625" style="4" bestFit="1" customWidth="1"/>
    <col min="2062" max="2062" width="9.85546875" style="4" bestFit="1" customWidth="1"/>
    <col min="2063" max="2307" width="9.140625" style="4"/>
    <col min="2308" max="2308" width="31" style="4" customWidth="1"/>
    <col min="2309" max="2309" width="14" style="4" customWidth="1"/>
    <col min="2310" max="2310" width="9.140625" style="4"/>
    <col min="2311" max="2311" width="12.85546875" style="4" bestFit="1" customWidth="1"/>
    <col min="2312" max="2312" width="19.140625" style="4" customWidth="1"/>
    <col min="2313" max="2313" width="9.140625" style="4"/>
    <col min="2314" max="2314" width="12.42578125" style="4" bestFit="1" customWidth="1"/>
    <col min="2315" max="2315" width="10.42578125" style="4" bestFit="1" customWidth="1"/>
    <col min="2316" max="2316" width="5.7109375" style="4" bestFit="1" customWidth="1"/>
    <col min="2317" max="2317" width="12.140625" style="4" bestFit="1" customWidth="1"/>
    <col min="2318" max="2318" width="9.85546875" style="4" bestFit="1" customWidth="1"/>
    <col min="2319" max="2563" width="9.140625" style="4"/>
    <col min="2564" max="2564" width="31" style="4" customWidth="1"/>
    <col min="2565" max="2565" width="14" style="4" customWidth="1"/>
    <col min="2566" max="2566" width="9.140625" style="4"/>
    <col min="2567" max="2567" width="12.85546875" style="4" bestFit="1" customWidth="1"/>
    <col min="2568" max="2568" width="19.140625" style="4" customWidth="1"/>
    <col min="2569" max="2569" width="9.140625" style="4"/>
    <col min="2570" max="2570" width="12.42578125" style="4" bestFit="1" customWidth="1"/>
    <col min="2571" max="2571" width="10.42578125" style="4" bestFit="1" customWidth="1"/>
    <col min="2572" max="2572" width="5.7109375" style="4" bestFit="1" customWidth="1"/>
    <col min="2573" max="2573" width="12.140625" style="4" bestFit="1" customWidth="1"/>
    <col min="2574" max="2574" width="9.85546875" style="4" bestFit="1" customWidth="1"/>
    <col min="2575" max="2819" width="9.140625" style="4"/>
    <col min="2820" max="2820" width="31" style="4" customWidth="1"/>
    <col min="2821" max="2821" width="14" style="4" customWidth="1"/>
    <col min="2822" max="2822" width="9.140625" style="4"/>
    <col min="2823" max="2823" width="12.85546875" style="4" bestFit="1" customWidth="1"/>
    <col min="2824" max="2824" width="19.140625" style="4" customWidth="1"/>
    <col min="2825" max="2825" width="9.140625" style="4"/>
    <col min="2826" max="2826" width="12.42578125" style="4" bestFit="1" customWidth="1"/>
    <col min="2827" max="2827" width="10.42578125" style="4" bestFit="1" customWidth="1"/>
    <col min="2828" max="2828" width="5.7109375" style="4" bestFit="1" customWidth="1"/>
    <col min="2829" max="2829" width="12.140625" style="4" bestFit="1" customWidth="1"/>
    <col min="2830" max="2830" width="9.85546875" style="4" bestFit="1" customWidth="1"/>
    <col min="2831" max="3075" width="9.140625" style="4"/>
    <col min="3076" max="3076" width="31" style="4" customWidth="1"/>
    <col min="3077" max="3077" width="14" style="4" customWidth="1"/>
    <col min="3078" max="3078" width="9.140625" style="4"/>
    <col min="3079" max="3079" width="12.85546875" style="4" bestFit="1" customWidth="1"/>
    <col min="3080" max="3080" width="19.140625" style="4" customWidth="1"/>
    <col min="3081" max="3081" width="9.140625" style="4"/>
    <col min="3082" max="3082" width="12.42578125" style="4" bestFit="1" customWidth="1"/>
    <col min="3083" max="3083" width="10.42578125" style="4" bestFit="1" customWidth="1"/>
    <col min="3084" max="3084" width="5.7109375" style="4" bestFit="1" customWidth="1"/>
    <col min="3085" max="3085" width="12.140625" style="4" bestFit="1" customWidth="1"/>
    <col min="3086" max="3086" width="9.85546875" style="4" bestFit="1" customWidth="1"/>
    <col min="3087" max="3331" width="9.140625" style="4"/>
    <col min="3332" max="3332" width="31" style="4" customWidth="1"/>
    <col min="3333" max="3333" width="14" style="4" customWidth="1"/>
    <col min="3334" max="3334" width="9.140625" style="4"/>
    <col min="3335" max="3335" width="12.85546875" style="4" bestFit="1" customWidth="1"/>
    <col min="3336" max="3336" width="19.140625" style="4" customWidth="1"/>
    <col min="3337" max="3337" width="9.140625" style="4"/>
    <col min="3338" max="3338" width="12.42578125" style="4" bestFit="1" customWidth="1"/>
    <col min="3339" max="3339" width="10.42578125" style="4" bestFit="1" customWidth="1"/>
    <col min="3340" max="3340" width="5.7109375" style="4" bestFit="1" customWidth="1"/>
    <col min="3341" max="3341" width="12.140625" style="4" bestFit="1" customWidth="1"/>
    <col min="3342" max="3342" width="9.85546875" style="4" bestFit="1" customWidth="1"/>
    <col min="3343" max="3587" width="9.140625" style="4"/>
    <col min="3588" max="3588" width="31" style="4" customWidth="1"/>
    <col min="3589" max="3589" width="14" style="4" customWidth="1"/>
    <col min="3590" max="3590" width="9.140625" style="4"/>
    <col min="3591" max="3591" width="12.85546875" style="4" bestFit="1" customWidth="1"/>
    <col min="3592" max="3592" width="19.140625" style="4" customWidth="1"/>
    <col min="3593" max="3593" width="9.140625" style="4"/>
    <col min="3594" max="3594" width="12.42578125" style="4" bestFit="1" customWidth="1"/>
    <col min="3595" max="3595" width="10.42578125" style="4" bestFit="1" customWidth="1"/>
    <col min="3596" max="3596" width="5.7109375" style="4" bestFit="1" customWidth="1"/>
    <col min="3597" max="3597" width="12.140625" style="4" bestFit="1" customWidth="1"/>
    <col min="3598" max="3598" width="9.85546875" style="4" bestFit="1" customWidth="1"/>
    <col min="3599" max="3843" width="9.140625" style="4"/>
    <col min="3844" max="3844" width="31" style="4" customWidth="1"/>
    <col min="3845" max="3845" width="14" style="4" customWidth="1"/>
    <col min="3846" max="3846" width="9.140625" style="4"/>
    <col min="3847" max="3847" width="12.85546875" style="4" bestFit="1" customWidth="1"/>
    <col min="3848" max="3848" width="19.140625" style="4" customWidth="1"/>
    <col min="3849" max="3849" width="9.140625" style="4"/>
    <col min="3850" max="3850" width="12.42578125" style="4" bestFit="1" customWidth="1"/>
    <col min="3851" max="3851" width="10.42578125" style="4" bestFit="1" customWidth="1"/>
    <col min="3852" max="3852" width="5.7109375" style="4" bestFit="1" customWidth="1"/>
    <col min="3853" max="3853" width="12.140625" style="4" bestFit="1" customWidth="1"/>
    <col min="3854" max="3854" width="9.85546875" style="4" bestFit="1" customWidth="1"/>
    <col min="3855" max="4099" width="9.140625" style="4"/>
    <col min="4100" max="4100" width="31" style="4" customWidth="1"/>
    <col min="4101" max="4101" width="14" style="4" customWidth="1"/>
    <col min="4102" max="4102" width="9.140625" style="4"/>
    <col min="4103" max="4103" width="12.85546875" style="4" bestFit="1" customWidth="1"/>
    <col min="4104" max="4104" width="19.140625" style="4" customWidth="1"/>
    <col min="4105" max="4105" width="9.140625" style="4"/>
    <col min="4106" max="4106" width="12.42578125" style="4" bestFit="1" customWidth="1"/>
    <col min="4107" max="4107" width="10.42578125" style="4" bestFit="1" customWidth="1"/>
    <col min="4108" max="4108" width="5.7109375" style="4" bestFit="1" customWidth="1"/>
    <col min="4109" max="4109" width="12.140625" style="4" bestFit="1" customWidth="1"/>
    <col min="4110" max="4110" width="9.85546875" style="4" bestFit="1" customWidth="1"/>
    <col min="4111" max="4355" width="9.140625" style="4"/>
    <col min="4356" max="4356" width="31" style="4" customWidth="1"/>
    <col min="4357" max="4357" width="14" style="4" customWidth="1"/>
    <col min="4358" max="4358" width="9.140625" style="4"/>
    <col min="4359" max="4359" width="12.85546875" style="4" bestFit="1" customWidth="1"/>
    <col min="4360" max="4360" width="19.140625" style="4" customWidth="1"/>
    <col min="4361" max="4361" width="9.140625" style="4"/>
    <col min="4362" max="4362" width="12.42578125" style="4" bestFit="1" customWidth="1"/>
    <col min="4363" max="4363" width="10.42578125" style="4" bestFit="1" customWidth="1"/>
    <col min="4364" max="4364" width="5.7109375" style="4" bestFit="1" customWidth="1"/>
    <col min="4365" max="4365" width="12.140625" style="4" bestFit="1" customWidth="1"/>
    <col min="4366" max="4366" width="9.85546875" style="4" bestFit="1" customWidth="1"/>
    <col min="4367" max="4611" width="9.140625" style="4"/>
    <col min="4612" max="4612" width="31" style="4" customWidth="1"/>
    <col min="4613" max="4613" width="14" style="4" customWidth="1"/>
    <col min="4614" max="4614" width="9.140625" style="4"/>
    <col min="4615" max="4615" width="12.85546875" style="4" bestFit="1" customWidth="1"/>
    <col min="4616" max="4616" width="19.140625" style="4" customWidth="1"/>
    <col min="4617" max="4617" width="9.140625" style="4"/>
    <col min="4618" max="4618" width="12.42578125" style="4" bestFit="1" customWidth="1"/>
    <col min="4619" max="4619" width="10.42578125" style="4" bestFit="1" customWidth="1"/>
    <col min="4620" max="4620" width="5.7109375" style="4" bestFit="1" customWidth="1"/>
    <col min="4621" max="4621" width="12.140625" style="4" bestFit="1" customWidth="1"/>
    <col min="4622" max="4622" width="9.85546875" style="4" bestFit="1" customWidth="1"/>
    <col min="4623" max="4867" width="9.140625" style="4"/>
    <col min="4868" max="4868" width="31" style="4" customWidth="1"/>
    <col min="4869" max="4869" width="14" style="4" customWidth="1"/>
    <col min="4870" max="4870" width="9.140625" style="4"/>
    <col min="4871" max="4871" width="12.85546875" style="4" bestFit="1" customWidth="1"/>
    <col min="4872" max="4872" width="19.140625" style="4" customWidth="1"/>
    <col min="4873" max="4873" width="9.140625" style="4"/>
    <col min="4874" max="4874" width="12.42578125" style="4" bestFit="1" customWidth="1"/>
    <col min="4875" max="4875" width="10.42578125" style="4" bestFit="1" customWidth="1"/>
    <col min="4876" max="4876" width="5.7109375" style="4" bestFit="1" customWidth="1"/>
    <col min="4877" max="4877" width="12.140625" style="4" bestFit="1" customWidth="1"/>
    <col min="4878" max="4878" width="9.85546875" style="4" bestFit="1" customWidth="1"/>
    <col min="4879" max="5123" width="9.140625" style="4"/>
    <col min="5124" max="5124" width="31" style="4" customWidth="1"/>
    <col min="5125" max="5125" width="14" style="4" customWidth="1"/>
    <col min="5126" max="5126" width="9.140625" style="4"/>
    <col min="5127" max="5127" width="12.85546875" style="4" bestFit="1" customWidth="1"/>
    <col min="5128" max="5128" width="19.140625" style="4" customWidth="1"/>
    <col min="5129" max="5129" width="9.140625" style="4"/>
    <col min="5130" max="5130" width="12.42578125" style="4" bestFit="1" customWidth="1"/>
    <col min="5131" max="5131" width="10.42578125" style="4" bestFit="1" customWidth="1"/>
    <col min="5132" max="5132" width="5.7109375" style="4" bestFit="1" customWidth="1"/>
    <col min="5133" max="5133" width="12.140625" style="4" bestFit="1" customWidth="1"/>
    <col min="5134" max="5134" width="9.85546875" style="4" bestFit="1" customWidth="1"/>
    <col min="5135" max="5379" width="9.140625" style="4"/>
    <col min="5380" max="5380" width="31" style="4" customWidth="1"/>
    <col min="5381" max="5381" width="14" style="4" customWidth="1"/>
    <col min="5382" max="5382" width="9.140625" style="4"/>
    <col min="5383" max="5383" width="12.85546875" style="4" bestFit="1" customWidth="1"/>
    <col min="5384" max="5384" width="19.140625" style="4" customWidth="1"/>
    <col min="5385" max="5385" width="9.140625" style="4"/>
    <col min="5386" max="5386" width="12.42578125" style="4" bestFit="1" customWidth="1"/>
    <col min="5387" max="5387" width="10.42578125" style="4" bestFit="1" customWidth="1"/>
    <col min="5388" max="5388" width="5.7109375" style="4" bestFit="1" customWidth="1"/>
    <col min="5389" max="5389" width="12.140625" style="4" bestFit="1" customWidth="1"/>
    <col min="5390" max="5390" width="9.85546875" style="4" bestFit="1" customWidth="1"/>
    <col min="5391" max="5635" width="9.140625" style="4"/>
    <col min="5636" max="5636" width="31" style="4" customWidth="1"/>
    <col min="5637" max="5637" width="14" style="4" customWidth="1"/>
    <col min="5638" max="5638" width="9.140625" style="4"/>
    <col min="5639" max="5639" width="12.85546875" style="4" bestFit="1" customWidth="1"/>
    <col min="5640" max="5640" width="19.140625" style="4" customWidth="1"/>
    <col min="5641" max="5641" width="9.140625" style="4"/>
    <col min="5642" max="5642" width="12.42578125" style="4" bestFit="1" customWidth="1"/>
    <col min="5643" max="5643" width="10.42578125" style="4" bestFit="1" customWidth="1"/>
    <col min="5644" max="5644" width="5.7109375" style="4" bestFit="1" customWidth="1"/>
    <col min="5645" max="5645" width="12.140625" style="4" bestFit="1" customWidth="1"/>
    <col min="5646" max="5646" width="9.85546875" style="4" bestFit="1" customWidth="1"/>
    <col min="5647" max="5891" width="9.140625" style="4"/>
    <col min="5892" max="5892" width="31" style="4" customWidth="1"/>
    <col min="5893" max="5893" width="14" style="4" customWidth="1"/>
    <col min="5894" max="5894" width="9.140625" style="4"/>
    <col min="5895" max="5895" width="12.85546875" style="4" bestFit="1" customWidth="1"/>
    <col min="5896" max="5896" width="19.140625" style="4" customWidth="1"/>
    <col min="5897" max="5897" width="9.140625" style="4"/>
    <col min="5898" max="5898" width="12.42578125" style="4" bestFit="1" customWidth="1"/>
    <col min="5899" max="5899" width="10.42578125" style="4" bestFit="1" customWidth="1"/>
    <col min="5900" max="5900" width="5.7109375" style="4" bestFit="1" customWidth="1"/>
    <col min="5901" max="5901" width="12.140625" style="4" bestFit="1" customWidth="1"/>
    <col min="5902" max="5902" width="9.85546875" style="4" bestFit="1" customWidth="1"/>
    <col min="5903" max="6147" width="9.140625" style="4"/>
    <col min="6148" max="6148" width="31" style="4" customWidth="1"/>
    <col min="6149" max="6149" width="14" style="4" customWidth="1"/>
    <col min="6150" max="6150" width="9.140625" style="4"/>
    <col min="6151" max="6151" width="12.85546875" style="4" bestFit="1" customWidth="1"/>
    <col min="6152" max="6152" width="19.140625" style="4" customWidth="1"/>
    <col min="6153" max="6153" width="9.140625" style="4"/>
    <col min="6154" max="6154" width="12.42578125" style="4" bestFit="1" customWidth="1"/>
    <col min="6155" max="6155" width="10.42578125" style="4" bestFit="1" customWidth="1"/>
    <col min="6156" max="6156" width="5.7109375" style="4" bestFit="1" customWidth="1"/>
    <col min="6157" max="6157" width="12.140625" style="4" bestFit="1" customWidth="1"/>
    <col min="6158" max="6158" width="9.85546875" style="4" bestFit="1" customWidth="1"/>
    <col min="6159" max="6403" width="9.140625" style="4"/>
    <col min="6404" max="6404" width="31" style="4" customWidth="1"/>
    <col min="6405" max="6405" width="14" style="4" customWidth="1"/>
    <col min="6406" max="6406" width="9.140625" style="4"/>
    <col min="6407" max="6407" width="12.85546875" style="4" bestFit="1" customWidth="1"/>
    <col min="6408" max="6408" width="19.140625" style="4" customWidth="1"/>
    <col min="6409" max="6409" width="9.140625" style="4"/>
    <col min="6410" max="6410" width="12.42578125" style="4" bestFit="1" customWidth="1"/>
    <col min="6411" max="6411" width="10.42578125" style="4" bestFit="1" customWidth="1"/>
    <col min="6412" max="6412" width="5.7109375" style="4" bestFit="1" customWidth="1"/>
    <col min="6413" max="6413" width="12.140625" style="4" bestFit="1" customWidth="1"/>
    <col min="6414" max="6414" width="9.85546875" style="4" bestFit="1" customWidth="1"/>
    <col min="6415" max="6659" width="9.140625" style="4"/>
    <col min="6660" max="6660" width="31" style="4" customWidth="1"/>
    <col min="6661" max="6661" width="14" style="4" customWidth="1"/>
    <col min="6662" max="6662" width="9.140625" style="4"/>
    <col min="6663" max="6663" width="12.85546875" style="4" bestFit="1" customWidth="1"/>
    <col min="6664" max="6664" width="19.140625" style="4" customWidth="1"/>
    <col min="6665" max="6665" width="9.140625" style="4"/>
    <col min="6666" max="6666" width="12.42578125" style="4" bestFit="1" customWidth="1"/>
    <col min="6667" max="6667" width="10.42578125" style="4" bestFit="1" customWidth="1"/>
    <col min="6668" max="6668" width="5.7109375" style="4" bestFit="1" customWidth="1"/>
    <col min="6669" max="6669" width="12.140625" style="4" bestFit="1" customWidth="1"/>
    <col min="6670" max="6670" width="9.85546875" style="4" bestFit="1" customWidth="1"/>
    <col min="6671" max="6915" width="9.140625" style="4"/>
    <col min="6916" max="6916" width="31" style="4" customWidth="1"/>
    <col min="6917" max="6917" width="14" style="4" customWidth="1"/>
    <col min="6918" max="6918" width="9.140625" style="4"/>
    <col min="6919" max="6919" width="12.85546875" style="4" bestFit="1" customWidth="1"/>
    <col min="6920" max="6920" width="19.140625" style="4" customWidth="1"/>
    <col min="6921" max="6921" width="9.140625" style="4"/>
    <col min="6922" max="6922" width="12.42578125" style="4" bestFit="1" customWidth="1"/>
    <col min="6923" max="6923" width="10.42578125" style="4" bestFit="1" customWidth="1"/>
    <col min="6924" max="6924" width="5.7109375" style="4" bestFit="1" customWidth="1"/>
    <col min="6925" max="6925" width="12.140625" style="4" bestFit="1" customWidth="1"/>
    <col min="6926" max="6926" width="9.85546875" style="4" bestFit="1" customWidth="1"/>
    <col min="6927" max="7171" width="9.140625" style="4"/>
    <col min="7172" max="7172" width="31" style="4" customWidth="1"/>
    <col min="7173" max="7173" width="14" style="4" customWidth="1"/>
    <col min="7174" max="7174" width="9.140625" style="4"/>
    <col min="7175" max="7175" width="12.85546875" style="4" bestFit="1" customWidth="1"/>
    <col min="7176" max="7176" width="19.140625" style="4" customWidth="1"/>
    <col min="7177" max="7177" width="9.140625" style="4"/>
    <col min="7178" max="7178" width="12.42578125" style="4" bestFit="1" customWidth="1"/>
    <col min="7179" max="7179" width="10.42578125" style="4" bestFit="1" customWidth="1"/>
    <col min="7180" max="7180" width="5.7109375" style="4" bestFit="1" customWidth="1"/>
    <col min="7181" max="7181" width="12.140625" style="4" bestFit="1" customWidth="1"/>
    <col min="7182" max="7182" width="9.85546875" style="4" bestFit="1" customWidth="1"/>
    <col min="7183" max="7427" width="9.140625" style="4"/>
    <col min="7428" max="7428" width="31" style="4" customWidth="1"/>
    <col min="7429" max="7429" width="14" style="4" customWidth="1"/>
    <col min="7430" max="7430" width="9.140625" style="4"/>
    <col min="7431" max="7431" width="12.85546875" style="4" bestFit="1" customWidth="1"/>
    <col min="7432" max="7432" width="19.140625" style="4" customWidth="1"/>
    <col min="7433" max="7433" width="9.140625" style="4"/>
    <col min="7434" max="7434" width="12.42578125" style="4" bestFit="1" customWidth="1"/>
    <col min="7435" max="7435" width="10.42578125" style="4" bestFit="1" customWidth="1"/>
    <col min="7436" max="7436" width="5.7109375" style="4" bestFit="1" customWidth="1"/>
    <col min="7437" max="7437" width="12.140625" style="4" bestFit="1" customWidth="1"/>
    <col min="7438" max="7438" width="9.85546875" style="4" bestFit="1" customWidth="1"/>
    <col min="7439" max="7683" width="9.140625" style="4"/>
    <col min="7684" max="7684" width="31" style="4" customWidth="1"/>
    <col min="7685" max="7685" width="14" style="4" customWidth="1"/>
    <col min="7686" max="7686" width="9.140625" style="4"/>
    <col min="7687" max="7687" width="12.85546875" style="4" bestFit="1" customWidth="1"/>
    <col min="7688" max="7688" width="19.140625" style="4" customWidth="1"/>
    <col min="7689" max="7689" width="9.140625" style="4"/>
    <col min="7690" max="7690" width="12.42578125" style="4" bestFit="1" customWidth="1"/>
    <col min="7691" max="7691" width="10.42578125" style="4" bestFit="1" customWidth="1"/>
    <col min="7692" max="7692" width="5.7109375" style="4" bestFit="1" customWidth="1"/>
    <col min="7693" max="7693" width="12.140625" style="4" bestFit="1" customWidth="1"/>
    <col min="7694" max="7694" width="9.85546875" style="4" bestFit="1" customWidth="1"/>
    <col min="7695" max="7939" width="9.140625" style="4"/>
    <col min="7940" max="7940" width="31" style="4" customWidth="1"/>
    <col min="7941" max="7941" width="14" style="4" customWidth="1"/>
    <col min="7942" max="7942" width="9.140625" style="4"/>
    <col min="7943" max="7943" width="12.85546875" style="4" bestFit="1" customWidth="1"/>
    <col min="7944" max="7944" width="19.140625" style="4" customWidth="1"/>
    <col min="7945" max="7945" width="9.140625" style="4"/>
    <col min="7946" max="7946" width="12.42578125" style="4" bestFit="1" customWidth="1"/>
    <col min="7947" max="7947" width="10.42578125" style="4" bestFit="1" customWidth="1"/>
    <col min="7948" max="7948" width="5.7109375" style="4" bestFit="1" customWidth="1"/>
    <col min="7949" max="7949" width="12.140625" style="4" bestFit="1" customWidth="1"/>
    <col min="7950" max="7950" width="9.85546875" style="4" bestFit="1" customWidth="1"/>
    <col min="7951" max="8195" width="9.140625" style="4"/>
    <col min="8196" max="8196" width="31" style="4" customWidth="1"/>
    <col min="8197" max="8197" width="14" style="4" customWidth="1"/>
    <col min="8198" max="8198" width="9.140625" style="4"/>
    <col min="8199" max="8199" width="12.85546875" style="4" bestFit="1" customWidth="1"/>
    <col min="8200" max="8200" width="19.140625" style="4" customWidth="1"/>
    <col min="8201" max="8201" width="9.140625" style="4"/>
    <col min="8202" max="8202" width="12.42578125" style="4" bestFit="1" customWidth="1"/>
    <col min="8203" max="8203" width="10.42578125" style="4" bestFit="1" customWidth="1"/>
    <col min="8204" max="8204" width="5.7109375" style="4" bestFit="1" customWidth="1"/>
    <col min="8205" max="8205" width="12.140625" style="4" bestFit="1" customWidth="1"/>
    <col min="8206" max="8206" width="9.85546875" style="4" bestFit="1" customWidth="1"/>
    <col min="8207" max="8451" width="9.140625" style="4"/>
    <col min="8452" max="8452" width="31" style="4" customWidth="1"/>
    <col min="8453" max="8453" width="14" style="4" customWidth="1"/>
    <col min="8454" max="8454" width="9.140625" style="4"/>
    <col min="8455" max="8455" width="12.85546875" style="4" bestFit="1" customWidth="1"/>
    <col min="8456" max="8456" width="19.140625" style="4" customWidth="1"/>
    <col min="8457" max="8457" width="9.140625" style="4"/>
    <col min="8458" max="8458" width="12.42578125" style="4" bestFit="1" customWidth="1"/>
    <col min="8459" max="8459" width="10.42578125" style="4" bestFit="1" customWidth="1"/>
    <col min="8460" max="8460" width="5.7109375" style="4" bestFit="1" customWidth="1"/>
    <col min="8461" max="8461" width="12.140625" style="4" bestFit="1" customWidth="1"/>
    <col min="8462" max="8462" width="9.85546875" style="4" bestFit="1" customWidth="1"/>
    <col min="8463" max="8707" width="9.140625" style="4"/>
    <col min="8708" max="8708" width="31" style="4" customWidth="1"/>
    <col min="8709" max="8709" width="14" style="4" customWidth="1"/>
    <col min="8710" max="8710" width="9.140625" style="4"/>
    <col min="8711" max="8711" width="12.85546875" style="4" bestFit="1" customWidth="1"/>
    <col min="8712" max="8712" width="19.140625" style="4" customWidth="1"/>
    <col min="8713" max="8713" width="9.140625" style="4"/>
    <col min="8714" max="8714" width="12.42578125" style="4" bestFit="1" customWidth="1"/>
    <col min="8715" max="8715" width="10.42578125" style="4" bestFit="1" customWidth="1"/>
    <col min="8716" max="8716" width="5.7109375" style="4" bestFit="1" customWidth="1"/>
    <col min="8717" max="8717" width="12.140625" style="4" bestFit="1" customWidth="1"/>
    <col min="8718" max="8718" width="9.85546875" style="4" bestFit="1" customWidth="1"/>
    <col min="8719" max="8963" width="9.140625" style="4"/>
    <col min="8964" max="8964" width="31" style="4" customWidth="1"/>
    <col min="8965" max="8965" width="14" style="4" customWidth="1"/>
    <col min="8966" max="8966" width="9.140625" style="4"/>
    <col min="8967" max="8967" width="12.85546875" style="4" bestFit="1" customWidth="1"/>
    <col min="8968" max="8968" width="19.140625" style="4" customWidth="1"/>
    <col min="8969" max="8969" width="9.140625" style="4"/>
    <col min="8970" max="8970" width="12.42578125" style="4" bestFit="1" customWidth="1"/>
    <col min="8971" max="8971" width="10.42578125" style="4" bestFit="1" customWidth="1"/>
    <col min="8972" max="8972" width="5.7109375" style="4" bestFit="1" customWidth="1"/>
    <col min="8973" max="8973" width="12.140625" style="4" bestFit="1" customWidth="1"/>
    <col min="8974" max="8974" width="9.85546875" style="4" bestFit="1" customWidth="1"/>
    <col min="8975" max="9219" width="9.140625" style="4"/>
    <col min="9220" max="9220" width="31" style="4" customWidth="1"/>
    <col min="9221" max="9221" width="14" style="4" customWidth="1"/>
    <col min="9222" max="9222" width="9.140625" style="4"/>
    <col min="9223" max="9223" width="12.85546875" style="4" bestFit="1" customWidth="1"/>
    <col min="9224" max="9224" width="19.140625" style="4" customWidth="1"/>
    <col min="9225" max="9225" width="9.140625" style="4"/>
    <col min="9226" max="9226" width="12.42578125" style="4" bestFit="1" customWidth="1"/>
    <col min="9227" max="9227" width="10.42578125" style="4" bestFit="1" customWidth="1"/>
    <col min="9228" max="9228" width="5.7109375" style="4" bestFit="1" customWidth="1"/>
    <col min="9229" max="9229" width="12.140625" style="4" bestFit="1" customWidth="1"/>
    <col min="9230" max="9230" width="9.85546875" style="4" bestFit="1" customWidth="1"/>
    <col min="9231" max="9475" width="9.140625" style="4"/>
    <col min="9476" max="9476" width="31" style="4" customWidth="1"/>
    <col min="9477" max="9477" width="14" style="4" customWidth="1"/>
    <col min="9478" max="9478" width="9.140625" style="4"/>
    <col min="9479" max="9479" width="12.85546875" style="4" bestFit="1" customWidth="1"/>
    <col min="9480" max="9480" width="19.140625" style="4" customWidth="1"/>
    <col min="9481" max="9481" width="9.140625" style="4"/>
    <col min="9482" max="9482" width="12.42578125" style="4" bestFit="1" customWidth="1"/>
    <col min="9483" max="9483" width="10.42578125" style="4" bestFit="1" customWidth="1"/>
    <col min="9484" max="9484" width="5.7109375" style="4" bestFit="1" customWidth="1"/>
    <col min="9485" max="9485" width="12.140625" style="4" bestFit="1" customWidth="1"/>
    <col min="9486" max="9486" width="9.85546875" style="4" bestFit="1" customWidth="1"/>
    <col min="9487" max="9731" width="9.140625" style="4"/>
    <col min="9732" max="9732" width="31" style="4" customWidth="1"/>
    <col min="9733" max="9733" width="14" style="4" customWidth="1"/>
    <col min="9734" max="9734" width="9.140625" style="4"/>
    <col min="9735" max="9735" width="12.85546875" style="4" bestFit="1" customWidth="1"/>
    <col min="9736" max="9736" width="19.140625" style="4" customWidth="1"/>
    <col min="9737" max="9737" width="9.140625" style="4"/>
    <col min="9738" max="9738" width="12.42578125" style="4" bestFit="1" customWidth="1"/>
    <col min="9739" max="9739" width="10.42578125" style="4" bestFit="1" customWidth="1"/>
    <col min="9740" max="9740" width="5.7109375" style="4" bestFit="1" customWidth="1"/>
    <col min="9741" max="9741" width="12.140625" style="4" bestFit="1" customWidth="1"/>
    <col min="9742" max="9742" width="9.85546875" style="4" bestFit="1" customWidth="1"/>
    <col min="9743" max="9987" width="9.140625" style="4"/>
    <col min="9988" max="9988" width="31" style="4" customWidth="1"/>
    <col min="9989" max="9989" width="14" style="4" customWidth="1"/>
    <col min="9990" max="9990" width="9.140625" style="4"/>
    <col min="9991" max="9991" width="12.85546875" style="4" bestFit="1" customWidth="1"/>
    <col min="9992" max="9992" width="19.140625" style="4" customWidth="1"/>
    <col min="9993" max="9993" width="9.140625" style="4"/>
    <col min="9994" max="9994" width="12.42578125" style="4" bestFit="1" customWidth="1"/>
    <col min="9995" max="9995" width="10.42578125" style="4" bestFit="1" customWidth="1"/>
    <col min="9996" max="9996" width="5.7109375" style="4" bestFit="1" customWidth="1"/>
    <col min="9997" max="9997" width="12.140625" style="4" bestFit="1" customWidth="1"/>
    <col min="9998" max="9998" width="9.85546875" style="4" bestFit="1" customWidth="1"/>
    <col min="9999" max="10243" width="9.140625" style="4"/>
    <col min="10244" max="10244" width="31" style="4" customWidth="1"/>
    <col min="10245" max="10245" width="14" style="4" customWidth="1"/>
    <col min="10246" max="10246" width="9.140625" style="4"/>
    <col min="10247" max="10247" width="12.85546875" style="4" bestFit="1" customWidth="1"/>
    <col min="10248" max="10248" width="19.140625" style="4" customWidth="1"/>
    <col min="10249" max="10249" width="9.140625" style="4"/>
    <col min="10250" max="10250" width="12.42578125" style="4" bestFit="1" customWidth="1"/>
    <col min="10251" max="10251" width="10.42578125" style="4" bestFit="1" customWidth="1"/>
    <col min="10252" max="10252" width="5.7109375" style="4" bestFit="1" customWidth="1"/>
    <col min="10253" max="10253" width="12.140625" style="4" bestFit="1" customWidth="1"/>
    <col min="10254" max="10254" width="9.85546875" style="4" bestFit="1" customWidth="1"/>
    <col min="10255" max="10499" width="9.140625" style="4"/>
    <col min="10500" max="10500" width="31" style="4" customWidth="1"/>
    <col min="10501" max="10501" width="14" style="4" customWidth="1"/>
    <col min="10502" max="10502" width="9.140625" style="4"/>
    <col min="10503" max="10503" width="12.85546875" style="4" bestFit="1" customWidth="1"/>
    <col min="10504" max="10504" width="19.140625" style="4" customWidth="1"/>
    <col min="10505" max="10505" width="9.140625" style="4"/>
    <col min="10506" max="10506" width="12.42578125" style="4" bestFit="1" customWidth="1"/>
    <col min="10507" max="10507" width="10.42578125" style="4" bestFit="1" customWidth="1"/>
    <col min="10508" max="10508" width="5.7109375" style="4" bestFit="1" customWidth="1"/>
    <col min="10509" max="10509" width="12.140625" style="4" bestFit="1" customWidth="1"/>
    <col min="10510" max="10510" width="9.85546875" style="4" bestFit="1" customWidth="1"/>
    <col min="10511" max="10755" width="9.140625" style="4"/>
    <col min="10756" max="10756" width="31" style="4" customWidth="1"/>
    <col min="10757" max="10757" width="14" style="4" customWidth="1"/>
    <col min="10758" max="10758" width="9.140625" style="4"/>
    <col min="10759" max="10759" width="12.85546875" style="4" bestFit="1" customWidth="1"/>
    <col min="10760" max="10760" width="19.140625" style="4" customWidth="1"/>
    <col min="10761" max="10761" width="9.140625" style="4"/>
    <col min="10762" max="10762" width="12.42578125" style="4" bestFit="1" customWidth="1"/>
    <col min="10763" max="10763" width="10.42578125" style="4" bestFit="1" customWidth="1"/>
    <col min="10764" max="10764" width="5.7109375" style="4" bestFit="1" customWidth="1"/>
    <col min="10765" max="10765" width="12.140625" style="4" bestFit="1" customWidth="1"/>
    <col min="10766" max="10766" width="9.85546875" style="4" bestFit="1" customWidth="1"/>
    <col min="10767" max="11011" width="9.140625" style="4"/>
    <col min="11012" max="11012" width="31" style="4" customWidth="1"/>
    <col min="11013" max="11013" width="14" style="4" customWidth="1"/>
    <col min="11014" max="11014" width="9.140625" style="4"/>
    <col min="11015" max="11015" width="12.85546875" style="4" bestFit="1" customWidth="1"/>
    <col min="11016" max="11016" width="19.140625" style="4" customWidth="1"/>
    <col min="11017" max="11017" width="9.140625" style="4"/>
    <col min="11018" max="11018" width="12.42578125" style="4" bestFit="1" customWidth="1"/>
    <col min="11019" max="11019" width="10.42578125" style="4" bestFit="1" customWidth="1"/>
    <col min="11020" max="11020" width="5.7109375" style="4" bestFit="1" customWidth="1"/>
    <col min="11021" max="11021" width="12.140625" style="4" bestFit="1" customWidth="1"/>
    <col min="11022" max="11022" width="9.85546875" style="4" bestFit="1" customWidth="1"/>
    <col min="11023" max="11267" width="9.140625" style="4"/>
    <col min="11268" max="11268" width="31" style="4" customWidth="1"/>
    <col min="11269" max="11269" width="14" style="4" customWidth="1"/>
    <col min="11270" max="11270" width="9.140625" style="4"/>
    <col min="11271" max="11271" width="12.85546875" style="4" bestFit="1" customWidth="1"/>
    <col min="11272" max="11272" width="19.140625" style="4" customWidth="1"/>
    <col min="11273" max="11273" width="9.140625" style="4"/>
    <col min="11274" max="11274" width="12.42578125" style="4" bestFit="1" customWidth="1"/>
    <col min="11275" max="11275" width="10.42578125" style="4" bestFit="1" customWidth="1"/>
    <col min="11276" max="11276" width="5.7109375" style="4" bestFit="1" customWidth="1"/>
    <col min="11277" max="11277" width="12.140625" style="4" bestFit="1" customWidth="1"/>
    <col min="11278" max="11278" width="9.85546875" style="4" bestFit="1" customWidth="1"/>
    <col min="11279" max="11523" width="9.140625" style="4"/>
    <col min="11524" max="11524" width="31" style="4" customWidth="1"/>
    <col min="11525" max="11525" width="14" style="4" customWidth="1"/>
    <col min="11526" max="11526" width="9.140625" style="4"/>
    <col min="11527" max="11527" width="12.85546875" style="4" bestFit="1" customWidth="1"/>
    <col min="11528" max="11528" width="19.140625" style="4" customWidth="1"/>
    <col min="11529" max="11529" width="9.140625" style="4"/>
    <col min="11530" max="11530" width="12.42578125" style="4" bestFit="1" customWidth="1"/>
    <col min="11531" max="11531" width="10.42578125" style="4" bestFit="1" customWidth="1"/>
    <col min="11532" max="11532" width="5.7109375" style="4" bestFit="1" customWidth="1"/>
    <col min="11533" max="11533" width="12.140625" style="4" bestFit="1" customWidth="1"/>
    <col min="11534" max="11534" width="9.85546875" style="4" bestFit="1" customWidth="1"/>
    <col min="11535" max="11779" width="9.140625" style="4"/>
    <col min="11780" max="11780" width="31" style="4" customWidth="1"/>
    <col min="11781" max="11781" width="14" style="4" customWidth="1"/>
    <col min="11782" max="11782" width="9.140625" style="4"/>
    <col min="11783" max="11783" width="12.85546875" style="4" bestFit="1" customWidth="1"/>
    <col min="11784" max="11784" width="19.140625" style="4" customWidth="1"/>
    <col min="11785" max="11785" width="9.140625" style="4"/>
    <col min="11786" max="11786" width="12.42578125" style="4" bestFit="1" customWidth="1"/>
    <col min="11787" max="11787" width="10.42578125" style="4" bestFit="1" customWidth="1"/>
    <col min="11788" max="11788" width="5.7109375" style="4" bestFit="1" customWidth="1"/>
    <col min="11789" max="11789" width="12.140625" style="4" bestFit="1" customWidth="1"/>
    <col min="11790" max="11790" width="9.85546875" style="4" bestFit="1" customWidth="1"/>
    <col min="11791" max="12035" width="9.140625" style="4"/>
    <col min="12036" max="12036" width="31" style="4" customWidth="1"/>
    <col min="12037" max="12037" width="14" style="4" customWidth="1"/>
    <col min="12038" max="12038" width="9.140625" style="4"/>
    <col min="12039" max="12039" width="12.85546875" style="4" bestFit="1" customWidth="1"/>
    <col min="12040" max="12040" width="19.140625" style="4" customWidth="1"/>
    <col min="12041" max="12041" width="9.140625" style="4"/>
    <col min="12042" max="12042" width="12.42578125" style="4" bestFit="1" customWidth="1"/>
    <col min="12043" max="12043" width="10.42578125" style="4" bestFit="1" customWidth="1"/>
    <col min="12044" max="12044" width="5.7109375" style="4" bestFit="1" customWidth="1"/>
    <col min="12045" max="12045" width="12.140625" style="4" bestFit="1" customWidth="1"/>
    <col min="12046" max="12046" width="9.85546875" style="4" bestFit="1" customWidth="1"/>
    <col min="12047" max="12291" width="9.140625" style="4"/>
    <col min="12292" max="12292" width="31" style="4" customWidth="1"/>
    <col min="12293" max="12293" width="14" style="4" customWidth="1"/>
    <col min="12294" max="12294" width="9.140625" style="4"/>
    <col min="12295" max="12295" width="12.85546875" style="4" bestFit="1" customWidth="1"/>
    <col min="12296" max="12296" width="19.140625" style="4" customWidth="1"/>
    <col min="12297" max="12297" width="9.140625" style="4"/>
    <col min="12298" max="12298" width="12.42578125" style="4" bestFit="1" customWidth="1"/>
    <col min="12299" max="12299" width="10.42578125" style="4" bestFit="1" customWidth="1"/>
    <col min="12300" max="12300" width="5.7109375" style="4" bestFit="1" customWidth="1"/>
    <col min="12301" max="12301" width="12.140625" style="4" bestFit="1" customWidth="1"/>
    <col min="12302" max="12302" width="9.85546875" style="4" bestFit="1" customWidth="1"/>
    <col min="12303" max="12547" width="9.140625" style="4"/>
    <col min="12548" max="12548" width="31" style="4" customWidth="1"/>
    <col min="12549" max="12549" width="14" style="4" customWidth="1"/>
    <col min="12550" max="12550" width="9.140625" style="4"/>
    <col min="12551" max="12551" width="12.85546875" style="4" bestFit="1" customWidth="1"/>
    <col min="12552" max="12552" width="19.140625" style="4" customWidth="1"/>
    <col min="12553" max="12553" width="9.140625" style="4"/>
    <col min="12554" max="12554" width="12.42578125" style="4" bestFit="1" customWidth="1"/>
    <col min="12555" max="12555" width="10.42578125" style="4" bestFit="1" customWidth="1"/>
    <col min="12556" max="12556" width="5.7109375" style="4" bestFit="1" customWidth="1"/>
    <col min="12557" max="12557" width="12.140625" style="4" bestFit="1" customWidth="1"/>
    <col min="12558" max="12558" width="9.85546875" style="4" bestFit="1" customWidth="1"/>
    <col min="12559" max="12803" width="9.140625" style="4"/>
    <col min="12804" max="12804" width="31" style="4" customWidth="1"/>
    <col min="12805" max="12805" width="14" style="4" customWidth="1"/>
    <col min="12806" max="12806" width="9.140625" style="4"/>
    <col min="12807" max="12807" width="12.85546875" style="4" bestFit="1" customWidth="1"/>
    <col min="12808" max="12808" width="19.140625" style="4" customWidth="1"/>
    <col min="12809" max="12809" width="9.140625" style="4"/>
    <col min="12810" max="12810" width="12.42578125" style="4" bestFit="1" customWidth="1"/>
    <col min="12811" max="12811" width="10.42578125" style="4" bestFit="1" customWidth="1"/>
    <col min="12812" max="12812" width="5.7109375" style="4" bestFit="1" customWidth="1"/>
    <col min="12813" max="12813" width="12.140625" style="4" bestFit="1" customWidth="1"/>
    <col min="12814" max="12814" width="9.85546875" style="4" bestFit="1" customWidth="1"/>
    <col min="12815" max="13059" width="9.140625" style="4"/>
    <col min="13060" max="13060" width="31" style="4" customWidth="1"/>
    <col min="13061" max="13061" width="14" style="4" customWidth="1"/>
    <col min="13062" max="13062" width="9.140625" style="4"/>
    <col min="13063" max="13063" width="12.85546875" style="4" bestFit="1" customWidth="1"/>
    <col min="13064" max="13064" width="19.140625" style="4" customWidth="1"/>
    <col min="13065" max="13065" width="9.140625" style="4"/>
    <col min="13066" max="13066" width="12.42578125" style="4" bestFit="1" customWidth="1"/>
    <col min="13067" max="13067" width="10.42578125" style="4" bestFit="1" customWidth="1"/>
    <col min="13068" max="13068" width="5.7109375" style="4" bestFit="1" customWidth="1"/>
    <col min="13069" max="13069" width="12.140625" style="4" bestFit="1" customWidth="1"/>
    <col min="13070" max="13070" width="9.85546875" style="4" bestFit="1" customWidth="1"/>
    <col min="13071" max="13315" width="9.140625" style="4"/>
    <col min="13316" max="13316" width="31" style="4" customWidth="1"/>
    <col min="13317" max="13317" width="14" style="4" customWidth="1"/>
    <col min="13318" max="13318" width="9.140625" style="4"/>
    <col min="13319" max="13319" width="12.85546875" style="4" bestFit="1" customWidth="1"/>
    <col min="13320" max="13320" width="19.140625" style="4" customWidth="1"/>
    <col min="13321" max="13321" width="9.140625" style="4"/>
    <col min="13322" max="13322" width="12.42578125" style="4" bestFit="1" customWidth="1"/>
    <col min="13323" max="13323" width="10.42578125" style="4" bestFit="1" customWidth="1"/>
    <col min="13324" max="13324" width="5.7109375" style="4" bestFit="1" customWidth="1"/>
    <col min="13325" max="13325" width="12.140625" style="4" bestFit="1" customWidth="1"/>
    <col min="13326" max="13326" width="9.85546875" style="4" bestFit="1" customWidth="1"/>
    <col min="13327" max="13571" width="9.140625" style="4"/>
    <col min="13572" max="13572" width="31" style="4" customWidth="1"/>
    <col min="13573" max="13573" width="14" style="4" customWidth="1"/>
    <col min="13574" max="13574" width="9.140625" style="4"/>
    <col min="13575" max="13575" width="12.85546875" style="4" bestFit="1" customWidth="1"/>
    <col min="13576" max="13576" width="19.140625" style="4" customWidth="1"/>
    <col min="13577" max="13577" width="9.140625" style="4"/>
    <col min="13578" max="13578" width="12.42578125" style="4" bestFit="1" customWidth="1"/>
    <col min="13579" max="13579" width="10.42578125" style="4" bestFit="1" customWidth="1"/>
    <col min="13580" max="13580" width="5.7109375" style="4" bestFit="1" customWidth="1"/>
    <col min="13581" max="13581" width="12.140625" style="4" bestFit="1" customWidth="1"/>
    <col min="13582" max="13582" width="9.85546875" style="4" bestFit="1" customWidth="1"/>
    <col min="13583" max="13827" width="9.140625" style="4"/>
    <col min="13828" max="13828" width="31" style="4" customWidth="1"/>
    <col min="13829" max="13829" width="14" style="4" customWidth="1"/>
    <col min="13830" max="13830" width="9.140625" style="4"/>
    <col min="13831" max="13831" width="12.85546875" style="4" bestFit="1" customWidth="1"/>
    <col min="13832" max="13832" width="19.140625" style="4" customWidth="1"/>
    <col min="13833" max="13833" width="9.140625" style="4"/>
    <col min="13834" max="13834" width="12.42578125" style="4" bestFit="1" customWidth="1"/>
    <col min="13835" max="13835" width="10.42578125" style="4" bestFit="1" customWidth="1"/>
    <col min="13836" max="13836" width="5.7109375" style="4" bestFit="1" customWidth="1"/>
    <col min="13837" max="13837" width="12.140625" style="4" bestFit="1" customWidth="1"/>
    <col min="13838" max="13838" width="9.85546875" style="4" bestFit="1" customWidth="1"/>
    <col min="13839" max="14083" width="9.140625" style="4"/>
    <col min="14084" max="14084" width="31" style="4" customWidth="1"/>
    <col min="14085" max="14085" width="14" style="4" customWidth="1"/>
    <col min="14086" max="14086" width="9.140625" style="4"/>
    <col min="14087" max="14087" width="12.85546875" style="4" bestFit="1" customWidth="1"/>
    <col min="14088" max="14088" width="19.140625" style="4" customWidth="1"/>
    <col min="14089" max="14089" width="9.140625" style="4"/>
    <col min="14090" max="14090" width="12.42578125" style="4" bestFit="1" customWidth="1"/>
    <col min="14091" max="14091" width="10.42578125" style="4" bestFit="1" customWidth="1"/>
    <col min="14092" max="14092" width="5.7109375" style="4" bestFit="1" customWidth="1"/>
    <col min="14093" max="14093" width="12.140625" style="4" bestFit="1" customWidth="1"/>
    <col min="14094" max="14094" width="9.85546875" style="4" bestFit="1" customWidth="1"/>
    <col min="14095" max="14339" width="9.140625" style="4"/>
    <col min="14340" max="14340" width="31" style="4" customWidth="1"/>
    <col min="14341" max="14341" width="14" style="4" customWidth="1"/>
    <col min="14342" max="14342" width="9.140625" style="4"/>
    <col min="14343" max="14343" width="12.85546875" style="4" bestFit="1" customWidth="1"/>
    <col min="14344" max="14344" width="19.140625" style="4" customWidth="1"/>
    <col min="14345" max="14345" width="9.140625" style="4"/>
    <col min="14346" max="14346" width="12.42578125" style="4" bestFit="1" customWidth="1"/>
    <col min="14347" max="14347" width="10.42578125" style="4" bestFit="1" customWidth="1"/>
    <col min="14348" max="14348" width="5.7109375" style="4" bestFit="1" customWidth="1"/>
    <col min="14349" max="14349" width="12.140625" style="4" bestFit="1" customWidth="1"/>
    <col min="14350" max="14350" width="9.85546875" style="4" bestFit="1" customWidth="1"/>
    <col min="14351" max="14595" width="9.140625" style="4"/>
    <col min="14596" max="14596" width="31" style="4" customWidth="1"/>
    <col min="14597" max="14597" width="14" style="4" customWidth="1"/>
    <col min="14598" max="14598" width="9.140625" style="4"/>
    <col min="14599" max="14599" width="12.85546875" style="4" bestFit="1" customWidth="1"/>
    <col min="14600" max="14600" width="19.140625" style="4" customWidth="1"/>
    <col min="14601" max="14601" width="9.140625" style="4"/>
    <col min="14602" max="14602" width="12.42578125" style="4" bestFit="1" customWidth="1"/>
    <col min="14603" max="14603" width="10.42578125" style="4" bestFit="1" customWidth="1"/>
    <col min="14604" max="14604" width="5.7109375" style="4" bestFit="1" customWidth="1"/>
    <col min="14605" max="14605" width="12.140625" style="4" bestFit="1" customWidth="1"/>
    <col min="14606" max="14606" width="9.85546875" style="4" bestFit="1" customWidth="1"/>
    <col min="14607" max="14851" width="9.140625" style="4"/>
    <col min="14852" max="14852" width="31" style="4" customWidth="1"/>
    <col min="14853" max="14853" width="14" style="4" customWidth="1"/>
    <col min="14854" max="14854" width="9.140625" style="4"/>
    <col min="14855" max="14855" width="12.85546875" style="4" bestFit="1" customWidth="1"/>
    <col min="14856" max="14856" width="19.140625" style="4" customWidth="1"/>
    <col min="14857" max="14857" width="9.140625" style="4"/>
    <col min="14858" max="14858" width="12.42578125" style="4" bestFit="1" customWidth="1"/>
    <col min="14859" max="14859" width="10.42578125" style="4" bestFit="1" customWidth="1"/>
    <col min="14860" max="14860" width="5.7109375" style="4" bestFit="1" customWidth="1"/>
    <col min="14861" max="14861" width="12.140625" style="4" bestFit="1" customWidth="1"/>
    <col min="14862" max="14862" width="9.85546875" style="4" bestFit="1" customWidth="1"/>
    <col min="14863" max="15107" width="9.140625" style="4"/>
    <col min="15108" max="15108" width="31" style="4" customWidth="1"/>
    <col min="15109" max="15109" width="14" style="4" customWidth="1"/>
    <col min="15110" max="15110" width="9.140625" style="4"/>
    <col min="15111" max="15111" width="12.85546875" style="4" bestFit="1" customWidth="1"/>
    <col min="15112" max="15112" width="19.140625" style="4" customWidth="1"/>
    <col min="15113" max="15113" width="9.140625" style="4"/>
    <col min="15114" max="15114" width="12.42578125" style="4" bestFit="1" customWidth="1"/>
    <col min="15115" max="15115" width="10.42578125" style="4" bestFit="1" customWidth="1"/>
    <col min="15116" max="15116" width="5.7109375" style="4" bestFit="1" customWidth="1"/>
    <col min="15117" max="15117" width="12.140625" style="4" bestFit="1" customWidth="1"/>
    <col min="15118" max="15118" width="9.85546875" style="4" bestFit="1" customWidth="1"/>
    <col min="15119" max="15363" width="9.140625" style="4"/>
    <col min="15364" max="15364" width="31" style="4" customWidth="1"/>
    <col min="15365" max="15365" width="14" style="4" customWidth="1"/>
    <col min="15366" max="15366" width="9.140625" style="4"/>
    <col min="15367" max="15367" width="12.85546875" style="4" bestFit="1" customWidth="1"/>
    <col min="15368" max="15368" width="19.140625" style="4" customWidth="1"/>
    <col min="15369" max="15369" width="9.140625" style="4"/>
    <col min="15370" max="15370" width="12.42578125" style="4" bestFit="1" customWidth="1"/>
    <col min="15371" max="15371" width="10.42578125" style="4" bestFit="1" customWidth="1"/>
    <col min="15372" max="15372" width="5.7109375" style="4" bestFit="1" customWidth="1"/>
    <col min="15373" max="15373" width="12.140625" style="4" bestFit="1" customWidth="1"/>
    <col min="15374" max="15374" width="9.85546875" style="4" bestFit="1" customWidth="1"/>
    <col min="15375" max="15619" width="9.140625" style="4"/>
    <col min="15620" max="15620" width="31" style="4" customWidth="1"/>
    <col min="15621" max="15621" width="14" style="4" customWidth="1"/>
    <col min="15622" max="15622" width="9.140625" style="4"/>
    <col min="15623" max="15623" width="12.85546875" style="4" bestFit="1" customWidth="1"/>
    <col min="15624" max="15624" width="19.140625" style="4" customWidth="1"/>
    <col min="15625" max="15625" width="9.140625" style="4"/>
    <col min="15626" max="15626" width="12.42578125" style="4" bestFit="1" customWidth="1"/>
    <col min="15627" max="15627" width="10.42578125" style="4" bestFit="1" customWidth="1"/>
    <col min="15628" max="15628" width="5.7109375" style="4" bestFit="1" customWidth="1"/>
    <col min="15629" max="15629" width="12.140625" style="4" bestFit="1" customWidth="1"/>
    <col min="15630" max="15630" width="9.85546875" style="4" bestFit="1" customWidth="1"/>
    <col min="15631" max="15875" width="9.140625" style="4"/>
    <col min="15876" max="15876" width="31" style="4" customWidth="1"/>
    <col min="15877" max="15877" width="14" style="4" customWidth="1"/>
    <col min="15878" max="15878" width="9.140625" style="4"/>
    <col min="15879" max="15879" width="12.85546875" style="4" bestFit="1" customWidth="1"/>
    <col min="15880" max="15880" width="19.140625" style="4" customWidth="1"/>
    <col min="15881" max="15881" width="9.140625" style="4"/>
    <col min="15882" max="15882" width="12.42578125" style="4" bestFit="1" customWidth="1"/>
    <col min="15883" max="15883" width="10.42578125" style="4" bestFit="1" customWidth="1"/>
    <col min="15884" max="15884" width="5.7109375" style="4" bestFit="1" customWidth="1"/>
    <col min="15885" max="15885" width="12.140625" style="4" bestFit="1" customWidth="1"/>
    <col min="15886" max="15886" width="9.85546875" style="4" bestFit="1" customWidth="1"/>
    <col min="15887" max="16131" width="9.140625" style="4"/>
    <col min="16132" max="16132" width="31" style="4" customWidth="1"/>
    <col min="16133" max="16133" width="14" style="4" customWidth="1"/>
    <col min="16134" max="16134" width="9.140625" style="4"/>
    <col min="16135" max="16135" width="12.85546875" style="4" bestFit="1" customWidth="1"/>
    <col min="16136" max="16136" width="19.140625" style="4" customWidth="1"/>
    <col min="16137" max="16137" width="9.140625" style="4"/>
    <col min="16138" max="16138" width="12.42578125" style="4" bestFit="1" customWidth="1"/>
    <col min="16139" max="16139" width="10.42578125" style="4" bestFit="1" customWidth="1"/>
    <col min="16140" max="16140" width="5.7109375" style="4" bestFit="1" customWidth="1"/>
    <col min="16141" max="16141" width="12.140625" style="4" bestFit="1" customWidth="1"/>
    <col min="16142" max="16142" width="9.85546875" style="4" bestFit="1" customWidth="1"/>
    <col min="16143" max="16384" width="9.140625" style="4"/>
  </cols>
  <sheetData>
    <row r="1" spans="1:14" s="32" customFormat="1" ht="15" customHeight="1" x14ac:dyDescent="0.25">
      <c r="A1" s="31"/>
      <c r="B1" s="449" t="str">
        <f>orçamento!A1</f>
        <v>TERPLANC - TERRAPLENAGEM  PLANEJAMENTO CONSTRUÇÃO E SEVIÇOS  EIRELE - EPP</v>
      </c>
      <c r="C1" s="449"/>
      <c r="D1" s="449"/>
      <c r="E1" s="449"/>
      <c r="F1" s="449"/>
      <c r="G1" s="449"/>
      <c r="H1" s="449"/>
      <c r="I1" s="449"/>
      <c r="J1" s="124"/>
      <c r="K1" s="123"/>
      <c r="L1" s="42"/>
    </row>
    <row r="2" spans="1:14" s="32" customFormat="1" ht="15" customHeight="1" x14ac:dyDescent="0.25">
      <c r="A2" s="31"/>
      <c r="B2" s="449"/>
      <c r="C2" s="449"/>
      <c r="D2" s="449"/>
      <c r="E2" s="449"/>
      <c r="F2" s="449"/>
      <c r="G2" s="449"/>
      <c r="H2" s="449"/>
      <c r="I2" s="449"/>
      <c r="J2" s="124"/>
      <c r="K2" s="123"/>
      <c r="L2" s="42"/>
    </row>
    <row r="3" spans="1:14" s="32" customFormat="1" ht="15" customHeight="1" x14ac:dyDescent="0.25">
      <c r="A3" s="31"/>
      <c r="B3" s="449"/>
      <c r="C3" s="449"/>
      <c r="D3" s="449"/>
      <c r="E3" s="449"/>
      <c r="F3" s="449"/>
      <c r="G3" s="449"/>
      <c r="H3" s="449"/>
      <c r="I3" s="449"/>
      <c r="J3" s="124"/>
      <c r="K3" s="123"/>
      <c r="L3" s="42"/>
    </row>
    <row r="4" spans="1:14" s="32" customFormat="1" ht="12.75" x14ac:dyDescent="0.25">
      <c r="A4" s="31"/>
      <c r="B4" s="449"/>
      <c r="C4" s="449"/>
      <c r="D4" s="449"/>
      <c r="E4" s="449"/>
      <c r="F4" s="449"/>
      <c r="G4" s="449"/>
      <c r="H4" s="449"/>
      <c r="I4" s="449"/>
      <c r="J4" s="125"/>
      <c r="K4" s="123"/>
      <c r="L4" s="42"/>
    </row>
    <row r="5" spans="1:14" s="32" customFormat="1" ht="12.75" x14ac:dyDescent="0.2">
      <c r="A5" s="31"/>
      <c r="B5" s="152"/>
      <c r="C5" s="126" t="str">
        <f>orçamento!A5</f>
        <v xml:space="preserve"> PREFEITURA MUNICIPAL DE OEIRAS DO PARÁ</v>
      </c>
      <c r="D5" s="159"/>
      <c r="E5" s="127"/>
      <c r="F5" s="328"/>
      <c r="G5" s="153"/>
      <c r="H5" s="127"/>
      <c r="I5" s="127"/>
      <c r="J5" s="128"/>
      <c r="K5" s="123"/>
      <c r="L5" s="42"/>
    </row>
    <row r="6" spans="1:14" s="32" customFormat="1" ht="25.5" x14ac:dyDescent="0.2">
      <c r="A6" s="31"/>
      <c r="B6" s="152"/>
      <c r="C6" s="126" t="str">
        <f>orçamento!A6</f>
        <v>OBRA:  CONSTRUÇÃO DE ESCOLA PADRÃO FNDE 12 (DOZE) SALAS DE AULA NO MUNICIPIO DE OEIRAS DO PARÁ/PA</v>
      </c>
      <c r="D6" s="160"/>
      <c r="E6" s="88"/>
      <c r="F6" s="327"/>
      <c r="G6" s="154"/>
      <c r="H6" s="67"/>
      <c r="I6" s="67"/>
      <c r="J6" s="129"/>
      <c r="K6" s="123"/>
      <c r="L6" s="42"/>
    </row>
    <row r="7" spans="1:14" s="32" customFormat="1" ht="15" customHeight="1" x14ac:dyDescent="0.2">
      <c r="A7" s="31"/>
      <c r="B7" s="152"/>
      <c r="C7" s="126" t="str">
        <f>orçamento!A8</f>
        <v>PRAZO DE EXECUÇÃO: 9 MESES</v>
      </c>
      <c r="D7" s="160"/>
      <c r="E7" s="88"/>
      <c r="F7" s="327"/>
      <c r="G7" s="154"/>
      <c r="H7" s="67"/>
      <c r="I7" s="67"/>
      <c r="J7" s="129"/>
      <c r="K7" s="123"/>
      <c r="L7" s="42"/>
    </row>
    <row r="8" spans="1:14" s="32" customFormat="1" ht="15" customHeight="1" x14ac:dyDescent="0.2">
      <c r="A8" s="31"/>
      <c r="B8" s="152"/>
      <c r="C8" s="126"/>
      <c r="D8" s="160"/>
      <c r="E8" s="88"/>
      <c r="F8" s="327"/>
      <c r="G8" s="154"/>
      <c r="H8" s="67"/>
      <c r="I8" s="67"/>
      <c r="J8" s="129"/>
      <c r="K8" s="123"/>
      <c r="L8" s="42"/>
    </row>
    <row r="9" spans="1:14" s="32" customFormat="1" ht="15" customHeight="1" x14ac:dyDescent="0.2">
      <c r="A9" s="31"/>
      <c r="B9" s="152"/>
      <c r="C9" s="448" t="s">
        <v>95</v>
      </c>
      <c r="D9" s="448"/>
      <c r="E9" s="448"/>
      <c r="F9" s="448"/>
      <c r="G9" s="448"/>
      <c r="H9" s="448"/>
      <c r="I9" s="448"/>
      <c r="J9" s="129"/>
      <c r="K9" s="123"/>
      <c r="L9" s="42"/>
    </row>
    <row r="10" spans="1:14" s="33" customFormat="1" ht="9.75" customHeight="1" x14ac:dyDescent="0.2">
      <c r="A10" s="24"/>
      <c r="B10" s="152"/>
      <c r="C10" s="130"/>
      <c r="D10" s="161"/>
      <c r="E10" s="131"/>
      <c r="F10" s="329"/>
      <c r="G10" s="155"/>
      <c r="H10" s="131"/>
      <c r="I10" s="131"/>
      <c r="J10" s="134"/>
      <c r="K10" s="325">
        <v>0.27079999999999999</v>
      </c>
      <c r="L10" s="326">
        <f>'Enc. Soc. (Horista)'!C48</f>
        <v>148.42458427956456</v>
      </c>
      <c r="N10" s="372">
        <v>1</v>
      </c>
    </row>
    <row r="11" spans="1:14" s="24" customFormat="1" ht="25.5" customHeight="1" x14ac:dyDescent="0.25">
      <c r="A11" s="443"/>
      <c r="B11" s="444" t="s">
        <v>1</v>
      </c>
      <c r="C11" s="447" t="s">
        <v>89</v>
      </c>
      <c r="D11" s="445" t="s">
        <v>66</v>
      </c>
      <c r="E11" s="446" t="s">
        <v>90</v>
      </c>
      <c r="F11" s="330"/>
      <c r="G11" s="442" t="s">
        <v>91</v>
      </c>
      <c r="H11" s="441" t="s">
        <v>249</v>
      </c>
      <c r="I11" s="441"/>
      <c r="J11" s="135"/>
      <c r="K11" s="135" t="s">
        <v>99</v>
      </c>
      <c r="L11" s="55" t="s">
        <v>100</v>
      </c>
    </row>
    <row r="12" spans="1:14" s="33" customFormat="1" x14ac:dyDescent="0.25">
      <c r="A12" s="443"/>
      <c r="B12" s="444"/>
      <c r="C12" s="447"/>
      <c r="D12" s="445"/>
      <c r="E12" s="446"/>
      <c r="F12" s="330"/>
      <c r="G12" s="442"/>
      <c r="H12" s="89" t="s">
        <v>250</v>
      </c>
      <c r="I12" s="89" t="s">
        <v>251</v>
      </c>
      <c r="J12" s="134"/>
      <c r="K12" s="135"/>
      <c r="L12" s="41"/>
    </row>
    <row r="13" spans="1:14" s="64" customFormat="1" ht="17.25" customHeight="1" x14ac:dyDescent="0.2">
      <c r="A13" s="26"/>
      <c r="B13" s="148"/>
      <c r="C13" s="388" t="str">
        <f>orçamento!D14</f>
        <v>Barracão de obra</v>
      </c>
      <c r="D13" s="75" t="s">
        <v>52</v>
      </c>
      <c r="E13" s="67"/>
      <c r="F13" s="327"/>
      <c r="G13" s="71"/>
      <c r="H13" s="67"/>
      <c r="I13" s="67"/>
      <c r="J13" s="134"/>
      <c r="K13" s="324">
        <v>0.2999</v>
      </c>
      <c r="L13" s="41">
        <v>1.4842</v>
      </c>
    </row>
    <row r="14" spans="1:14" s="64" customFormat="1" ht="25.5" x14ac:dyDescent="0.2">
      <c r="A14" s="63"/>
      <c r="B14" s="385"/>
      <c r="C14" s="122" t="s">
        <v>261</v>
      </c>
      <c r="D14" s="75" t="s">
        <v>64</v>
      </c>
      <c r="E14" s="67">
        <f>M14*N10</f>
        <v>308.96073000000001</v>
      </c>
      <c r="F14" s="327">
        <v>365.63400000000001</v>
      </c>
      <c r="G14" s="71">
        <v>1.4999999999999999E-2</v>
      </c>
      <c r="H14" s="67"/>
      <c r="I14" s="67">
        <f>E14*G14</f>
        <v>4.6344109500000004</v>
      </c>
      <c r="J14" s="134"/>
      <c r="K14" s="324">
        <v>0.2999</v>
      </c>
      <c r="L14" s="41">
        <v>1.4842</v>
      </c>
      <c r="M14" s="67">
        <v>308.96073000000001</v>
      </c>
    </row>
    <row r="15" spans="1:14" s="64" customFormat="1" x14ac:dyDescent="0.2">
      <c r="A15" s="63"/>
      <c r="B15" s="385"/>
      <c r="C15" s="122" t="s">
        <v>306</v>
      </c>
      <c r="D15" s="75" t="s">
        <v>57</v>
      </c>
      <c r="E15" s="67">
        <f>M15*N10</f>
        <v>26.110499999999998</v>
      </c>
      <c r="F15" s="327">
        <v>30.9</v>
      </c>
      <c r="G15" s="71">
        <v>1.02</v>
      </c>
      <c r="H15" s="67"/>
      <c r="I15" s="67">
        <f>E15*G15</f>
        <v>26.632709999999999</v>
      </c>
      <c r="J15" s="134"/>
      <c r="K15" s="324">
        <v>0.2999</v>
      </c>
      <c r="L15" s="41">
        <v>1.4842</v>
      </c>
      <c r="M15" s="67">
        <v>26.110499999999998</v>
      </c>
    </row>
    <row r="16" spans="1:14" s="64" customFormat="1" ht="25.5" x14ac:dyDescent="0.2">
      <c r="A16" s="63"/>
      <c r="B16" s="385"/>
      <c r="C16" s="122" t="s">
        <v>262</v>
      </c>
      <c r="D16" s="75" t="s">
        <v>57</v>
      </c>
      <c r="E16" s="67">
        <f>M16*N10</f>
        <v>23.203700000000001</v>
      </c>
      <c r="F16" s="327">
        <v>27.46</v>
      </c>
      <c r="G16" s="71">
        <v>1</v>
      </c>
      <c r="H16" s="67"/>
      <c r="I16" s="67">
        <f>E16*G16</f>
        <v>23.203700000000001</v>
      </c>
      <c r="J16" s="134"/>
      <c r="K16" s="324">
        <v>0.2999</v>
      </c>
      <c r="L16" s="41">
        <v>1.4842</v>
      </c>
      <c r="M16" s="67">
        <v>23.203700000000001</v>
      </c>
    </row>
    <row r="17" spans="1:13" s="64" customFormat="1" x14ac:dyDescent="0.2">
      <c r="A17" s="63"/>
      <c r="B17" s="385"/>
      <c r="C17" s="122" t="s">
        <v>263</v>
      </c>
      <c r="D17" s="75" t="s">
        <v>64</v>
      </c>
      <c r="E17" s="67">
        <f>M17*N10</f>
        <v>69.42519999999999</v>
      </c>
      <c r="F17" s="327">
        <v>82.16</v>
      </c>
      <c r="G17" s="71">
        <v>1.4999999999999999E-2</v>
      </c>
      <c r="H17" s="67"/>
      <c r="I17" s="67">
        <f>E17*G17</f>
        <v>1.0413779999999999</v>
      </c>
      <c r="J17" s="134"/>
      <c r="K17" s="324">
        <v>0.2999</v>
      </c>
      <c r="L17" s="41">
        <v>1.4842</v>
      </c>
      <c r="M17" s="67">
        <v>69.42519999999999</v>
      </c>
    </row>
    <row r="18" spans="1:13" s="64" customFormat="1" ht="25.5" x14ac:dyDescent="0.2">
      <c r="A18" s="63"/>
      <c r="B18" s="385"/>
      <c r="C18" s="122" t="s">
        <v>264</v>
      </c>
      <c r="D18" s="75" t="s">
        <v>57</v>
      </c>
      <c r="E18" s="67">
        <f>M18*N10</f>
        <v>16.342299999999998</v>
      </c>
      <c r="F18" s="327">
        <v>19.34</v>
      </c>
      <c r="G18" s="71">
        <v>0.38600000000000001</v>
      </c>
      <c r="H18" s="67"/>
      <c r="I18" s="67">
        <f t="shared" ref="I18:I26" si="0">E18*G17</f>
        <v>0.24513449999999995</v>
      </c>
      <c r="J18" s="134"/>
      <c r="K18" s="324">
        <v>0.2999</v>
      </c>
      <c r="L18" s="41">
        <v>1.4842</v>
      </c>
      <c r="M18" s="67">
        <v>16.342299999999998</v>
      </c>
    </row>
    <row r="19" spans="1:13" s="64" customFormat="1" ht="38.25" x14ac:dyDescent="0.2">
      <c r="A19" s="63"/>
      <c r="B19" s="385"/>
      <c r="C19" s="122" t="s">
        <v>285</v>
      </c>
      <c r="D19" s="75" t="s">
        <v>8</v>
      </c>
      <c r="E19" s="67">
        <f>M19*N10</f>
        <v>0.1183</v>
      </c>
      <c r="F19" s="327">
        <v>0.14000000000000001</v>
      </c>
      <c r="G19" s="71">
        <v>0.214</v>
      </c>
      <c r="H19" s="67"/>
      <c r="I19" s="67">
        <f t="shared" si="0"/>
        <v>4.5663800000000004E-2</v>
      </c>
      <c r="J19" s="134"/>
      <c r="K19" s="324">
        <v>0.2999</v>
      </c>
      <c r="L19" s="41">
        <v>1.4842</v>
      </c>
      <c r="M19" s="67">
        <v>0.1183</v>
      </c>
    </row>
    <row r="20" spans="1:13" s="64" customFormat="1" x14ac:dyDescent="0.2">
      <c r="A20" s="63"/>
      <c r="B20" s="385"/>
      <c r="C20" s="122" t="s">
        <v>265</v>
      </c>
      <c r="D20" s="75" t="s">
        <v>50</v>
      </c>
      <c r="E20" s="67">
        <f>M20*N10</f>
        <v>6.4980500000000001</v>
      </c>
      <c r="F20" s="327">
        <v>7.69</v>
      </c>
      <c r="G20" s="71">
        <v>5.7000000000000002E-3</v>
      </c>
      <c r="H20" s="67"/>
      <c r="I20" s="67">
        <f t="shared" si="0"/>
        <v>1.3905826999999999</v>
      </c>
      <c r="J20" s="134"/>
      <c r="K20" s="324">
        <v>0.2999</v>
      </c>
      <c r="L20" s="41">
        <v>1.4842</v>
      </c>
      <c r="M20" s="67">
        <v>6.4980500000000001</v>
      </c>
    </row>
    <row r="21" spans="1:13" s="64" customFormat="1" ht="25.5" x14ac:dyDescent="0.2">
      <c r="A21" s="63"/>
      <c r="B21" s="385"/>
      <c r="C21" s="122" t="s">
        <v>266</v>
      </c>
      <c r="D21" s="75" t="s">
        <v>62</v>
      </c>
      <c r="E21" s="67">
        <f>M21*N10</f>
        <v>5.1291500000000001</v>
      </c>
      <c r="F21" s="327">
        <v>6.07</v>
      </c>
      <c r="G21" s="71">
        <v>0.7</v>
      </c>
      <c r="H21" s="67"/>
      <c r="I21" s="67">
        <f t="shared" si="0"/>
        <v>2.9236155000000003E-2</v>
      </c>
      <c r="J21" s="134"/>
      <c r="K21" s="324">
        <v>0.2999</v>
      </c>
      <c r="L21" s="41">
        <v>1.4842</v>
      </c>
      <c r="M21" s="67">
        <v>5.1291500000000001</v>
      </c>
    </row>
    <row r="22" spans="1:13" s="64" customFormat="1" ht="38.25" x14ac:dyDescent="0.2">
      <c r="A22" s="63"/>
      <c r="B22" s="385"/>
      <c r="C22" s="122" t="s">
        <v>253</v>
      </c>
      <c r="D22" s="75" t="s">
        <v>62</v>
      </c>
      <c r="E22" s="67">
        <f>M22*N10</f>
        <v>2.8053999999999997</v>
      </c>
      <c r="F22" s="327">
        <v>3.32</v>
      </c>
      <c r="G22" s="71">
        <v>0.9</v>
      </c>
      <c r="H22" s="67"/>
      <c r="I22" s="67">
        <f t="shared" si="0"/>
        <v>1.9637799999999996</v>
      </c>
      <c r="J22" s="134"/>
      <c r="K22" s="324">
        <v>0.2999</v>
      </c>
      <c r="L22" s="41">
        <v>1.4842</v>
      </c>
      <c r="M22" s="67">
        <v>2.8053999999999997</v>
      </c>
    </row>
    <row r="23" spans="1:13" s="64" customFormat="1" x14ac:dyDescent="0.2">
      <c r="A23" s="63"/>
      <c r="B23" s="385"/>
      <c r="C23" s="122" t="s">
        <v>254</v>
      </c>
      <c r="D23" s="75" t="s">
        <v>94</v>
      </c>
      <c r="E23" s="67">
        <f>M23*N10</f>
        <v>6.0924499999999995</v>
      </c>
      <c r="F23" s="327">
        <v>7.21</v>
      </c>
      <c r="G23" s="71">
        <v>0.1</v>
      </c>
      <c r="H23" s="67"/>
      <c r="I23" s="67">
        <f t="shared" si="0"/>
        <v>5.4832049999999999</v>
      </c>
      <c r="J23" s="134"/>
      <c r="K23" s="324">
        <v>0.2999</v>
      </c>
      <c r="L23" s="41">
        <v>1.4842</v>
      </c>
      <c r="M23" s="67">
        <v>6.0924499999999995</v>
      </c>
    </row>
    <row r="24" spans="1:13" s="64" customFormat="1" ht="25.5" x14ac:dyDescent="0.2">
      <c r="A24" s="63"/>
      <c r="B24" s="385"/>
      <c r="C24" s="122" t="s">
        <v>267</v>
      </c>
      <c r="D24" s="75" t="s">
        <v>50</v>
      </c>
      <c r="E24" s="67">
        <f>M24*N10</f>
        <v>14.8889</v>
      </c>
      <c r="F24" s="327">
        <v>17.62</v>
      </c>
      <c r="G24" s="71">
        <v>5.7999999999999996E-3</v>
      </c>
      <c r="H24" s="67"/>
      <c r="I24" s="67">
        <f t="shared" si="0"/>
        <v>1.48889</v>
      </c>
      <c r="J24" s="134"/>
      <c r="K24" s="324">
        <v>0.2999</v>
      </c>
      <c r="L24" s="41">
        <v>1.4842</v>
      </c>
      <c r="M24" s="67">
        <v>14.8889</v>
      </c>
    </row>
    <row r="25" spans="1:13" s="64" customFormat="1" x14ac:dyDescent="0.2">
      <c r="A25" s="63"/>
      <c r="B25" s="385"/>
      <c r="C25" s="122" t="s">
        <v>268</v>
      </c>
      <c r="D25" s="75" t="s">
        <v>50</v>
      </c>
      <c r="E25" s="67">
        <f>M25*N10</f>
        <v>4.4615999999999998</v>
      </c>
      <c r="F25" s="327">
        <v>5.28</v>
      </c>
      <c r="G25" s="71">
        <v>5.7999999999999996E-3</v>
      </c>
      <c r="H25" s="67"/>
      <c r="I25" s="67">
        <f t="shared" si="0"/>
        <v>2.5877279999999996E-2</v>
      </c>
      <c r="J25" s="134"/>
      <c r="K25" s="324">
        <v>0.2999</v>
      </c>
      <c r="L25" s="41">
        <v>1.4842</v>
      </c>
      <c r="M25" s="67">
        <v>4.4615999999999998</v>
      </c>
    </row>
    <row r="26" spans="1:13" s="64" customFormat="1" ht="25.5" x14ac:dyDescent="0.2">
      <c r="A26" s="63"/>
      <c r="B26" s="385"/>
      <c r="C26" s="122" t="s">
        <v>269</v>
      </c>
      <c r="D26" s="75" t="s">
        <v>52</v>
      </c>
      <c r="E26" s="67">
        <f>M26*N10</f>
        <v>17.5929</v>
      </c>
      <c r="F26" s="327">
        <v>20.82</v>
      </c>
      <c r="G26" s="71">
        <v>0.318</v>
      </c>
      <c r="H26" s="67"/>
      <c r="I26" s="67">
        <f t="shared" si="0"/>
        <v>0.10203881999999999</v>
      </c>
      <c r="J26" s="134"/>
      <c r="K26" s="324">
        <v>0.2999</v>
      </c>
      <c r="L26" s="41">
        <v>1.4842</v>
      </c>
      <c r="M26" s="67">
        <v>17.5929</v>
      </c>
    </row>
    <row r="27" spans="1:13" s="64" customFormat="1" x14ac:dyDescent="0.2">
      <c r="A27" s="63"/>
      <c r="B27" s="385"/>
      <c r="C27" s="122" t="s">
        <v>270</v>
      </c>
      <c r="D27" s="75" t="s">
        <v>57</v>
      </c>
      <c r="E27" s="67">
        <f>M27*N10</f>
        <v>51.122499999999995</v>
      </c>
      <c r="F27" s="327">
        <v>60.5</v>
      </c>
      <c r="G27" s="71">
        <v>2.3E-2</v>
      </c>
      <c r="H27" s="67"/>
      <c r="I27" s="67">
        <f t="shared" ref="I27:I39" si="1">E27*G23</f>
        <v>5.1122499999999995</v>
      </c>
      <c r="J27" s="134"/>
      <c r="K27" s="324">
        <v>0.2999</v>
      </c>
      <c r="L27" s="41">
        <v>1.4842</v>
      </c>
      <c r="M27" s="67">
        <v>51.122499999999995</v>
      </c>
    </row>
    <row r="28" spans="1:13" s="64" customFormat="1" ht="25.5" x14ac:dyDescent="0.2">
      <c r="A28" s="63"/>
      <c r="B28" s="385"/>
      <c r="C28" s="122" t="s">
        <v>271</v>
      </c>
      <c r="D28" s="75" t="s">
        <v>50</v>
      </c>
      <c r="E28" s="67">
        <f>M28*N10</f>
        <v>64.5411</v>
      </c>
      <c r="F28" s="327">
        <v>76.38</v>
      </c>
      <c r="G28" s="71">
        <v>1.15E-2</v>
      </c>
      <c r="H28" s="67"/>
      <c r="I28" s="67">
        <f t="shared" si="1"/>
        <v>0.37433837999999997</v>
      </c>
      <c r="J28" s="134"/>
      <c r="K28" s="324">
        <v>0.2999</v>
      </c>
      <c r="L28" s="41">
        <v>1.4842</v>
      </c>
      <c r="M28" s="67">
        <v>64.5411</v>
      </c>
    </row>
    <row r="29" spans="1:13" s="64" customFormat="1" ht="25.5" x14ac:dyDescent="0.2">
      <c r="A29" s="63"/>
      <c r="B29" s="385"/>
      <c r="C29" s="122" t="s">
        <v>272</v>
      </c>
      <c r="D29" s="75" t="s">
        <v>62</v>
      </c>
      <c r="E29" s="67">
        <f>M29*N10</f>
        <v>4.1743000000000006</v>
      </c>
      <c r="F29" s="327">
        <v>4.9400000000000004</v>
      </c>
      <c r="G29" s="71">
        <v>0.25</v>
      </c>
      <c r="H29" s="67"/>
      <c r="I29" s="67">
        <f t="shared" si="1"/>
        <v>2.421094E-2</v>
      </c>
      <c r="J29" s="134"/>
      <c r="K29" s="324">
        <v>0.2999</v>
      </c>
      <c r="L29" s="41">
        <v>1.4842</v>
      </c>
      <c r="M29" s="67">
        <v>4.1743000000000006</v>
      </c>
    </row>
    <row r="30" spans="1:13" s="64" customFormat="1" ht="24" customHeight="1" x14ac:dyDescent="0.2">
      <c r="A30" s="63"/>
      <c r="B30" s="385"/>
      <c r="C30" s="122" t="s">
        <v>273</v>
      </c>
      <c r="D30" s="75" t="s">
        <v>94</v>
      </c>
      <c r="E30" s="67">
        <f>M30*N10</f>
        <v>2.6871</v>
      </c>
      <c r="F30" s="327">
        <v>3.18</v>
      </c>
      <c r="G30" s="71">
        <v>0.30299999999999999</v>
      </c>
      <c r="H30" s="67"/>
      <c r="I30" s="67">
        <f t="shared" si="1"/>
        <v>0.85449779999999997</v>
      </c>
      <c r="J30" s="134"/>
      <c r="K30" s="324">
        <v>0.2999</v>
      </c>
      <c r="L30" s="41">
        <v>1.4842</v>
      </c>
      <c r="M30" s="67">
        <v>2.6871</v>
      </c>
    </row>
    <row r="31" spans="1:13" s="64" customFormat="1" ht="25.5" x14ac:dyDescent="0.2">
      <c r="A31" s="63"/>
      <c r="B31" s="385"/>
      <c r="C31" s="122" t="s">
        <v>274</v>
      </c>
      <c r="D31" s="75" t="s">
        <v>50</v>
      </c>
      <c r="E31" s="67">
        <f>M31*N10</f>
        <v>3.3799999999999997E-2</v>
      </c>
      <c r="F31" s="327">
        <v>0.04</v>
      </c>
      <c r="G31" s="71">
        <v>1.28</v>
      </c>
      <c r="H31" s="67"/>
      <c r="I31" s="67">
        <f t="shared" si="1"/>
        <v>7.7739999999999992E-4</v>
      </c>
      <c r="J31" s="134"/>
      <c r="K31" s="324">
        <v>0.2999</v>
      </c>
      <c r="L31" s="41">
        <v>1.4842</v>
      </c>
      <c r="M31" s="67">
        <v>3.3799999999999997E-2</v>
      </c>
    </row>
    <row r="32" spans="1:13" s="64" customFormat="1" x14ac:dyDescent="0.2">
      <c r="A32" s="63"/>
      <c r="B32" s="385"/>
      <c r="C32" s="122" t="s">
        <v>307</v>
      </c>
      <c r="D32" s="75" t="s">
        <v>50</v>
      </c>
      <c r="E32" s="67">
        <f>M32*N10</f>
        <v>2.8898999999999999</v>
      </c>
      <c r="F32" s="327">
        <v>3.42</v>
      </c>
      <c r="G32" s="71">
        <v>3.4599999999999999E-2</v>
      </c>
      <c r="H32" s="67"/>
      <c r="I32" s="67">
        <f t="shared" si="1"/>
        <v>3.3233849999999995E-2</v>
      </c>
      <c r="J32" s="134"/>
      <c r="K32" s="324">
        <v>0.2999</v>
      </c>
      <c r="L32" s="41">
        <v>1.4842</v>
      </c>
      <c r="M32" s="67">
        <v>2.8898999999999999</v>
      </c>
    </row>
    <row r="33" spans="1:13" s="64" customFormat="1" ht="19.5" customHeight="1" x14ac:dyDescent="0.2">
      <c r="A33" s="63"/>
      <c r="B33" s="385"/>
      <c r="C33" s="122" t="s">
        <v>275</v>
      </c>
      <c r="D33" s="75" t="s">
        <v>50</v>
      </c>
      <c r="E33" s="67">
        <f>M33*N10</f>
        <v>7.5965499999999997</v>
      </c>
      <c r="F33" s="327">
        <v>8.99</v>
      </c>
      <c r="G33" s="71">
        <v>5.7999999999999996E-3</v>
      </c>
      <c r="H33" s="67"/>
      <c r="I33" s="67">
        <f t="shared" si="1"/>
        <v>1.8991374999999999</v>
      </c>
      <c r="J33" s="134"/>
      <c r="K33" s="324">
        <v>0.2999</v>
      </c>
      <c r="L33" s="41">
        <v>1.4842</v>
      </c>
      <c r="M33" s="67">
        <v>7.5965499999999997</v>
      </c>
    </row>
    <row r="34" spans="1:13" s="64" customFormat="1" ht="25.5" x14ac:dyDescent="0.2">
      <c r="A34" s="63"/>
      <c r="B34" s="385"/>
      <c r="C34" s="122" t="s">
        <v>276</v>
      </c>
      <c r="D34" s="75" t="s">
        <v>62</v>
      </c>
      <c r="E34" s="67">
        <f>M34*N10</f>
        <v>2.1294</v>
      </c>
      <c r="F34" s="327">
        <v>2.52</v>
      </c>
      <c r="G34" s="155">
        <v>0.53600000000000003</v>
      </c>
      <c r="H34" s="67"/>
      <c r="I34" s="67">
        <f t="shared" si="1"/>
        <v>0.64520820000000001</v>
      </c>
      <c r="J34" s="134"/>
      <c r="K34" s="324">
        <v>0.2999</v>
      </c>
      <c r="L34" s="41">
        <v>1.4842</v>
      </c>
      <c r="M34" s="67">
        <v>2.1294</v>
      </c>
    </row>
    <row r="35" spans="1:13" s="64" customFormat="1" ht="25.5" x14ac:dyDescent="0.2">
      <c r="A35" s="63"/>
      <c r="B35" s="385"/>
      <c r="C35" s="122" t="s">
        <v>277</v>
      </c>
      <c r="D35" s="75" t="s">
        <v>50</v>
      </c>
      <c r="E35" s="67">
        <f>M35*N10</f>
        <v>3.1687499999999997</v>
      </c>
      <c r="F35" s="327">
        <v>3.75</v>
      </c>
      <c r="G35" s="155">
        <v>2.3E-2</v>
      </c>
      <c r="H35" s="67"/>
      <c r="I35" s="67">
        <f t="shared" si="1"/>
        <v>4.056</v>
      </c>
      <c r="J35" s="134"/>
      <c r="K35" s="324">
        <v>0.2999</v>
      </c>
      <c r="L35" s="41">
        <v>1.4842</v>
      </c>
      <c r="M35" s="67">
        <v>3.1687499999999997</v>
      </c>
    </row>
    <row r="36" spans="1:13" s="64" customFormat="1" ht="25.5" x14ac:dyDescent="0.2">
      <c r="A36" s="63"/>
      <c r="B36" s="385"/>
      <c r="C36" s="122" t="s">
        <v>278</v>
      </c>
      <c r="D36" s="75" t="s">
        <v>50</v>
      </c>
      <c r="E36" s="67">
        <f>M36*N10</f>
        <v>7.1740500000000003</v>
      </c>
      <c r="F36" s="327">
        <v>8.49</v>
      </c>
      <c r="G36" s="155">
        <v>2.1999999999999999E-2</v>
      </c>
      <c r="H36" s="67"/>
      <c r="I36" s="67">
        <f t="shared" si="1"/>
        <v>0.24822213000000001</v>
      </c>
      <c r="J36" s="134"/>
      <c r="K36" s="324">
        <v>0.2999</v>
      </c>
      <c r="L36" s="41">
        <v>1.4842</v>
      </c>
      <c r="M36" s="67">
        <v>7.1740500000000003</v>
      </c>
    </row>
    <row r="37" spans="1:13" s="64" customFormat="1" x14ac:dyDescent="0.2">
      <c r="A37" s="63"/>
      <c r="B37" s="385"/>
      <c r="C37" s="122" t="s">
        <v>279</v>
      </c>
      <c r="D37" s="75" t="s">
        <v>50</v>
      </c>
      <c r="E37" s="67">
        <f>M37*N10</f>
        <v>1.9096999999999997</v>
      </c>
      <c r="F37" s="327">
        <v>2.2599999999999998</v>
      </c>
      <c r="G37" s="155">
        <v>4.6100000000000002E-2</v>
      </c>
      <c r="H37" s="67"/>
      <c r="I37" s="67">
        <f t="shared" si="1"/>
        <v>1.1076259999999997E-2</v>
      </c>
      <c r="J37" s="134"/>
      <c r="K37" s="324">
        <v>0.2999</v>
      </c>
      <c r="L37" s="41">
        <v>1.4842</v>
      </c>
      <c r="M37" s="67">
        <v>1.9096999999999997</v>
      </c>
    </row>
    <row r="38" spans="1:13" s="64" customFormat="1" x14ac:dyDescent="0.2">
      <c r="A38" s="63"/>
      <c r="B38" s="385"/>
      <c r="C38" s="122" t="s">
        <v>280</v>
      </c>
      <c r="D38" s="75" t="s">
        <v>50</v>
      </c>
      <c r="E38" s="67">
        <f>M38*N10</f>
        <v>9.9118499999999994</v>
      </c>
      <c r="F38" s="327">
        <v>11.73</v>
      </c>
      <c r="G38" s="71">
        <v>4.6100000000000002E-2</v>
      </c>
      <c r="H38" s="67"/>
      <c r="I38" s="67">
        <f t="shared" si="1"/>
        <v>5.3127516000000004</v>
      </c>
      <c r="J38" s="134"/>
      <c r="K38" s="324">
        <v>0.2999</v>
      </c>
      <c r="L38" s="41">
        <v>1.4842</v>
      </c>
      <c r="M38" s="67">
        <v>9.9118499999999994</v>
      </c>
    </row>
    <row r="39" spans="1:13" x14ac:dyDescent="0.25">
      <c r="B39" s="385"/>
      <c r="C39" s="142" t="s">
        <v>281</v>
      </c>
      <c r="D39" s="75" t="s">
        <v>50</v>
      </c>
      <c r="E39" s="67">
        <f>M39*N10</f>
        <v>1.0308999999999999</v>
      </c>
      <c r="F39" s="332">
        <v>1.22</v>
      </c>
      <c r="G39" s="158">
        <v>2.4E-2</v>
      </c>
      <c r="I39" s="67">
        <f t="shared" si="1"/>
        <v>2.3710699999999998E-2</v>
      </c>
      <c r="K39" s="324">
        <v>0.2999</v>
      </c>
      <c r="L39" s="41">
        <v>1.4842</v>
      </c>
      <c r="M39" s="67">
        <v>1.0308999999999999</v>
      </c>
    </row>
    <row r="40" spans="1:13" s="64" customFormat="1" x14ac:dyDescent="0.2">
      <c r="A40" s="63"/>
      <c r="B40" s="385"/>
      <c r="C40" s="122" t="s">
        <v>282</v>
      </c>
      <c r="D40" s="75" t="s">
        <v>53</v>
      </c>
      <c r="E40" s="67">
        <f>M40*N10</f>
        <v>4.40245</v>
      </c>
      <c r="F40" s="327"/>
      <c r="G40" s="71">
        <v>2.6579999999999999</v>
      </c>
      <c r="H40" s="67">
        <f>E40*G40</f>
        <v>11.7017121</v>
      </c>
      <c r="I40" s="131"/>
      <c r="J40" s="134"/>
      <c r="K40" s="324">
        <v>0.2999</v>
      </c>
      <c r="L40" s="41">
        <v>1.4842</v>
      </c>
      <c r="M40" s="67">
        <v>4.40245</v>
      </c>
    </row>
    <row r="41" spans="1:13" s="64" customFormat="1" x14ac:dyDescent="0.2">
      <c r="A41" s="63"/>
      <c r="B41" s="385"/>
      <c r="C41" s="122" t="s">
        <v>283</v>
      </c>
      <c r="D41" s="75" t="s">
        <v>53</v>
      </c>
      <c r="E41" s="67">
        <f>M41*N10</f>
        <v>4.40245</v>
      </c>
      <c r="F41" s="327"/>
      <c r="G41" s="71">
        <v>0.01</v>
      </c>
      <c r="H41" s="67">
        <f>E41*G41</f>
        <v>4.4024500000000001E-2</v>
      </c>
      <c r="I41" s="131"/>
      <c r="J41" s="134"/>
      <c r="K41" s="324">
        <v>0.2999</v>
      </c>
      <c r="L41" s="41">
        <v>1.4842</v>
      </c>
      <c r="M41" s="67">
        <v>4.40245</v>
      </c>
    </row>
    <row r="42" spans="1:13" s="64" customFormat="1" x14ac:dyDescent="0.2">
      <c r="A42" s="63"/>
      <c r="B42" s="385"/>
      <c r="C42" s="122" t="s">
        <v>258</v>
      </c>
      <c r="D42" s="75" t="s">
        <v>53</v>
      </c>
      <c r="E42" s="67">
        <f>M42*N10</f>
        <v>4.40245</v>
      </c>
      <c r="F42" s="327"/>
      <c r="G42" s="71">
        <v>8.9999999999999993E-3</v>
      </c>
      <c r="H42" s="67">
        <f>E42*G42</f>
        <v>3.9622049999999999E-2</v>
      </c>
      <c r="I42" s="131"/>
      <c r="J42" s="134"/>
      <c r="K42" s="324">
        <v>0.2999</v>
      </c>
      <c r="L42" s="41">
        <v>1.4842</v>
      </c>
      <c r="M42" s="67">
        <v>4.40245</v>
      </c>
    </row>
    <row r="43" spans="1:13" s="64" customFormat="1" x14ac:dyDescent="0.2">
      <c r="A43" s="63"/>
      <c r="B43" s="385"/>
      <c r="C43" s="122" t="s">
        <v>284</v>
      </c>
      <c r="D43" s="75" t="s">
        <v>53</v>
      </c>
      <c r="E43" s="67">
        <f>M43*N10</f>
        <v>3.5067500000000003</v>
      </c>
      <c r="F43" s="327"/>
      <c r="G43" s="71">
        <v>0.01</v>
      </c>
      <c r="H43" s="67">
        <f>E43*G43</f>
        <v>3.5067500000000001E-2</v>
      </c>
      <c r="I43" s="131"/>
      <c r="J43" s="134"/>
      <c r="K43" s="324">
        <v>0.2999</v>
      </c>
      <c r="L43" s="41">
        <v>1.4842</v>
      </c>
      <c r="M43" s="67">
        <v>3.5067500000000003</v>
      </c>
    </row>
    <row r="44" spans="1:13" s="64" customFormat="1" x14ac:dyDescent="0.2">
      <c r="A44" s="63"/>
      <c r="B44" s="385"/>
      <c r="C44" s="122" t="s">
        <v>259</v>
      </c>
      <c r="D44" s="75" t="s">
        <v>53</v>
      </c>
      <c r="E44" s="67">
        <f>M44*N10</f>
        <v>3.1856499999999999</v>
      </c>
      <c r="F44" s="327"/>
      <c r="G44" s="71">
        <v>4.34</v>
      </c>
      <c r="H44" s="67">
        <f>E44*G44</f>
        <v>13.825721</v>
      </c>
      <c r="I44" s="131"/>
      <c r="J44" s="134"/>
      <c r="K44" s="324">
        <v>0.2999</v>
      </c>
      <c r="L44" s="41">
        <v>1.4842</v>
      </c>
      <c r="M44" s="67">
        <v>3.1856499999999999</v>
      </c>
    </row>
    <row r="45" spans="1:13" s="64" customFormat="1" x14ac:dyDescent="0.2">
      <c r="A45" s="63"/>
      <c r="B45" s="385"/>
      <c r="C45" s="122"/>
      <c r="D45" s="75"/>
      <c r="E45" s="67"/>
      <c r="F45" s="327"/>
      <c r="G45" s="71"/>
      <c r="H45" s="67"/>
      <c r="I45" s="67"/>
      <c r="J45" s="134"/>
      <c r="K45" s="324">
        <v>0.2999</v>
      </c>
      <c r="L45" s="41">
        <v>1.4842</v>
      </c>
    </row>
    <row r="46" spans="1:13" s="64" customFormat="1" x14ac:dyDescent="0.2">
      <c r="A46" s="63"/>
      <c r="B46" s="385"/>
      <c r="C46" s="122"/>
      <c r="D46" s="75"/>
      <c r="E46" s="438" t="s">
        <v>51</v>
      </c>
      <c r="F46" s="438"/>
      <c r="G46" s="438"/>
      <c r="H46" s="69">
        <f>SUM(H14:H45)</f>
        <v>25.646147150000001</v>
      </c>
      <c r="I46" s="69">
        <f>SUM(I14:I45)</f>
        <v>84.882021965000007</v>
      </c>
      <c r="J46" s="134"/>
      <c r="K46" s="324">
        <v>0.2999</v>
      </c>
      <c r="L46" s="41">
        <v>1.4842</v>
      </c>
    </row>
    <row r="47" spans="1:13" s="64" customFormat="1" x14ac:dyDescent="0.2">
      <c r="A47" s="63"/>
      <c r="B47" s="385"/>
      <c r="C47" s="122"/>
      <c r="D47" s="75"/>
      <c r="E47" s="438" t="s">
        <v>458</v>
      </c>
      <c r="F47" s="438"/>
      <c r="G47" s="438"/>
      <c r="H47" s="67">
        <f>H46*L47</f>
        <v>38.06401160003</v>
      </c>
      <c r="I47" s="131"/>
      <c r="J47" s="134"/>
      <c r="K47" s="324">
        <v>0.2999</v>
      </c>
      <c r="L47" s="41">
        <v>1.4842</v>
      </c>
    </row>
    <row r="48" spans="1:13" s="64" customFormat="1" x14ac:dyDescent="0.2">
      <c r="A48" s="63"/>
      <c r="B48" s="385"/>
      <c r="C48" s="122"/>
      <c r="D48" s="75"/>
      <c r="E48" s="438" t="s">
        <v>493</v>
      </c>
      <c r="F48" s="438"/>
      <c r="G48" s="438"/>
      <c r="H48" s="439">
        <f>(H46+I46+H47)*K48</f>
        <v>44.562794996437496</v>
      </c>
      <c r="I48" s="439"/>
      <c r="J48" s="134"/>
      <c r="K48" s="324">
        <v>0.2999</v>
      </c>
      <c r="L48" s="41">
        <v>1.4842</v>
      </c>
    </row>
    <row r="49" spans="1:14" s="64" customFormat="1" x14ac:dyDescent="0.2">
      <c r="A49" s="63"/>
      <c r="B49" s="385"/>
      <c r="C49" s="122"/>
      <c r="D49" s="75"/>
      <c r="E49" s="438" t="s">
        <v>92</v>
      </c>
      <c r="F49" s="438"/>
      <c r="G49" s="438"/>
      <c r="H49" s="67"/>
      <c r="I49" s="69">
        <f>(H46+I46+H47+H48)</f>
        <v>193.1549757114675</v>
      </c>
      <c r="J49" s="134"/>
      <c r="K49" s="324">
        <v>0.2999</v>
      </c>
      <c r="L49" s="41">
        <v>1.4842</v>
      </c>
      <c r="M49" s="64">
        <v>193.15</v>
      </c>
      <c r="N49" s="86">
        <f>I49-M49</f>
        <v>4.9757114674946479E-3</v>
      </c>
    </row>
    <row r="50" spans="1:14" s="64" customFormat="1" ht="15" customHeight="1" x14ac:dyDescent="0.2">
      <c r="A50" s="63"/>
      <c r="B50" s="385"/>
      <c r="C50" s="122"/>
      <c r="D50" s="75"/>
      <c r="E50" s="382"/>
      <c r="F50" s="382"/>
      <c r="G50" s="382"/>
      <c r="H50" s="67"/>
      <c r="I50" s="69"/>
      <c r="J50" s="134"/>
      <c r="K50" s="324">
        <v>0.2999</v>
      </c>
      <c r="L50" s="41">
        <v>1.4842</v>
      </c>
    </row>
    <row r="51" spans="1:14" s="58" customFormat="1" x14ac:dyDescent="0.2">
      <c r="A51" s="77"/>
      <c r="B51" s="364"/>
      <c r="C51" s="388" t="str">
        <f>orçamento!D15</f>
        <v>Ligação  provisória de água</v>
      </c>
      <c r="D51" s="75" t="str">
        <f>D63</f>
        <v>U N</v>
      </c>
      <c r="E51" s="67"/>
      <c r="F51" s="327"/>
      <c r="G51" s="71"/>
      <c r="H51" s="67"/>
      <c r="I51" s="67"/>
      <c r="J51" s="141"/>
      <c r="K51" s="324">
        <v>0.2999</v>
      </c>
      <c r="L51" s="27">
        <f t="shared" ref="L51:L61" si="2">L50</f>
        <v>1.4842</v>
      </c>
    </row>
    <row r="52" spans="1:14" s="64" customFormat="1" x14ac:dyDescent="0.2">
      <c r="A52" s="63"/>
      <c r="B52" s="385"/>
      <c r="C52" s="122" t="s">
        <v>304</v>
      </c>
      <c r="D52" s="75" t="s">
        <v>9</v>
      </c>
      <c r="E52" s="67">
        <f>M52*N10</f>
        <v>200</v>
      </c>
      <c r="F52" s="327">
        <v>200</v>
      </c>
      <c r="G52" s="71">
        <v>1</v>
      </c>
      <c r="H52" s="67"/>
      <c r="I52" s="67">
        <f>E52*G52</f>
        <v>200</v>
      </c>
      <c r="J52" s="134"/>
      <c r="K52" s="324">
        <v>0.2999</v>
      </c>
      <c r="L52" s="27">
        <f t="shared" si="2"/>
        <v>1.4842</v>
      </c>
      <c r="M52" s="67">
        <v>200</v>
      </c>
    </row>
    <row r="53" spans="1:14" s="64" customFormat="1" x14ac:dyDescent="0.2">
      <c r="A53" s="63"/>
      <c r="B53" s="385"/>
      <c r="C53" s="122" t="s">
        <v>289</v>
      </c>
      <c r="D53" s="75" t="s">
        <v>53</v>
      </c>
      <c r="E53" s="67">
        <f>M53*N10</f>
        <v>5.21</v>
      </c>
      <c r="F53" s="327"/>
      <c r="G53" s="71">
        <v>0.9</v>
      </c>
      <c r="H53" s="67">
        <f>E53*G53</f>
        <v>4.6890000000000001</v>
      </c>
      <c r="I53" s="131"/>
      <c r="J53" s="134"/>
      <c r="K53" s="324">
        <v>0.2999</v>
      </c>
      <c r="L53" s="27">
        <f t="shared" si="2"/>
        <v>1.4842</v>
      </c>
      <c r="M53" s="67">
        <v>5.21</v>
      </c>
    </row>
    <row r="54" spans="1:14" s="64" customFormat="1" x14ac:dyDescent="0.2">
      <c r="A54" s="63"/>
      <c r="B54" s="385"/>
      <c r="C54" s="122" t="s">
        <v>282</v>
      </c>
      <c r="D54" s="75" t="s">
        <v>53</v>
      </c>
      <c r="E54" s="67">
        <f>M54*N10</f>
        <v>5.21</v>
      </c>
      <c r="F54" s="327"/>
      <c r="G54" s="71">
        <v>0.9</v>
      </c>
      <c r="H54" s="67">
        <f>E54*G54</f>
        <v>4.6890000000000001</v>
      </c>
      <c r="I54" s="131"/>
      <c r="J54" s="134"/>
      <c r="K54" s="324">
        <v>0.2999</v>
      </c>
      <c r="L54" s="27">
        <f t="shared" si="2"/>
        <v>1.4842</v>
      </c>
      <c r="M54" s="68">
        <v>5.21</v>
      </c>
    </row>
    <row r="55" spans="1:14" s="64" customFormat="1" x14ac:dyDescent="0.2">
      <c r="A55" s="63"/>
      <c r="B55" s="385"/>
      <c r="C55" s="122" t="s">
        <v>303</v>
      </c>
      <c r="D55" s="75" t="s">
        <v>53</v>
      </c>
      <c r="E55" s="67">
        <f>M55*N10</f>
        <v>5.21</v>
      </c>
      <c r="F55" s="327"/>
      <c r="G55" s="71">
        <v>0.9</v>
      </c>
      <c r="H55" s="67">
        <f>E55*G55</f>
        <v>4.6890000000000001</v>
      </c>
      <c r="I55" s="131"/>
      <c r="J55" s="134"/>
      <c r="K55" s="324">
        <v>0.2999</v>
      </c>
      <c r="L55" s="27">
        <f t="shared" si="2"/>
        <v>1.4842</v>
      </c>
      <c r="M55" s="67">
        <v>5.21</v>
      </c>
    </row>
    <row r="56" spans="1:14" s="64" customFormat="1" x14ac:dyDescent="0.2">
      <c r="A56" s="63"/>
      <c r="B56" s="385"/>
      <c r="C56" s="122" t="s">
        <v>259</v>
      </c>
      <c r="D56" s="75" t="s">
        <v>53</v>
      </c>
      <c r="E56" s="67">
        <f>M56*N10</f>
        <v>3.77</v>
      </c>
      <c r="F56" s="327"/>
      <c r="G56" s="71">
        <v>1.716</v>
      </c>
      <c r="H56" s="67">
        <f>E56*G56</f>
        <v>6.4693199999999997</v>
      </c>
      <c r="I56" s="131"/>
      <c r="J56" s="134"/>
      <c r="K56" s="324">
        <v>0.2999</v>
      </c>
      <c r="L56" s="27">
        <f t="shared" si="2"/>
        <v>1.4842</v>
      </c>
      <c r="M56" s="67">
        <v>3.77</v>
      </c>
    </row>
    <row r="57" spans="1:14" s="64" customFormat="1" x14ac:dyDescent="0.2">
      <c r="A57" s="63"/>
      <c r="B57" s="385"/>
      <c r="C57" s="122"/>
      <c r="D57" s="75"/>
      <c r="E57" s="67"/>
      <c r="F57" s="327"/>
      <c r="G57" s="71"/>
      <c r="H57" s="67"/>
      <c r="I57" s="67"/>
      <c r="J57" s="134"/>
      <c r="K57" s="324">
        <v>0.2999</v>
      </c>
      <c r="L57" s="27">
        <f t="shared" si="2"/>
        <v>1.4842</v>
      </c>
    </row>
    <row r="58" spans="1:14" s="64" customFormat="1" x14ac:dyDescent="0.2">
      <c r="A58" s="63"/>
      <c r="B58" s="385"/>
      <c r="C58" s="122"/>
      <c r="D58" s="75"/>
      <c r="E58" s="438" t="s">
        <v>51</v>
      </c>
      <c r="F58" s="438"/>
      <c r="G58" s="438"/>
      <c r="H58" s="69">
        <f>SUM(H52:H57)</f>
        <v>20.53632</v>
      </c>
      <c r="I58" s="69">
        <f>SUM(I52:I57)</f>
        <v>200</v>
      </c>
      <c r="J58" s="134"/>
      <c r="K58" s="324">
        <v>0.2999</v>
      </c>
      <c r="L58" s="27">
        <f t="shared" si="2"/>
        <v>1.4842</v>
      </c>
    </row>
    <row r="59" spans="1:14" s="64" customFormat="1" x14ac:dyDescent="0.2">
      <c r="A59" s="63"/>
      <c r="B59" s="385"/>
      <c r="C59" s="122"/>
      <c r="D59" s="75"/>
      <c r="E59" s="438" t="s">
        <v>458</v>
      </c>
      <c r="F59" s="438"/>
      <c r="G59" s="438"/>
      <c r="H59" s="67">
        <f>H58*L59</f>
        <v>30.480006144000001</v>
      </c>
      <c r="I59" s="131"/>
      <c r="J59" s="134"/>
      <c r="K59" s="324">
        <v>0.2999</v>
      </c>
      <c r="L59" s="27">
        <f t="shared" si="2"/>
        <v>1.4842</v>
      </c>
    </row>
    <row r="60" spans="1:14" s="64" customFormat="1" x14ac:dyDescent="0.2">
      <c r="A60" s="63"/>
      <c r="B60" s="385"/>
      <c r="C60" s="122"/>
      <c r="D60" s="75"/>
      <c r="E60" s="438" t="s">
        <v>493</v>
      </c>
      <c r="F60" s="438"/>
      <c r="G60" s="438"/>
      <c r="H60" s="439">
        <f>(H58+I58+H59)*K60</f>
        <v>75.279796210585602</v>
      </c>
      <c r="I60" s="439"/>
      <c r="J60" s="134"/>
      <c r="K60" s="324">
        <v>0.2999</v>
      </c>
      <c r="L60" s="27">
        <f t="shared" si="2"/>
        <v>1.4842</v>
      </c>
    </row>
    <row r="61" spans="1:14" s="64" customFormat="1" x14ac:dyDescent="0.2">
      <c r="A61" s="63"/>
      <c r="B61" s="385"/>
      <c r="C61" s="122"/>
      <c r="D61" s="75"/>
      <c r="E61" s="438" t="s">
        <v>92</v>
      </c>
      <c r="F61" s="438"/>
      <c r="G61" s="438"/>
      <c r="H61" s="67"/>
      <c r="I61" s="69">
        <f>(H58+I58+H59+H60)</f>
        <v>326.29612235458558</v>
      </c>
      <c r="J61" s="134"/>
      <c r="K61" s="324">
        <v>0.2999</v>
      </c>
      <c r="L61" s="27">
        <f t="shared" si="2"/>
        <v>1.4842</v>
      </c>
      <c r="M61" s="64">
        <v>326.3</v>
      </c>
      <c r="N61" s="86">
        <f>I61-M61</f>
        <v>-3.8776454144340278E-3</v>
      </c>
    </row>
    <row r="62" spans="1:14" s="64" customFormat="1" ht="15" customHeight="1" x14ac:dyDescent="0.2">
      <c r="A62" s="63"/>
      <c r="B62" s="385"/>
      <c r="C62" s="122"/>
      <c r="D62" s="75"/>
      <c r="E62" s="382"/>
      <c r="F62" s="382"/>
      <c r="G62" s="382"/>
      <c r="H62" s="67"/>
      <c r="I62" s="69"/>
      <c r="J62" s="134"/>
      <c r="K62" s="324">
        <v>0.2999</v>
      </c>
      <c r="L62" s="41">
        <v>1.4842</v>
      </c>
    </row>
    <row r="63" spans="1:14" s="64" customFormat="1" ht="15" customHeight="1" x14ac:dyDescent="0.2">
      <c r="A63" s="63"/>
      <c r="B63" s="385"/>
      <c r="C63" s="398" t="str">
        <f>orçamento!D16</f>
        <v>Ligação provisória de energia</v>
      </c>
      <c r="D63" s="75" t="s">
        <v>58</v>
      </c>
      <c r="E63" s="382"/>
      <c r="F63" s="382"/>
      <c r="G63" s="382"/>
      <c r="H63" s="67"/>
      <c r="I63" s="69"/>
      <c r="J63" s="134"/>
      <c r="K63" s="324">
        <v>0.2999</v>
      </c>
      <c r="L63" s="41">
        <v>1.4842</v>
      </c>
    </row>
    <row r="64" spans="1:14" s="64" customFormat="1" ht="15" customHeight="1" x14ac:dyDescent="0.2">
      <c r="A64" s="63"/>
      <c r="B64" s="385"/>
      <c r="C64" s="122" t="s">
        <v>260</v>
      </c>
      <c r="D64" s="75" t="s">
        <v>93</v>
      </c>
      <c r="E64" s="382">
        <f>M64*N10</f>
        <v>752.49</v>
      </c>
      <c r="F64" s="382">
        <v>403</v>
      </c>
      <c r="G64" s="382">
        <v>1</v>
      </c>
      <c r="H64" s="67"/>
      <c r="I64" s="69">
        <f>E64*G64</f>
        <v>752.49</v>
      </c>
      <c r="J64" s="134"/>
      <c r="K64" s="324">
        <v>0.2999</v>
      </c>
      <c r="L64" s="41">
        <v>1.4842</v>
      </c>
      <c r="M64" s="382">
        <v>752.49</v>
      </c>
    </row>
    <row r="65" spans="1:14" s="64" customFormat="1" ht="15" customHeight="1" x14ac:dyDescent="0.2">
      <c r="A65" s="63"/>
      <c r="B65" s="385"/>
      <c r="C65" s="122" t="s">
        <v>59</v>
      </c>
      <c r="D65" s="75" t="s">
        <v>53</v>
      </c>
      <c r="E65" s="382">
        <f>M65*N10</f>
        <v>5.21</v>
      </c>
      <c r="F65" s="382"/>
      <c r="G65" s="382">
        <v>16</v>
      </c>
      <c r="H65" s="67">
        <f>E65*G65</f>
        <v>83.36</v>
      </c>
      <c r="I65" s="69"/>
      <c r="J65" s="134"/>
      <c r="K65" s="324">
        <v>0.2999</v>
      </c>
      <c r="L65" s="41">
        <v>1.4842</v>
      </c>
      <c r="M65" s="382">
        <v>5.21</v>
      </c>
    </row>
    <row r="66" spans="1:14" s="64" customFormat="1" ht="15" customHeight="1" x14ac:dyDescent="0.2">
      <c r="A66" s="63"/>
      <c r="B66" s="385"/>
      <c r="C66" s="122" t="s">
        <v>60</v>
      </c>
      <c r="D66" s="75" t="s">
        <v>53</v>
      </c>
      <c r="E66" s="67">
        <f>M66*N10</f>
        <v>3.77</v>
      </c>
      <c r="F66" s="382"/>
      <c r="G66" s="382">
        <v>3</v>
      </c>
      <c r="H66" s="67">
        <f t="shared" ref="H66:H67" si="3">E66*G66</f>
        <v>11.31</v>
      </c>
      <c r="I66" s="69"/>
      <c r="J66" s="134"/>
      <c r="K66" s="324">
        <v>0.2999</v>
      </c>
      <c r="L66" s="41">
        <v>1.4842</v>
      </c>
      <c r="M66" s="382">
        <v>3.77</v>
      </c>
    </row>
    <row r="67" spans="1:14" s="64" customFormat="1" ht="15" customHeight="1" x14ac:dyDescent="0.2">
      <c r="A67" s="63"/>
      <c r="B67" s="385"/>
      <c r="C67" s="122" t="s">
        <v>54</v>
      </c>
      <c r="D67" s="75" t="s">
        <v>53</v>
      </c>
      <c r="E67" s="67">
        <f>M67*N10</f>
        <v>3.77</v>
      </c>
      <c r="F67" s="382"/>
      <c r="G67" s="382">
        <v>16</v>
      </c>
      <c r="H67" s="67">
        <f t="shared" si="3"/>
        <v>60.32</v>
      </c>
      <c r="I67" s="69"/>
      <c r="J67" s="134"/>
      <c r="K67" s="324">
        <v>0.2999</v>
      </c>
      <c r="L67" s="41">
        <v>1.4842</v>
      </c>
      <c r="M67" s="382">
        <v>3.77</v>
      </c>
    </row>
    <row r="68" spans="1:14" s="64" customFormat="1" ht="15" customHeight="1" x14ac:dyDescent="0.2">
      <c r="A68" s="63"/>
      <c r="B68" s="385"/>
      <c r="C68" s="122"/>
      <c r="D68" s="75"/>
      <c r="E68" s="382"/>
      <c r="F68" s="382"/>
      <c r="G68" s="382"/>
      <c r="H68" s="67"/>
      <c r="I68" s="69"/>
      <c r="J68" s="134"/>
      <c r="K68" s="324">
        <v>0.2999</v>
      </c>
      <c r="L68" s="41">
        <v>1.4842</v>
      </c>
    </row>
    <row r="69" spans="1:14" s="64" customFormat="1" ht="15" customHeight="1" x14ac:dyDescent="0.2">
      <c r="A69" s="63"/>
      <c r="B69" s="385"/>
      <c r="C69" s="122"/>
      <c r="D69" s="75"/>
      <c r="E69" s="382" t="s">
        <v>51</v>
      </c>
      <c r="F69" s="382"/>
      <c r="G69" s="382"/>
      <c r="H69" s="69">
        <f>SUM(H63:H68)</f>
        <v>154.99</v>
      </c>
      <c r="I69" s="69">
        <f>SUM(I63:I68)</f>
        <v>752.49</v>
      </c>
      <c r="J69" s="134"/>
      <c r="K69" s="324">
        <v>0.2999</v>
      </c>
      <c r="L69" s="41">
        <v>1.4842</v>
      </c>
    </row>
    <row r="70" spans="1:14" s="64" customFormat="1" ht="15" customHeight="1" x14ac:dyDescent="0.2">
      <c r="A70" s="63"/>
      <c r="B70" s="385"/>
      <c r="C70" s="122"/>
      <c r="D70" s="75"/>
      <c r="E70" s="382" t="s">
        <v>458</v>
      </c>
      <c r="F70" s="382"/>
      <c r="G70" s="382"/>
      <c r="H70" s="67">
        <f>H69*L70</f>
        <v>230.036158</v>
      </c>
      <c r="I70" s="131"/>
      <c r="J70" s="134"/>
      <c r="K70" s="324">
        <v>0.2999</v>
      </c>
      <c r="L70" s="41">
        <v>1.4842</v>
      </c>
    </row>
    <row r="71" spans="1:14" s="64" customFormat="1" ht="15" customHeight="1" x14ac:dyDescent="0.2">
      <c r="A71" s="63"/>
      <c r="B71" s="385"/>
      <c r="C71" s="122"/>
      <c r="D71" s="75"/>
      <c r="E71" s="382" t="s">
        <v>493</v>
      </c>
      <c r="F71" s="382"/>
      <c r="G71" s="382"/>
      <c r="H71" s="439">
        <f>(H69+I69+H70)*K71</f>
        <v>341.14109578419999</v>
      </c>
      <c r="I71" s="439"/>
      <c r="J71" s="134"/>
      <c r="K71" s="324">
        <v>0.2999</v>
      </c>
      <c r="L71" s="41">
        <v>1.4842</v>
      </c>
    </row>
    <row r="72" spans="1:14" s="64" customFormat="1" ht="15" customHeight="1" x14ac:dyDescent="0.2">
      <c r="A72" s="63"/>
      <c r="B72" s="385"/>
      <c r="C72" s="122"/>
      <c r="D72" s="75"/>
      <c r="E72" s="382" t="s">
        <v>92</v>
      </c>
      <c r="F72" s="382"/>
      <c r="G72" s="382"/>
      <c r="H72" s="67"/>
      <c r="I72" s="69">
        <f>(H69+I69+H70+H71)</f>
        <v>1478.6572537841998</v>
      </c>
      <c r="J72" s="134"/>
      <c r="K72" s="324">
        <v>0.2999</v>
      </c>
      <c r="L72" s="41">
        <v>1.4842</v>
      </c>
      <c r="M72" s="399">
        <v>1478.66</v>
      </c>
      <c r="N72" s="86">
        <f>I72-M72</f>
        <v>-2.7462158002435899E-3</v>
      </c>
    </row>
    <row r="73" spans="1:14" s="64" customFormat="1" ht="15" customHeight="1" x14ac:dyDescent="0.2">
      <c r="A73" s="63"/>
      <c r="B73" s="385"/>
      <c r="C73" s="122"/>
      <c r="D73" s="75"/>
      <c r="E73" s="382"/>
      <c r="F73" s="382"/>
      <c r="G73" s="382"/>
      <c r="H73" s="67"/>
      <c r="I73" s="69"/>
      <c r="J73" s="134"/>
      <c r="K73" s="324"/>
      <c r="L73" s="41">
        <v>1.4842</v>
      </c>
      <c r="M73" s="399"/>
      <c r="N73" s="86"/>
    </row>
    <row r="74" spans="1:14" s="58" customFormat="1" ht="15" customHeight="1" x14ac:dyDescent="0.2">
      <c r="A74" s="59"/>
      <c r="B74" s="365"/>
      <c r="C74" s="388" t="str">
        <f>orçamento!D17</f>
        <v>Ligação provisórias de esgoto</v>
      </c>
      <c r="D74" s="66" t="str">
        <f>D63</f>
        <v>U N</v>
      </c>
      <c r="E74" s="67"/>
      <c r="F74" s="327"/>
      <c r="G74" s="71"/>
      <c r="H74" s="67"/>
      <c r="I74" s="67"/>
      <c r="J74" s="141"/>
      <c r="K74" s="324">
        <v>0.2999</v>
      </c>
      <c r="L74" s="41">
        <v>1.4842</v>
      </c>
    </row>
    <row r="75" spans="1:14" s="60" customFormat="1" ht="15" customHeight="1" x14ac:dyDescent="0.2">
      <c r="A75" s="18"/>
      <c r="B75" s="150"/>
      <c r="C75" s="122" t="s">
        <v>105</v>
      </c>
      <c r="D75" s="75" t="s">
        <v>58</v>
      </c>
      <c r="E75" s="67">
        <f>M75*N10</f>
        <v>518.125</v>
      </c>
      <c r="F75" s="327">
        <v>234.387</v>
      </c>
      <c r="G75" s="71">
        <v>1</v>
      </c>
      <c r="H75" s="67"/>
      <c r="I75" s="67">
        <f>E75*G75</f>
        <v>518.125</v>
      </c>
      <c r="J75" s="134"/>
      <c r="K75" s="324">
        <v>0.2999</v>
      </c>
      <c r="L75" s="41">
        <v>1.4842</v>
      </c>
      <c r="M75" s="67">
        <v>518.125</v>
      </c>
    </row>
    <row r="76" spans="1:14" s="64" customFormat="1" x14ac:dyDescent="0.2">
      <c r="A76" s="63"/>
      <c r="B76" s="385"/>
      <c r="C76" s="122" t="s">
        <v>289</v>
      </c>
      <c r="D76" s="75" t="s">
        <v>53</v>
      </c>
      <c r="E76" s="67">
        <f>M76*N10</f>
        <v>5.21</v>
      </c>
      <c r="F76" s="327"/>
      <c r="G76" s="71">
        <v>4</v>
      </c>
      <c r="H76" s="67">
        <f>E76*G76</f>
        <v>20.84</v>
      </c>
      <c r="I76" s="133"/>
      <c r="J76" s="134"/>
      <c r="K76" s="324">
        <v>0.2999</v>
      </c>
      <c r="L76" s="41">
        <v>1.4842</v>
      </c>
      <c r="M76" s="67">
        <v>5.21</v>
      </c>
    </row>
    <row r="77" spans="1:14" s="64" customFormat="1" x14ac:dyDescent="0.2">
      <c r="A77" s="63"/>
      <c r="B77" s="385"/>
      <c r="C77" s="122" t="s">
        <v>282</v>
      </c>
      <c r="D77" s="75" t="s">
        <v>53</v>
      </c>
      <c r="E77" s="67">
        <f>M77*N10</f>
        <v>5.21</v>
      </c>
      <c r="F77" s="327"/>
      <c r="G77" s="71">
        <v>4</v>
      </c>
      <c r="H77" s="67">
        <f>E77*G77</f>
        <v>20.84</v>
      </c>
      <c r="I77" s="131"/>
      <c r="J77" s="134"/>
      <c r="K77" s="324">
        <v>0.2999</v>
      </c>
      <c r="L77" s="41">
        <v>1.4842</v>
      </c>
      <c r="M77" s="67">
        <v>5.21</v>
      </c>
    </row>
    <row r="78" spans="1:14" s="60" customFormat="1" ht="15" customHeight="1" x14ac:dyDescent="0.2">
      <c r="A78" s="18"/>
      <c r="B78" s="150"/>
      <c r="C78" s="122" t="s">
        <v>303</v>
      </c>
      <c r="D78" s="75" t="s">
        <v>53</v>
      </c>
      <c r="E78" s="67">
        <f>M78*N10</f>
        <v>5.21</v>
      </c>
      <c r="F78" s="327"/>
      <c r="G78" s="71">
        <v>4</v>
      </c>
      <c r="H78" s="67">
        <f>E78*G78</f>
        <v>20.84</v>
      </c>
      <c r="I78" s="67"/>
      <c r="J78" s="134"/>
      <c r="K78" s="324">
        <v>0.2999</v>
      </c>
      <c r="L78" s="41">
        <v>1.4842</v>
      </c>
      <c r="M78" s="67">
        <v>5.21</v>
      </c>
    </row>
    <row r="79" spans="1:14" s="64" customFormat="1" x14ac:dyDescent="0.2">
      <c r="A79" s="63"/>
      <c r="B79" s="385"/>
      <c r="C79" s="122" t="s">
        <v>259</v>
      </c>
      <c r="D79" s="75" t="s">
        <v>53</v>
      </c>
      <c r="E79" s="67">
        <f>M79*N10</f>
        <v>3.77</v>
      </c>
      <c r="F79" s="327"/>
      <c r="G79" s="71">
        <v>6.06</v>
      </c>
      <c r="H79" s="67">
        <f>E79*G79</f>
        <v>22.8462</v>
      </c>
      <c r="I79" s="131"/>
      <c r="J79" s="134"/>
      <c r="K79" s="324">
        <v>0.2999</v>
      </c>
      <c r="L79" s="41">
        <v>1.4842</v>
      </c>
      <c r="M79" s="67">
        <v>3.77</v>
      </c>
    </row>
    <row r="80" spans="1:14" s="64" customFormat="1" x14ac:dyDescent="0.2">
      <c r="A80" s="63"/>
      <c r="B80" s="385"/>
      <c r="C80" s="122"/>
      <c r="D80" s="75"/>
      <c r="E80" s="67"/>
      <c r="F80" s="327"/>
      <c r="G80" s="71"/>
      <c r="H80" s="67"/>
      <c r="I80" s="67"/>
      <c r="J80" s="134"/>
      <c r="K80" s="324">
        <v>0.2999</v>
      </c>
      <c r="L80" s="41">
        <v>1.4842</v>
      </c>
    </row>
    <row r="81" spans="1:14" s="64" customFormat="1" x14ac:dyDescent="0.2">
      <c r="A81" s="63"/>
      <c r="B81" s="385"/>
      <c r="C81" s="122"/>
      <c r="D81" s="75"/>
      <c r="E81" s="438" t="str">
        <f>E69</f>
        <v>Custo Direto</v>
      </c>
      <c r="F81" s="438"/>
      <c r="G81" s="438"/>
      <c r="H81" s="69">
        <f>SUM(H75:H80)</f>
        <v>85.366199999999992</v>
      </c>
      <c r="I81" s="69">
        <f>SUM(I75:I80)</f>
        <v>518.125</v>
      </c>
      <c r="J81" s="134"/>
      <c r="K81" s="324">
        <v>0.2999</v>
      </c>
      <c r="L81" s="41">
        <v>1.4842</v>
      </c>
    </row>
    <row r="82" spans="1:14" s="64" customFormat="1" x14ac:dyDescent="0.2">
      <c r="A82" s="63"/>
      <c r="B82" s="385"/>
      <c r="C82" s="122"/>
      <c r="D82" s="75"/>
      <c r="E82" s="438" t="str">
        <f>E70</f>
        <v>LS(%): 148,42</v>
      </c>
      <c r="F82" s="438"/>
      <c r="G82" s="438"/>
      <c r="H82" s="67">
        <f>H81*L82</f>
        <v>126.70051403999999</v>
      </c>
      <c r="I82" s="131"/>
      <c r="J82" s="134"/>
      <c r="K82" s="324">
        <v>0.2999</v>
      </c>
      <c r="L82" s="41">
        <v>1.4842</v>
      </c>
    </row>
    <row r="83" spans="1:14" s="64" customFormat="1" x14ac:dyDescent="0.2">
      <c r="A83" s="63"/>
      <c r="B83" s="385"/>
      <c r="C83" s="122"/>
      <c r="D83" s="75"/>
      <c r="E83" s="438" t="str">
        <f>E71</f>
        <v>BDI (%): 29,99</v>
      </c>
      <c r="F83" s="438"/>
      <c r="G83" s="438"/>
      <c r="H83" s="439">
        <f>(H81+I81+H82)*K83</f>
        <v>218.98449504059599</v>
      </c>
      <c r="I83" s="439"/>
      <c r="J83" s="134"/>
      <c r="K83" s="324">
        <v>0.2999</v>
      </c>
      <c r="L83" s="41">
        <v>1.4842</v>
      </c>
    </row>
    <row r="84" spans="1:14" s="64" customFormat="1" x14ac:dyDescent="0.2">
      <c r="A84" s="63"/>
      <c r="B84" s="385"/>
      <c r="C84" s="122"/>
      <c r="D84" s="75"/>
      <c r="E84" s="438" t="str">
        <f>E72</f>
        <v>Valor Total c/ Taxas</v>
      </c>
      <c r="F84" s="438"/>
      <c r="G84" s="438"/>
      <c r="H84" s="67"/>
      <c r="I84" s="69">
        <f>(H81+I81+H82+H83)</f>
        <v>949.17620908059598</v>
      </c>
      <c r="J84" s="134"/>
      <c r="K84" s="324">
        <v>0.2999</v>
      </c>
      <c r="L84" s="41">
        <v>1.4842</v>
      </c>
      <c r="M84" s="64">
        <v>949.18</v>
      </c>
      <c r="N84" s="86">
        <f>I84-M84</f>
        <v>-3.7909194039684735E-3</v>
      </c>
    </row>
    <row r="85" spans="1:14" s="64" customFormat="1" x14ac:dyDescent="0.2">
      <c r="A85" s="63"/>
      <c r="B85" s="385"/>
      <c r="C85" s="122"/>
      <c r="D85" s="75"/>
      <c r="E85" s="382"/>
      <c r="F85" s="382"/>
      <c r="G85" s="382"/>
      <c r="H85" s="67"/>
      <c r="I85" s="69"/>
      <c r="J85" s="134"/>
      <c r="K85" s="324"/>
      <c r="L85" s="41">
        <v>1.4842</v>
      </c>
    </row>
    <row r="86" spans="1:14" s="64" customFormat="1" x14ac:dyDescent="0.2">
      <c r="A86" s="17"/>
      <c r="B86" s="148"/>
      <c r="C86" s="388" t="str">
        <f>orçamento!D18</f>
        <v>Locação da obra - execução de gabarito</v>
      </c>
      <c r="D86" s="75" t="s">
        <v>52</v>
      </c>
      <c r="E86" s="67"/>
      <c r="F86" s="327"/>
      <c r="G86" s="71"/>
      <c r="H86" s="67"/>
      <c r="I86" s="67"/>
      <c r="J86" s="134"/>
      <c r="K86" s="324">
        <v>0.2999</v>
      </c>
      <c r="L86" s="41">
        <v>1.4842</v>
      </c>
    </row>
    <row r="87" spans="1:14" s="64" customFormat="1" x14ac:dyDescent="0.2">
      <c r="A87" s="63"/>
      <c r="B87" s="385"/>
      <c r="C87" s="122" t="s">
        <v>286</v>
      </c>
      <c r="D87" s="75" t="s">
        <v>55</v>
      </c>
      <c r="E87" s="67">
        <f>M87*N10</f>
        <v>15.01</v>
      </c>
      <c r="F87" s="327">
        <v>6.98</v>
      </c>
      <c r="G87" s="155">
        <v>0.02</v>
      </c>
      <c r="H87" s="67"/>
      <c r="I87" s="67">
        <f>E87*G87</f>
        <v>0.30020000000000002</v>
      </c>
      <c r="J87" s="134"/>
      <c r="K87" s="324">
        <v>0.2999</v>
      </c>
      <c r="L87" s="41">
        <v>1.4842</v>
      </c>
      <c r="M87" s="67">
        <v>15.01</v>
      </c>
    </row>
    <row r="88" spans="1:14" s="64" customFormat="1" ht="25.5" x14ac:dyDescent="0.2">
      <c r="A88" s="63"/>
      <c r="B88" s="385"/>
      <c r="C88" s="122" t="s">
        <v>256</v>
      </c>
      <c r="D88" s="75" t="s">
        <v>62</v>
      </c>
      <c r="E88" s="67">
        <f>M88*N10</f>
        <v>5.99</v>
      </c>
      <c r="F88" s="327">
        <v>3.32</v>
      </c>
      <c r="G88" s="71">
        <v>3.5999999999999997E-2</v>
      </c>
      <c r="H88" s="67"/>
      <c r="I88" s="67">
        <f>E88*G88</f>
        <v>0.21564</v>
      </c>
      <c r="J88" s="134"/>
      <c r="K88" s="324">
        <v>0.2999</v>
      </c>
      <c r="L88" s="41">
        <v>1.4842</v>
      </c>
      <c r="M88" s="67">
        <v>5.99</v>
      </c>
    </row>
    <row r="89" spans="1:14" s="64" customFormat="1" x14ac:dyDescent="0.2">
      <c r="A89" s="63"/>
      <c r="B89" s="385"/>
      <c r="C89" s="122" t="s">
        <v>287</v>
      </c>
      <c r="D89" s="75" t="s">
        <v>55</v>
      </c>
      <c r="E89" s="67">
        <f>M89*N10</f>
        <v>9.7899999999999991</v>
      </c>
      <c r="F89" s="327">
        <v>7.75</v>
      </c>
      <c r="G89" s="71">
        <v>0.01</v>
      </c>
      <c r="H89" s="67"/>
      <c r="I89" s="67">
        <f>E89*G89</f>
        <v>9.7899999999999987E-2</v>
      </c>
      <c r="J89" s="134"/>
      <c r="K89" s="324">
        <v>0.2999</v>
      </c>
      <c r="L89" s="41">
        <v>1.4842</v>
      </c>
      <c r="M89" s="67">
        <v>9.7899999999999991</v>
      </c>
    </row>
    <row r="90" spans="1:14" ht="26.25" x14ac:dyDescent="0.25">
      <c r="A90" s="62"/>
      <c r="B90" s="150"/>
      <c r="C90" s="142" t="s">
        <v>272</v>
      </c>
      <c r="D90" s="145" t="s">
        <v>62</v>
      </c>
      <c r="E90" s="67">
        <f>M90*N10</f>
        <v>7.23</v>
      </c>
      <c r="F90" s="333">
        <v>4.9400000000000004</v>
      </c>
      <c r="G90" s="158">
        <v>3.2000000000000001E-2</v>
      </c>
      <c r="H90" s="72"/>
      <c r="I90" s="67">
        <f>E90*G90</f>
        <v>0.23136000000000001</v>
      </c>
      <c r="J90" s="146"/>
      <c r="K90" s="324">
        <v>0.2999</v>
      </c>
      <c r="L90" s="41">
        <v>1.4842</v>
      </c>
      <c r="M90" s="67">
        <v>7.23</v>
      </c>
    </row>
    <row r="91" spans="1:14" s="64" customFormat="1" x14ac:dyDescent="0.2">
      <c r="A91" s="63"/>
      <c r="B91" s="385"/>
      <c r="C91" s="122" t="s">
        <v>282</v>
      </c>
      <c r="D91" s="75" t="s">
        <v>53</v>
      </c>
      <c r="E91" s="67">
        <f>M91*N10</f>
        <v>5.21</v>
      </c>
      <c r="F91" s="327"/>
      <c r="G91" s="71">
        <v>0.3</v>
      </c>
      <c r="H91" s="67">
        <f>E91*G91</f>
        <v>1.5629999999999999</v>
      </c>
      <c r="I91" s="131"/>
      <c r="J91" s="134"/>
      <c r="K91" s="324">
        <v>0.2999</v>
      </c>
      <c r="L91" s="41">
        <v>1.4842</v>
      </c>
      <c r="M91" s="67">
        <v>5.21</v>
      </c>
    </row>
    <row r="92" spans="1:14" s="64" customFormat="1" x14ac:dyDescent="0.2">
      <c r="A92" s="63"/>
      <c r="B92" s="385"/>
      <c r="C92" s="122" t="s">
        <v>259</v>
      </c>
      <c r="D92" s="75" t="s">
        <v>53</v>
      </c>
      <c r="E92" s="67">
        <f>M92*N10</f>
        <v>3.77</v>
      </c>
      <c r="F92" s="327"/>
      <c r="G92" s="71">
        <v>0.1</v>
      </c>
      <c r="H92" s="67">
        <f>E92*G92</f>
        <v>0.377</v>
      </c>
      <c r="I92" s="131"/>
      <c r="J92" s="134"/>
      <c r="K92" s="324">
        <v>0.2999</v>
      </c>
      <c r="L92" s="41">
        <v>1.4842</v>
      </c>
      <c r="M92" s="67">
        <v>3.77</v>
      </c>
    </row>
    <row r="93" spans="1:14" s="64" customFormat="1" x14ac:dyDescent="0.2">
      <c r="A93" s="63"/>
      <c r="B93" s="385"/>
      <c r="C93" s="122"/>
      <c r="D93" s="75"/>
      <c r="E93" s="67"/>
      <c r="F93" s="327"/>
      <c r="G93" s="71"/>
      <c r="H93" s="67"/>
      <c r="I93" s="67"/>
      <c r="J93" s="134"/>
      <c r="K93" s="324">
        <v>0.2999</v>
      </c>
      <c r="L93" s="41">
        <v>1.4842</v>
      </c>
    </row>
    <row r="94" spans="1:14" s="64" customFormat="1" x14ac:dyDescent="0.2">
      <c r="A94" s="63"/>
      <c r="B94" s="385"/>
      <c r="C94" s="122"/>
      <c r="D94" s="75"/>
      <c r="E94" s="438" t="str">
        <f>E81</f>
        <v>Custo Direto</v>
      </c>
      <c r="F94" s="438"/>
      <c r="G94" s="438"/>
      <c r="H94" s="69">
        <f>SUM(H88:H93)</f>
        <v>1.94</v>
      </c>
      <c r="I94" s="69">
        <f>SUM(I87:I93)</f>
        <v>0.84510000000000007</v>
      </c>
      <c r="J94" s="134"/>
      <c r="K94" s="324">
        <v>0.2999</v>
      </c>
      <c r="L94" s="41">
        <v>1.4842</v>
      </c>
    </row>
    <row r="95" spans="1:14" s="64" customFormat="1" x14ac:dyDescent="0.2">
      <c r="A95" s="63"/>
      <c r="B95" s="385"/>
      <c r="C95" s="122"/>
      <c r="D95" s="75"/>
      <c r="E95" s="438" t="str">
        <f>E82</f>
        <v>LS(%): 148,42</v>
      </c>
      <c r="F95" s="438"/>
      <c r="G95" s="438"/>
      <c r="H95" s="67">
        <f>H94*L95</f>
        <v>2.8793479999999998</v>
      </c>
      <c r="I95" s="131"/>
      <c r="J95" s="134"/>
      <c r="K95" s="324">
        <v>0.2999</v>
      </c>
      <c r="L95" s="41">
        <v>1.4842</v>
      </c>
    </row>
    <row r="96" spans="1:14" s="64" customFormat="1" x14ac:dyDescent="0.2">
      <c r="A96" s="63"/>
      <c r="B96" s="385"/>
      <c r="C96" s="122"/>
      <c r="D96" s="75"/>
      <c r="E96" s="438" t="str">
        <f>E83</f>
        <v>BDI (%): 29,99</v>
      </c>
      <c r="F96" s="438"/>
      <c r="G96" s="438"/>
      <c r="H96" s="439">
        <f>(H94+I94+H95)*K96</f>
        <v>1.6987679552000001</v>
      </c>
      <c r="I96" s="439"/>
      <c r="J96" s="134"/>
      <c r="K96" s="324">
        <v>0.2999</v>
      </c>
      <c r="L96" s="41">
        <v>1.4842</v>
      </c>
    </row>
    <row r="97" spans="1:14" s="64" customFormat="1" x14ac:dyDescent="0.2">
      <c r="A97" s="63"/>
      <c r="B97" s="385"/>
      <c r="C97" s="122"/>
      <c r="D97" s="75"/>
      <c r="E97" s="438" t="str">
        <f>E84</f>
        <v>Valor Total c/ Taxas</v>
      </c>
      <c r="F97" s="438"/>
      <c r="G97" s="438"/>
      <c r="H97" s="67"/>
      <c r="I97" s="69">
        <f>(H94+I94+H95+H96)</f>
        <v>7.3632159552000003</v>
      </c>
      <c r="J97" s="134"/>
      <c r="K97" s="324">
        <v>0.2999</v>
      </c>
      <c r="L97" s="41">
        <v>1.4842</v>
      </c>
      <c r="M97" s="64">
        <v>7.36</v>
      </c>
      <c r="N97" s="86">
        <f>I97-M97</f>
        <v>3.2159551999999536E-3</v>
      </c>
    </row>
    <row r="98" spans="1:14" s="64" customFormat="1" x14ac:dyDescent="0.2">
      <c r="A98" s="384"/>
      <c r="B98" s="385"/>
      <c r="C98" s="388"/>
      <c r="D98" s="386"/>
      <c r="E98" s="387"/>
      <c r="F98" s="330"/>
      <c r="G98" s="383"/>
      <c r="H98" s="387"/>
      <c r="I98" s="387"/>
      <c r="J98" s="134"/>
      <c r="K98" s="324">
        <v>0.2999</v>
      </c>
      <c r="L98" s="41">
        <v>1.4842</v>
      </c>
    </row>
    <row r="99" spans="1:14" s="33" customFormat="1" ht="17.25" customHeight="1" x14ac:dyDescent="0.2">
      <c r="A99" s="26"/>
      <c r="B99" s="148"/>
      <c r="C99" s="70" t="str">
        <f>orçamento!D19</f>
        <v>Placa da obra - padrão Governo Federal</v>
      </c>
      <c r="D99" s="75" t="s">
        <v>52</v>
      </c>
      <c r="E99" s="67"/>
      <c r="F99" s="327"/>
      <c r="G99" s="71"/>
      <c r="H99" s="67"/>
      <c r="I99" s="67"/>
      <c r="J99" s="134"/>
      <c r="K99" s="324">
        <v>0.2999</v>
      </c>
      <c r="L99" s="41">
        <v>1.4842</v>
      </c>
    </row>
    <row r="100" spans="1:14" s="57" customFormat="1" x14ac:dyDescent="0.25">
      <c r="A100" s="25"/>
      <c r="B100" s="152"/>
      <c r="C100" s="136" t="s">
        <v>305</v>
      </c>
      <c r="D100" s="137" t="s">
        <v>11</v>
      </c>
      <c r="E100" s="68">
        <f>M100*N10</f>
        <v>310</v>
      </c>
      <c r="F100" s="331">
        <v>283.99720000000002</v>
      </c>
      <c r="G100" s="156">
        <v>0.01</v>
      </c>
      <c r="H100" s="68"/>
      <c r="I100" s="68">
        <f>E100*G100</f>
        <v>3.1</v>
      </c>
      <c r="J100" s="138"/>
      <c r="K100" s="324">
        <v>0.2999</v>
      </c>
      <c r="L100" s="27">
        <f>L99</f>
        <v>1.4842</v>
      </c>
      <c r="M100" s="68">
        <v>310</v>
      </c>
    </row>
    <row r="101" spans="1:14" s="57" customFormat="1" ht="26.25" x14ac:dyDescent="0.25">
      <c r="A101" s="25"/>
      <c r="B101" s="152"/>
      <c r="C101" s="136" t="s">
        <v>252</v>
      </c>
      <c r="D101" s="137" t="s">
        <v>10</v>
      </c>
      <c r="E101" s="68">
        <f>M101*N10</f>
        <v>5.5</v>
      </c>
      <c r="F101" s="331">
        <v>4.5228000000000002</v>
      </c>
      <c r="G101" s="156">
        <v>1</v>
      </c>
      <c r="H101" s="68"/>
      <c r="I101" s="68">
        <f>E101*G101</f>
        <v>5.5</v>
      </c>
      <c r="J101" s="138"/>
      <c r="K101" s="324">
        <v>0.2999</v>
      </c>
      <c r="L101" s="27">
        <f t="shared" ref="L101:L126" si="4">L100</f>
        <v>1.4842</v>
      </c>
      <c r="M101" s="68">
        <v>5.5</v>
      </c>
    </row>
    <row r="102" spans="1:14" s="57" customFormat="1" ht="26.25" x14ac:dyDescent="0.25">
      <c r="A102" s="25"/>
      <c r="B102" s="152"/>
      <c r="C102" s="136" t="s">
        <v>257</v>
      </c>
      <c r="D102" s="137" t="s">
        <v>10</v>
      </c>
      <c r="E102" s="68">
        <f>3.65*N10</f>
        <v>3.65</v>
      </c>
      <c r="F102" s="331">
        <v>3.3201000000000001</v>
      </c>
      <c r="G102" s="156">
        <v>4</v>
      </c>
      <c r="H102" s="68"/>
      <c r="I102" s="68">
        <f>E102*G102</f>
        <v>14.6</v>
      </c>
      <c r="J102" s="138"/>
      <c r="K102" s="324">
        <v>0.2999</v>
      </c>
      <c r="L102" s="27">
        <f t="shared" si="4"/>
        <v>1.4842</v>
      </c>
      <c r="M102" s="68">
        <v>3.65</v>
      </c>
    </row>
    <row r="103" spans="1:14" s="33" customFormat="1" ht="25.5" x14ac:dyDescent="0.2">
      <c r="A103" s="24"/>
      <c r="B103" s="152"/>
      <c r="C103" s="122" t="s">
        <v>255</v>
      </c>
      <c r="D103" s="75" t="s">
        <v>9</v>
      </c>
      <c r="E103" s="67">
        <f>279.46*N10</f>
        <v>279.45999999999998</v>
      </c>
      <c r="F103" s="327">
        <v>203</v>
      </c>
      <c r="G103" s="71">
        <v>1</v>
      </c>
      <c r="H103" s="67"/>
      <c r="I103" s="67">
        <f>E103*G103</f>
        <v>279.45999999999998</v>
      </c>
      <c r="J103" s="134"/>
      <c r="K103" s="324">
        <v>0.2999</v>
      </c>
      <c r="L103" s="27">
        <f t="shared" si="4"/>
        <v>1.4842</v>
      </c>
      <c r="M103" s="67">
        <v>279.45999999999998</v>
      </c>
    </row>
    <row r="104" spans="1:14" s="57" customFormat="1" x14ac:dyDescent="0.25">
      <c r="A104" s="25"/>
      <c r="B104" s="152"/>
      <c r="C104" s="136" t="s">
        <v>254</v>
      </c>
      <c r="D104" s="137" t="s">
        <v>12</v>
      </c>
      <c r="E104" s="68">
        <f>F104*N10</f>
        <v>7.21</v>
      </c>
      <c r="F104" s="331">
        <v>7.21</v>
      </c>
      <c r="G104" s="156">
        <v>0.11</v>
      </c>
      <c r="H104" s="68"/>
      <c r="I104" s="68">
        <f>E104*G104</f>
        <v>0.79310000000000003</v>
      </c>
      <c r="J104" s="138"/>
      <c r="K104" s="324">
        <v>0.2999</v>
      </c>
      <c r="L104" s="27">
        <f t="shared" si="4"/>
        <v>1.4842</v>
      </c>
      <c r="M104" s="68">
        <v>7.21</v>
      </c>
    </row>
    <row r="105" spans="1:14" s="57" customFormat="1" x14ac:dyDescent="0.25">
      <c r="A105" s="25"/>
      <c r="B105" s="152"/>
      <c r="C105" s="136" t="s">
        <v>56</v>
      </c>
      <c r="D105" s="137" t="s">
        <v>53</v>
      </c>
      <c r="E105" s="68">
        <f>5.21*N10</f>
        <v>5.21</v>
      </c>
      <c r="F105" s="331"/>
      <c r="G105" s="156">
        <v>1</v>
      </c>
      <c r="H105" s="68">
        <f>E105*G105</f>
        <v>5.21</v>
      </c>
      <c r="I105" s="140"/>
      <c r="J105" s="138"/>
      <c r="K105" s="324">
        <v>0.2999</v>
      </c>
      <c r="L105" s="27">
        <f t="shared" si="4"/>
        <v>1.4842</v>
      </c>
      <c r="M105" s="68">
        <v>5.21</v>
      </c>
    </row>
    <row r="106" spans="1:14" s="57" customFormat="1" x14ac:dyDescent="0.25">
      <c r="A106" s="25"/>
      <c r="B106" s="152"/>
      <c r="C106" s="136" t="s">
        <v>54</v>
      </c>
      <c r="D106" s="137" t="s">
        <v>53</v>
      </c>
      <c r="E106" s="68">
        <f>3.77*N10</f>
        <v>3.77</v>
      </c>
      <c r="F106" s="331"/>
      <c r="G106" s="156">
        <v>2</v>
      </c>
      <c r="H106" s="68">
        <f>E106*G106</f>
        <v>7.54</v>
      </c>
      <c r="I106" s="140"/>
      <c r="J106" s="138"/>
      <c r="K106" s="324">
        <v>0.2999</v>
      </c>
      <c r="L106" s="27">
        <f t="shared" si="4"/>
        <v>1.4842</v>
      </c>
      <c r="M106" s="68">
        <v>3.77</v>
      </c>
    </row>
    <row r="107" spans="1:14" s="33" customFormat="1" x14ac:dyDescent="0.2">
      <c r="A107" s="24"/>
      <c r="B107" s="152"/>
      <c r="C107" s="122"/>
      <c r="D107" s="75"/>
      <c r="E107" s="438" t="s">
        <v>51</v>
      </c>
      <c r="F107" s="438"/>
      <c r="G107" s="438"/>
      <c r="H107" s="69">
        <f>SUM(H100:H106)</f>
        <v>12.75</v>
      </c>
      <c r="I107" s="69">
        <f>SUM(I100:I106)</f>
        <v>303.45309999999995</v>
      </c>
      <c r="J107" s="134"/>
      <c r="K107" s="324">
        <v>0.2999</v>
      </c>
      <c r="L107" s="27">
        <f t="shared" si="4"/>
        <v>1.4842</v>
      </c>
    </row>
    <row r="108" spans="1:14" s="33" customFormat="1" x14ac:dyDescent="0.2">
      <c r="A108" s="24"/>
      <c r="B108" s="152"/>
      <c r="C108" s="122"/>
      <c r="D108" s="75"/>
      <c r="E108" s="438" t="s">
        <v>458</v>
      </c>
      <c r="F108" s="438"/>
      <c r="G108" s="438"/>
      <c r="H108" s="67">
        <f>H107*L108</f>
        <v>18.923549999999999</v>
      </c>
      <c r="I108" s="131"/>
      <c r="J108" s="134"/>
      <c r="K108" s="324">
        <v>0.2999</v>
      </c>
      <c r="L108" s="27">
        <f t="shared" si="4"/>
        <v>1.4842</v>
      </c>
    </row>
    <row r="109" spans="1:14" s="33" customFormat="1" ht="15" customHeight="1" x14ac:dyDescent="0.2">
      <c r="A109" s="24"/>
      <c r="B109" s="152"/>
      <c r="C109" s="122"/>
      <c r="D109" s="75"/>
      <c r="E109" s="438" t="s">
        <v>493</v>
      </c>
      <c r="F109" s="438"/>
      <c r="G109" s="438"/>
      <c r="H109" s="439">
        <f>(H107+I107+H108)*K109</f>
        <v>100.50448233499998</v>
      </c>
      <c r="I109" s="439"/>
      <c r="J109" s="134"/>
      <c r="K109" s="324">
        <v>0.2999</v>
      </c>
      <c r="L109" s="27">
        <f t="shared" si="4"/>
        <v>1.4842</v>
      </c>
    </row>
    <row r="110" spans="1:14" s="33" customFormat="1" ht="15" customHeight="1" x14ac:dyDescent="0.2">
      <c r="A110" s="24"/>
      <c r="B110" s="152"/>
      <c r="C110" s="122"/>
      <c r="D110" s="75"/>
      <c r="E110" s="438" t="s">
        <v>92</v>
      </c>
      <c r="F110" s="438"/>
      <c r="G110" s="438"/>
      <c r="H110" s="67"/>
      <c r="I110" s="69">
        <f>(H107+I107+H108+H109)</f>
        <v>435.6311323349999</v>
      </c>
      <c r="J110" s="134"/>
      <c r="K110" s="324">
        <v>0.2999</v>
      </c>
      <c r="L110" s="27">
        <f t="shared" si="4"/>
        <v>1.4842</v>
      </c>
      <c r="M110" s="33">
        <v>435.63</v>
      </c>
      <c r="N110" s="86">
        <f>I110-M110</f>
        <v>1.132334999908835E-3</v>
      </c>
    </row>
    <row r="111" spans="1:14" s="33" customFormat="1" x14ac:dyDescent="0.2">
      <c r="A111" s="24"/>
      <c r="B111" s="152"/>
      <c r="C111" s="122"/>
      <c r="D111" s="75"/>
      <c r="E111" s="67"/>
      <c r="F111" s="327"/>
      <c r="G111" s="71"/>
      <c r="H111" s="67"/>
      <c r="I111" s="67"/>
      <c r="J111" s="134"/>
      <c r="K111" s="324">
        <v>0.2999</v>
      </c>
      <c r="L111" s="27">
        <f t="shared" si="4"/>
        <v>1.4842</v>
      </c>
    </row>
    <row r="112" spans="1:14" s="64" customFormat="1" x14ac:dyDescent="0.2">
      <c r="A112" s="63"/>
      <c r="B112" s="152"/>
      <c r="C112" s="122"/>
      <c r="D112" s="75"/>
      <c r="E112" s="67"/>
      <c r="F112" s="327"/>
      <c r="G112" s="71"/>
      <c r="H112" s="67"/>
      <c r="I112" s="67"/>
      <c r="J112" s="134"/>
      <c r="K112" s="324">
        <v>0.2999</v>
      </c>
      <c r="L112" s="27">
        <f t="shared" si="4"/>
        <v>1.4842</v>
      </c>
    </row>
    <row r="113" spans="1:14" s="33" customFormat="1" x14ac:dyDescent="0.2">
      <c r="A113" s="16"/>
      <c r="B113" s="149"/>
      <c r="C113" s="70" t="str">
        <f>orçamento!D22</f>
        <v>Escavação manual de valas até a profundidade de 1 metro</v>
      </c>
      <c r="D113" s="75" t="s">
        <v>61</v>
      </c>
      <c r="E113" s="67"/>
      <c r="F113" s="327"/>
      <c r="G113" s="71"/>
      <c r="H113" s="67"/>
      <c r="I113" s="67"/>
      <c r="J113" s="134"/>
      <c r="K113" s="324">
        <v>0.2999</v>
      </c>
      <c r="L113" s="27">
        <f t="shared" si="4"/>
        <v>1.4842</v>
      </c>
    </row>
    <row r="114" spans="1:14" s="33" customFormat="1" x14ac:dyDescent="0.2">
      <c r="A114" s="24"/>
      <c r="B114" s="152"/>
      <c r="C114" s="122" t="s">
        <v>54</v>
      </c>
      <c r="D114" s="75" t="s">
        <v>53</v>
      </c>
      <c r="E114" s="67">
        <f>M114*N10</f>
        <v>3.77</v>
      </c>
      <c r="F114" s="327"/>
      <c r="G114" s="71">
        <v>2.403</v>
      </c>
      <c r="H114" s="67">
        <f>E114*G114</f>
        <v>9.05931</v>
      </c>
      <c r="I114" s="67"/>
      <c r="J114" s="134"/>
      <c r="K114" s="324">
        <v>0.2999</v>
      </c>
      <c r="L114" s="27">
        <f t="shared" si="4"/>
        <v>1.4842</v>
      </c>
      <c r="M114" s="67">
        <v>3.77</v>
      </c>
    </row>
    <row r="115" spans="1:14" s="33" customFormat="1" x14ac:dyDescent="0.2">
      <c r="A115" s="24"/>
      <c r="B115" s="152"/>
      <c r="C115" s="122"/>
      <c r="D115" s="75"/>
      <c r="E115" s="67"/>
      <c r="F115" s="327"/>
      <c r="G115" s="71"/>
      <c r="H115" s="67"/>
      <c r="I115" s="67"/>
      <c r="J115" s="134"/>
      <c r="K115" s="324">
        <v>0.2999</v>
      </c>
      <c r="L115" s="27">
        <f t="shared" si="4"/>
        <v>1.4842</v>
      </c>
    </row>
    <row r="116" spans="1:14" s="33" customFormat="1" x14ac:dyDescent="0.2">
      <c r="A116" s="24"/>
      <c r="B116" s="152"/>
      <c r="C116" s="122"/>
      <c r="D116" s="75"/>
      <c r="E116" s="438" t="s">
        <v>51</v>
      </c>
      <c r="F116" s="438"/>
      <c r="G116" s="438"/>
      <c r="H116" s="69">
        <f>SUM(H114:H114)</f>
        <v>9.05931</v>
      </c>
      <c r="I116" s="69">
        <f>SUM(I114:I114)</f>
        <v>0</v>
      </c>
      <c r="J116" s="134"/>
      <c r="K116" s="324">
        <v>0.2999</v>
      </c>
      <c r="L116" s="27">
        <f t="shared" si="4"/>
        <v>1.4842</v>
      </c>
    </row>
    <row r="117" spans="1:14" s="33" customFormat="1" x14ac:dyDescent="0.2">
      <c r="A117" s="24"/>
      <c r="B117" s="152"/>
      <c r="C117" s="122"/>
      <c r="D117" s="75"/>
      <c r="E117" s="438" t="s">
        <v>458</v>
      </c>
      <c r="F117" s="438"/>
      <c r="G117" s="438"/>
      <c r="H117" s="67">
        <f>H116*L117</f>
        <v>13.445827902</v>
      </c>
      <c r="I117" s="131"/>
      <c r="J117" s="134"/>
      <c r="K117" s="324">
        <v>0.2999</v>
      </c>
      <c r="L117" s="27">
        <f t="shared" si="4"/>
        <v>1.4842</v>
      </c>
    </row>
    <row r="118" spans="1:14" s="33" customFormat="1" x14ac:dyDescent="0.2">
      <c r="A118" s="24"/>
      <c r="B118" s="152"/>
      <c r="C118" s="122"/>
      <c r="D118" s="75"/>
      <c r="E118" s="438" t="s">
        <v>493</v>
      </c>
      <c r="F118" s="438"/>
      <c r="G118" s="438"/>
      <c r="H118" s="439">
        <f>(H116+I116+H117)*K118</f>
        <v>6.7492908568098002</v>
      </c>
      <c r="I118" s="439"/>
      <c r="J118" s="134"/>
      <c r="K118" s="324">
        <v>0.2999</v>
      </c>
      <c r="L118" s="27">
        <f t="shared" si="4"/>
        <v>1.4842</v>
      </c>
    </row>
    <row r="119" spans="1:14" s="33" customFormat="1" x14ac:dyDescent="0.2">
      <c r="A119" s="24"/>
      <c r="B119" s="152"/>
      <c r="C119" s="122"/>
      <c r="D119" s="75"/>
      <c r="E119" s="438" t="s">
        <v>92</v>
      </c>
      <c r="F119" s="438"/>
      <c r="G119" s="438"/>
      <c r="H119" s="67"/>
      <c r="I119" s="69">
        <f>(H116+I116+H117+H118)</f>
        <v>29.254428758809802</v>
      </c>
      <c r="J119" s="134"/>
      <c r="K119" s="324">
        <v>0.2999</v>
      </c>
      <c r="L119" s="27">
        <f t="shared" si="4"/>
        <v>1.4842</v>
      </c>
      <c r="M119" s="33">
        <v>29.25</v>
      </c>
      <c r="N119" s="86">
        <f>I119-M119</f>
        <v>4.4287588098015362E-3</v>
      </c>
    </row>
    <row r="120" spans="1:14" s="33" customFormat="1" x14ac:dyDescent="0.2">
      <c r="A120" s="24"/>
      <c r="B120" s="152"/>
      <c r="C120" s="122"/>
      <c r="D120" s="75"/>
      <c r="E120" s="67"/>
      <c r="F120" s="327"/>
      <c r="G120" s="71"/>
      <c r="H120" s="67"/>
      <c r="I120" s="67"/>
      <c r="J120" s="134"/>
      <c r="K120" s="324">
        <v>0.2999</v>
      </c>
      <c r="L120" s="27">
        <f t="shared" si="4"/>
        <v>1.4842</v>
      </c>
    </row>
    <row r="121" spans="1:14" s="33" customFormat="1" x14ac:dyDescent="0.2">
      <c r="A121" s="16"/>
      <c r="B121" s="364"/>
      <c r="C121" s="70" t="str">
        <f>orçamento!D23</f>
        <v>Reaterro  com apiloamento</v>
      </c>
      <c r="D121" s="75" t="s">
        <v>61</v>
      </c>
      <c r="E121" s="67"/>
      <c r="F121" s="327"/>
      <c r="G121" s="71"/>
      <c r="H121" s="67"/>
      <c r="I121" s="67"/>
      <c r="J121" s="134"/>
      <c r="K121" s="324">
        <v>0.2999</v>
      </c>
      <c r="L121" s="27">
        <f t="shared" si="4"/>
        <v>1.4842</v>
      </c>
    </row>
    <row r="122" spans="1:14" s="64" customFormat="1" ht="38.25" x14ac:dyDescent="0.2">
      <c r="A122" s="56"/>
      <c r="B122" s="149"/>
      <c r="C122" s="122" t="s">
        <v>288</v>
      </c>
      <c r="D122" s="75" t="s">
        <v>53</v>
      </c>
      <c r="E122" s="67">
        <f>3.3*N10</f>
        <v>3.3</v>
      </c>
      <c r="F122" s="327">
        <v>1.2</v>
      </c>
      <c r="G122" s="71">
        <v>0.34</v>
      </c>
      <c r="H122" s="67"/>
      <c r="I122" s="67">
        <f>E122*G122</f>
        <v>1.1220000000000001</v>
      </c>
      <c r="J122" s="134"/>
      <c r="K122" s="324">
        <v>0.2999</v>
      </c>
      <c r="L122" s="27">
        <f t="shared" si="4"/>
        <v>1.4842</v>
      </c>
      <c r="M122" s="67">
        <v>3.3</v>
      </c>
    </row>
    <row r="123" spans="1:14" s="33" customFormat="1" x14ac:dyDescent="0.2">
      <c r="A123" s="24"/>
      <c r="B123" s="152"/>
      <c r="C123" s="122" t="s">
        <v>54</v>
      </c>
      <c r="D123" s="75" t="s">
        <v>53</v>
      </c>
      <c r="E123" s="67">
        <f>3.77*N10</f>
        <v>3.77</v>
      </c>
      <c r="F123" s="327"/>
      <c r="G123" s="71">
        <v>3.403</v>
      </c>
      <c r="H123" s="67">
        <f>E123*G123</f>
        <v>12.82931</v>
      </c>
      <c r="I123" s="67"/>
      <c r="J123" s="134"/>
      <c r="K123" s="324">
        <v>0.2999</v>
      </c>
      <c r="L123" s="27">
        <f>L121</f>
        <v>1.4842</v>
      </c>
      <c r="M123" s="67">
        <f>3.77*N10</f>
        <v>3.77</v>
      </c>
    </row>
    <row r="124" spans="1:14" s="33" customFormat="1" x14ac:dyDescent="0.2">
      <c r="A124" s="24"/>
      <c r="B124" s="152"/>
      <c r="C124" s="122"/>
      <c r="D124" s="75"/>
      <c r="E124" s="67"/>
      <c r="F124" s="327"/>
      <c r="G124" s="71"/>
      <c r="H124" s="67"/>
      <c r="I124" s="67"/>
      <c r="J124" s="134"/>
      <c r="K124" s="324">
        <v>0.2999</v>
      </c>
      <c r="L124" s="27">
        <f t="shared" si="4"/>
        <v>1.4842</v>
      </c>
    </row>
    <row r="125" spans="1:14" s="33" customFormat="1" x14ac:dyDescent="0.2">
      <c r="A125" s="24"/>
      <c r="B125" s="152"/>
      <c r="C125" s="122"/>
      <c r="D125" s="75"/>
      <c r="E125" s="438" t="str">
        <f>E116</f>
        <v>Custo Direto</v>
      </c>
      <c r="F125" s="438"/>
      <c r="G125" s="438"/>
      <c r="H125" s="69">
        <f>SUM(H121:H123)</f>
        <v>12.82931</v>
      </c>
      <c r="I125" s="69">
        <f>SUM(I122:I123)</f>
        <v>1.1220000000000001</v>
      </c>
      <c r="J125" s="134"/>
      <c r="K125" s="324">
        <v>0.2999</v>
      </c>
      <c r="L125" s="27">
        <f t="shared" si="4"/>
        <v>1.4842</v>
      </c>
    </row>
    <row r="126" spans="1:14" s="33" customFormat="1" x14ac:dyDescent="0.2">
      <c r="A126" s="24"/>
      <c r="B126" s="152"/>
      <c r="C126" s="122"/>
      <c r="D126" s="75"/>
      <c r="E126" s="438" t="str">
        <f>E117</f>
        <v>LS(%): 148,42</v>
      </c>
      <c r="F126" s="438"/>
      <c r="G126" s="438"/>
      <c r="H126" s="67">
        <f>H125*L126</f>
        <v>19.041261901999999</v>
      </c>
      <c r="I126" s="131"/>
      <c r="J126" s="134"/>
      <c r="K126" s="324">
        <v>0.2999</v>
      </c>
      <c r="L126" s="27">
        <f t="shared" si="4"/>
        <v>1.4842</v>
      </c>
    </row>
    <row r="127" spans="1:14" s="33" customFormat="1" x14ac:dyDescent="0.2">
      <c r="A127" s="24"/>
      <c r="B127" s="152"/>
      <c r="C127" s="122"/>
      <c r="D127" s="75"/>
      <c r="E127" s="438" t="str">
        <f>E118</f>
        <v>BDI (%): 29,99</v>
      </c>
      <c r="F127" s="438"/>
      <c r="G127" s="438"/>
      <c r="H127" s="439">
        <f>(H125+I125+H126)*K127</f>
        <v>9.894472313409798</v>
      </c>
      <c r="I127" s="439"/>
      <c r="J127" s="134"/>
      <c r="K127" s="324">
        <v>0.2999</v>
      </c>
      <c r="L127" s="27">
        <f t="shared" ref="L127:L191" si="5">L126</f>
        <v>1.4842</v>
      </c>
    </row>
    <row r="128" spans="1:14" s="33" customFormat="1" x14ac:dyDescent="0.2">
      <c r="A128" s="24"/>
      <c r="B128" s="152"/>
      <c r="C128" s="122"/>
      <c r="D128" s="75"/>
      <c r="E128" s="438" t="str">
        <f>E119</f>
        <v>Valor Total c/ Taxas</v>
      </c>
      <c r="F128" s="438"/>
      <c r="G128" s="438"/>
      <c r="H128" s="67"/>
      <c r="I128" s="69">
        <f>(H125+I125+H126+H127)</f>
        <v>42.887044215409794</v>
      </c>
      <c r="J128" s="134"/>
      <c r="K128" s="324">
        <v>0.2999</v>
      </c>
      <c r="L128" s="27">
        <f t="shared" si="5"/>
        <v>1.4842</v>
      </c>
      <c r="M128" s="33">
        <v>42.89</v>
      </c>
      <c r="N128" s="86">
        <f>I128-M128</f>
        <v>-2.9557845902061786E-3</v>
      </c>
    </row>
    <row r="129" spans="1:14" s="33" customFormat="1" x14ac:dyDescent="0.2">
      <c r="A129" s="24"/>
      <c r="B129" s="152"/>
      <c r="C129" s="122"/>
      <c r="D129" s="75"/>
      <c r="E129" s="67"/>
      <c r="F129" s="327"/>
      <c r="G129" s="71"/>
      <c r="H129" s="67"/>
      <c r="I129" s="67"/>
      <c r="J129" s="134"/>
      <c r="K129" s="324">
        <v>0.2999</v>
      </c>
      <c r="L129" s="27">
        <f>L128</f>
        <v>1.4842</v>
      </c>
    </row>
    <row r="130" spans="1:14" s="64" customFormat="1" x14ac:dyDescent="0.2">
      <c r="A130" s="34"/>
      <c r="B130" s="365"/>
      <c r="C130" s="70" t="str">
        <f>orçamento!D24</f>
        <v>Aterro interno com apiloamento</v>
      </c>
      <c r="D130" s="75" t="s">
        <v>61</v>
      </c>
      <c r="E130" s="67"/>
      <c r="F130" s="327"/>
      <c r="G130" s="71"/>
      <c r="H130" s="67"/>
      <c r="I130" s="67"/>
      <c r="J130" s="134"/>
      <c r="K130" s="324">
        <v>0.2999</v>
      </c>
      <c r="L130" s="27">
        <f t="shared" si="5"/>
        <v>1.4842</v>
      </c>
    </row>
    <row r="131" spans="1:14" s="64" customFormat="1" ht="38.25" x14ac:dyDescent="0.2">
      <c r="A131" s="54"/>
      <c r="B131" s="149"/>
      <c r="C131" s="122" t="s">
        <v>288</v>
      </c>
      <c r="D131" s="75" t="s">
        <v>53</v>
      </c>
      <c r="E131" s="67">
        <f>M131*N10</f>
        <v>5.77</v>
      </c>
      <c r="F131" s="327">
        <v>1.2</v>
      </c>
      <c r="G131" s="71">
        <v>0.34</v>
      </c>
      <c r="H131" s="67"/>
      <c r="I131" s="67">
        <f>E131*G131</f>
        <v>1.9618</v>
      </c>
      <c r="J131" s="134"/>
      <c r="K131" s="324">
        <v>0.2999</v>
      </c>
      <c r="L131" s="27">
        <f t="shared" si="5"/>
        <v>1.4842</v>
      </c>
      <c r="M131" s="64">
        <v>5.77</v>
      </c>
    </row>
    <row r="132" spans="1:14" s="64" customFormat="1" x14ac:dyDescent="0.2">
      <c r="A132" s="63"/>
      <c r="B132" s="152"/>
      <c r="C132" s="122" t="s">
        <v>54</v>
      </c>
      <c r="D132" s="75" t="s">
        <v>53</v>
      </c>
      <c r="E132" s="67">
        <f>M132*N10</f>
        <v>3.77</v>
      </c>
      <c r="F132" s="327"/>
      <c r="G132" s="71">
        <v>3.9009999999999998</v>
      </c>
      <c r="H132" s="67">
        <f>E132*G132</f>
        <v>14.706769999999999</v>
      </c>
      <c r="I132" s="67"/>
      <c r="J132" s="134"/>
      <c r="K132" s="324">
        <v>0.2999</v>
      </c>
      <c r="L132" s="27">
        <f t="shared" si="5"/>
        <v>1.4842</v>
      </c>
      <c r="M132" s="64">
        <v>3.77</v>
      </c>
    </row>
    <row r="133" spans="1:14" s="64" customFormat="1" x14ac:dyDescent="0.2">
      <c r="A133" s="63"/>
      <c r="B133" s="152"/>
      <c r="C133" s="122"/>
      <c r="D133" s="75"/>
      <c r="E133" s="67"/>
      <c r="F133" s="327"/>
      <c r="G133" s="71"/>
      <c r="H133" s="67"/>
      <c r="I133" s="67"/>
      <c r="J133" s="134"/>
      <c r="K133" s="324">
        <v>0.2999</v>
      </c>
      <c r="L133" s="27">
        <f t="shared" si="5"/>
        <v>1.4842</v>
      </c>
    </row>
    <row r="134" spans="1:14" s="64" customFormat="1" x14ac:dyDescent="0.2">
      <c r="A134" s="63"/>
      <c r="B134" s="152"/>
      <c r="C134" s="122"/>
      <c r="D134" s="75"/>
      <c r="E134" s="438" t="str">
        <f>E125</f>
        <v>Custo Direto</v>
      </c>
      <c r="F134" s="438"/>
      <c r="G134" s="438"/>
      <c r="H134" s="69">
        <f>SUM(H131:H132)</f>
        <v>14.706769999999999</v>
      </c>
      <c r="I134" s="69">
        <f>SUM(I131:I132)</f>
        <v>1.9618</v>
      </c>
      <c r="J134" s="134"/>
      <c r="K134" s="324">
        <v>0.2999</v>
      </c>
      <c r="L134" s="27">
        <f t="shared" si="5"/>
        <v>1.4842</v>
      </c>
    </row>
    <row r="135" spans="1:14" s="64" customFormat="1" x14ac:dyDescent="0.2">
      <c r="A135" s="63"/>
      <c r="B135" s="152"/>
      <c r="C135" s="122"/>
      <c r="D135" s="75"/>
      <c r="E135" s="438" t="str">
        <f>E126</f>
        <v>LS(%): 148,42</v>
      </c>
      <c r="F135" s="438"/>
      <c r="G135" s="438"/>
      <c r="H135" s="67">
        <f>H134*L135</f>
        <v>21.827788033999997</v>
      </c>
      <c r="I135" s="131"/>
      <c r="J135" s="134"/>
      <c r="K135" s="324">
        <v>0.2999</v>
      </c>
      <c r="L135" s="27">
        <f t="shared" si="5"/>
        <v>1.4842</v>
      </c>
    </row>
    <row r="136" spans="1:14" s="64" customFormat="1" x14ac:dyDescent="0.2">
      <c r="A136" s="63"/>
      <c r="B136" s="152"/>
      <c r="C136" s="122"/>
      <c r="D136" s="75"/>
      <c r="E136" s="438" t="str">
        <f>E127</f>
        <v>BDI (%): 29,99</v>
      </c>
      <c r="F136" s="438"/>
      <c r="G136" s="438"/>
      <c r="H136" s="439">
        <f>(H134+I134+H135)*K136</f>
        <v>11.545057774396598</v>
      </c>
      <c r="I136" s="439"/>
      <c r="J136" s="134"/>
      <c r="K136" s="324">
        <v>0.2999</v>
      </c>
      <c r="L136" s="27">
        <f t="shared" si="5"/>
        <v>1.4842</v>
      </c>
    </row>
    <row r="137" spans="1:14" s="64" customFormat="1" x14ac:dyDescent="0.2">
      <c r="A137" s="63"/>
      <c r="B137" s="152"/>
      <c r="C137" s="122"/>
      <c r="D137" s="75"/>
      <c r="E137" s="438" t="str">
        <f>E128</f>
        <v>Valor Total c/ Taxas</v>
      </c>
      <c r="F137" s="438"/>
      <c r="G137" s="438"/>
      <c r="H137" s="67"/>
      <c r="I137" s="69">
        <f>(H134+I134+H135+H136)</f>
        <v>50.041415808396593</v>
      </c>
      <c r="J137" s="134"/>
      <c r="K137" s="324">
        <v>0.2999</v>
      </c>
      <c r="L137" s="27">
        <f t="shared" si="5"/>
        <v>1.4842</v>
      </c>
      <c r="M137" s="64">
        <v>50.04</v>
      </c>
      <c r="N137" s="86">
        <f>I137-M137</f>
        <v>1.4158083965938317E-3</v>
      </c>
    </row>
    <row r="138" spans="1:14" s="64" customFormat="1" x14ac:dyDescent="0.2">
      <c r="A138" s="63"/>
      <c r="B138" s="152"/>
      <c r="C138" s="122"/>
      <c r="D138" s="75"/>
      <c r="E138" s="67"/>
      <c r="F138" s="327"/>
      <c r="G138" s="71"/>
      <c r="H138" s="67"/>
      <c r="I138" s="67"/>
      <c r="J138" s="134"/>
      <c r="K138" s="324">
        <v>0.2999</v>
      </c>
      <c r="L138" s="27">
        <f t="shared" si="5"/>
        <v>1.4842</v>
      </c>
    </row>
    <row r="139" spans="1:14" s="33" customFormat="1" x14ac:dyDescent="0.2">
      <c r="A139" s="24"/>
      <c r="B139" s="152"/>
      <c r="C139" s="122"/>
      <c r="D139" s="75"/>
      <c r="E139" s="67"/>
      <c r="F139" s="327"/>
      <c r="G139" s="71"/>
      <c r="H139" s="67"/>
      <c r="I139" s="67"/>
      <c r="J139" s="134"/>
      <c r="K139" s="324">
        <v>0.2999</v>
      </c>
      <c r="L139" s="27">
        <f t="shared" si="5"/>
        <v>1.4842</v>
      </c>
    </row>
    <row r="140" spans="1:14" s="64" customFormat="1" x14ac:dyDescent="0.2">
      <c r="A140" s="17"/>
      <c r="B140" s="148"/>
      <c r="C140" s="70" t="str">
        <f>orçamento!D27</f>
        <v>Embassamento c/tijolo comum</v>
      </c>
      <c r="D140" s="75" t="s">
        <v>57</v>
      </c>
      <c r="E140" s="67"/>
      <c r="F140" s="327"/>
      <c r="G140" s="71"/>
      <c r="H140" s="67"/>
      <c r="I140" s="67"/>
      <c r="J140" s="134"/>
      <c r="K140" s="324">
        <v>0.2999</v>
      </c>
      <c r="L140" s="27">
        <f t="shared" si="5"/>
        <v>1.4842</v>
      </c>
    </row>
    <row r="141" spans="1:14" s="64" customFormat="1" x14ac:dyDescent="0.2">
      <c r="A141" s="63"/>
      <c r="B141" s="152"/>
      <c r="C141" s="122" t="str">
        <f>C140</f>
        <v>Embassamento c/tijolo comum</v>
      </c>
      <c r="D141" s="75" t="s">
        <v>64</v>
      </c>
      <c r="E141" s="67">
        <f>128.03*N10</f>
        <v>128.03</v>
      </c>
      <c r="F141" s="327">
        <v>88</v>
      </c>
      <c r="G141" s="71">
        <v>2.4</v>
      </c>
      <c r="H141" s="67"/>
      <c r="I141" s="67">
        <f>E141*G141</f>
        <v>307.27199999999999</v>
      </c>
      <c r="J141" s="134"/>
      <c r="K141" s="324">
        <v>0.2999</v>
      </c>
      <c r="L141" s="27">
        <f t="shared" si="5"/>
        <v>1.4842</v>
      </c>
    </row>
    <row r="142" spans="1:14" s="64" customFormat="1" x14ac:dyDescent="0.2">
      <c r="A142" s="63"/>
      <c r="B142" s="152"/>
      <c r="C142" s="122" t="s">
        <v>289</v>
      </c>
      <c r="D142" s="75" t="s">
        <v>53</v>
      </c>
      <c r="E142" s="67">
        <f>5.21*N10</f>
        <v>5.21</v>
      </c>
      <c r="F142" s="327"/>
      <c r="G142" s="71">
        <v>9.5</v>
      </c>
      <c r="H142" s="67">
        <f>E142*G142</f>
        <v>49.494999999999997</v>
      </c>
      <c r="I142" s="67"/>
      <c r="J142" s="134"/>
      <c r="K142" s="324">
        <v>0.2999</v>
      </c>
      <c r="L142" s="27">
        <f t="shared" si="5"/>
        <v>1.4842</v>
      </c>
    </row>
    <row r="143" spans="1:14" s="64" customFormat="1" x14ac:dyDescent="0.2">
      <c r="A143" s="63"/>
      <c r="B143" s="152"/>
      <c r="C143" s="122" t="s">
        <v>259</v>
      </c>
      <c r="D143" s="75" t="s">
        <v>53</v>
      </c>
      <c r="E143" s="67">
        <f>3.77*N10</f>
        <v>3.77</v>
      </c>
      <c r="F143" s="327"/>
      <c r="G143" s="71">
        <v>9.5</v>
      </c>
      <c r="H143" s="67">
        <f>E143*G143</f>
        <v>35.814999999999998</v>
      </c>
      <c r="I143" s="67"/>
      <c r="J143" s="134"/>
      <c r="K143" s="324">
        <v>0.2999</v>
      </c>
      <c r="L143" s="27">
        <f t="shared" si="5"/>
        <v>1.4842</v>
      </c>
    </row>
    <row r="144" spans="1:14" s="64" customFormat="1" x14ac:dyDescent="0.2">
      <c r="A144" s="63"/>
      <c r="B144" s="152"/>
      <c r="C144" s="122"/>
      <c r="D144" s="75"/>
      <c r="E144" s="67"/>
      <c r="F144" s="327"/>
      <c r="G144" s="71"/>
      <c r="H144" s="67"/>
      <c r="I144" s="67"/>
      <c r="J144" s="134"/>
      <c r="K144" s="324">
        <v>0.2999</v>
      </c>
      <c r="L144" s="27">
        <f t="shared" si="5"/>
        <v>1.4842</v>
      </c>
    </row>
    <row r="145" spans="1:14" s="64" customFormat="1" x14ac:dyDescent="0.2">
      <c r="A145" s="63"/>
      <c r="B145" s="152"/>
      <c r="C145" s="122"/>
      <c r="D145" s="75"/>
      <c r="E145" s="438" t="str">
        <f>E134</f>
        <v>Custo Direto</v>
      </c>
      <c r="F145" s="438"/>
      <c r="G145" s="438"/>
      <c r="H145" s="69">
        <f>SUM(H141:H143)</f>
        <v>85.31</v>
      </c>
      <c r="I145" s="69">
        <f>SUM(I141:I143)</f>
        <v>307.27199999999999</v>
      </c>
      <c r="J145" s="134"/>
      <c r="K145" s="324">
        <v>0.2999</v>
      </c>
      <c r="L145" s="27">
        <f t="shared" si="5"/>
        <v>1.4842</v>
      </c>
    </row>
    <row r="146" spans="1:14" s="64" customFormat="1" x14ac:dyDescent="0.2">
      <c r="A146" s="63"/>
      <c r="B146" s="152"/>
      <c r="C146" s="122"/>
      <c r="D146" s="75"/>
      <c r="E146" s="438" t="str">
        <f>E135</f>
        <v>LS(%): 148,42</v>
      </c>
      <c r="F146" s="438"/>
      <c r="G146" s="438"/>
      <c r="H146" s="67">
        <f>H145*L146</f>
        <v>126.617102</v>
      </c>
      <c r="I146" s="131"/>
      <c r="J146" s="134"/>
      <c r="K146" s="324">
        <v>0.2999</v>
      </c>
      <c r="L146" s="27">
        <f t="shared" si="5"/>
        <v>1.4842</v>
      </c>
      <c r="N146" s="86"/>
    </row>
    <row r="147" spans="1:14" s="64" customFormat="1" x14ac:dyDescent="0.2">
      <c r="A147" s="63"/>
      <c r="B147" s="152"/>
      <c r="C147" s="122"/>
      <c r="D147" s="75"/>
      <c r="E147" s="438" t="str">
        <f>E136</f>
        <v>BDI (%): 29,99</v>
      </c>
      <c r="F147" s="438"/>
      <c r="G147" s="438"/>
      <c r="H147" s="439">
        <f>(H145+I145+H146)*K147</f>
        <v>155.7078106898</v>
      </c>
      <c r="I147" s="439"/>
      <c r="J147" s="134"/>
      <c r="K147" s="324">
        <v>0.2999</v>
      </c>
      <c r="L147" s="27">
        <f t="shared" si="5"/>
        <v>1.4842</v>
      </c>
    </row>
    <row r="148" spans="1:14" s="64" customFormat="1" x14ac:dyDescent="0.2">
      <c r="A148" s="63"/>
      <c r="B148" s="152"/>
      <c r="C148" s="122"/>
      <c r="D148" s="75"/>
      <c r="E148" s="438" t="str">
        <f>E137</f>
        <v>Valor Total c/ Taxas</v>
      </c>
      <c r="F148" s="438"/>
      <c r="G148" s="438"/>
      <c r="H148" s="67"/>
      <c r="I148" s="69">
        <f>(H145+I145+H146+H147)</f>
        <v>674.90691268980004</v>
      </c>
      <c r="J148" s="134"/>
      <c r="K148" s="324">
        <v>0.2999</v>
      </c>
      <c r="L148" s="27">
        <f t="shared" si="5"/>
        <v>1.4842</v>
      </c>
      <c r="M148" s="64">
        <v>674.91</v>
      </c>
      <c r="N148" s="86">
        <f>I148-M148</f>
        <v>-3.0873101999304708E-3</v>
      </c>
    </row>
    <row r="149" spans="1:14" s="33" customFormat="1" x14ac:dyDescent="0.2">
      <c r="A149" s="24"/>
      <c r="B149" s="152"/>
      <c r="C149" s="122"/>
      <c r="D149" s="75"/>
      <c r="E149" s="67"/>
      <c r="F149" s="327"/>
      <c r="G149" s="71"/>
      <c r="H149" s="67"/>
      <c r="I149" s="67"/>
      <c r="J149" s="134"/>
      <c r="K149" s="324">
        <v>0.2999</v>
      </c>
      <c r="L149" s="27">
        <f t="shared" si="5"/>
        <v>1.4842</v>
      </c>
    </row>
    <row r="150" spans="1:14" s="64" customFormat="1" x14ac:dyDescent="0.2">
      <c r="A150" s="17"/>
      <c r="B150" s="148"/>
      <c r="C150" s="70" t="str">
        <f>orçamento!D28</f>
        <v>Estaca a trado diam. 30 cm com inclusive ferragem</v>
      </c>
      <c r="D150" s="75" t="s">
        <v>57</v>
      </c>
      <c r="E150" s="67"/>
      <c r="F150" s="327"/>
      <c r="G150" s="71"/>
      <c r="H150" s="67"/>
      <c r="I150" s="67"/>
      <c r="J150" s="134"/>
      <c r="K150" s="324">
        <v>0.2999</v>
      </c>
      <c r="L150" s="27">
        <f t="shared" si="5"/>
        <v>1.4842</v>
      </c>
    </row>
    <row r="151" spans="1:14" s="64" customFormat="1" x14ac:dyDescent="0.2">
      <c r="A151" s="63"/>
      <c r="B151" s="152"/>
      <c r="C151" s="122" t="s">
        <v>296</v>
      </c>
      <c r="D151" s="75" t="s">
        <v>102</v>
      </c>
      <c r="E151" s="67">
        <f>F151*N10</f>
        <v>4.5599999999999996</v>
      </c>
      <c r="F151" s="327">
        <v>4.5599999999999996</v>
      </c>
      <c r="G151" s="71">
        <v>0.1</v>
      </c>
      <c r="H151" s="67"/>
      <c r="I151" s="67">
        <f>E151*G151</f>
        <v>0.45599999999999996</v>
      </c>
      <c r="J151" s="134"/>
      <c r="K151" s="324">
        <v>0.2999</v>
      </c>
      <c r="L151" s="27">
        <f t="shared" si="5"/>
        <v>1.4842</v>
      </c>
    </row>
    <row r="152" spans="1:14" s="64" customFormat="1" ht="25.5" x14ac:dyDescent="0.2">
      <c r="A152" s="63"/>
      <c r="B152" s="152"/>
      <c r="C152" s="122" t="s">
        <v>256</v>
      </c>
      <c r="D152" s="75" t="s">
        <v>57</v>
      </c>
      <c r="E152" s="67">
        <f>44.89*N10</f>
        <v>44.89</v>
      </c>
      <c r="F152" s="327" t="e">
        <f>#REF!</f>
        <v>#REF!</v>
      </c>
      <c r="G152" s="71">
        <v>0.28499999999999998</v>
      </c>
      <c r="H152" s="67"/>
      <c r="I152" s="67">
        <f>E152*G152</f>
        <v>12.79365</v>
      </c>
      <c r="J152" s="134"/>
      <c r="K152" s="324">
        <v>0.2999</v>
      </c>
      <c r="L152" s="27">
        <f t="shared" si="5"/>
        <v>1.4842</v>
      </c>
    </row>
    <row r="153" spans="1:14" s="64" customFormat="1" ht="25.5" x14ac:dyDescent="0.2">
      <c r="A153" s="63"/>
      <c r="B153" s="152"/>
      <c r="C153" s="122" t="s">
        <v>290</v>
      </c>
      <c r="D153" s="75" t="s">
        <v>57</v>
      </c>
      <c r="E153" s="67">
        <f>F153*N10</f>
        <v>3.32</v>
      </c>
      <c r="F153" s="327">
        <v>3.32</v>
      </c>
      <c r="G153" s="71">
        <v>0.27</v>
      </c>
      <c r="H153" s="67"/>
      <c r="I153" s="67">
        <f>E153*G153</f>
        <v>0.89639999999999997</v>
      </c>
      <c r="J153" s="134"/>
      <c r="K153" s="324">
        <v>0.2999</v>
      </c>
      <c r="L153" s="27">
        <f t="shared" si="5"/>
        <v>1.4842</v>
      </c>
    </row>
    <row r="154" spans="1:14" s="64" customFormat="1" x14ac:dyDescent="0.2">
      <c r="A154" s="63"/>
      <c r="B154" s="152"/>
      <c r="C154" s="122" t="s">
        <v>287</v>
      </c>
      <c r="D154" s="75" t="s">
        <v>55</v>
      </c>
      <c r="E154" s="67">
        <f>F154*N10</f>
        <v>7.21</v>
      </c>
      <c r="F154" s="327">
        <v>7.21</v>
      </c>
      <c r="G154" s="71">
        <v>0.15</v>
      </c>
      <c r="H154" s="67"/>
      <c r="I154" s="67">
        <f>E154*G154</f>
        <v>1.0814999999999999</v>
      </c>
      <c r="J154" s="134"/>
      <c r="K154" s="324">
        <v>0.2999</v>
      </c>
      <c r="L154" s="27">
        <f t="shared" si="5"/>
        <v>1.4842</v>
      </c>
    </row>
    <row r="155" spans="1:14" s="64" customFormat="1" ht="25.5" x14ac:dyDescent="0.2">
      <c r="A155" s="63"/>
      <c r="B155" s="152"/>
      <c r="C155" s="122" t="s">
        <v>291</v>
      </c>
      <c r="D155" s="75" t="s">
        <v>57</v>
      </c>
      <c r="E155" s="67">
        <f>F155*N10</f>
        <v>7.29</v>
      </c>
      <c r="F155" s="327">
        <v>7.29</v>
      </c>
      <c r="G155" s="71">
        <v>0.495</v>
      </c>
      <c r="H155" s="67"/>
      <c r="I155" s="67">
        <f>E155*G155</f>
        <v>3.6085500000000001</v>
      </c>
      <c r="J155" s="134"/>
      <c r="K155" s="324">
        <v>0.2999</v>
      </c>
      <c r="L155" s="27">
        <f t="shared" si="5"/>
        <v>1.4842</v>
      </c>
    </row>
    <row r="156" spans="1:14" s="64" customFormat="1" x14ac:dyDescent="0.2">
      <c r="A156" s="63"/>
      <c r="B156" s="152"/>
      <c r="C156" s="122" t="s">
        <v>282</v>
      </c>
      <c r="D156" s="75" t="s">
        <v>53</v>
      </c>
      <c r="E156" s="67">
        <f>5.21*N10</f>
        <v>5.21</v>
      </c>
      <c r="F156" s="327"/>
      <c r="G156" s="71">
        <v>2.4</v>
      </c>
      <c r="H156" s="67">
        <f>E156*G156</f>
        <v>12.504</v>
      </c>
      <c r="I156" s="67"/>
      <c r="J156" s="134"/>
      <c r="K156" s="324">
        <v>0.2999</v>
      </c>
      <c r="L156" s="27">
        <f t="shared" si="5"/>
        <v>1.4842</v>
      </c>
    </row>
    <row r="157" spans="1:14" s="64" customFormat="1" x14ac:dyDescent="0.2">
      <c r="A157" s="63"/>
      <c r="B157" s="152"/>
      <c r="C157" s="122" t="s">
        <v>259</v>
      </c>
      <c r="D157" s="75" t="s">
        <v>53</v>
      </c>
      <c r="E157" s="67">
        <f>3.77*N10</f>
        <v>3.77</v>
      </c>
      <c r="F157" s="327"/>
      <c r="G157" s="71">
        <v>3.1</v>
      </c>
      <c r="H157" s="67">
        <f>E157*G157</f>
        <v>11.687000000000001</v>
      </c>
      <c r="I157" s="67"/>
      <c r="J157" s="134"/>
      <c r="K157" s="324">
        <v>0.2999</v>
      </c>
      <c r="L157" s="27">
        <f t="shared" si="5"/>
        <v>1.4842</v>
      </c>
    </row>
    <row r="158" spans="1:14" s="64" customFormat="1" x14ac:dyDescent="0.2">
      <c r="A158" s="63"/>
      <c r="B158" s="152"/>
      <c r="C158" s="122"/>
      <c r="D158" s="75"/>
      <c r="E158" s="67"/>
      <c r="F158" s="327"/>
      <c r="G158" s="71"/>
      <c r="H158" s="67"/>
      <c r="I158" s="67"/>
      <c r="J158" s="134"/>
      <c r="K158" s="324">
        <v>0.2999</v>
      </c>
      <c r="L158" s="27">
        <f t="shared" si="5"/>
        <v>1.4842</v>
      </c>
    </row>
    <row r="159" spans="1:14" s="64" customFormat="1" x14ac:dyDescent="0.2">
      <c r="A159" s="63"/>
      <c r="B159" s="152"/>
      <c r="C159" s="122"/>
      <c r="D159" s="75"/>
      <c r="E159" s="438" t="str">
        <f>E145</f>
        <v>Custo Direto</v>
      </c>
      <c r="F159" s="438"/>
      <c r="G159" s="438"/>
      <c r="H159" s="69">
        <f>SUM(H151:H157)</f>
        <v>24.191000000000003</v>
      </c>
      <c r="I159" s="69">
        <f>SUM(I151:I157)</f>
        <v>18.836099999999998</v>
      </c>
      <c r="J159" s="134"/>
      <c r="K159" s="324">
        <v>0.2999</v>
      </c>
      <c r="L159" s="27">
        <f t="shared" si="5"/>
        <v>1.4842</v>
      </c>
    </row>
    <row r="160" spans="1:14" s="64" customFormat="1" x14ac:dyDescent="0.2">
      <c r="A160" s="63"/>
      <c r="B160" s="152"/>
      <c r="C160" s="122"/>
      <c r="D160" s="75"/>
      <c r="E160" s="438" t="str">
        <f t="shared" ref="E160:E162" si="6">E146</f>
        <v>LS(%): 148,42</v>
      </c>
      <c r="F160" s="438"/>
      <c r="G160" s="438"/>
      <c r="H160" s="67">
        <f>H159*L160</f>
        <v>35.904282200000004</v>
      </c>
      <c r="I160" s="131"/>
      <c r="J160" s="134"/>
      <c r="K160" s="324">
        <v>0.2999</v>
      </c>
      <c r="L160" s="27">
        <f t="shared" si="5"/>
        <v>1.4842</v>
      </c>
    </row>
    <row r="161" spans="1:14" s="64" customFormat="1" x14ac:dyDescent="0.2">
      <c r="A161" s="63"/>
      <c r="B161" s="152"/>
      <c r="C161" s="122"/>
      <c r="D161" s="75"/>
      <c r="E161" s="438" t="str">
        <f t="shared" si="6"/>
        <v>BDI (%): 29,99</v>
      </c>
      <c r="F161" s="438"/>
      <c r="G161" s="438"/>
      <c r="H161" s="439">
        <f>(H159+I159+H160)*K161</f>
        <v>23.671521521780001</v>
      </c>
      <c r="I161" s="439"/>
      <c r="J161" s="134"/>
      <c r="K161" s="324">
        <v>0.2999</v>
      </c>
      <c r="L161" s="27">
        <f t="shared" si="5"/>
        <v>1.4842</v>
      </c>
    </row>
    <row r="162" spans="1:14" s="64" customFormat="1" x14ac:dyDescent="0.2">
      <c r="A162" s="63"/>
      <c r="B162" s="152"/>
      <c r="C162" s="122"/>
      <c r="D162" s="75"/>
      <c r="E162" s="438" t="str">
        <f t="shared" si="6"/>
        <v>Valor Total c/ Taxas</v>
      </c>
      <c r="F162" s="438"/>
      <c r="G162" s="438"/>
      <c r="H162" s="67"/>
      <c r="I162" s="69">
        <f>(H159+I159+H160+H161)</f>
        <v>102.60290372178</v>
      </c>
      <c r="J162" s="134"/>
      <c r="K162" s="324">
        <v>0.2999</v>
      </c>
      <c r="L162" s="27">
        <f t="shared" si="5"/>
        <v>1.4842</v>
      </c>
      <c r="M162" s="64">
        <v>102.6</v>
      </c>
      <c r="N162" s="86">
        <f>I162-M162</f>
        <v>2.9037217800009785E-3</v>
      </c>
    </row>
    <row r="163" spans="1:14" s="64" customFormat="1" x14ac:dyDescent="0.2">
      <c r="A163" s="63"/>
      <c r="B163" s="152"/>
      <c r="C163" s="122"/>
      <c r="D163" s="75"/>
      <c r="E163" s="88"/>
      <c r="F163" s="327"/>
      <c r="G163" s="157"/>
      <c r="H163" s="67"/>
      <c r="I163" s="69"/>
      <c r="J163" s="134"/>
      <c r="K163" s="324">
        <v>0.2999</v>
      </c>
      <c r="L163" s="27">
        <f t="shared" si="5"/>
        <v>1.4842</v>
      </c>
    </row>
    <row r="164" spans="1:14" s="64" customFormat="1" x14ac:dyDescent="0.2">
      <c r="A164" s="17"/>
      <c r="B164" s="148"/>
      <c r="C164" s="70" t="str">
        <f>orçamento!D29</f>
        <v>Escavação manual de valas (sapatas/blocos)</v>
      </c>
      <c r="D164" s="75" t="s">
        <v>57</v>
      </c>
      <c r="E164" s="67"/>
      <c r="F164" s="327"/>
      <c r="G164" s="71"/>
      <c r="H164" s="67"/>
      <c r="I164" s="67"/>
      <c r="J164" s="134"/>
      <c r="K164" s="324">
        <v>0.2999</v>
      </c>
      <c r="L164" s="27">
        <f t="shared" si="5"/>
        <v>1.4842</v>
      </c>
    </row>
    <row r="165" spans="1:14" s="64" customFormat="1" x14ac:dyDescent="0.2">
      <c r="A165" s="63"/>
      <c r="B165" s="385"/>
      <c r="C165" s="122" t="s">
        <v>259</v>
      </c>
      <c r="D165" s="75" t="s">
        <v>53</v>
      </c>
      <c r="E165" s="67">
        <f>3.77*N10</f>
        <v>3.77</v>
      </c>
      <c r="F165" s="327"/>
      <c r="G165" s="71">
        <v>5.2850000000000001</v>
      </c>
      <c r="H165" s="67">
        <f>E165*G165</f>
        <v>19.92445</v>
      </c>
      <c r="I165" s="67"/>
      <c r="J165" s="134"/>
      <c r="K165" s="324">
        <v>0.2999</v>
      </c>
      <c r="L165" s="27">
        <f t="shared" si="5"/>
        <v>1.4842</v>
      </c>
    </row>
    <row r="166" spans="1:14" s="64" customFormat="1" x14ac:dyDescent="0.2">
      <c r="A166" s="63"/>
      <c r="B166" s="152"/>
      <c r="C166" s="122"/>
      <c r="D166" s="75"/>
      <c r="E166" s="67"/>
      <c r="F166" s="327"/>
      <c r="G166" s="71"/>
      <c r="H166" s="67"/>
      <c r="I166" s="67"/>
      <c r="J166" s="134"/>
      <c r="K166" s="324">
        <v>0.2999</v>
      </c>
      <c r="L166" s="27">
        <f t="shared" si="5"/>
        <v>1.4842</v>
      </c>
    </row>
    <row r="167" spans="1:14" s="64" customFormat="1" x14ac:dyDescent="0.2">
      <c r="A167" s="63"/>
      <c r="B167" s="152"/>
      <c r="C167" s="122"/>
      <c r="D167" s="75"/>
      <c r="E167" s="438" t="str">
        <f>E159</f>
        <v>Custo Direto</v>
      </c>
      <c r="F167" s="438"/>
      <c r="G167" s="438"/>
      <c r="H167" s="69">
        <f>SUM(H165:H165)</f>
        <v>19.92445</v>
      </c>
      <c r="I167" s="69">
        <f>SUM(I165:I165)</f>
        <v>0</v>
      </c>
      <c r="J167" s="134"/>
      <c r="K167" s="324">
        <v>0.2999</v>
      </c>
      <c r="L167" s="27">
        <f t="shared" si="5"/>
        <v>1.4842</v>
      </c>
    </row>
    <row r="168" spans="1:14" s="64" customFormat="1" x14ac:dyDescent="0.2">
      <c r="A168" s="63"/>
      <c r="B168" s="152"/>
      <c r="C168" s="122"/>
      <c r="D168" s="75"/>
      <c r="E168" s="438" t="str">
        <f>E160</f>
        <v>LS(%): 148,42</v>
      </c>
      <c r="F168" s="438"/>
      <c r="G168" s="438"/>
      <c r="H168" s="67">
        <f>H167*L168</f>
        <v>29.571868689999999</v>
      </c>
      <c r="I168" s="131"/>
      <c r="J168" s="134"/>
      <c r="K168" s="324">
        <v>0.2999</v>
      </c>
      <c r="L168" s="27">
        <f t="shared" si="5"/>
        <v>1.4842</v>
      </c>
    </row>
    <row r="169" spans="1:14" s="64" customFormat="1" x14ac:dyDescent="0.2">
      <c r="A169" s="63"/>
      <c r="B169" s="152"/>
      <c r="C169" s="122"/>
      <c r="D169" s="75"/>
      <c r="E169" s="438" t="str">
        <f>E161</f>
        <v>BDI (%): 29,99</v>
      </c>
      <c r="F169" s="438"/>
      <c r="G169" s="438"/>
      <c r="H169" s="439">
        <f>(H167+I167+H168)*K169</f>
        <v>14.843945975130998</v>
      </c>
      <c r="I169" s="439"/>
      <c r="J169" s="134"/>
      <c r="K169" s="324">
        <v>0.2999</v>
      </c>
      <c r="L169" s="27">
        <f t="shared" si="5"/>
        <v>1.4842</v>
      </c>
    </row>
    <row r="170" spans="1:14" s="64" customFormat="1" x14ac:dyDescent="0.2">
      <c r="A170" s="63"/>
      <c r="B170" s="152"/>
      <c r="C170" s="122"/>
      <c r="D170" s="75"/>
      <c r="E170" s="438" t="str">
        <f>E162</f>
        <v>Valor Total c/ Taxas</v>
      </c>
      <c r="F170" s="438"/>
      <c r="G170" s="438"/>
      <c r="H170" s="67"/>
      <c r="I170" s="69">
        <f>(H167+I167+H168+H169)</f>
        <v>64.340264665130988</v>
      </c>
      <c r="J170" s="134"/>
      <c r="K170" s="324">
        <v>0.2999</v>
      </c>
      <c r="L170" s="27">
        <f t="shared" si="5"/>
        <v>1.4842</v>
      </c>
      <c r="M170" s="64">
        <v>64.34</v>
      </c>
      <c r="N170" s="86">
        <f>I170-M170</f>
        <v>2.646651309845538E-4</v>
      </c>
    </row>
    <row r="171" spans="1:14" s="64" customFormat="1" x14ac:dyDescent="0.2">
      <c r="A171" s="63"/>
      <c r="B171" s="152"/>
      <c r="C171" s="122"/>
      <c r="D171" s="75"/>
      <c r="E171" s="67"/>
      <c r="F171" s="327"/>
      <c r="G171" s="71"/>
      <c r="H171" s="67"/>
      <c r="I171" s="67"/>
      <c r="J171" s="134"/>
      <c r="K171" s="324">
        <v>0.2999</v>
      </c>
      <c r="L171" s="27">
        <f t="shared" si="5"/>
        <v>1.4842</v>
      </c>
    </row>
    <row r="172" spans="1:14" s="64" customFormat="1" x14ac:dyDescent="0.2">
      <c r="A172" s="17"/>
      <c r="B172" s="148"/>
      <c r="C172" s="70" t="str">
        <f>orçamento!D30</f>
        <v>Reaterro  c/ apiloamento (blocos/sapatas)</v>
      </c>
      <c r="D172" s="75" t="s">
        <v>57</v>
      </c>
      <c r="E172" s="67"/>
      <c r="F172" s="327"/>
      <c r="G172" s="71"/>
      <c r="H172" s="67"/>
      <c r="I172" s="67"/>
      <c r="J172" s="134"/>
      <c r="K172" s="324">
        <v>0.2999</v>
      </c>
      <c r="L172" s="27">
        <f t="shared" si="5"/>
        <v>1.4842</v>
      </c>
    </row>
    <row r="173" spans="1:14" s="64" customFormat="1" ht="38.25" x14ac:dyDescent="0.2">
      <c r="A173" s="56"/>
      <c r="B173" s="149"/>
      <c r="C173" s="122" t="s">
        <v>288</v>
      </c>
      <c r="D173" s="75" t="s">
        <v>53</v>
      </c>
      <c r="E173" s="67">
        <f>3.3*N10</f>
        <v>3.3</v>
      </c>
      <c r="F173" s="327">
        <v>1.2</v>
      </c>
      <c r="G173" s="71">
        <v>0.34</v>
      </c>
      <c r="H173" s="67"/>
      <c r="I173" s="67">
        <f>E173*G173</f>
        <v>1.1220000000000001</v>
      </c>
      <c r="J173" s="134"/>
      <c r="K173" s="324">
        <v>0.2999</v>
      </c>
      <c r="L173" s="27">
        <f t="shared" si="5"/>
        <v>1.4842</v>
      </c>
      <c r="M173" s="67">
        <v>3.3</v>
      </c>
    </row>
    <row r="174" spans="1:14" s="64" customFormat="1" x14ac:dyDescent="0.2">
      <c r="A174" s="63"/>
      <c r="B174" s="385"/>
      <c r="C174" s="122" t="s">
        <v>54</v>
      </c>
      <c r="D174" s="75" t="s">
        <v>53</v>
      </c>
      <c r="E174" s="67">
        <f>3.77*N10</f>
        <v>3.77</v>
      </c>
      <c r="F174" s="327"/>
      <c r="G174" s="71">
        <v>3.403</v>
      </c>
      <c r="H174" s="67">
        <f>E174*G174</f>
        <v>12.82931</v>
      </c>
      <c r="I174" s="67"/>
      <c r="J174" s="134"/>
      <c r="K174" s="324">
        <v>0.2999</v>
      </c>
      <c r="L174" s="27">
        <f>L172</f>
        <v>1.4842</v>
      </c>
      <c r="M174" s="67">
        <v>3.77</v>
      </c>
    </row>
    <row r="175" spans="1:14" s="64" customFormat="1" x14ac:dyDescent="0.2">
      <c r="A175" s="63"/>
      <c r="B175" s="385"/>
      <c r="C175" s="122"/>
      <c r="D175" s="75"/>
      <c r="E175" s="67"/>
      <c r="F175" s="327"/>
      <c r="G175" s="71"/>
      <c r="H175" s="67"/>
      <c r="I175" s="67"/>
      <c r="J175" s="134"/>
      <c r="K175" s="324">
        <v>0.2999</v>
      </c>
      <c r="L175" s="27">
        <f t="shared" si="5"/>
        <v>1.4842</v>
      </c>
    </row>
    <row r="176" spans="1:14" s="64" customFormat="1" x14ac:dyDescent="0.2">
      <c r="A176" s="63"/>
      <c r="B176" s="385"/>
      <c r="C176" s="122"/>
      <c r="D176" s="75"/>
      <c r="E176" s="438" t="str">
        <f>E167</f>
        <v>Custo Direto</v>
      </c>
      <c r="F176" s="438"/>
      <c r="G176" s="438"/>
      <c r="H176" s="69">
        <f>SUM(H172:H174)</f>
        <v>12.82931</v>
      </c>
      <c r="I176" s="69">
        <f>SUM(I173:I174)</f>
        <v>1.1220000000000001</v>
      </c>
      <c r="J176" s="134"/>
      <c r="K176" s="324">
        <v>0.2999</v>
      </c>
      <c r="L176" s="27">
        <f t="shared" si="5"/>
        <v>1.4842</v>
      </c>
    </row>
    <row r="177" spans="1:14" s="64" customFormat="1" x14ac:dyDescent="0.2">
      <c r="A177" s="63"/>
      <c r="B177" s="385"/>
      <c r="C177" s="122"/>
      <c r="D177" s="75"/>
      <c r="E177" s="438" t="str">
        <f>E168</f>
        <v>LS(%): 148,42</v>
      </c>
      <c r="F177" s="438"/>
      <c r="G177" s="438"/>
      <c r="H177" s="67">
        <f>H176*L177</f>
        <v>19.041261901999999</v>
      </c>
      <c r="I177" s="131"/>
      <c r="J177" s="134"/>
      <c r="K177" s="324">
        <v>0.2999</v>
      </c>
      <c r="L177" s="27">
        <f t="shared" si="5"/>
        <v>1.4842</v>
      </c>
    </row>
    <row r="178" spans="1:14" s="64" customFormat="1" x14ac:dyDescent="0.2">
      <c r="A178" s="63"/>
      <c r="B178" s="385"/>
      <c r="C178" s="122"/>
      <c r="D178" s="75"/>
      <c r="E178" s="438" t="str">
        <f>E169</f>
        <v>BDI (%): 29,99</v>
      </c>
      <c r="F178" s="438"/>
      <c r="G178" s="438"/>
      <c r="H178" s="439">
        <f>(H176+I176+H177)*K178</f>
        <v>9.894472313409798</v>
      </c>
      <c r="I178" s="439"/>
      <c r="J178" s="134"/>
      <c r="K178" s="324">
        <v>0.2999</v>
      </c>
      <c r="L178" s="27">
        <f t="shared" si="5"/>
        <v>1.4842</v>
      </c>
    </row>
    <row r="179" spans="1:14" s="64" customFormat="1" x14ac:dyDescent="0.2">
      <c r="A179" s="63"/>
      <c r="B179" s="385"/>
      <c r="C179" s="122"/>
      <c r="D179" s="75"/>
      <c r="E179" s="438" t="str">
        <f>E170</f>
        <v>Valor Total c/ Taxas</v>
      </c>
      <c r="F179" s="438"/>
      <c r="G179" s="438"/>
      <c r="H179" s="67"/>
      <c r="I179" s="69">
        <f>(H176+I176+H177+H178)</f>
        <v>42.887044215409794</v>
      </c>
      <c r="J179" s="134"/>
      <c r="K179" s="324">
        <v>0.2999</v>
      </c>
      <c r="L179" s="27">
        <f t="shared" si="5"/>
        <v>1.4842</v>
      </c>
      <c r="M179" s="64">
        <v>42.89</v>
      </c>
      <c r="N179" s="86">
        <f>I179-M179</f>
        <v>-2.9557845902061786E-3</v>
      </c>
    </row>
    <row r="180" spans="1:14" s="64" customFormat="1" x14ac:dyDescent="0.2">
      <c r="A180" s="63"/>
      <c r="B180" s="152"/>
      <c r="C180" s="122"/>
      <c r="D180" s="75"/>
      <c r="E180" s="67"/>
      <c r="F180" s="327"/>
      <c r="G180" s="71"/>
      <c r="H180" s="67"/>
      <c r="I180" s="67"/>
      <c r="J180" s="134"/>
      <c r="K180" s="324">
        <v>0.2999</v>
      </c>
      <c r="L180" s="27">
        <f t="shared" si="5"/>
        <v>1.4842</v>
      </c>
    </row>
    <row r="181" spans="1:14" s="33" customFormat="1" x14ac:dyDescent="0.2">
      <c r="A181" s="17"/>
      <c r="B181" s="364"/>
      <c r="C181" s="70" t="str">
        <f>orçamento!D31</f>
        <v>Escavação tubulões a céu aberto - (obras civis)</v>
      </c>
      <c r="D181" s="75" t="s">
        <v>61</v>
      </c>
      <c r="E181" s="67"/>
      <c r="F181" s="327"/>
      <c r="G181" s="71"/>
      <c r="H181" s="67"/>
      <c r="I181" s="67"/>
      <c r="J181" s="134"/>
      <c r="K181" s="324">
        <v>0.2999</v>
      </c>
      <c r="L181" s="27">
        <f t="shared" si="5"/>
        <v>1.4842</v>
      </c>
    </row>
    <row r="182" spans="1:14" s="64" customFormat="1" x14ac:dyDescent="0.2">
      <c r="A182" s="17"/>
      <c r="B182" s="364"/>
      <c r="C182" s="122" t="str">
        <f>C181</f>
        <v>Escavação tubulões a céu aberto - (obras civis)</v>
      </c>
      <c r="D182" s="75" t="s">
        <v>64</v>
      </c>
      <c r="E182" s="67">
        <f>205*N10</f>
        <v>205</v>
      </c>
      <c r="F182" s="327"/>
      <c r="G182" s="71">
        <v>1.3</v>
      </c>
      <c r="H182" s="67"/>
      <c r="I182" s="67">
        <f>E182*G182</f>
        <v>266.5</v>
      </c>
      <c r="J182" s="134"/>
      <c r="K182" s="324">
        <v>0.2999</v>
      </c>
      <c r="L182" s="27"/>
    </row>
    <row r="183" spans="1:14" s="64" customFormat="1" x14ac:dyDescent="0.2">
      <c r="A183" s="63"/>
      <c r="B183" s="152"/>
      <c r="C183" s="122" t="s">
        <v>259</v>
      </c>
      <c r="D183" s="75" t="s">
        <v>53</v>
      </c>
      <c r="E183" s="67">
        <f>3.77*N10</f>
        <v>3.77</v>
      </c>
      <c r="F183" s="327"/>
      <c r="G183" s="71">
        <v>1.0880000000000001</v>
      </c>
      <c r="H183" s="67">
        <f>E183*G183</f>
        <v>4.1017600000000005</v>
      </c>
      <c r="I183" s="67"/>
      <c r="J183" s="134"/>
      <c r="K183" s="324">
        <v>0.2999</v>
      </c>
      <c r="L183" s="27">
        <f>L181</f>
        <v>1.4842</v>
      </c>
    </row>
    <row r="184" spans="1:14" s="33" customFormat="1" x14ac:dyDescent="0.2">
      <c r="A184" s="24"/>
      <c r="B184" s="152"/>
      <c r="C184" s="122"/>
      <c r="D184" s="75"/>
      <c r="E184" s="67"/>
      <c r="F184" s="327"/>
      <c r="G184" s="71"/>
      <c r="H184" s="67"/>
      <c r="I184" s="67"/>
      <c r="J184" s="134"/>
      <c r="K184" s="324">
        <v>0.2999</v>
      </c>
      <c r="L184" s="27">
        <f t="shared" si="5"/>
        <v>1.4842</v>
      </c>
    </row>
    <row r="185" spans="1:14" s="33" customFormat="1" x14ac:dyDescent="0.2">
      <c r="A185" s="24"/>
      <c r="B185" s="152"/>
      <c r="C185" s="122"/>
      <c r="D185" s="75"/>
      <c r="E185" s="438" t="str">
        <f>E176</f>
        <v>Custo Direto</v>
      </c>
      <c r="F185" s="438"/>
      <c r="G185" s="438"/>
      <c r="H185" s="69">
        <f>SUM(H183:H183)</f>
        <v>4.1017600000000005</v>
      </c>
      <c r="I185" s="69">
        <f>SUM(I182:I183)</f>
        <v>266.5</v>
      </c>
      <c r="J185" s="134"/>
      <c r="K185" s="324">
        <v>0.2999</v>
      </c>
      <c r="L185" s="27">
        <f t="shared" si="5"/>
        <v>1.4842</v>
      </c>
    </row>
    <row r="186" spans="1:14" s="33" customFormat="1" x14ac:dyDescent="0.2">
      <c r="A186" s="24"/>
      <c r="B186" s="152"/>
      <c r="C186" s="122"/>
      <c r="D186" s="75"/>
      <c r="E186" s="438" t="str">
        <f>E177</f>
        <v>LS(%): 148,42</v>
      </c>
      <c r="F186" s="438"/>
      <c r="G186" s="438"/>
      <c r="H186" s="67">
        <f>H185*L186</f>
        <v>6.0878321920000005</v>
      </c>
      <c r="I186" s="131"/>
      <c r="J186" s="134"/>
      <c r="K186" s="324">
        <v>0.2999</v>
      </c>
      <c r="L186" s="27">
        <f t="shared" si="5"/>
        <v>1.4842</v>
      </c>
    </row>
    <row r="187" spans="1:14" s="33" customFormat="1" x14ac:dyDescent="0.2">
      <c r="A187" s="24"/>
      <c r="B187" s="152"/>
      <c r="C187" s="122"/>
      <c r="D187" s="75"/>
      <c r="E187" s="438" t="str">
        <f>E178</f>
        <v>BDI (%): 29,99</v>
      </c>
      <c r="F187" s="438"/>
      <c r="G187" s="438"/>
      <c r="H187" s="439">
        <f>(H185+I185+H186)*K187</f>
        <v>82.979208698380802</v>
      </c>
      <c r="I187" s="439"/>
      <c r="J187" s="134"/>
      <c r="K187" s="324">
        <v>0.2999</v>
      </c>
      <c r="L187" s="27">
        <f t="shared" si="5"/>
        <v>1.4842</v>
      </c>
    </row>
    <row r="188" spans="1:14" s="192" customFormat="1" x14ac:dyDescent="0.2">
      <c r="A188" s="185"/>
      <c r="B188" s="186"/>
      <c r="C188" s="187"/>
      <c r="D188" s="188"/>
      <c r="E188" s="438" t="str">
        <f>E179</f>
        <v>Valor Total c/ Taxas</v>
      </c>
      <c r="F188" s="438"/>
      <c r="G188" s="438"/>
      <c r="H188" s="189"/>
      <c r="I188" s="182">
        <f>(H185+I185+H186+H187)</f>
        <v>359.66880089038079</v>
      </c>
      <c r="J188" s="190"/>
      <c r="K188" s="324">
        <v>0.2999</v>
      </c>
      <c r="L188" s="27">
        <f t="shared" si="5"/>
        <v>1.4842</v>
      </c>
      <c r="M188" s="192">
        <v>359.67</v>
      </c>
      <c r="N188" s="400">
        <f>I188-M188</f>
        <v>-1.199109619221872E-3</v>
      </c>
    </row>
    <row r="189" spans="1:14" s="33" customFormat="1" x14ac:dyDescent="0.2">
      <c r="A189" s="24"/>
      <c r="B189" s="152"/>
      <c r="C189" s="122"/>
      <c r="D189" s="75"/>
      <c r="E189" s="67"/>
      <c r="F189" s="327"/>
      <c r="G189" s="71"/>
      <c r="H189" s="67"/>
      <c r="I189" s="67"/>
      <c r="J189" s="134"/>
      <c r="K189" s="324">
        <v>0.2999</v>
      </c>
      <c r="L189" s="27">
        <f t="shared" si="5"/>
        <v>1.4842</v>
      </c>
    </row>
    <row r="190" spans="1:14" s="64" customFormat="1" x14ac:dyDescent="0.2">
      <c r="A190" s="17"/>
      <c r="B190" s="148"/>
      <c r="C190" s="70" t="str">
        <f>orçamento!D32</f>
        <v>Concreto simples para lastro</v>
      </c>
      <c r="D190" s="75" t="str">
        <f>D191</f>
        <v>M³</v>
      </c>
      <c r="E190" s="67"/>
      <c r="F190" s="327"/>
      <c r="G190" s="71"/>
      <c r="H190" s="67"/>
      <c r="I190" s="67"/>
      <c r="J190" s="134"/>
      <c r="K190" s="324">
        <v>0.2999</v>
      </c>
      <c r="L190" s="27">
        <f t="shared" si="5"/>
        <v>1.4842</v>
      </c>
    </row>
    <row r="191" spans="1:14" s="64" customFormat="1" x14ac:dyDescent="0.2">
      <c r="A191" s="63"/>
      <c r="B191" s="152"/>
      <c r="C191" s="122" t="str">
        <f>C190</f>
        <v>Concreto simples para lastro</v>
      </c>
      <c r="D191" s="75" t="s">
        <v>64</v>
      </c>
      <c r="E191" s="67">
        <f>450*N10</f>
        <v>450</v>
      </c>
      <c r="F191" s="327">
        <v>150</v>
      </c>
      <c r="G191" s="71">
        <v>0.8</v>
      </c>
      <c r="H191" s="67"/>
      <c r="I191" s="67">
        <f>E191*G191</f>
        <v>360</v>
      </c>
      <c r="J191" s="134"/>
      <c r="K191" s="324">
        <v>0.2999</v>
      </c>
      <c r="L191" s="27">
        <f t="shared" si="5"/>
        <v>1.4842</v>
      </c>
    </row>
    <row r="192" spans="1:14" s="64" customFormat="1" x14ac:dyDescent="0.2">
      <c r="A192" s="63"/>
      <c r="B192" s="152"/>
      <c r="C192" s="122" t="s">
        <v>289</v>
      </c>
      <c r="D192" s="75" t="s">
        <v>53</v>
      </c>
      <c r="E192" s="67">
        <f>5.21*N10</f>
        <v>5.21</v>
      </c>
      <c r="F192" s="327"/>
      <c r="G192" s="71">
        <v>1.3979999999999999</v>
      </c>
      <c r="H192" s="67">
        <f>E192*G192</f>
        <v>7.2835799999999997</v>
      </c>
      <c r="I192" s="67"/>
      <c r="J192" s="134"/>
      <c r="K192" s="324">
        <v>0.2999</v>
      </c>
      <c r="L192" s="27">
        <f t="shared" ref="L192:L255" si="7">L191</f>
        <v>1.4842</v>
      </c>
    </row>
    <row r="193" spans="1:14" s="64" customFormat="1" x14ac:dyDescent="0.2">
      <c r="A193" s="63"/>
      <c r="B193" s="152"/>
      <c r="C193" s="122" t="s">
        <v>259</v>
      </c>
      <c r="D193" s="75" t="s">
        <v>53</v>
      </c>
      <c r="E193" s="67">
        <f>3.77*N10</f>
        <v>3.77</v>
      </c>
      <c r="F193" s="327"/>
      <c r="G193" s="71">
        <v>1.0009999999999999</v>
      </c>
      <c r="H193" s="67">
        <f>E193*G193</f>
        <v>3.7737699999999994</v>
      </c>
      <c r="I193" s="67"/>
      <c r="J193" s="134"/>
      <c r="K193" s="324">
        <v>0.2999</v>
      </c>
      <c r="L193" s="27">
        <f t="shared" si="7"/>
        <v>1.4842</v>
      </c>
    </row>
    <row r="194" spans="1:14" s="64" customFormat="1" x14ac:dyDescent="0.2">
      <c r="A194" s="63"/>
      <c r="B194" s="152"/>
      <c r="C194" s="122"/>
      <c r="D194" s="75"/>
      <c r="E194" s="67"/>
      <c r="F194" s="327"/>
      <c r="G194" s="71"/>
      <c r="H194" s="67"/>
      <c r="I194" s="67"/>
      <c r="J194" s="134"/>
      <c r="K194" s="324">
        <v>0.2999</v>
      </c>
      <c r="L194" s="27">
        <f t="shared" si="7"/>
        <v>1.4842</v>
      </c>
    </row>
    <row r="195" spans="1:14" s="64" customFormat="1" x14ac:dyDescent="0.2">
      <c r="A195" s="63"/>
      <c r="B195" s="152"/>
      <c r="C195" s="122"/>
      <c r="D195" s="75"/>
      <c r="E195" s="438" t="str">
        <f>E185</f>
        <v>Custo Direto</v>
      </c>
      <c r="F195" s="438"/>
      <c r="G195" s="438"/>
      <c r="H195" s="69">
        <f>SUM(H191:H193)</f>
        <v>11.05735</v>
      </c>
      <c r="I195" s="69">
        <f>SUM(I191:I193)</f>
        <v>360</v>
      </c>
      <c r="J195" s="134"/>
      <c r="K195" s="324">
        <v>0.2999</v>
      </c>
      <c r="L195" s="27">
        <f t="shared" si="7"/>
        <v>1.4842</v>
      </c>
    </row>
    <row r="196" spans="1:14" s="64" customFormat="1" x14ac:dyDescent="0.2">
      <c r="A196" s="63"/>
      <c r="B196" s="152"/>
      <c r="C196" s="122"/>
      <c r="D196" s="75"/>
      <c r="E196" s="438" t="str">
        <f t="shared" ref="E196:E198" si="8">E186</f>
        <v>LS(%): 148,42</v>
      </c>
      <c r="F196" s="438"/>
      <c r="G196" s="438"/>
      <c r="H196" s="67">
        <f>H195*L196</f>
        <v>16.411318869999999</v>
      </c>
      <c r="I196" s="131"/>
      <c r="J196" s="134"/>
      <c r="K196" s="324">
        <v>0.2999</v>
      </c>
      <c r="L196" s="27">
        <f t="shared" si="7"/>
        <v>1.4842</v>
      </c>
    </row>
    <row r="197" spans="1:14" s="64" customFormat="1" x14ac:dyDescent="0.2">
      <c r="A197" s="63"/>
      <c r="B197" s="152"/>
      <c r="C197" s="122"/>
      <c r="D197" s="75"/>
      <c r="E197" s="438" t="str">
        <f t="shared" si="8"/>
        <v>BDI (%): 29,99</v>
      </c>
      <c r="F197" s="438"/>
      <c r="G197" s="438"/>
      <c r="H197" s="439">
        <f>(H195+I195+H196)*K197</f>
        <v>116.20185379411299</v>
      </c>
      <c r="I197" s="439"/>
      <c r="J197" s="134"/>
      <c r="K197" s="324">
        <v>0.2999</v>
      </c>
      <c r="L197" s="27">
        <f t="shared" si="7"/>
        <v>1.4842</v>
      </c>
    </row>
    <row r="198" spans="1:14" s="64" customFormat="1" x14ac:dyDescent="0.2">
      <c r="A198" s="63"/>
      <c r="B198" s="152"/>
      <c r="C198" s="122"/>
      <c r="D198" s="75"/>
      <c r="E198" s="438" t="str">
        <f t="shared" si="8"/>
        <v>Valor Total c/ Taxas</v>
      </c>
      <c r="F198" s="438"/>
      <c r="G198" s="438"/>
      <c r="H198" s="67"/>
      <c r="I198" s="69">
        <f>(H195+I195+H196+H197)</f>
        <v>503.67052266411298</v>
      </c>
      <c r="J198" s="134"/>
      <c r="K198" s="324">
        <v>0.2999</v>
      </c>
      <c r="L198" s="27">
        <f t="shared" si="7"/>
        <v>1.4842</v>
      </c>
      <c r="M198" s="64">
        <v>503.67</v>
      </c>
      <c r="N198" s="86">
        <f>I198-M198</f>
        <v>5.226641129638665E-4</v>
      </c>
    </row>
    <row r="199" spans="1:14" s="64" customFormat="1" x14ac:dyDescent="0.2">
      <c r="A199" s="63"/>
      <c r="B199" s="152"/>
      <c r="C199" s="122"/>
      <c r="D199" s="75"/>
      <c r="E199" s="67"/>
      <c r="F199" s="327"/>
      <c r="G199" s="71"/>
      <c r="H199" s="67"/>
      <c r="I199" s="67"/>
      <c r="J199" s="134"/>
      <c r="K199" s="324">
        <v>0.2999</v>
      </c>
      <c r="L199" s="27">
        <f t="shared" si="7"/>
        <v>1.4842</v>
      </c>
    </row>
    <row r="200" spans="1:14" s="64" customFormat="1" ht="25.5" x14ac:dyDescent="0.2">
      <c r="A200" s="17"/>
      <c r="B200" s="148"/>
      <c r="C200" s="70" t="str">
        <f>orçamento!D33</f>
        <v>Concreto armado  fck=20 MPa,usinado,Bombeado, lançado e adensado, para uso geral, inclusive formas.</v>
      </c>
      <c r="D200" s="75" t="str">
        <f>D190</f>
        <v>M³</v>
      </c>
      <c r="E200" s="67"/>
      <c r="F200" s="327"/>
      <c r="G200" s="71"/>
      <c r="H200" s="67"/>
      <c r="I200" s="67"/>
      <c r="J200" s="134"/>
      <c r="K200" s="324">
        <v>0.2999</v>
      </c>
      <c r="L200" s="27">
        <f t="shared" si="7"/>
        <v>1.4842</v>
      </c>
    </row>
    <row r="201" spans="1:14" s="64" customFormat="1" ht="38.25" x14ac:dyDescent="0.2">
      <c r="A201" s="63"/>
      <c r="B201" s="385"/>
      <c r="C201" s="122" t="s">
        <v>294</v>
      </c>
      <c r="D201" s="75" t="s">
        <v>64</v>
      </c>
      <c r="E201" s="67">
        <f>397.904*N10</f>
        <v>397.904</v>
      </c>
      <c r="F201" s="327">
        <v>314.93</v>
      </c>
      <c r="G201" s="71">
        <v>2.33</v>
      </c>
      <c r="H201" s="67"/>
      <c r="I201" s="67">
        <f>E201*G201</f>
        <v>927.11631999999997</v>
      </c>
      <c r="J201" s="134"/>
      <c r="K201" s="324">
        <v>0.2999</v>
      </c>
      <c r="L201" s="27">
        <f t="shared" si="7"/>
        <v>1.4842</v>
      </c>
    </row>
    <row r="202" spans="1:14" s="64" customFormat="1" x14ac:dyDescent="0.2">
      <c r="A202" s="63"/>
      <c r="B202" s="385"/>
      <c r="C202" s="122" t="s">
        <v>308</v>
      </c>
      <c r="D202" s="75" t="s">
        <v>53</v>
      </c>
      <c r="E202" s="67">
        <f>1.65*N10</f>
        <v>1.65</v>
      </c>
      <c r="F202" s="327">
        <v>1.65</v>
      </c>
      <c r="G202" s="71">
        <v>0.4</v>
      </c>
      <c r="H202" s="67"/>
      <c r="I202" s="67">
        <f>E202*G202</f>
        <v>0.66</v>
      </c>
      <c r="J202" s="134"/>
      <c r="K202" s="324">
        <v>0.2999</v>
      </c>
      <c r="L202" s="27">
        <f t="shared" si="7"/>
        <v>1.4842</v>
      </c>
    </row>
    <row r="203" spans="1:14" s="64" customFormat="1" x14ac:dyDescent="0.2">
      <c r="A203" s="63"/>
      <c r="B203" s="385"/>
      <c r="C203" s="122" t="s">
        <v>292</v>
      </c>
      <c r="D203" s="75" t="s">
        <v>53</v>
      </c>
      <c r="E203" s="67">
        <f>5.21*N10</f>
        <v>5.21</v>
      </c>
      <c r="F203" s="327"/>
      <c r="G203" s="71">
        <v>0.4</v>
      </c>
      <c r="H203" s="67">
        <f>E203*G203</f>
        <v>2.0840000000000001</v>
      </c>
      <c r="I203" s="67"/>
      <c r="J203" s="134"/>
      <c r="K203" s="324">
        <v>0.2999</v>
      </c>
      <c r="L203" s="27">
        <f t="shared" si="7"/>
        <v>1.4842</v>
      </c>
    </row>
    <row r="204" spans="1:14" s="64" customFormat="1" x14ac:dyDescent="0.2">
      <c r="A204" s="63"/>
      <c r="B204" s="385"/>
      <c r="C204" s="122" t="s">
        <v>282</v>
      </c>
      <c r="D204" s="75" t="s">
        <v>53</v>
      </c>
      <c r="E204" s="67">
        <f>5.21*N10</f>
        <v>5.21</v>
      </c>
      <c r="F204" s="327"/>
      <c r="G204" s="71">
        <v>0.09</v>
      </c>
      <c r="H204" s="67">
        <f>E204*G204</f>
        <v>0.46889999999999998</v>
      </c>
      <c r="I204" s="67"/>
      <c r="J204" s="134"/>
      <c r="K204" s="324">
        <v>0.2999</v>
      </c>
      <c r="L204" s="27">
        <f t="shared" si="7"/>
        <v>1.4842</v>
      </c>
    </row>
    <row r="205" spans="1:14" s="64" customFormat="1" x14ac:dyDescent="0.2">
      <c r="A205" s="63"/>
      <c r="B205" s="385"/>
      <c r="C205" s="122" t="s">
        <v>289</v>
      </c>
      <c r="D205" s="75" t="s">
        <v>53</v>
      </c>
      <c r="E205" s="147">
        <f>5.21*N10</f>
        <v>5.21</v>
      </c>
      <c r="F205" s="327"/>
      <c r="G205" s="71">
        <v>0.09</v>
      </c>
      <c r="H205" s="67">
        <f>E205*G205</f>
        <v>0.46889999999999998</v>
      </c>
      <c r="I205" s="67"/>
      <c r="J205" s="134"/>
      <c r="K205" s="324">
        <v>0.2999</v>
      </c>
      <c r="L205" s="27">
        <f t="shared" si="7"/>
        <v>1.4842</v>
      </c>
    </row>
    <row r="206" spans="1:14" s="64" customFormat="1" x14ac:dyDescent="0.2">
      <c r="A206" s="63"/>
      <c r="B206" s="385"/>
      <c r="C206" s="122" t="s">
        <v>259</v>
      </c>
      <c r="D206" s="75" t="s">
        <v>53</v>
      </c>
      <c r="E206" s="67">
        <f>3.77*N10</f>
        <v>3.77</v>
      </c>
      <c r="F206" s="327"/>
      <c r="G206" s="71">
        <v>0.09</v>
      </c>
      <c r="H206" s="67">
        <f>E206*G206</f>
        <v>0.33929999999999999</v>
      </c>
      <c r="I206" s="67"/>
      <c r="J206" s="134"/>
      <c r="K206" s="324">
        <v>0.2999</v>
      </c>
      <c r="L206" s="27">
        <f t="shared" si="7"/>
        <v>1.4842</v>
      </c>
    </row>
    <row r="207" spans="1:14" s="64" customFormat="1" x14ac:dyDescent="0.2">
      <c r="A207" s="63"/>
      <c r="B207" s="385"/>
      <c r="C207" s="122"/>
      <c r="D207" s="75"/>
      <c r="E207" s="67"/>
      <c r="F207" s="327"/>
      <c r="G207" s="71"/>
      <c r="H207" s="67"/>
      <c r="I207" s="67"/>
      <c r="J207" s="134"/>
      <c r="K207" s="324">
        <v>0.2999</v>
      </c>
      <c r="L207" s="27">
        <f t="shared" si="7"/>
        <v>1.4842</v>
      </c>
    </row>
    <row r="208" spans="1:14" s="64" customFormat="1" x14ac:dyDescent="0.2">
      <c r="A208" s="63"/>
      <c r="B208" s="385"/>
      <c r="C208" s="122"/>
      <c r="D208" s="75"/>
      <c r="E208" s="438" t="str">
        <f>E195</f>
        <v>Custo Direto</v>
      </c>
      <c r="F208" s="438"/>
      <c r="G208" s="438"/>
      <c r="H208" s="69">
        <f>SUM(H201:H206)</f>
        <v>3.3611000000000004</v>
      </c>
      <c r="I208" s="69">
        <f>SUM(I201:I206)</f>
        <v>927.77631999999994</v>
      </c>
      <c r="J208" s="134"/>
      <c r="K208" s="324">
        <v>0.2999</v>
      </c>
      <c r="L208" s="27">
        <f t="shared" si="7"/>
        <v>1.4842</v>
      </c>
    </row>
    <row r="209" spans="1:14" s="64" customFormat="1" x14ac:dyDescent="0.2">
      <c r="A209" s="63"/>
      <c r="B209" s="385"/>
      <c r="C209" s="122"/>
      <c r="D209" s="75"/>
      <c r="E209" s="438" t="str">
        <f t="shared" ref="E209:E211" si="9">E196</f>
        <v>LS(%): 148,42</v>
      </c>
      <c r="F209" s="438"/>
      <c r="G209" s="438"/>
      <c r="H209" s="67">
        <f>H208*L209</f>
        <v>4.9885446200000008</v>
      </c>
      <c r="I209" s="131"/>
      <c r="J209" s="134"/>
      <c r="K209" s="324">
        <v>0.2999</v>
      </c>
      <c r="L209" s="27">
        <f t="shared" si="7"/>
        <v>1.4842</v>
      </c>
    </row>
    <row r="210" spans="1:14" s="64" customFormat="1" x14ac:dyDescent="0.2">
      <c r="A210" s="63"/>
      <c r="B210" s="385"/>
      <c r="C210" s="122"/>
      <c r="D210" s="75"/>
      <c r="E210" s="438" t="str">
        <f t="shared" si="9"/>
        <v>BDI (%): 29,99</v>
      </c>
      <c r="F210" s="438"/>
      <c r="G210" s="438"/>
      <c r="H210" s="439">
        <f>(H208+I208+H209)*K210</f>
        <v>280.74417678953796</v>
      </c>
      <c r="I210" s="439"/>
      <c r="J210" s="134"/>
      <c r="K210" s="324">
        <v>0.2999</v>
      </c>
      <c r="L210" s="27">
        <f t="shared" si="7"/>
        <v>1.4842</v>
      </c>
    </row>
    <row r="211" spans="1:14" s="192" customFormat="1" x14ac:dyDescent="0.2">
      <c r="A211" s="185"/>
      <c r="B211" s="186"/>
      <c r="C211" s="187"/>
      <c r="D211" s="188"/>
      <c r="E211" s="440" t="str">
        <f t="shared" si="9"/>
        <v>Valor Total c/ Taxas</v>
      </c>
      <c r="F211" s="440"/>
      <c r="G211" s="440"/>
      <c r="H211" s="189"/>
      <c r="I211" s="182">
        <f>(H208+I208+H209+H210)</f>
        <v>1216.8701414095378</v>
      </c>
      <c r="J211" s="190"/>
      <c r="K211" s="324">
        <v>0.2999</v>
      </c>
      <c r="L211" s="191">
        <f t="shared" si="7"/>
        <v>1.4842</v>
      </c>
      <c r="M211" s="192">
        <v>1216.8699999999999</v>
      </c>
      <c r="N211" s="400">
        <f>I211-M211</f>
        <v>1.4140953794594679E-4</v>
      </c>
    </row>
    <row r="212" spans="1:14" s="64" customFormat="1" ht="15.75" customHeight="1" x14ac:dyDescent="0.2">
      <c r="A212" s="63"/>
      <c r="B212" s="385"/>
      <c r="C212" s="122"/>
      <c r="D212" s="75"/>
      <c r="E212" s="382"/>
      <c r="F212" s="382"/>
      <c r="G212" s="382"/>
      <c r="H212" s="67"/>
      <c r="I212" s="69"/>
      <c r="J212" s="134"/>
      <c r="K212" s="324"/>
      <c r="L212" s="191">
        <f t="shared" si="7"/>
        <v>1.4842</v>
      </c>
    </row>
    <row r="213" spans="1:14" s="64" customFormat="1" x14ac:dyDescent="0.2">
      <c r="A213" s="17"/>
      <c r="B213" s="148"/>
      <c r="C213" s="70" t="str">
        <f>orçamento!D35</f>
        <v>Fundação em pedra rachão</v>
      </c>
      <c r="D213" s="75" t="s">
        <v>64</v>
      </c>
      <c r="E213" s="67"/>
      <c r="F213" s="327"/>
      <c r="G213" s="71"/>
      <c r="H213" s="67"/>
      <c r="I213" s="67"/>
      <c r="J213" s="134"/>
      <c r="K213" s="324">
        <v>0.2999</v>
      </c>
      <c r="L213" s="191">
        <f t="shared" si="7"/>
        <v>1.4842</v>
      </c>
    </row>
    <row r="214" spans="1:14" s="64" customFormat="1" x14ac:dyDescent="0.2">
      <c r="A214" s="63"/>
      <c r="B214" s="152"/>
      <c r="C214" s="122" t="str">
        <f>C213</f>
        <v>Fundação em pedra rachão</v>
      </c>
      <c r="D214" s="75" t="s">
        <v>64</v>
      </c>
      <c r="E214" s="67">
        <f>358.436*N10</f>
        <v>358.43599999999998</v>
      </c>
      <c r="F214" s="327">
        <v>3.27</v>
      </c>
      <c r="G214" s="71">
        <v>1.1000000000000001</v>
      </c>
      <c r="H214" s="67"/>
      <c r="I214" s="67">
        <f>E214*G214</f>
        <v>394.27960000000002</v>
      </c>
      <c r="J214" s="134"/>
      <c r="K214" s="324">
        <v>0.2999</v>
      </c>
      <c r="L214" s="191">
        <f t="shared" si="7"/>
        <v>1.4842</v>
      </c>
    </row>
    <row r="215" spans="1:14" s="64" customFormat="1" x14ac:dyDescent="0.2">
      <c r="A215" s="63"/>
      <c r="B215" s="152"/>
      <c r="C215" s="122" t="str">
        <f>C206</f>
        <v>SERVENTE</v>
      </c>
      <c r="D215" s="75" t="s">
        <v>53</v>
      </c>
      <c r="E215" s="67">
        <f>3.77*N10</f>
        <v>3.77</v>
      </c>
      <c r="F215" s="327"/>
      <c r="G215" s="71">
        <v>0.09</v>
      </c>
      <c r="H215" s="67">
        <f>E215*G215</f>
        <v>0.33929999999999999</v>
      </c>
      <c r="I215" s="67"/>
      <c r="J215" s="134"/>
      <c r="K215" s="324">
        <v>0.2999</v>
      </c>
      <c r="L215" s="191">
        <f t="shared" si="7"/>
        <v>1.4842</v>
      </c>
    </row>
    <row r="216" spans="1:14" s="64" customFormat="1" x14ac:dyDescent="0.2">
      <c r="A216" s="63"/>
      <c r="B216" s="152"/>
      <c r="C216" s="122"/>
      <c r="D216" s="75"/>
      <c r="E216" s="67"/>
      <c r="F216" s="327"/>
      <c r="G216" s="71"/>
      <c r="H216" s="67"/>
      <c r="I216" s="67"/>
      <c r="J216" s="134"/>
      <c r="K216" s="324">
        <v>0.2999</v>
      </c>
      <c r="L216" s="191">
        <f t="shared" si="7"/>
        <v>1.4842</v>
      </c>
    </row>
    <row r="217" spans="1:14" s="64" customFormat="1" x14ac:dyDescent="0.2">
      <c r="A217" s="63"/>
      <c r="B217" s="152"/>
      <c r="C217" s="122"/>
      <c r="D217" s="75"/>
      <c r="E217" s="438" t="str">
        <f>E208</f>
        <v>Custo Direto</v>
      </c>
      <c r="F217" s="438"/>
      <c r="G217" s="438"/>
      <c r="H217" s="69">
        <f>SUM(H214:H215)</f>
        <v>0.33929999999999999</v>
      </c>
      <c r="I217" s="69">
        <f>SUM(I214:I215)</f>
        <v>394.27960000000002</v>
      </c>
      <c r="J217" s="134"/>
      <c r="K217" s="324">
        <v>0.2999</v>
      </c>
      <c r="L217" s="191">
        <f t="shared" si="7"/>
        <v>1.4842</v>
      </c>
    </row>
    <row r="218" spans="1:14" s="64" customFormat="1" x14ac:dyDescent="0.2">
      <c r="A218" s="63"/>
      <c r="B218" s="152"/>
      <c r="C218" s="122"/>
      <c r="D218" s="75"/>
      <c r="E218" s="438" t="str">
        <f>E209</f>
        <v>LS(%): 148,42</v>
      </c>
      <c r="F218" s="438"/>
      <c r="G218" s="438"/>
      <c r="H218" s="67">
        <f>H217*L218</f>
        <v>0.50358905999999992</v>
      </c>
      <c r="I218" s="131"/>
      <c r="J218" s="134"/>
      <c r="K218" s="324">
        <v>0.2999</v>
      </c>
      <c r="L218" s="191">
        <f t="shared" si="7"/>
        <v>1.4842</v>
      </c>
    </row>
    <row r="219" spans="1:14" s="64" customFormat="1" x14ac:dyDescent="0.2">
      <c r="A219" s="63"/>
      <c r="B219" s="152"/>
      <c r="C219" s="122"/>
      <c r="D219" s="75"/>
      <c r="E219" s="438" t="str">
        <f>E210</f>
        <v>BDI (%): 29,99</v>
      </c>
      <c r="F219" s="438"/>
      <c r="G219" s="438"/>
      <c r="H219" s="439">
        <f>(H217+I217+H218)*K219</f>
        <v>118.49723446909401</v>
      </c>
      <c r="I219" s="439"/>
      <c r="J219" s="134"/>
      <c r="K219" s="324">
        <v>0.2999</v>
      </c>
      <c r="L219" s="191">
        <f t="shared" si="7"/>
        <v>1.4842</v>
      </c>
    </row>
    <row r="220" spans="1:14" s="64" customFormat="1" x14ac:dyDescent="0.2">
      <c r="A220" s="63"/>
      <c r="B220" s="152"/>
      <c r="C220" s="122"/>
      <c r="D220" s="75"/>
      <c r="E220" s="438" t="str">
        <f>E211</f>
        <v>Valor Total c/ Taxas</v>
      </c>
      <c r="F220" s="438"/>
      <c r="G220" s="438"/>
      <c r="H220" s="67"/>
      <c r="I220" s="69">
        <f>(H217+I217+H218+H219)</f>
        <v>513.61972352909402</v>
      </c>
      <c r="J220" s="134"/>
      <c r="K220" s="324">
        <v>0.2999</v>
      </c>
      <c r="L220" s="191">
        <f t="shared" si="7"/>
        <v>1.4842</v>
      </c>
      <c r="M220" s="64">
        <v>513.62</v>
      </c>
      <c r="N220" s="86">
        <f>I220-M220</f>
        <v>-2.7647090598748036E-4</v>
      </c>
    </row>
    <row r="221" spans="1:14" s="64" customFormat="1" ht="22.5" customHeight="1" x14ac:dyDescent="0.2">
      <c r="A221" s="63"/>
      <c r="B221" s="152"/>
      <c r="C221" s="122"/>
      <c r="D221" s="75"/>
      <c r="E221" s="88"/>
      <c r="F221" s="327"/>
      <c r="G221" s="157"/>
      <c r="H221" s="67"/>
      <c r="I221" s="69"/>
      <c r="J221" s="134"/>
      <c r="K221" s="324">
        <v>0.2999</v>
      </c>
      <c r="L221" s="191">
        <f t="shared" si="7"/>
        <v>1.4842</v>
      </c>
    </row>
    <row r="222" spans="1:14" s="64" customFormat="1" ht="42" hidden="1" customHeight="1" x14ac:dyDescent="0.2">
      <c r="A222" s="17"/>
      <c r="B222" s="66"/>
      <c r="C222" s="70" t="e">
        <f>orçamento!#REF!</f>
        <v>#REF!</v>
      </c>
      <c r="D222" s="75" t="s">
        <v>57</v>
      </c>
      <c r="E222" s="67"/>
      <c r="F222" s="327"/>
      <c r="G222" s="71"/>
      <c r="H222" s="67"/>
      <c r="I222" s="67"/>
      <c r="J222" s="134"/>
      <c r="K222" s="324">
        <v>0.2999</v>
      </c>
      <c r="L222" s="191">
        <f t="shared" si="7"/>
        <v>1.4842</v>
      </c>
    </row>
    <row r="223" spans="1:14" s="64" customFormat="1" ht="27.75" hidden="1" customHeight="1" x14ac:dyDescent="0.2">
      <c r="A223" s="63"/>
      <c r="B223" s="152"/>
      <c r="C223" s="122" t="s">
        <v>296</v>
      </c>
      <c r="D223" s="75" t="s">
        <v>102</v>
      </c>
      <c r="E223" s="67">
        <f>F223*N10</f>
        <v>4.5599999999999996</v>
      </c>
      <c r="F223" s="327">
        <f>F151</f>
        <v>4.5599999999999996</v>
      </c>
      <c r="G223" s="71">
        <v>0.1</v>
      </c>
      <c r="H223" s="67"/>
      <c r="I223" s="67">
        <f>E223*G223</f>
        <v>0.45599999999999996</v>
      </c>
      <c r="J223" s="134"/>
      <c r="K223" s="324">
        <v>0.2999</v>
      </c>
      <c r="L223" s="191">
        <f t="shared" si="7"/>
        <v>1.4842</v>
      </c>
    </row>
    <row r="224" spans="1:14" s="64" customFormat="1" ht="27.75" hidden="1" customHeight="1" x14ac:dyDescent="0.2">
      <c r="A224" s="63"/>
      <c r="B224" s="152"/>
      <c r="C224" s="122" t="s">
        <v>256</v>
      </c>
      <c r="D224" s="75" t="s">
        <v>63</v>
      </c>
      <c r="E224" s="67" t="e">
        <f>F224*N10</f>
        <v>#REF!</v>
      </c>
      <c r="F224" s="327" t="e">
        <f>F152</f>
        <v>#REF!</v>
      </c>
      <c r="G224" s="71">
        <v>0.27500000000000002</v>
      </c>
      <c r="H224" s="67"/>
      <c r="I224" s="67" t="e">
        <f>E224*G224</f>
        <v>#REF!</v>
      </c>
      <c r="J224" s="134"/>
      <c r="K224" s="324">
        <v>0.2999</v>
      </c>
      <c r="L224" s="191">
        <f t="shared" si="7"/>
        <v>1.4842</v>
      </c>
    </row>
    <row r="225" spans="1:12" s="64" customFormat="1" ht="27.75" hidden="1" customHeight="1" x14ac:dyDescent="0.2">
      <c r="A225" s="63"/>
      <c r="B225" s="152"/>
      <c r="C225" s="122" t="s">
        <v>295</v>
      </c>
      <c r="D225" s="75" t="s">
        <v>62</v>
      </c>
      <c r="E225" s="67">
        <f>F225*N10</f>
        <v>1.17</v>
      </c>
      <c r="F225" s="327">
        <v>1.17</v>
      </c>
      <c r="G225" s="71">
        <v>0.24</v>
      </c>
      <c r="H225" s="67"/>
      <c r="I225" s="67">
        <f>E225*G225</f>
        <v>0.28079999999999999</v>
      </c>
      <c r="J225" s="134"/>
      <c r="K225" s="324">
        <v>0.2999</v>
      </c>
      <c r="L225" s="191">
        <f t="shared" si="7"/>
        <v>1.4842</v>
      </c>
    </row>
    <row r="226" spans="1:12" s="64" customFormat="1" ht="27.75" hidden="1" customHeight="1" x14ac:dyDescent="0.2">
      <c r="A226" s="63"/>
      <c r="B226" s="152"/>
      <c r="C226" s="122" t="s">
        <v>287</v>
      </c>
      <c r="D226" s="75" t="s">
        <v>55</v>
      </c>
      <c r="E226" s="67">
        <f>F226*N10</f>
        <v>7.21</v>
      </c>
      <c r="F226" s="327">
        <f>F154</f>
        <v>7.21</v>
      </c>
      <c r="G226" s="71">
        <v>0.15</v>
      </c>
      <c r="H226" s="67"/>
      <c r="I226" s="67">
        <f>E226*G226</f>
        <v>1.0814999999999999</v>
      </c>
      <c r="J226" s="134"/>
      <c r="K226" s="324">
        <v>0.2999</v>
      </c>
      <c r="L226" s="191">
        <f t="shared" si="7"/>
        <v>1.4842</v>
      </c>
    </row>
    <row r="227" spans="1:12" s="64" customFormat="1" ht="27.75" hidden="1" customHeight="1" x14ac:dyDescent="0.2">
      <c r="A227" s="63"/>
      <c r="B227" s="152"/>
      <c r="C227" s="122" t="s">
        <v>291</v>
      </c>
      <c r="D227" s="75" t="s">
        <v>57</v>
      </c>
      <c r="E227" s="67">
        <f>F227*N10</f>
        <v>7.29</v>
      </c>
      <c r="F227" s="327">
        <f>F155</f>
        <v>7.29</v>
      </c>
      <c r="G227" s="71">
        <v>0.79200000000000004</v>
      </c>
      <c r="H227" s="67"/>
      <c r="I227" s="67">
        <f>E227*G227</f>
        <v>5.7736800000000006</v>
      </c>
      <c r="J227" s="134"/>
      <c r="K227" s="324">
        <v>0.2999</v>
      </c>
      <c r="L227" s="191">
        <f t="shared" si="7"/>
        <v>1.4842</v>
      </c>
    </row>
    <row r="228" spans="1:12" s="64" customFormat="1" hidden="1" x14ac:dyDescent="0.2">
      <c r="A228" s="63"/>
      <c r="B228" s="152"/>
      <c r="C228" s="122" t="s">
        <v>282</v>
      </c>
      <c r="D228" s="75" t="s">
        <v>53</v>
      </c>
      <c r="E228" s="67">
        <f>5.21*N10</f>
        <v>5.21</v>
      </c>
      <c r="F228" s="327"/>
      <c r="G228" s="71">
        <v>0.9</v>
      </c>
      <c r="H228" s="67">
        <f>E228*G228</f>
        <v>4.6890000000000001</v>
      </c>
      <c r="I228" s="67"/>
      <c r="J228" s="134"/>
      <c r="K228" s="324">
        <v>0.2999</v>
      </c>
      <c r="L228" s="191">
        <f t="shared" si="7"/>
        <v>1.4842</v>
      </c>
    </row>
    <row r="229" spans="1:12" s="64" customFormat="1" hidden="1" x14ac:dyDescent="0.2">
      <c r="A229" s="63"/>
      <c r="B229" s="152"/>
      <c r="C229" s="122" t="s">
        <v>259</v>
      </c>
      <c r="D229" s="75" t="s">
        <v>53</v>
      </c>
      <c r="E229" s="67">
        <f>3.77*N10</f>
        <v>3.77</v>
      </c>
      <c r="F229" s="327"/>
      <c r="G229" s="71">
        <v>0.22500000000000001</v>
      </c>
      <c r="H229" s="67">
        <f>E229*G229</f>
        <v>0.84825000000000006</v>
      </c>
      <c r="I229" s="67"/>
      <c r="J229" s="134"/>
      <c r="K229" s="324">
        <v>0.2999</v>
      </c>
      <c r="L229" s="191">
        <f t="shared" si="7"/>
        <v>1.4842</v>
      </c>
    </row>
    <row r="230" spans="1:12" s="64" customFormat="1" hidden="1" x14ac:dyDescent="0.2">
      <c r="A230" s="63"/>
      <c r="B230" s="152"/>
      <c r="C230" s="122"/>
      <c r="D230" s="75"/>
      <c r="E230" s="67"/>
      <c r="F230" s="327"/>
      <c r="G230" s="71"/>
      <c r="H230" s="67"/>
      <c r="I230" s="67"/>
      <c r="J230" s="134"/>
      <c r="K230" s="324">
        <v>0.2999</v>
      </c>
      <c r="L230" s="191">
        <f t="shared" si="7"/>
        <v>1.4842</v>
      </c>
    </row>
    <row r="231" spans="1:12" s="64" customFormat="1" hidden="1" x14ac:dyDescent="0.2">
      <c r="A231" s="63"/>
      <c r="B231" s="152"/>
      <c r="C231" s="122"/>
      <c r="D231" s="75"/>
      <c r="E231" s="438" t="str">
        <f>E217</f>
        <v>Custo Direto</v>
      </c>
      <c r="F231" s="438"/>
      <c r="G231" s="438"/>
      <c r="H231" s="69">
        <f>SUM(H223:H229)</f>
        <v>5.5372500000000002</v>
      </c>
      <c r="I231" s="69" t="e">
        <f>SUM(I223:I229)</f>
        <v>#REF!</v>
      </c>
      <c r="J231" s="134"/>
      <c r="K231" s="324">
        <v>0.2999</v>
      </c>
      <c r="L231" s="191">
        <f t="shared" si="7"/>
        <v>1.4842</v>
      </c>
    </row>
    <row r="232" spans="1:12" s="64" customFormat="1" hidden="1" x14ac:dyDescent="0.2">
      <c r="A232" s="63"/>
      <c r="B232" s="152"/>
      <c r="C232" s="122"/>
      <c r="D232" s="75"/>
      <c r="E232" s="438" t="str">
        <f t="shared" ref="E232:E234" si="10">E218</f>
        <v>LS(%): 148,42</v>
      </c>
      <c r="F232" s="438"/>
      <c r="G232" s="438"/>
      <c r="H232" s="67">
        <f>H231*L232</f>
        <v>8.2183864500000006</v>
      </c>
      <c r="I232" s="131"/>
      <c r="J232" s="134"/>
      <c r="K232" s="324">
        <v>0.2999</v>
      </c>
      <c r="L232" s="191">
        <f t="shared" si="7"/>
        <v>1.4842</v>
      </c>
    </row>
    <row r="233" spans="1:12" s="64" customFormat="1" hidden="1" x14ac:dyDescent="0.2">
      <c r="A233" s="63"/>
      <c r="B233" s="152"/>
      <c r="C233" s="122"/>
      <c r="D233" s="75"/>
      <c r="E233" s="438" t="str">
        <f t="shared" si="10"/>
        <v>BDI (%): 29,99</v>
      </c>
      <c r="F233" s="438"/>
      <c r="G233" s="438"/>
      <c r="H233" s="439" t="e">
        <f>(H231+I231+H232)*K233</f>
        <v>#REF!</v>
      </c>
      <c r="I233" s="439"/>
      <c r="J233" s="134"/>
      <c r="K233" s="324">
        <v>0.2999</v>
      </c>
      <c r="L233" s="191">
        <f t="shared" si="7"/>
        <v>1.4842</v>
      </c>
    </row>
    <row r="234" spans="1:12" s="64" customFormat="1" hidden="1" x14ac:dyDescent="0.2">
      <c r="A234" s="63"/>
      <c r="B234" s="152"/>
      <c r="C234" s="122"/>
      <c r="D234" s="75"/>
      <c r="E234" s="438" t="str">
        <f t="shared" si="10"/>
        <v>Valor Total c/ Taxas</v>
      </c>
      <c r="F234" s="438"/>
      <c r="G234" s="438"/>
      <c r="H234" s="67"/>
      <c r="I234" s="69" t="e">
        <f>(H231+I231+H232+H233)</f>
        <v>#REF!</v>
      </c>
      <c r="J234" s="134"/>
      <c r="K234" s="324">
        <v>0.2999</v>
      </c>
      <c r="L234" s="191">
        <f t="shared" si="7"/>
        <v>1.4842</v>
      </c>
    </row>
    <row r="235" spans="1:12" s="64" customFormat="1" x14ac:dyDescent="0.2">
      <c r="A235" s="63"/>
      <c r="B235" s="152"/>
      <c r="C235" s="122"/>
      <c r="D235" s="75"/>
      <c r="E235" s="67"/>
      <c r="F235" s="327"/>
      <c r="G235" s="71"/>
      <c r="H235" s="67"/>
      <c r="I235" s="67"/>
      <c r="J235" s="134"/>
      <c r="K235" s="324">
        <v>0.2999</v>
      </c>
      <c r="L235" s="191">
        <f t="shared" si="7"/>
        <v>1.4842</v>
      </c>
    </row>
    <row r="236" spans="1:12" s="64" customFormat="1" ht="25.5" x14ac:dyDescent="0.2">
      <c r="A236" s="17"/>
      <c r="B236" s="148"/>
      <c r="C236" s="70" t="str">
        <f>orçamento!D39</f>
        <v>Forro de laje pre-moldada, inclusive  capeamento  (e=2cm) c/ ferr. Distrib.</v>
      </c>
      <c r="D236" s="75" t="s">
        <v>57</v>
      </c>
      <c r="E236" s="67"/>
      <c r="F236" s="327"/>
      <c r="G236" s="71"/>
      <c r="H236" s="67"/>
      <c r="I236" s="67"/>
      <c r="J236" s="134"/>
      <c r="K236" s="324">
        <v>0.2999</v>
      </c>
      <c r="L236" s="191">
        <f t="shared" si="7"/>
        <v>1.4842</v>
      </c>
    </row>
    <row r="237" spans="1:12" s="64" customFormat="1" ht="27.75" customHeight="1" x14ac:dyDescent="0.2">
      <c r="A237" s="63"/>
      <c r="B237" s="152"/>
      <c r="C237" s="122" t="str">
        <f>C236</f>
        <v>Forro de laje pre-moldada, inclusive  capeamento  (e=2cm) c/ ferr. Distrib.</v>
      </c>
      <c r="D237" s="75" t="s">
        <v>9</v>
      </c>
      <c r="E237" s="67">
        <f>60*N10</f>
        <v>60</v>
      </c>
      <c r="F237" s="327">
        <f>F165</f>
        <v>0</v>
      </c>
      <c r="G237" s="71">
        <v>1.1111</v>
      </c>
      <c r="H237" s="67"/>
      <c r="I237" s="67">
        <f t="shared" ref="I237" si="11">E237*G237</f>
        <v>66.665999999999997</v>
      </c>
      <c r="J237" s="134"/>
      <c r="K237" s="324">
        <v>0.2999</v>
      </c>
      <c r="L237" s="191">
        <f t="shared" si="7"/>
        <v>1.4842</v>
      </c>
    </row>
    <row r="238" spans="1:12" s="64" customFormat="1" x14ac:dyDescent="0.2">
      <c r="A238" s="63"/>
      <c r="B238" s="152"/>
      <c r="C238" s="122" t="s">
        <v>282</v>
      </c>
      <c r="D238" s="75" t="s">
        <v>53</v>
      </c>
      <c r="E238" s="67">
        <f>5.21*N10</f>
        <v>5.21</v>
      </c>
      <c r="F238" s="327"/>
      <c r="G238" s="71">
        <v>0.1</v>
      </c>
      <c r="H238" s="67">
        <f>E238*G238</f>
        <v>0.52100000000000002</v>
      </c>
      <c r="I238" s="67"/>
      <c r="J238" s="134"/>
      <c r="K238" s="324">
        <v>0.2999</v>
      </c>
      <c r="L238" s="191">
        <f t="shared" si="7"/>
        <v>1.4842</v>
      </c>
    </row>
    <row r="239" spans="1:12" s="64" customFormat="1" x14ac:dyDescent="0.2">
      <c r="A239" s="63"/>
      <c r="B239" s="152"/>
      <c r="C239" s="122" t="s">
        <v>259</v>
      </c>
      <c r="D239" s="75" t="s">
        <v>53</v>
      </c>
      <c r="E239" s="67">
        <f>3.77*N10</f>
        <v>3.77</v>
      </c>
      <c r="F239" s="327"/>
      <c r="G239" s="71">
        <v>0.1</v>
      </c>
      <c r="H239" s="67">
        <f>E239*G239</f>
        <v>0.377</v>
      </c>
      <c r="I239" s="67"/>
      <c r="J239" s="134"/>
      <c r="K239" s="324">
        <v>0.2999</v>
      </c>
      <c r="L239" s="191">
        <f t="shared" si="7"/>
        <v>1.4842</v>
      </c>
    </row>
    <row r="240" spans="1:12" s="64" customFormat="1" x14ac:dyDescent="0.2">
      <c r="A240" s="63"/>
      <c r="B240" s="152"/>
      <c r="C240" s="122"/>
      <c r="D240" s="75"/>
      <c r="E240" s="67"/>
      <c r="F240" s="327"/>
      <c r="G240" s="71"/>
      <c r="H240" s="67"/>
      <c r="I240" s="67"/>
      <c r="J240" s="134"/>
      <c r="K240" s="324">
        <v>0.2999</v>
      </c>
      <c r="L240" s="191">
        <f t="shared" si="7"/>
        <v>1.4842</v>
      </c>
    </row>
    <row r="241" spans="1:14" s="64" customFormat="1" x14ac:dyDescent="0.2">
      <c r="A241" s="63"/>
      <c r="B241" s="152"/>
      <c r="C241" s="122"/>
      <c r="D241" s="75"/>
      <c r="E241" s="438" t="str">
        <f>E231</f>
        <v>Custo Direto</v>
      </c>
      <c r="F241" s="438"/>
      <c r="G241" s="438"/>
      <c r="H241" s="69">
        <f>SUM(H237:H239)</f>
        <v>0.89800000000000002</v>
      </c>
      <c r="I241" s="69">
        <f>SUM(I237:I239)</f>
        <v>66.665999999999997</v>
      </c>
      <c r="J241" s="134"/>
      <c r="K241" s="324">
        <v>0.2999</v>
      </c>
      <c r="L241" s="191">
        <f t="shared" si="7"/>
        <v>1.4842</v>
      </c>
    </row>
    <row r="242" spans="1:14" s="64" customFormat="1" x14ac:dyDescent="0.2">
      <c r="A242" s="63"/>
      <c r="B242" s="152"/>
      <c r="C242" s="122"/>
      <c r="D242" s="75"/>
      <c r="E242" s="438" t="str">
        <f>E232</f>
        <v>LS(%): 148,42</v>
      </c>
      <c r="F242" s="438"/>
      <c r="G242" s="438"/>
      <c r="H242" s="67">
        <f>H241*L242</f>
        <v>1.3328116000000001</v>
      </c>
      <c r="I242" s="131"/>
      <c r="J242" s="134"/>
      <c r="K242" s="324">
        <v>0.2999</v>
      </c>
      <c r="L242" s="191">
        <f t="shared" si="7"/>
        <v>1.4842</v>
      </c>
    </row>
    <row r="243" spans="1:14" s="64" customFormat="1" x14ac:dyDescent="0.2">
      <c r="A243" s="63"/>
      <c r="B243" s="152"/>
      <c r="C243" s="122"/>
      <c r="D243" s="75"/>
      <c r="E243" s="438" t="str">
        <f>E233</f>
        <v>BDI (%): 29,99</v>
      </c>
      <c r="F243" s="438"/>
      <c r="G243" s="438"/>
      <c r="H243" s="439">
        <f>(H241+I241+H242)*K243</f>
        <v>20.662153798839999</v>
      </c>
      <c r="I243" s="439"/>
      <c r="J243" s="134"/>
      <c r="K243" s="324">
        <v>0.2999</v>
      </c>
      <c r="L243" s="191">
        <f t="shared" si="7"/>
        <v>1.4842</v>
      </c>
    </row>
    <row r="244" spans="1:14" s="64" customFormat="1" x14ac:dyDescent="0.2">
      <c r="A244" s="63"/>
      <c r="B244" s="152"/>
      <c r="C244" s="122"/>
      <c r="D244" s="75"/>
      <c r="E244" s="438" t="str">
        <f>E234</f>
        <v>Valor Total c/ Taxas</v>
      </c>
      <c r="F244" s="438"/>
      <c r="G244" s="438"/>
      <c r="H244" s="67"/>
      <c r="I244" s="69">
        <f>(H241+I241+H242+H243)</f>
        <v>89.558965398839987</v>
      </c>
      <c r="J244" s="134"/>
      <c r="K244" s="324">
        <v>0.2999</v>
      </c>
      <c r="L244" s="191">
        <f t="shared" si="7"/>
        <v>1.4842</v>
      </c>
      <c r="M244" s="64">
        <v>89.56</v>
      </c>
      <c r="N244" s="86">
        <f>I244-M244</f>
        <v>-1.0346011600148586E-3</v>
      </c>
    </row>
    <row r="245" spans="1:14" s="64" customFormat="1" x14ac:dyDescent="0.2">
      <c r="A245" s="386"/>
      <c r="B245" s="151"/>
      <c r="C245" s="76" t="str">
        <f>orçamento!D42</f>
        <v xml:space="preserve">Arandela a prova de intempéries, c/grade met.sup.90 gr&lt;100w </v>
      </c>
      <c r="D245" s="386" t="str">
        <f>orçamento!E42</f>
        <v>unid</v>
      </c>
      <c r="E245" s="67"/>
      <c r="F245" s="327"/>
      <c r="G245" s="71"/>
      <c r="H245" s="67"/>
      <c r="I245" s="67"/>
      <c r="J245" s="134"/>
      <c r="K245" s="324">
        <v>0.2999</v>
      </c>
      <c r="L245" s="27">
        <f t="shared" si="7"/>
        <v>1.4842</v>
      </c>
    </row>
    <row r="246" spans="1:14" s="64" customFormat="1" x14ac:dyDescent="0.2">
      <c r="A246" s="63"/>
      <c r="B246" s="385"/>
      <c r="C246" s="122" t="str">
        <f>C245</f>
        <v xml:space="preserve">Arandela a prova de intempéries, c/grade met.sup.90 gr&lt;100w </v>
      </c>
      <c r="D246" s="75" t="str">
        <f>D245</f>
        <v>unid</v>
      </c>
      <c r="E246" s="67">
        <f>44.9*N10</f>
        <v>44.9</v>
      </c>
      <c r="F246" s="327">
        <v>2.69</v>
      </c>
      <c r="G246" s="71">
        <v>1</v>
      </c>
      <c r="H246" s="67"/>
      <c r="I246" s="67">
        <f>E246*G246</f>
        <v>44.9</v>
      </c>
      <c r="J246" s="134"/>
      <c r="K246" s="324">
        <v>0.2999</v>
      </c>
      <c r="L246" s="27">
        <f t="shared" si="7"/>
        <v>1.4842</v>
      </c>
    </row>
    <row r="247" spans="1:14" s="64" customFormat="1" x14ac:dyDescent="0.2">
      <c r="A247" s="63"/>
      <c r="B247" s="385"/>
      <c r="C247" s="122" t="s">
        <v>258</v>
      </c>
      <c r="D247" s="75" t="s">
        <v>53</v>
      </c>
      <c r="E247" s="132">
        <f>5.21*N10</f>
        <v>5.21</v>
      </c>
      <c r="F247" s="334"/>
      <c r="G247" s="71">
        <v>0.64</v>
      </c>
      <c r="H247" s="67">
        <f>E247*G247</f>
        <v>3.3344</v>
      </c>
      <c r="I247" s="133"/>
      <c r="J247" s="134"/>
      <c r="K247" s="324">
        <v>0.2999</v>
      </c>
      <c r="L247" s="27">
        <f t="shared" si="7"/>
        <v>1.4842</v>
      </c>
    </row>
    <row r="248" spans="1:14" s="64" customFormat="1" x14ac:dyDescent="0.2">
      <c r="A248" s="63"/>
      <c r="B248" s="385"/>
      <c r="C248" s="122" t="s">
        <v>259</v>
      </c>
      <c r="D248" s="75" t="s">
        <v>53</v>
      </c>
      <c r="E248" s="67">
        <f>3.77*N10</f>
        <v>3.77</v>
      </c>
      <c r="F248" s="334"/>
      <c r="G248" s="71">
        <v>0.64</v>
      </c>
      <c r="H248" s="67">
        <f>E248*G248</f>
        <v>2.4128000000000003</v>
      </c>
      <c r="I248" s="133"/>
      <c r="J248" s="134"/>
      <c r="K248" s="324">
        <v>0.2999</v>
      </c>
      <c r="L248" s="27">
        <f t="shared" si="7"/>
        <v>1.4842</v>
      </c>
    </row>
    <row r="249" spans="1:14" s="64" customFormat="1" hidden="1" x14ac:dyDescent="0.2">
      <c r="A249" s="63"/>
      <c r="B249" s="385"/>
      <c r="C249" s="122"/>
      <c r="D249" s="75"/>
      <c r="E249" s="67"/>
      <c r="F249" s="327"/>
      <c r="G249" s="71"/>
      <c r="H249" s="67"/>
      <c r="I249" s="67"/>
      <c r="J249" s="134"/>
      <c r="K249" s="324">
        <v>0.2999</v>
      </c>
      <c r="L249" s="27">
        <f t="shared" si="7"/>
        <v>1.4842</v>
      </c>
    </row>
    <row r="250" spans="1:14" s="64" customFormat="1" x14ac:dyDescent="0.2">
      <c r="A250" s="63"/>
      <c r="B250" s="385"/>
      <c r="C250" s="122"/>
      <c r="D250" s="75"/>
      <c r="E250" s="438" t="str">
        <f>E241</f>
        <v>Custo Direto</v>
      </c>
      <c r="F250" s="438"/>
      <c r="G250" s="438"/>
      <c r="H250" s="69">
        <f>SUM(H246:H248)</f>
        <v>5.7472000000000003</v>
      </c>
      <c r="I250" s="69">
        <f>SUM(I246:I248)</f>
        <v>44.9</v>
      </c>
      <c r="J250" s="134"/>
      <c r="K250" s="324">
        <v>0.2999</v>
      </c>
      <c r="L250" s="27">
        <f t="shared" si="7"/>
        <v>1.4842</v>
      </c>
    </row>
    <row r="251" spans="1:14" s="64" customFormat="1" x14ac:dyDescent="0.2">
      <c r="A251" s="63"/>
      <c r="B251" s="385"/>
      <c r="C251" s="122"/>
      <c r="D251" s="75"/>
      <c r="E251" s="438" t="str">
        <f>E242</f>
        <v>LS(%): 148,42</v>
      </c>
      <c r="F251" s="438"/>
      <c r="G251" s="438"/>
      <c r="H251" s="67">
        <f>H250*L251</f>
        <v>8.5299942400000006</v>
      </c>
      <c r="I251" s="131"/>
      <c r="J251" s="134"/>
      <c r="K251" s="324">
        <v>0.2999</v>
      </c>
      <c r="L251" s="27">
        <f t="shared" si="7"/>
        <v>1.4842</v>
      </c>
    </row>
    <row r="252" spans="1:14" s="64" customFormat="1" x14ac:dyDescent="0.2">
      <c r="A252" s="63"/>
      <c r="B252" s="385"/>
      <c r="C252" s="122"/>
      <c r="D252" s="75"/>
      <c r="E252" s="438" t="str">
        <f>E243</f>
        <v>BDI (%): 29,99</v>
      </c>
      <c r="F252" s="438"/>
      <c r="G252" s="438"/>
      <c r="H252" s="439">
        <f>(H250+I250+H251)*K252</f>
        <v>17.747240552575999</v>
      </c>
      <c r="I252" s="439"/>
      <c r="J252" s="134"/>
      <c r="K252" s="324">
        <v>0.2999</v>
      </c>
      <c r="L252" s="27">
        <f t="shared" si="7"/>
        <v>1.4842</v>
      </c>
    </row>
    <row r="253" spans="1:14" s="64" customFormat="1" x14ac:dyDescent="0.2">
      <c r="A253" s="63"/>
      <c r="B253" s="240"/>
      <c r="C253" s="122"/>
      <c r="D253" s="75"/>
      <c r="E253" s="438" t="str">
        <f>E244</f>
        <v>Valor Total c/ Taxas</v>
      </c>
      <c r="F253" s="438"/>
      <c r="G253" s="438"/>
      <c r="H253" s="67"/>
      <c r="I253" s="69">
        <f>(H250+I250+H251+H252)</f>
        <v>76.924434792575994</v>
      </c>
      <c r="J253" s="134"/>
      <c r="K253" s="324">
        <v>0.2999</v>
      </c>
      <c r="L253" s="191">
        <f t="shared" si="7"/>
        <v>1.4842</v>
      </c>
      <c r="M253" s="64">
        <v>76.92</v>
      </c>
      <c r="N253" s="86">
        <f>I253-M253</f>
        <v>4.4347925759922191E-3</v>
      </c>
    </row>
    <row r="254" spans="1:14" s="64" customFormat="1" x14ac:dyDescent="0.2">
      <c r="A254" s="63"/>
      <c r="B254" s="240"/>
      <c r="C254" s="122"/>
      <c r="D254" s="75"/>
      <c r="E254" s="67"/>
      <c r="F254" s="327"/>
      <c r="G254" s="71"/>
      <c r="H254" s="67"/>
      <c r="I254" s="67"/>
      <c r="J254" s="134"/>
      <c r="K254" s="324">
        <v>0.2999</v>
      </c>
      <c r="L254" s="191">
        <f t="shared" si="7"/>
        <v>1.4842</v>
      </c>
    </row>
    <row r="255" spans="1:14" s="64" customFormat="1" x14ac:dyDescent="0.2">
      <c r="A255" s="386"/>
      <c r="B255" s="151"/>
      <c r="C255" s="76" t="str">
        <f>orçamento!D43</f>
        <v>Bandeja para rack de telecomunicações 1u</v>
      </c>
      <c r="D255" s="386" t="str">
        <f>D245</f>
        <v>unid</v>
      </c>
      <c r="E255" s="67"/>
      <c r="F255" s="327"/>
      <c r="G255" s="71"/>
      <c r="H255" s="67"/>
      <c r="I255" s="67"/>
      <c r="J255" s="134"/>
      <c r="K255" s="324">
        <v>0.2999</v>
      </c>
      <c r="L255" s="27">
        <f t="shared" si="7"/>
        <v>1.4842</v>
      </c>
    </row>
    <row r="256" spans="1:14" s="64" customFormat="1" x14ac:dyDescent="0.2">
      <c r="A256" s="63"/>
      <c r="B256" s="385"/>
      <c r="C256" s="122" t="str">
        <f>C255</f>
        <v>Bandeja para rack de telecomunicações 1u</v>
      </c>
      <c r="D256" s="75" t="str">
        <f>D255</f>
        <v>unid</v>
      </c>
      <c r="E256" s="67">
        <f>25.33*N10</f>
        <v>25.33</v>
      </c>
      <c r="F256" s="327">
        <v>2.69</v>
      </c>
      <c r="G256" s="71">
        <v>1</v>
      </c>
      <c r="H256" s="67"/>
      <c r="I256" s="67">
        <f>E256*G256</f>
        <v>25.33</v>
      </c>
      <c r="J256" s="134"/>
      <c r="K256" s="324">
        <v>0.2999</v>
      </c>
      <c r="L256" s="27">
        <f t="shared" ref="L256:L263" si="12">L255</f>
        <v>1.4842</v>
      </c>
    </row>
    <row r="257" spans="1:14" s="64" customFormat="1" x14ac:dyDescent="0.2">
      <c r="A257" s="63"/>
      <c r="B257" s="385"/>
      <c r="C257" s="122" t="s">
        <v>258</v>
      </c>
      <c r="D257" s="75" t="s">
        <v>53</v>
      </c>
      <c r="E257" s="132">
        <f>5.21*N10</f>
        <v>5.21</v>
      </c>
      <c r="F257" s="334"/>
      <c r="G257" s="71">
        <v>0.64</v>
      </c>
      <c r="H257" s="67">
        <f>E257*G257</f>
        <v>3.3344</v>
      </c>
      <c r="I257" s="133"/>
      <c r="J257" s="134"/>
      <c r="K257" s="324">
        <v>0.2999</v>
      </c>
      <c r="L257" s="27">
        <f t="shared" si="12"/>
        <v>1.4842</v>
      </c>
    </row>
    <row r="258" spans="1:14" s="64" customFormat="1" x14ac:dyDescent="0.2">
      <c r="A258" s="63"/>
      <c r="B258" s="385"/>
      <c r="C258" s="122" t="s">
        <v>259</v>
      </c>
      <c r="D258" s="75" t="s">
        <v>53</v>
      </c>
      <c r="E258" s="67">
        <f>3.77*N10</f>
        <v>3.77</v>
      </c>
      <c r="F258" s="334"/>
      <c r="G258" s="71">
        <v>0.64</v>
      </c>
      <c r="H258" s="67">
        <f>E258*G258</f>
        <v>2.4128000000000003</v>
      </c>
      <c r="I258" s="133"/>
      <c r="J258" s="134"/>
      <c r="K258" s="324">
        <v>0.2999</v>
      </c>
      <c r="L258" s="27">
        <f t="shared" si="12"/>
        <v>1.4842</v>
      </c>
    </row>
    <row r="259" spans="1:14" s="64" customFormat="1" hidden="1" x14ac:dyDescent="0.2">
      <c r="A259" s="63"/>
      <c r="B259" s="385"/>
      <c r="C259" s="122"/>
      <c r="D259" s="75"/>
      <c r="E259" s="67"/>
      <c r="F259" s="327"/>
      <c r="G259" s="71"/>
      <c r="H259" s="67"/>
      <c r="I259" s="67"/>
      <c r="J259" s="134"/>
      <c r="K259" s="324">
        <v>0.2999</v>
      </c>
      <c r="L259" s="27">
        <f t="shared" si="12"/>
        <v>1.4842</v>
      </c>
    </row>
    <row r="260" spans="1:14" s="64" customFormat="1" x14ac:dyDescent="0.2">
      <c r="A260" s="63"/>
      <c r="B260" s="385"/>
      <c r="C260" s="122"/>
      <c r="D260" s="75"/>
      <c r="E260" s="438" t="str">
        <f>E250</f>
        <v>Custo Direto</v>
      </c>
      <c r="F260" s="438"/>
      <c r="G260" s="438"/>
      <c r="H260" s="69">
        <f>SUM(H256:H258)</f>
        <v>5.7472000000000003</v>
      </c>
      <c r="I260" s="69">
        <f>SUM(I256:I258)</f>
        <v>25.33</v>
      </c>
      <c r="J260" s="134"/>
      <c r="K260" s="324">
        <v>0.2999</v>
      </c>
      <c r="L260" s="27">
        <f t="shared" si="12"/>
        <v>1.4842</v>
      </c>
    </row>
    <row r="261" spans="1:14" s="64" customFormat="1" x14ac:dyDescent="0.2">
      <c r="A261" s="63"/>
      <c r="B261" s="385"/>
      <c r="C261" s="122"/>
      <c r="D261" s="75"/>
      <c r="E261" s="438" t="str">
        <f>E251</f>
        <v>LS(%): 148,42</v>
      </c>
      <c r="F261" s="438"/>
      <c r="G261" s="438"/>
      <c r="H261" s="67">
        <f>H260*L261</f>
        <v>8.5299942400000006</v>
      </c>
      <c r="I261" s="131"/>
      <c r="J261" s="134"/>
      <c r="K261" s="324">
        <v>0.2999</v>
      </c>
      <c r="L261" s="27">
        <f t="shared" si="12"/>
        <v>1.4842</v>
      </c>
    </row>
    <row r="262" spans="1:14" s="64" customFormat="1" x14ac:dyDescent="0.2">
      <c r="A262" s="63"/>
      <c r="B262" s="385"/>
      <c r="C262" s="122"/>
      <c r="D262" s="75"/>
      <c r="E262" s="438" t="str">
        <f>E252</f>
        <v>BDI (%): 29,99</v>
      </c>
      <c r="F262" s="438"/>
      <c r="G262" s="438"/>
      <c r="H262" s="439">
        <f>(H260+I260+H261)*K262</f>
        <v>11.878197552575999</v>
      </c>
      <c r="I262" s="439"/>
      <c r="J262" s="134"/>
      <c r="K262" s="324">
        <v>0.2999</v>
      </c>
      <c r="L262" s="27">
        <f t="shared" si="12"/>
        <v>1.4842</v>
      </c>
    </row>
    <row r="263" spans="1:14" s="64" customFormat="1" x14ac:dyDescent="0.2">
      <c r="A263" s="63"/>
      <c r="B263" s="385"/>
      <c r="C263" s="122"/>
      <c r="D263" s="75"/>
      <c r="E263" s="438" t="str">
        <f>E253</f>
        <v>Valor Total c/ Taxas</v>
      </c>
      <c r="F263" s="438"/>
      <c r="G263" s="438"/>
      <c r="H263" s="67"/>
      <c r="I263" s="69">
        <f>(H260+I260+H261+H262)</f>
        <v>51.485391792575996</v>
      </c>
      <c r="J263" s="134"/>
      <c r="K263" s="324">
        <v>0.2999</v>
      </c>
      <c r="L263" s="191">
        <f t="shared" si="12"/>
        <v>1.4842</v>
      </c>
      <c r="M263" s="64">
        <v>51.49</v>
      </c>
      <c r="N263" s="86">
        <f>I263-M263</f>
        <v>-4.6082074240061388E-3</v>
      </c>
    </row>
    <row r="264" spans="1:14" s="64" customFormat="1" ht="27.75" customHeight="1" x14ac:dyDescent="0.2">
      <c r="A264" s="63"/>
      <c r="B264" s="236"/>
      <c r="C264" s="122"/>
      <c r="D264" s="75"/>
      <c r="E264" s="67"/>
      <c r="F264" s="327"/>
      <c r="G264" s="71"/>
      <c r="H264" s="67"/>
      <c r="I264" s="67"/>
      <c r="J264" s="134"/>
      <c r="K264" s="324">
        <v>0.2999</v>
      </c>
      <c r="L264" s="191">
        <f t="shared" ref="L264:L365" si="13">L263</f>
        <v>1.4842</v>
      </c>
    </row>
    <row r="265" spans="1:14" s="64" customFormat="1" x14ac:dyDescent="0.2">
      <c r="A265" s="386"/>
      <c r="B265" s="151"/>
      <c r="C265" s="76" t="str">
        <f>orçamento!D44</f>
        <v>Base p/ globo ou drops ( 1 lâmpada ) boca 10 '' cmcls</v>
      </c>
      <c r="D265" s="386" t="str">
        <f>D255</f>
        <v>unid</v>
      </c>
      <c r="E265" s="67"/>
      <c r="F265" s="327"/>
      <c r="G265" s="71"/>
      <c r="H265" s="67"/>
      <c r="I265" s="67"/>
      <c r="J265" s="134"/>
      <c r="K265" s="324">
        <v>0.2999</v>
      </c>
      <c r="L265" s="27">
        <f t="shared" si="13"/>
        <v>1.4842</v>
      </c>
    </row>
    <row r="266" spans="1:14" s="64" customFormat="1" x14ac:dyDescent="0.2">
      <c r="A266" s="63"/>
      <c r="B266" s="385"/>
      <c r="C266" s="122" t="str">
        <f>C265</f>
        <v>Base p/ globo ou drops ( 1 lâmpada ) boca 10 '' cmcls</v>
      </c>
      <c r="D266" s="75" t="str">
        <f>D265</f>
        <v>unid</v>
      </c>
      <c r="E266" s="67">
        <f>29.95*N10</f>
        <v>29.95</v>
      </c>
      <c r="F266" s="327">
        <v>2.69</v>
      </c>
      <c r="G266" s="71">
        <v>1</v>
      </c>
      <c r="H266" s="67"/>
      <c r="I266" s="67">
        <f>E266*G266</f>
        <v>29.95</v>
      </c>
      <c r="J266" s="134"/>
      <c r="K266" s="324">
        <v>0.2999</v>
      </c>
      <c r="L266" s="27">
        <f t="shared" si="13"/>
        <v>1.4842</v>
      </c>
    </row>
    <row r="267" spans="1:14" s="64" customFormat="1" x14ac:dyDescent="0.2">
      <c r="A267" s="63"/>
      <c r="B267" s="385"/>
      <c r="C267" s="122" t="s">
        <v>258</v>
      </c>
      <c r="D267" s="75" t="s">
        <v>53</v>
      </c>
      <c r="E267" s="132">
        <f>5.21*N10</f>
        <v>5.21</v>
      </c>
      <c r="F267" s="334"/>
      <c r="G267" s="71">
        <v>0.66</v>
      </c>
      <c r="H267" s="67">
        <f>E267*G267</f>
        <v>3.4386000000000001</v>
      </c>
      <c r="I267" s="133"/>
      <c r="J267" s="134"/>
      <c r="K267" s="324">
        <v>0.2999</v>
      </c>
      <c r="L267" s="27">
        <f t="shared" si="13"/>
        <v>1.4842</v>
      </c>
    </row>
    <row r="268" spans="1:14" s="64" customFormat="1" x14ac:dyDescent="0.2">
      <c r="A268" s="63"/>
      <c r="B268" s="385"/>
      <c r="C268" s="122" t="s">
        <v>259</v>
      </c>
      <c r="D268" s="75" t="s">
        <v>53</v>
      </c>
      <c r="E268" s="67">
        <f>3.77*N10</f>
        <v>3.77</v>
      </c>
      <c r="F268" s="334"/>
      <c r="G268" s="71">
        <v>0.66</v>
      </c>
      <c r="H268" s="67">
        <f>E268*G268</f>
        <v>2.4882</v>
      </c>
      <c r="I268" s="133"/>
      <c r="J268" s="134"/>
      <c r="K268" s="324">
        <v>0.2999</v>
      </c>
      <c r="L268" s="27">
        <f t="shared" si="13"/>
        <v>1.4842</v>
      </c>
    </row>
    <row r="269" spans="1:14" s="64" customFormat="1" hidden="1" x14ac:dyDescent="0.2">
      <c r="A269" s="63"/>
      <c r="B269" s="385"/>
      <c r="C269" s="122"/>
      <c r="D269" s="75"/>
      <c r="E269" s="67"/>
      <c r="F269" s="327"/>
      <c r="G269" s="71"/>
      <c r="H269" s="67"/>
      <c r="I269" s="67"/>
      <c r="J269" s="134"/>
      <c r="K269" s="324">
        <v>0.2999</v>
      </c>
      <c r="L269" s="27">
        <f t="shared" si="13"/>
        <v>1.4842</v>
      </c>
    </row>
    <row r="270" spans="1:14" s="64" customFormat="1" x14ac:dyDescent="0.2">
      <c r="A270" s="63"/>
      <c r="B270" s="385"/>
      <c r="C270" s="122"/>
      <c r="D270" s="75"/>
      <c r="E270" s="438" t="str">
        <f>E260</f>
        <v>Custo Direto</v>
      </c>
      <c r="F270" s="438"/>
      <c r="G270" s="438"/>
      <c r="H270" s="69">
        <f>SUM(H266:H268)</f>
        <v>5.9268000000000001</v>
      </c>
      <c r="I270" s="69">
        <f>SUM(I266:I268)</f>
        <v>29.95</v>
      </c>
      <c r="J270" s="134"/>
      <c r="K270" s="324">
        <v>0.2999</v>
      </c>
      <c r="L270" s="27">
        <f t="shared" si="13"/>
        <v>1.4842</v>
      </c>
    </row>
    <row r="271" spans="1:14" s="64" customFormat="1" x14ac:dyDescent="0.2">
      <c r="A271" s="63"/>
      <c r="B271" s="385"/>
      <c r="C271" s="122"/>
      <c r="D271" s="75"/>
      <c r="E271" s="438" t="str">
        <f>E261</f>
        <v>LS(%): 148,42</v>
      </c>
      <c r="F271" s="438"/>
      <c r="G271" s="438"/>
      <c r="H271" s="67">
        <f>H270*L271</f>
        <v>8.7965565599999991</v>
      </c>
      <c r="I271" s="131"/>
      <c r="J271" s="134"/>
      <c r="K271" s="324">
        <v>0.2999</v>
      </c>
      <c r="L271" s="27">
        <f t="shared" si="13"/>
        <v>1.4842</v>
      </c>
    </row>
    <row r="272" spans="1:14" s="64" customFormat="1" x14ac:dyDescent="0.2">
      <c r="A272" s="63"/>
      <c r="B272" s="385"/>
      <c r="C272" s="122"/>
      <c r="D272" s="75"/>
      <c r="E272" s="438" t="str">
        <f>E262</f>
        <v>BDI (%): 29,99</v>
      </c>
      <c r="F272" s="438"/>
      <c r="G272" s="438"/>
      <c r="H272" s="439">
        <f>(H270+I270+H271)*K272</f>
        <v>13.397539632344001</v>
      </c>
      <c r="I272" s="439"/>
      <c r="J272" s="134"/>
      <c r="K272" s="324">
        <v>0.2999</v>
      </c>
      <c r="L272" s="27">
        <f t="shared" si="13"/>
        <v>1.4842</v>
      </c>
    </row>
    <row r="273" spans="1:14" s="64" customFormat="1" x14ac:dyDescent="0.2">
      <c r="A273" s="63"/>
      <c r="B273" s="385"/>
      <c r="C273" s="122"/>
      <c r="D273" s="75"/>
      <c r="E273" s="438" t="str">
        <f>E263</f>
        <v>Valor Total c/ Taxas</v>
      </c>
      <c r="F273" s="438"/>
      <c r="G273" s="438"/>
      <c r="H273" s="67"/>
      <c r="I273" s="69">
        <f>(H270+I270+H271+H272)</f>
        <v>58.070896192344001</v>
      </c>
      <c r="J273" s="134"/>
      <c r="K273" s="324">
        <v>0.2999</v>
      </c>
      <c r="L273" s="191">
        <f t="shared" si="13"/>
        <v>1.4842</v>
      </c>
      <c r="M273" s="64">
        <v>58.07</v>
      </c>
      <c r="N273" s="86">
        <f>I273-M273</f>
        <v>8.9619234400117875E-4</v>
      </c>
    </row>
    <row r="274" spans="1:14" s="64" customFormat="1" x14ac:dyDescent="0.2">
      <c r="A274" s="63"/>
      <c r="B274" s="152"/>
      <c r="C274" s="122"/>
      <c r="D274" s="75"/>
      <c r="E274" s="67"/>
      <c r="F274" s="327"/>
      <c r="G274" s="71"/>
      <c r="H274" s="67"/>
      <c r="I274" s="67"/>
      <c r="J274" s="134"/>
      <c r="K274" s="324">
        <v>0.2999</v>
      </c>
      <c r="L274" s="191">
        <f t="shared" si="13"/>
        <v>1.4842</v>
      </c>
    </row>
    <row r="275" spans="1:14" s="64" customFormat="1" x14ac:dyDescent="0.2">
      <c r="A275" s="386"/>
      <c r="B275" s="151"/>
      <c r="C275" s="76" t="str">
        <f>orçamento!D45</f>
        <v>Bloco BER - 10  ( bloco de engate rápido)</v>
      </c>
      <c r="D275" s="386" t="str">
        <f>D265</f>
        <v>unid</v>
      </c>
      <c r="E275" s="67"/>
      <c r="F275" s="327"/>
      <c r="G275" s="71"/>
      <c r="H275" s="67"/>
      <c r="I275" s="67"/>
      <c r="J275" s="134"/>
      <c r="K275" s="324">
        <v>0.2999</v>
      </c>
      <c r="L275" s="27">
        <f t="shared" si="13"/>
        <v>1.4842</v>
      </c>
    </row>
    <row r="276" spans="1:14" s="64" customFormat="1" x14ac:dyDescent="0.2">
      <c r="A276" s="63"/>
      <c r="B276" s="385"/>
      <c r="C276" s="122" t="str">
        <f>C275</f>
        <v>Bloco BER - 10  ( bloco de engate rápido)</v>
      </c>
      <c r="D276" s="75" t="str">
        <f>D275</f>
        <v>unid</v>
      </c>
      <c r="E276" s="67">
        <f>2.056*N10</f>
        <v>2.056</v>
      </c>
      <c r="F276" s="327">
        <v>2.69</v>
      </c>
      <c r="G276" s="71">
        <v>1</v>
      </c>
      <c r="H276" s="67"/>
      <c r="I276" s="67">
        <f>E276*G276</f>
        <v>2.056</v>
      </c>
      <c r="J276" s="134"/>
      <c r="K276" s="324">
        <v>0.2999</v>
      </c>
      <c r="L276" s="27">
        <f t="shared" si="13"/>
        <v>1.4842</v>
      </c>
    </row>
    <row r="277" spans="1:14" s="64" customFormat="1" x14ac:dyDescent="0.2">
      <c r="A277" s="63"/>
      <c r="B277" s="385"/>
      <c r="C277" s="122" t="s">
        <v>258</v>
      </c>
      <c r="D277" s="75" t="s">
        <v>53</v>
      </c>
      <c r="E277" s="132">
        <f>5.21*N10</f>
        <v>5.21</v>
      </c>
      <c r="F277" s="334"/>
      <c r="G277" s="71">
        <v>0.66</v>
      </c>
      <c r="H277" s="67">
        <f>E277*G277</f>
        <v>3.4386000000000001</v>
      </c>
      <c r="I277" s="133"/>
      <c r="J277" s="134"/>
      <c r="K277" s="324">
        <v>0.2999</v>
      </c>
      <c r="L277" s="27">
        <f t="shared" si="13"/>
        <v>1.4842</v>
      </c>
    </row>
    <row r="278" spans="1:14" s="64" customFormat="1" x14ac:dyDescent="0.2">
      <c r="A278" s="63"/>
      <c r="B278" s="385"/>
      <c r="C278" s="122" t="s">
        <v>259</v>
      </c>
      <c r="D278" s="75" t="s">
        <v>53</v>
      </c>
      <c r="E278" s="67">
        <f>3.77*N10</f>
        <v>3.77</v>
      </c>
      <c r="F278" s="334"/>
      <c r="G278" s="71">
        <v>0.66</v>
      </c>
      <c r="H278" s="67">
        <f>E278*G278</f>
        <v>2.4882</v>
      </c>
      <c r="I278" s="133"/>
      <c r="J278" s="134"/>
      <c r="K278" s="324">
        <v>0.2999</v>
      </c>
      <c r="L278" s="27">
        <f t="shared" si="13"/>
        <v>1.4842</v>
      </c>
    </row>
    <row r="279" spans="1:14" s="64" customFormat="1" hidden="1" x14ac:dyDescent="0.2">
      <c r="A279" s="63"/>
      <c r="B279" s="385"/>
      <c r="C279" s="122"/>
      <c r="D279" s="75"/>
      <c r="E279" s="67"/>
      <c r="F279" s="327"/>
      <c r="G279" s="71"/>
      <c r="H279" s="67"/>
      <c r="I279" s="67"/>
      <c r="J279" s="134"/>
      <c r="K279" s="324">
        <v>0.2999</v>
      </c>
      <c r="L279" s="27">
        <f t="shared" si="13"/>
        <v>1.4842</v>
      </c>
    </row>
    <row r="280" spans="1:14" s="64" customFormat="1" x14ac:dyDescent="0.2">
      <c r="A280" s="63"/>
      <c r="B280" s="385"/>
      <c r="C280" s="122"/>
      <c r="D280" s="75"/>
      <c r="E280" s="438" t="str">
        <f>E270</f>
        <v>Custo Direto</v>
      </c>
      <c r="F280" s="438"/>
      <c r="G280" s="438"/>
      <c r="H280" s="69">
        <f>SUM(H276:H278)</f>
        <v>5.9268000000000001</v>
      </c>
      <c r="I280" s="69">
        <f>SUM(I276:I278)</f>
        <v>2.056</v>
      </c>
      <c r="J280" s="134"/>
      <c r="K280" s="324">
        <v>0.2999</v>
      </c>
      <c r="L280" s="27">
        <f t="shared" si="13"/>
        <v>1.4842</v>
      </c>
    </row>
    <row r="281" spans="1:14" s="64" customFormat="1" x14ac:dyDescent="0.2">
      <c r="A281" s="63"/>
      <c r="B281" s="385"/>
      <c r="C281" s="122"/>
      <c r="D281" s="75"/>
      <c r="E281" s="438" t="str">
        <f>E271</f>
        <v>LS(%): 148,42</v>
      </c>
      <c r="F281" s="438"/>
      <c r="G281" s="438"/>
      <c r="H281" s="67">
        <f>H280*L281</f>
        <v>8.7965565599999991</v>
      </c>
      <c r="I281" s="131"/>
      <c r="J281" s="134"/>
      <c r="K281" s="324">
        <v>0.2999</v>
      </c>
      <c r="L281" s="27">
        <f t="shared" si="13"/>
        <v>1.4842</v>
      </c>
    </row>
    <row r="282" spans="1:14" s="64" customFormat="1" x14ac:dyDescent="0.2">
      <c r="A282" s="63"/>
      <c r="B282" s="385"/>
      <c r="C282" s="122"/>
      <c r="D282" s="75"/>
      <c r="E282" s="438" t="str">
        <f>E272</f>
        <v>BDI (%): 29,99</v>
      </c>
      <c r="F282" s="438"/>
      <c r="G282" s="438"/>
      <c r="H282" s="439">
        <f>(H280+I280+H281)*K282</f>
        <v>5.0321290323439998</v>
      </c>
      <c r="I282" s="439"/>
      <c r="J282" s="134"/>
      <c r="K282" s="324">
        <v>0.2999</v>
      </c>
      <c r="L282" s="27">
        <f t="shared" si="13"/>
        <v>1.4842</v>
      </c>
    </row>
    <row r="283" spans="1:14" s="64" customFormat="1" x14ac:dyDescent="0.2">
      <c r="A283" s="63"/>
      <c r="B283" s="385"/>
      <c r="C283" s="122"/>
      <c r="D283" s="75"/>
      <c r="E283" s="438" t="str">
        <f>E273</f>
        <v>Valor Total c/ Taxas</v>
      </c>
      <c r="F283" s="438"/>
      <c r="G283" s="438"/>
      <c r="H283" s="67"/>
      <c r="I283" s="69">
        <f>(H280+I280+H281+H282)</f>
        <v>21.811485592343999</v>
      </c>
      <c r="J283" s="134"/>
      <c r="K283" s="324">
        <v>0.2999</v>
      </c>
      <c r="L283" s="191">
        <f t="shared" si="13"/>
        <v>1.4842</v>
      </c>
      <c r="M283" s="64">
        <v>21.81</v>
      </c>
      <c r="N283" s="86">
        <f>I283-M283</f>
        <v>1.4855923440002528E-3</v>
      </c>
    </row>
    <row r="284" spans="1:14" s="64" customFormat="1" x14ac:dyDescent="0.2">
      <c r="A284" s="63"/>
      <c r="B284" s="385"/>
      <c r="C284" s="122"/>
      <c r="D284" s="75"/>
      <c r="E284" s="382"/>
      <c r="F284" s="382"/>
      <c r="G284" s="382"/>
      <c r="H284" s="67"/>
      <c r="I284" s="69"/>
      <c r="J284" s="134"/>
      <c r="K284" s="324"/>
      <c r="L284" s="191">
        <f t="shared" si="13"/>
        <v>1.4842</v>
      </c>
      <c r="N284" s="86"/>
    </row>
    <row r="285" spans="1:14" s="64" customFormat="1" x14ac:dyDescent="0.2">
      <c r="A285" s="386"/>
      <c r="B285" s="151"/>
      <c r="C285" s="76" t="str">
        <f>orçamento!D46</f>
        <v>Cabeçote de liga de alumínio diam. 3''</v>
      </c>
      <c r="D285" s="386" t="str">
        <f>D275</f>
        <v>unid</v>
      </c>
      <c r="E285" s="67"/>
      <c r="F285" s="327"/>
      <c r="G285" s="71"/>
      <c r="H285" s="67"/>
      <c r="I285" s="67"/>
      <c r="J285" s="134"/>
      <c r="K285" s="324">
        <v>0.2999</v>
      </c>
      <c r="L285" s="191">
        <f t="shared" si="13"/>
        <v>1.4842</v>
      </c>
    </row>
    <row r="286" spans="1:14" s="64" customFormat="1" x14ac:dyDescent="0.2">
      <c r="A286" s="63"/>
      <c r="B286" s="385"/>
      <c r="C286" s="122" t="str">
        <f>C285</f>
        <v>Cabeçote de liga de alumínio diam. 3''</v>
      </c>
      <c r="D286" s="75" t="str">
        <f>D285</f>
        <v>unid</v>
      </c>
      <c r="E286" s="67">
        <f>10.24*N10</f>
        <v>10.24</v>
      </c>
      <c r="F286" s="327">
        <v>2.69</v>
      </c>
      <c r="G286" s="71">
        <v>1</v>
      </c>
      <c r="H286" s="67"/>
      <c r="I286" s="67">
        <f>E286*G286</f>
        <v>10.24</v>
      </c>
      <c r="J286" s="134"/>
      <c r="K286" s="324">
        <v>0.2999</v>
      </c>
      <c r="L286" s="191">
        <f t="shared" si="13"/>
        <v>1.4842</v>
      </c>
    </row>
    <row r="287" spans="1:14" s="64" customFormat="1" x14ac:dyDescent="0.2">
      <c r="A287" s="63"/>
      <c r="B287" s="385"/>
      <c r="C287" s="122" t="s">
        <v>258</v>
      </c>
      <c r="D287" s="75" t="s">
        <v>53</v>
      </c>
      <c r="E287" s="132">
        <f>5.21*N10</f>
        <v>5.21</v>
      </c>
      <c r="F287" s="334"/>
      <c r="G287" s="71">
        <v>0.66</v>
      </c>
      <c r="H287" s="67">
        <f>E287*G287</f>
        <v>3.4386000000000001</v>
      </c>
      <c r="I287" s="133"/>
      <c r="J287" s="134"/>
      <c r="K287" s="324">
        <v>0.2999</v>
      </c>
      <c r="L287" s="191">
        <f t="shared" si="13"/>
        <v>1.4842</v>
      </c>
    </row>
    <row r="288" spans="1:14" s="64" customFormat="1" x14ac:dyDescent="0.2">
      <c r="A288" s="63"/>
      <c r="B288" s="385"/>
      <c r="C288" s="122" t="s">
        <v>259</v>
      </c>
      <c r="D288" s="75" t="s">
        <v>53</v>
      </c>
      <c r="E288" s="67">
        <f>3.77*N10</f>
        <v>3.77</v>
      </c>
      <c r="F288" s="334"/>
      <c r="G288" s="71">
        <v>0.66</v>
      </c>
      <c r="H288" s="67">
        <f>E288*G288</f>
        <v>2.4882</v>
      </c>
      <c r="I288" s="133"/>
      <c r="J288" s="134"/>
      <c r="K288" s="324">
        <v>0.2999</v>
      </c>
      <c r="L288" s="191">
        <f t="shared" si="13"/>
        <v>1.4842</v>
      </c>
    </row>
    <row r="289" spans="1:14" s="64" customFormat="1" hidden="1" x14ac:dyDescent="0.2">
      <c r="A289" s="63"/>
      <c r="B289" s="385"/>
      <c r="C289" s="122"/>
      <c r="D289" s="75"/>
      <c r="E289" s="67"/>
      <c r="F289" s="327"/>
      <c r="G289" s="71"/>
      <c r="H289" s="67"/>
      <c r="I289" s="67"/>
      <c r="J289" s="134"/>
      <c r="K289" s="324">
        <v>0.2999</v>
      </c>
      <c r="L289" s="191">
        <f t="shared" si="13"/>
        <v>1.4842</v>
      </c>
    </row>
    <row r="290" spans="1:14" s="64" customFormat="1" x14ac:dyDescent="0.2">
      <c r="A290" s="63"/>
      <c r="B290" s="385"/>
      <c r="C290" s="122"/>
      <c r="D290" s="75"/>
      <c r="E290" s="438" t="str">
        <f>E280</f>
        <v>Custo Direto</v>
      </c>
      <c r="F290" s="438"/>
      <c r="G290" s="438"/>
      <c r="H290" s="69">
        <f>SUM(H286:H288)</f>
        <v>5.9268000000000001</v>
      </c>
      <c r="I290" s="69">
        <f>SUM(I286:I288)</f>
        <v>10.24</v>
      </c>
      <c r="J290" s="134"/>
      <c r="K290" s="324">
        <v>0.2999</v>
      </c>
      <c r="L290" s="191">
        <f t="shared" si="13"/>
        <v>1.4842</v>
      </c>
    </row>
    <row r="291" spans="1:14" s="64" customFormat="1" x14ac:dyDescent="0.2">
      <c r="A291" s="63"/>
      <c r="B291" s="385"/>
      <c r="C291" s="122"/>
      <c r="D291" s="75"/>
      <c r="E291" s="438" t="str">
        <f>E281</f>
        <v>LS(%): 148,42</v>
      </c>
      <c r="F291" s="438"/>
      <c r="G291" s="438"/>
      <c r="H291" s="67">
        <f>H290*L291</f>
        <v>8.7965565599999991</v>
      </c>
      <c r="I291" s="131"/>
      <c r="J291" s="134"/>
      <c r="K291" s="324">
        <v>0.2999</v>
      </c>
      <c r="L291" s="191">
        <f t="shared" si="13"/>
        <v>1.4842</v>
      </c>
    </row>
    <row r="292" spans="1:14" s="64" customFormat="1" x14ac:dyDescent="0.2">
      <c r="A292" s="63"/>
      <c r="B292" s="385"/>
      <c r="C292" s="122"/>
      <c r="D292" s="75"/>
      <c r="E292" s="438" t="str">
        <f>E282</f>
        <v>BDI (%): 29,99</v>
      </c>
      <c r="F292" s="438"/>
      <c r="G292" s="438"/>
      <c r="H292" s="439">
        <f>(H290+I290+H291)*K292</f>
        <v>7.4865106323440003</v>
      </c>
      <c r="I292" s="439"/>
      <c r="J292" s="134"/>
      <c r="K292" s="324">
        <v>0.2999</v>
      </c>
      <c r="L292" s="27">
        <f t="shared" si="13"/>
        <v>1.4842</v>
      </c>
    </row>
    <row r="293" spans="1:14" s="64" customFormat="1" x14ac:dyDescent="0.2">
      <c r="A293" s="63"/>
      <c r="B293" s="385"/>
      <c r="C293" s="122"/>
      <c r="D293" s="75"/>
      <c r="E293" s="438" t="str">
        <f>E283</f>
        <v>Valor Total c/ Taxas</v>
      </c>
      <c r="F293" s="438"/>
      <c r="G293" s="438"/>
      <c r="H293" s="67"/>
      <c r="I293" s="69">
        <f>(H290+I290+H291+H292)</f>
        <v>32.449867192344001</v>
      </c>
      <c r="J293" s="134"/>
      <c r="K293" s="324">
        <v>0.2999</v>
      </c>
      <c r="L293" s="191">
        <f t="shared" si="13"/>
        <v>1.4842</v>
      </c>
      <c r="M293" s="64">
        <v>32.450000000000003</v>
      </c>
      <c r="N293" s="86">
        <f>I293-M293</f>
        <v>-1.3280765600143241E-4</v>
      </c>
    </row>
    <row r="294" spans="1:14" s="64" customFormat="1" x14ac:dyDescent="0.2">
      <c r="A294" s="63"/>
      <c r="B294" s="385"/>
      <c r="C294" s="122"/>
      <c r="D294" s="75"/>
      <c r="E294" s="382"/>
      <c r="F294" s="382"/>
      <c r="G294" s="382"/>
      <c r="H294" s="67"/>
      <c r="I294" s="69"/>
      <c r="J294" s="134"/>
      <c r="K294" s="324"/>
      <c r="L294" s="191">
        <f t="shared" si="13"/>
        <v>1.4842</v>
      </c>
      <c r="N294" s="86"/>
    </row>
    <row r="295" spans="1:14" s="64" customFormat="1" x14ac:dyDescent="0.2">
      <c r="A295" s="386"/>
      <c r="B295" s="151"/>
      <c r="C295" s="76" t="str">
        <f>orçamento!D47</f>
        <v>Cabo de cobre nu no. 10 mm² (11,11m /kg)</v>
      </c>
      <c r="D295" s="386" t="s">
        <v>10</v>
      </c>
      <c r="E295" s="67"/>
      <c r="F295" s="327"/>
      <c r="G295" s="71"/>
      <c r="H295" s="67"/>
      <c r="I295" s="67"/>
      <c r="J295" s="134"/>
      <c r="K295" s="324">
        <v>0.2999</v>
      </c>
      <c r="L295" s="191">
        <f t="shared" si="13"/>
        <v>1.4842</v>
      </c>
    </row>
    <row r="296" spans="1:14" s="64" customFormat="1" x14ac:dyDescent="0.2">
      <c r="A296" s="63"/>
      <c r="B296" s="385"/>
      <c r="C296" s="122" t="str">
        <f>C295</f>
        <v>Cabo de cobre nu no. 10 mm² (11,11m /kg)</v>
      </c>
      <c r="D296" s="75" t="str">
        <f>D295</f>
        <v>m</v>
      </c>
      <c r="E296" s="67">
        <f>4.24*N10</f>
        <v>4.24</v>
      </c>
      <c r="F296" s="327">
        <v>2.69</v>
      </c>
      <c r="G296" s="71">
        <v>1</v>
      </c>
      <c r="H296" s="67"/>
      <c r="I296" s="67">
        <f>E296*G296</f>
        <v>4.24</v>
      </c>
      <c r="J296" s="134"/>
      <c r="K296" s="324">
        <v>0.2999</v>
      </c>
      <c r="L296" s="191">
        <f t="shared" si="13"/>
        <v>1.4842</v>
      </c>
    </row>
    <row r="297" spans="1:14" s="64" customFormat="1" x14ac:dyDescent="0.2">
      <c r="A297" s="63"/>
      <c r="B297" s="385"/>
      <c r="C297" s="122" t="s">
        <v>258</v>
      </c>
      <c r="D297" s="75" t="s">
        <v>53</v>
      </c>
      <c r="E297" s="132">
        <f>5.21*N10</f>
        <v>5.21</v>
      </c>
      <c r="F297" s="334"/>
      <c r="G297" s="71">
        <v>0.1</v>
      </c>
      <c r="H297" s="67">
        <f>E297*G297</f>
        <v>0.52100000000000002</v>
      </c>
      <c r="I297" s="133"/>
      <c r="J297" s="134"/>
      <c r="K297" s="324">
        <v>0.2999</v>
      </c>
      <c r="L297" s="191">
        <f t="shared" si="13"/>
        <v>1.4842</v>
      </c>
    </row>
    <row r="298" spans="1:14" s="64" customFormat="1" x14ac:dyDescent="0.2">
      <c r="A298" s="63"/>
      <c r="B298" s="385"/>
      <c r="C298" s="122" t="s">
        <v>259</v>
      </c>
      <c r="D298" s="75" t="s">
        <v>53</v>
      </c>
      <c r="E298" s="67">
        <f>3.77*N10</f>
        <v>3.77</v>
      </c>
      <c r="F298" s="334"/>
      <c r="G298" s="71">
        <v>0.1</v>
      </c>
      <c r="H298" s="67">
        <f>E298*G298</f>
        <v>0.377</v>
      </c>
      <c r="I298" s="133"/>
      <c r="J298" s="134"/>
      <c r="K298" s="324">
        <v>0.2999</v>
      </c>
      <c r="L298" s="191">
        <f t="shared" si="13"/>
        <v>1.4842</v>
      </c>
    </row>
    <row r="299" spans="1:14" s="64" customFormat="1" hidden="1" x14ac:dyDescent="0.2">
      <c r="A299" s="63"/>
      <c r="B299" s="385"/>
      <c r="C299" s="122"/>
      <c r="D299" s="75"/>
      <c r="E299" s="67"/>
      <c r="F299" s="327"/>
      <c r="G299" s="71"/>
      <c r="H299" s="67"/>
      <c r="I299" s="67"/>
      <c r="J299" s="134"/>
      <c r="K299" s="324">
        <v>0.2999</v>
      </c>
      <c r="L299" s="191">
        <f t="shared" si="13"/>
        <v>1.4842</v>
      </c>
    </row>
    <row r="300" spans="1:14" s="64" customFormat="1" x14ac:dyDescent="0.2">
      <c r="A300" s="63"/>
      <c r="B300" s="385"/>
      <c r="C300" s="122"/>
      <c r="D300" s="75"/>
      <c r="E300" s="438" t="str">
        <f>E290</f>
        <v>Custo Direto</v>
      </c>
      <c r="F300" s="438"/>
      <c r="G300" s="438"/>
      <c r="H300" s="69">
        <f>SUM(H296:H298)</f>
        <v>0.89800000000000002</v>
      </c>
      <c r="I300" s="69">
        <f>SUM(I296:I298)</f>
        <v>4.24</v>
      </c>
      <c r="J300" s="134"/>
      <c r="K300" s="324">
        <v>0.2999</v>
      </c>
      <c r="L300" s="191">
        <f t="shared" si="13"/>
        <v>1.4842</v>
      </c>
    </row>
    <row r="301" spans="1:14" s="64" customFormat="1" x14ac:dyDescent="0.2">
      <c r="A301" s="63"/>
      <c r="B301" s="385"/>
      <c r="C301" s="122"/>
      <c r="D301" s="75"/>
      <c r="E301" s="438" t="str">
        <f>E291</f>
        <v>LS(%): 148,42</v>
      </c>
      <c r="F301" s="438"/>
      <c r="G301" s="438"/>
      <c r="H301" s="67">
        <f>H300*L301</f>
        <v>1.3328116000000001</v>
      </c>
      <c r="I301" s="131"/>
      <c r="J301" s="134"/>
      <c r="K301" s="324">
        <v>0.2999</v>
      </c>
      <c r="L301" s="191">
        <f t="shared" si="13"/>
        <v>1.4842</v>
      </c>
    </row>
    <row r="302" spans="1:14" s="64" customFormat="1" x14ac:dyDescent="0.2">
      <c r="A302" s="63"/>
      <c r="B302" s="385"/>
      <c r="C302" s="122"/>
      <c r="D302" s="75"/>
      <c r="E302" s="438" t="str">
        <f>E292</f>
        <v>BDI (%): 29,99</v>
      </c>
      <c r="F302" s="438"/>
      <c r="G302" s="438"/>
      <c r="H302" s="439">
        <f>(H300+I300+H301)*K302</f>
        <v>1.9405963988400001</v>
      </c>
      <c r="I302" s="439"/>
      <c r="J302" s="134"/>
      <c r="K302" s="324">
        <v>0.2999</v>
      </c>
      <c r="L302" s="191">
        <f t="shared" si="13"/>
        <v>1.4842</v>
      </c>
    </row>
    <row r="303" spans="1:14" s="64" customFormat="1" x14ac:dyDescent="0.2">
      <c r="A303" s="63"/>
      <c r="B303" s="385"/>
      <c r="C303" s="122"/>
      <c r="D303" s="75"/>
      <c r="E303" s="438" t="str">
        <f>E293</f>
        <v>Valor Total c/ Taxas</v>
      </c>
      <c r="F303" s="438"/>
      <c r="G303" s="438"/>
      <c r="H303" s="67"/>
      <c r="I303" s="69">
        <f>(H300+I300+H301+H302)</f>
        <v>8.4114079988399997</v>
      </c>
      <c r="J303" s="134"/>
      <c r="K303" s="324">
        <v>0.2999</v>
      </c>
      <c r="L303" s="191">
        <f t="shared" si="13"/>
        <v>1.4842</v>
      </c>
      <c r="M303" s="64">
        <v>8.41</v>
      </c>
      <c r="N303" s="86">
        <f>I303-M303</f>
        <v>1.4079988399995358E-3</v>
      </c>
    </row>
    <row r="304" spans="1:14" s="64" customFormat="1" x14ac:dyDescent="0.2">
      <c r="A304" s="63"/>
      <c r="B304" s="385"/>
      <c r="C304" s="122"/>
      <c r="D304" s="75"/>
      <c r="E304" s="382"/>
      <c r="F304" s="382"/>
      <c r="G304" s="382"/>
      <c r="H304" s="67"/>
      <c r="I304" s="69"/>
      <c r="J304" s="134"/>
      <c r="K304" s="324"/>
      <c r="L304" s="191">
        <f t="shared" si="13"/>
        <v>1.4842</v>
      </c>
      <c r="N304" s="86"/>
    </row>
    <row r="305" spans="1:14" s="64" customFormat="1" x14ac:dyDescent="0.2">
      <c r="A305" s="386"/>
      <c r="B305" s="151"/>
      <c r="C305" s="76" t="str">
        <f>orçamento!D48</f>
        <v xml:space="preserve">Cabo de cobre nu no. 35 mm² </v>
      </c>
      <c r="D305" s="386" t="s">
        <v>10</v>
      </c>
      <c r="E305" s="67"/>
      <c r="F305" s="327"/>
      <c r="G305" s="71"/>
      <c r="H305" s="67"/>
      <c r="I305" s="67"/>
      <c r="J305" s="134"/>
      <c r="K305" s="324">
        <v>0.2999</v>
      </c>
      <c r="L305" s="191">
        <f t="shared" si="13"/>
        <v>1.4842</v>
      </c>
    </row>
    <row r="306" spans="1:14" s="64" customFormat="1" x14ac:dyDescent="0.2">
      <c r="A306" s="63"/>
      <c r="B306" s="385"/>
      <c r="C306" s="122" t="str">
        <f>C305</f>
        <v xml:space="preserve">Cabo de cobre nu no. 35 mm² </v>
      </c>
      <c r="D306" s="75" t="str">
        <f>D305</f>
        <v>m</v>
      </c>
      <c r="E306" s="67">
        <f>16.5*N10</f>
        <v>16.5</v>
      </c>
      <c r="F306" s="327">
        <v>2.69</v>
      </c>
      <c r="G306" s="71">
        <v>1</v>
      </c>
      <c r="H306" s="67"/>
      <c r="I306" s="67">
        <f>E306*G306</f>
        <v>16.5</v>
      </c>
      <c r="J306" s="134"/>
      <c r="K306" s="324">
        <v>0.2999</v>
      </c>
      <c r="L306" s="191">
        <f t="shared" si="13"/>
        <v>1.4842</v>
      </c>
    </row>
    <row r="307" spans="1:14" s="64" customFormat="1" x14ac:dyDescent="0.2">
      <c r="A307" s="63"/>
      <c r="B307" s="385"/>
      <c r="C307" s="122" t="s">
        <v>258</v>
      </c>
      <c r="D307" s="75" t="s">
        <v>53</v>
      </c>
      <c r="E307" s="132">
        <f>5.21*N10</f>
        <v>5.21</v>
      </c>
      <c r="F307" s="334"/>
      <c r="G307" s="71">
        <v>0.1</v>
      </c>
      <c r="H307" s="67">
        <f>E307*G307</f>
        <v>0.52100000000000002</v>
      </c>
      <c r="I307" s="133"/>
      <c r="J307" s="134"/>
      <c r="K307" s="324">
        <v>0.2999</v>
      </c>
      <c r="L307" s="191">
        <f t="shared" si="13"/>
        <v>1.4842</v>
      </c>
    </row>
    <row r="308" spans="1:14" s="64" customFormat="1" x14ac:dyDescent="0.2">
      <c r="A308" s="63"/>
      <c r="B308" s="385"/>
      <c r="C308" s="122" t="s">
        <v>259</v>
      </c>
      <c r="D308" s="75" t="s">
        <v>53</v>
      </c>
      <c r="E308" s="67">
        <f>3.77*N10</f>
        <v>3.77</v>
      </c>
      <c r="F308" s="334"/>
      <c r="G308" s="71">
        <v>0.1</v>
      </c>
      <c r="H308" s="67">
        <f>E308*G308</f>
        <v>0.377</v>
      </c>
      <c r="I308" s="133"/>
      <c r="J308" s="134"/>
      <c r="K308" s="324">
        <v>0.2999</v>
      </c>
      <c r="L308" s="191">
        <f t="shared" si="13"/>
        <v>1.4842</v>
      </c>
    </row>
    <row r="309" spans="1:14" s="64" customFormat="1" hidden="1" x14ac:dyDescent="0.2">
      <c r="A309" s="63"/>
      <c r="B309" s="385"/>
      <c r="C309" s="122"/>
      <c r="D309" s="75"/>
      <c r="E309" s="67"/>
      <c r="F309" s="327"/>
      <c r="G309" s="71"/>
      <c r="H309" s="67"/>
      <c r="I309" s="67"/>
      <c r="J309" s="134"/>
      <c r="K309" s="324">
        <v>0.2999</v>
      </c>
      <c r="L309" s="191">
        <f t="shared" si="13"/>
        <v>1.4842</v>
      </c>
    </row>
    <row r="310" spans="1:14" s="64" customFormat="1" x14ac:dyDescent="0.2">
      <c r="A310" s="63"/>
      <c r="B310" s="385"/>
      <c r="C310" s="122"/>
      <c r="D310" s="75"/>
      <c r="E310" s="438" t="str">
        <f>E300</f>
        <v>Custo Direto</v>
      </c>
      <c r="F310" s="438"/>
      <c r="G310" s="438"/>
      <c r="H310" s="69">
        <f>SUM(H306:H308)</f>
        <v>0.89800000000000002</v>
      </c>
      <c r="I310" s="69">
        <f>SUM(I306:I308)</f>
        <v>16.5</v>
      </c>
      <c r="J310" s="134"/>
      <c r="K310" s="324">
        <v>0.2999</v>
      </c>
      <c r="L310" s="191">
        <f t="shared" si="13"/>
        <v>1.4842</v>
      </c>
    </row>
    <row r="311" spans="1:14" s="64" customFormat="1" x14ac:dyDescent="0.2">
      <c r="A311" s="63"/>
      <c r="B311" s="385"/>
      <c r="C311" s="122"/>
      <c r="D311" s="75"/>
      <c r="E311" s="438" t="str">
        <f>E301</f>
        <v>LS(%): 148,42</v>
      </c>
      <c r="F311" s="438"/>
      <c r="G311" s="438"/>
      <c r="H311" s="67">
        <f>H310*L311</f>
        <v>1.3328116000000001</v>
      </c>
      <c r="I311" s="131"/>
      <c r="J311" s="134"/>
      <c r="K311" s="324">
        <v>0.2999</v>
      </c>
      <c r="L311" s="191">
        <f t="shared" si="13"/>
        <v>1.4842</v>
      </c>
    </row>
    <row r="312" spans="1:14" s="64" customFormat="1" x14ac:dyDescent="0.2">
      <c r="A312" s="63"/>
      <c r="B312" s="385"/>
      <c r="C312" s="122"/>
      <c r="D312" s="75"/>
      <c r="E312" s="438" t="str">
        <f>E302</f>
        <v>BDI (%): 29,99</v>
      </c>
      <c r="F312" s="438"/>
      <c r="G312" s="438"/>
      <c r="H312" s="439">
        <f>(H310+I310+H311)*K312</f>
        <v>5.6173703988399994</v>
      </c>
      <c r="I312" s="439"/>
      <c r="J312" s="134"/>
      <c r="K312" s="324">
        <v>0.2999</v>
      </c>
      <c r="L312" s="191">
        <f t="shared" si="13"/>
        <v>1.4842</v>
      </c>
    </row>
    <row r="313" spans="1:14" s="64" customFormat="1" x14ac:dyDescent="0.2">
      <c r="A313" s="63"/>
      <c r="B313" s="385"/>
      <c r="C313" s="122"/>
      <c r="D313" s="75"/>
      <c r="E313" s="438" t="str">
        <f>E303</f>
        <v>Valor Total c/ Taxas</v>
      </c>
      <c r="F313" s="438"/>
      <c r="G313" s="438"/>
      <c r="H313" s="67"/>
      <c r="I313" s="69">
        <f>(H310+I310+H311+H312)</f>
        <v>24.348181998839998</v>
      </c>
      <c r="J313" s="134"/>
      <c r="K313" s="324">
        <v>0.2999</v>
      </c>
      <c r="L313" s="191">
        <f t="shared" si="13"/>
        <v>1.4842</v>
      </c>
      <c r="M313" s="401">
        <v>24.35</v>
      </c>
      <c r="N313" s="86">
        <f>I313-M313</f>
        <v>-1.818001160003746E-3</v>
      </c>
    </row>
    <row r="314" spans="1:14" s="64" customFormat="1" x14ac:dyDescent="0.2">
      <c r="A314" s="63"/>
      <c r="B314" s="385"/>
      <c r="C314" s="122"/>
      <c r="D314" s="75"/>
      <c r="E314" s="382"/>
      <c r="F314" s="382"/>
      <c r="G314" s="382"/>
      <c r="H314" s="67"/>
      <c r="I314" s="69"/>
      <c r="J314" s="134"/>
      <c r="K314" s="324"/>
      <c r="L314" s="191">
        <f t="shared" si="13"/>
        <v>1.4842</v>
      </c>
      <c r="N314" s="86"/>
    </row>
    <row r="315" spans="1:14" s="64" customFormat="1" x14ac:dyDescent="0.2">
      <c r="A315" s="386"/>
      <c r="B315" s="151"/>
      <c r="C315" s="76" t="str">
        <f>orçamento!D49</f>
        <v>Cabo flexível isolado 1 kv 10 mm²</v>
      </c>
      <c r="D315" s="386" t="s">
        <v>10</v>
      </c>
      <c r="E315" s="67"/>
      <c r="F315" s="327"/>
      <c r="G315" s="71"/>
      <c r="H315" s="67"/>
      <c r="I315" s="67"/>
      <c r="J315" s="134"/>
      <c r="K315" s="324">
        <v>0.2999</v>
      </c>
      <c r="L315" s="191">
        <f t="shared" si="13"/>
        <v>1.4842</v>
      </c>
    </row>
    <row r="316" spans="1:14" s="64" customFormat="1" x14ac:dyDescent="0.2">
      <c r="A316" s="63"/>
      <c r="B316" s="385"/>
      <c r="C316" s="122" t="str">
        <f>C315</f>
        <v>Cabo flexível isolado 1 kv 10 mm²</v>
      </c>
      <c r="D316" s="75" t="str">
        <f>D315</f>
        <v>m</v>
      </c>
      <c r="E316" s="67">
        <f>5.043*N10</f>
        <v>5.0430000000000001</v>
      </c>
      <c r="F316" s="327">
        <v>2.69</v>
      </c>
      <c r="G316" s="71">
        <v>1</v>
      </c>
      <c r="H316" s="67"/>
      <c r="I316" s="67">
        <f>E316*G316</f>
        <v>5.0430000000000001</v>
      </c>
      <c r="J316" s="134"/>
      <c r="K316" s="324">
        <v>0.2999</v>
      </c>
      <c r="L316" s="191">
        <f t="shared" si="13"/>
        <v>1.4842</v>
      </c>
    </row>
    <row r="317" spans="1:14" s="64" customFormat="1" x14ac:dyDescent="0.2">
      <c r="A317" s="63"/>
      <c r="B317" s="385"/>
      <c r="C317" s="122" t="s">
        <v>258</v>
      </c>
      <c r="D317" s="75" t="s">
        <v>53</v>
      </c>
      <c r="E317" s="132">
        <f>5.21*N10</f>
        <v>5.21</v>
      </c>
      <c r="F317" s="334"/>
      <c r="G317" s="71">
        <v>0.1</v>
      </c>
      <c r="H317" s="67">
        <f>E317*G317</f>
        <v>0.52100000000000002</v>
      </c>
      <c r="I317" s="133"/>
      <c r="J317" s="134"/>
      <c r="K317" s="324">
        <v>0.2999</v>
      </c>
      <c r="L317" s="191">
        <f t="shared" si="13"/>
        <v>1.4842</v>
      </c>
    </row>
    <row r="318" spans="1:14" s="64" customFormat="1" x14ac:dyDescent="0.2">
      <c r="A318" s="63"/>
      <c r="B318" s="385"/>
      <c r="C318" s="122" t="s">
        <v>259</v>
      </c>
      <c r="D318" s="75" t="s">
        <v>53</v>
      </c>
      <c r="E318" s="67">
        <f>3.77*N10</f>
        <v>3.77</v>
      </c>
      <c r="F318" s="334"/>
      <c r="G318" s="71">
        <v>0.1</v>
      </c>
      <c r="H318" s="67">
        <f>E318*G318</f>
        <v>0.377</v>
      </c>
      <c r="I318" s="133"/>
      <c r="J318" s="134"/>
      <c r="K318" s="324">
        <v>0.2999</v>
      </c>
      <c r="L318" s="191">
        <f t="shared" si="13"/>
        <v>1.4842</v>
      </c>
    </row>
    <row r="319" spans="1:14" s="64" customFormat="1" hidden="1" x14ac:dyDescent="0.2">
      <c r="A319" s="63"/>
      <c r="B319" s="385"/>
      <c r="C319" s="122"/>
      <c r="D319" s="75"/>
      <c r="E319" s="67"/>
      <c r="F319" s="327"/>
      <c r="G319" s="71"/>
      <c r="H319" s="67"/>
      <c r="I319" s="67"/>
      <c r="J319" s="134"/>
      <c r="K319" s="324">
        <v>0.2999</v>
      </c>
      <c r="L319" s="191">
        <f t="shared" si="13"/>
        <v>1.4842</v>
      </c>
    </row>
    <row r="320" spans="1:14" s="64" customFormat="1" x14ac:dyDescent="0.2">
      <c r="A320" s="63"/>
      <c r="B320" s="385"/>
      <c r="C320" s="122"/>
      <c r="D320" s="75"/>
      <c r="E320" s="438" t="str">
        <f>E310</f>
        <v>Custo Direto</v>
      </c>
      <c r="F320" s="438"/>
      <c r="G320" s="438"/>
      <c r="H320" s="69">
        <f>SUM(H316:H318)</f>
        <v>0.89800000000000002</v>
      </c>
      <c r="I320" s="69">
        <f>SUM(I316:I318)</f>
        <v>5.0430000000000001</v>
      </c>
      <c r="J320" s="134"/>
      <c r="K320" s="324">
        <v>0.2999</v>
      </c>
      <c r="L320" s="191">
        <f t="shared" si="13"/>
        <v>1.4842</v>
      </c>
    </row>
    <row r="321" spans="1:14" s="64" customFormat="1" x14ac:dyDescent="0.2">
      <c r="A321" s="63"/>
      <c r="B321" s="385"/>
      <c r="C321" s="122"/>
      <c r="D321" s="75"/>
      <c r="E321" s="438" t="str">
        <f>E311</f>
        <v>LS(%): 148,42</v>
      </c>
      <c r="F321" s="438"/>
      <c r="G321" s="438"/>
      <c r="H321" s="67">
        <f>H320*L321</f>
        <v>1.3328116000000001</v>
      </c>
      <c r="I321" s="131"/>
      <c r="J321" s="134"/>
      <c r="K321" s="324">
        <v>0.2999</v>
      </c>
      <c r="L321" s="191">
        <f t="shared" si="13"/>
        <v>1.4842</v>
      </c>
    </row>
    <row r="322" spans="1:14" s="64" customFormat="1" x14ac:dyDescent="0.2">
      <c r="A322" s="63"/>
      <c r="B322" s="385"/>
      <c r="C322" s="122"/>
      <c r="D322" s="75"/>
      <c r="E322" s="438" t="str">
        <f>E312</f>
        <v>BDI (%): 29,99</v>
      </c>
      <c r="F322" s="438"/>
      <c r="G322" s="438"/>
      <c r="H322" s="439">
        <f>(H320+I320+H321)*K322</f>
        <v>2.1814160988400002</v>
      </c>
      <c r="I322" s="439"/>
      <c r="J322" s="134"/>
      <c r="K322" s="324">
        <v>0.2999</v>
      </c>
      <c r="L322" s="191">
        <f t="shared" si="13"/>
        <v>1.4842</v>
      </c>
    </row>
    <row r="323" spans="1:14" s="64" customFormat="1" x14ac:dyDescent="0.2">
      <c r="A323" s="63"/>
      <c r="B323" s="385"/>
      <c r="C323" s="122"/>
      <c r="D323" s="75"/>
      <c r="E323" s="438" t="str">
        <f>E313</f>
        <v>Valor Total c/ Taxas</v>
      </c>
      <c r="F323" s="438"/>
      <c r="G323" s="438"/>
      <c r="H323" s="67"/>
      <c r="I323" s="69">
        <f>(H320+I320+H321+H322)</f>
        <v>9.4552276988399999</v>
      </c>
      <c r="J323" s="134"/>
      <c r="K323" s="324">
        <v>0.2999</v>
      </c>
      <c r="L323" s="191">
        <f t="shared" si="13"/>
        <v>1.4842</v>
      </c>
      <c r="M323" s="401">
        <v>9.4600000000000009</v>
      </c>
      <c r="N323" s="86">
        <f>I323-M323</f>
        <v>-4.7723011600009357E-3</v>
      </c>
    </row>
    <row r="324" spans="1:14" s="64" customFormat="1" x14ac:dyDescent="0.2">
      <c r="A324" s="63"/>
      <c r="B324" s="385"/>
      <c r="C324" s="122"/>
      <c r="D324" s="75"/>
      <c r="E324" s="382"/>
      <c r="F324" s="382"/>
      <c r="G324" s="382"/>
      <c r="H324" s="67"/>
      <c r="I324" s="69"/>
      <c r="J324" s="134"/>
      <c r="K324" s="324"/>
      <c r="L324" s="191">
        <f t="shared" si="13"/>
        <v>1.4842</v>
      </c>
      <c r="M324" s="401"/>
      <c r="N324" s="86"/>
    </row>
    <row r="325" spans="1:14" s="64" customFormat="1" x14ac:dyDescent="0.2">
      <c r="A325" s="386"/>
      <c r="B325" s="151"/>
      <c r="C325" s="76" t="str">
        <f>orçamento!D50</f>
        <v>Cabo flexível isolado 1 kv 16 mm²</v>
      </c>
      <c r="D325" s="386" t="s">
        <v>10</v>
      </c>
      <c r="E325" s="67"/>
      <c r="F325" s="327"/>
      <c r="G325" s="71"/>
      <c r="H325" s="67"/>
      <c r="I325" s="67"/>
      <c r="J325" s="134"/>
      <c r="K325" s="324">
        <v>0.2999</v>
      </c>
      <c r="L325" s="191">
        <f t="shared" si="13"/>
        <v>1.4842</v>
      </c>
    </row>
    <row r="326" spans="1:14" s="64" customFormat="1" x14ac:dyDescent="0.2">
      <c r="A326" s="63"/>
      <c r="B326" s="385"/>
      <c r="C326" s="122" t="str">
        <f>C325</f>
        <v>Cabo flexível isolado 1 kv 16 mm²</v>
      </c>
      <c r="D326" s="75" t="str">
        <f>D325</f>
        <v>m</v>
      </c>
      <c r="E326" s="67">
        <f>7.93*N10</f>
        <v>7.93</v>
      </c>
      <c r="F326" s="327">
        <v>2.69</v>
      </c>
      <c r="G326" s="71">
        <v>1</v>
      </c>
      <c r="H326" s="67"/>
      <c r="I326" s="67">
        <f>E326*G326</f>
        <v>7.93</v>
      </c>
      <c r="J326" s="134"/>
      <c r="K326" s="324">
        <v>0.2999</v>
      </c>
      <c r="L326" s="191">
        <f t="shared" si="13"/>
        <v>1.4842</v>
      </c>
    </row>
    <row r="327" spans="1:14" s="64" customFormat="1" x14ac:dyDescent="0.2">
      <c r="A327" s="63"/>
      <c r="B327" s="385"/>
      <c r="C327" s="122" t="s">
        <v>258</v>
      </c>
      <c r="D327" s="75" t="s">
        <v>53</v>
      </c>
      <c r="E327" s="132">
        <f>5.21*N10</f>
        <v>5.21</v>
      </c>
      <c r="F327" s="334"/>
      <c r="G327" s="71">
        <v>0.1</v>
      </c>
      <c r="H327" s="67">
        <f>E327*G327</f>
        <v>0.52100000000000002</v>
      </c>
      <c r="I327" s="133"/>
      <c r="J327" s="134"/>
      <c r="K327" s="324">
        <v>0.2999</v>
      </c>
      <c r="L327" s="191">
        <f t="shared" si="13"/>
        <v>1.4842</v>
      </c>
    </row>
    <row r="328" spans="1:14" s="64" customFormat="1" x14ac:dyDescent="0.2">
      <c r="A328" s="63"/>
      <c r="B328" s="385"/>
      <c r="C328" s="122" t="s">
        <v>259</v>
      </c>
      <c r="D328" s="75" t="s">
        <v>53</v>
      </c>
      <c r="E328" s="67">
        <f>3.77*N10</f>
        <v>3.77</v>
      </c>
      <c r="F328" s="334"/>
      <c r="G328" s="71">
        <v>0.1</v>
      </c>
      <c r="H328" s="67">
        <f>E328*G328</f>
        <v>0.377</v>
      </c>
      <c r="I328" s="133"/>
      <c r="J328" s="134"/>
      <c r="K328" s="324">
        <v>0.2999</v>
      </c>
      <c r="L328" s="191">
        <f t="shared" si="13"/>
        <v>1.4842</v>
      </c>
    </row>
    <row r="329" spans="1:14" s="64" customFormat="1" hidden="1" x14ac:dyDescent="0.2">
      <c r="A329" s="63"/>
      <c r="B329" s="385"/>
      <c r="C329" s="122"/>
      <c r="D329" s="75"/>
      <c r="E329" s="67"/>
      <c r="F329" s="327"/>
      <c r="G329" s="71"/>
      <c r="H329" s="67"/>
      <c r="I329" s="67"/>
      <c r="J329" s="134"/>
      <c r="K329" s="324">
        <v>0.2999</v>
      </c>
      <c r="L329" s="191">
        <f t="shared" si="13"/>
        <v>1.4842</v>
      </c>
    </row>
    <row r="330" spans="1:14" s="64" customFormat="1" x14ac:dyDescent="0.2">
      <c r="A330" s="63"/>
      <c r="B330" s="385"/>
      <c r="C330" s="122"/>
      <c r="D330" s="75"/>
      <c r="E330" s="438" t="str">
        <f>E320</f>
        <v>Custo Direto</v>
      </c>
      <c r="F330" s="438"/>
      <c r="G330" s="438"/>
      <c r="H330" s="69">
        <f>SUM(H326:H328)</f>
        <v>0.89800000000000002</v>
      </c>
      <c r="I330" s="69">
        <f>SUM(I326:I328)</f>
        <v>7.93</v>
      </c>
      <c r="J330" s="134"/>
      <c r="K330" s="324">
        <v>0.2999</v>
      </c>
      <c r="L330" s="191">
        <f t="shared" si="13"/>
        <v>1.4842</v>
      </c>
    </row>
    <row r="331" spans="1:14" s="64" customFormat="1" x14ac:dyDescent="0.2">
      <c r="A331" s="63"/>
      <c r="B331" s="385"/>
      <c r="C331" s="122"/>
      <c r="D331" s="75"/>
      <c r="E331" s="438" t="str">
        <f>E321</f>
        <v>LS(%): 148,42</v>
      </c>
      <c r="F331" s="438"/>
      <c r="G331" s="438"/>
      <c r="H331" s="67">
        <f>H330*L331</f>
        <v>1.3328116000000001</v>
      </c>
      <c r="I331" s="131"/>
      <c r="J331" s="134"/>
      <c r="K331" s="324">
        <v>0.2999</v>
      </c>
      <c r="L331" s="191">
        <f t="shared" si="13"/>
        <v>1.4842</v>
      </c>
    </row>
    <row r="332" spans="1:14" s="64" customFormat="1" x14ac:dyDescent="0.2">
      <c r="A332" s="63"/>
      <c r="B332" s="385"/>
      <c r="C332" s="122"/>
      <c r="D332" s="75"/>
      <c r="E332" s="438" t="str">
        <f>E322</f>
        <v>BDI (%): 29,99</v>
      </c>
      <c r="F332" s="438"/>
      <c r="G332" s="438"/>
      <c r="H332" s="439">
        <f>(H330+I330+H331)*K332</f>
        <v>3.0472273988399996</v>
      </c>
      <c r="I332" s="439"/>
      <c r="J332" s="134"/>
      <c r="K332" s="324">
        <v>0.2999</v>
      </c>
      <c r="L332" s="191">
        <f t="shared" si="13"/>
        <v>1.4842</v>
      </c>
    </row>
    <row r="333" spans="1:14" s="64" customFormat="1" x14ac:dyDescent="0.2">
      <c r="A333" s="63"/>
      <c r="B333" s="385"/>
      <c r="C333" s="122"/>
      <c r="D333" s="75"/>
      <c r="E333" s="438" t="str">
        <f>E323</f>
        <v>Valor Total c/ Taxas</v>
      </c>
      <c r="F333" s="438"/>
      <c r="G333" s="438"/>
      <c r="H333" s="67"/>
      <c r="I333" s="69">
        <f>(H330+I330+H331+H332)</f>
        <v>13.208038998839999</v>
      </c>
      <c r="J333" s="134"/>
      <c r="K333" s="324">
        <v>0.2999</v>
      </c>
      <c r="L333" s="191">
        <f t="shared" si="13"/>
        <v>1.4842</v>
      </c>
      <c r="M333" s="401">
        <v>13.21</v>
      </c>
      <c r="N333" s="86">
        <f>I333-M333</f>
        <v>-1.9610011600015298E-3</v>
      </c>
    </row>
    <row r="334" spans="1:14" s="64" customFormat="1" x14ac:dyDescent="0.2">
      <c r="A334" s="63"/>
      <c r="B334" s="385"/>
      <c r="C334" s="122"/>
      <c r="D334" s="75"/>
      <c r="E334" s="382"/>
      <c r="F334" s="382"/>
      <c r="G334" s="382"/>
      <c r="H334" s="67"/>
      <c r="I334" s="69"/>
      <c r="J334" s="134"/>
      <c r="K334" s="324"/>
      <c r="L334" s="191">
        <f t="shared" si="13"/>
        <v>1.4842</v>
      </c>
      <c r="M334" s="401"/>
      <c r="N334" s="86"/>
    </row>
    <row r="335" spans="1:14" s="64" customFormat="1" x14ac:dyDescent="0.2">
      <c r="A335" s="386"/>
      <c r="B335" s="151"/>
      <c r="C335" s="76" t="str">
        <f>orçamento!D51</f>
        <v>Cabo flexível isolado 1 kv 2,5 mm²</v>
      </c>
      <c r="D335" s="386" t="s">
        <v>10</v>
      </c>
      <c r="E335" s="67"/>
      <c r="F335" s="327"/>
      <c r="G335" s="71"/>
      <c r="H335" s="67"/>
      <c r="I335" s="67"/>
      <c r="J335" s="134"/>
      <c r="K335" s="324">
        <v>0.2999</v>
      </c>
      <c r="L335" s="191">
        <f t="shared" si="13"/>
        <v>1.4842</v>
      </c>
    </row>
    <row r="336" spans="1:14" s="64" customFormat="1" x14ac:dyDescent="0.2">
      <c r="A336" s="63"/>
      <c r="B336" s="385"/>
      <c r="C336" s="122" t="str">
        <f>C335</f>
        <v>Cabo flexível isolado 1 kv 2,5 mm²</v>
      </c>
      <c r="D336" s="75" t="str">
        <f>D335</f>
        <v>m</v>
      </c>
      <c r="E336" s="67">
        <f>0.9*N10</f>
        <v>0.9</v>
      </c>
      <c r="F336" s="327">
        <v>2.69</v>
      </c>
      <c r="G336" s="71">
        <v>1</v>
      </c>
      <c r="H336" s="67"/>
      <c r="I336" s="67">
        <f>E336*G336</f>
        <v>0.9</v>
      </c>
      <c r="J336" s="134"/>
      <c r="K336" s="324">
        <v>0.2999</v>
      </c>
      <c r="L336" s="191">
        <f t="shared" si="13"/>
        <v>1.4842</v>
      </c>
    </row>
    <row r="337" spans="1:14" s="64" customFormat="1" x14ac:dyDescent="0.2">
      <c r="A337" s="63"/>
      <c r="B337" s="385"/>
      <c r="C337" s="122" t="s">
        <v>258</v>
      </c>
      <c r="D337" s="75" t="s">
        <v>53</v>
      </c>
      <c r="E337" s="132">
        <f>5.21*N10</f>
        <v>5.21</v>
      </c>
      <c r="F337" s="334"/>
      <c r="G337" s="71">
        <v>0.09</v>
      </c>
      <c r="H337" s="67">
        <f>E337*G337</f>
        <v>0.46889999999999998</v>
      </c>
      <c r="I337" s="133"/>
      <c r="J337" s="134"/>
      <c r="K337" s="324">
        <v>0.2999</v>
      </c>
      <c r="L337" s="191">
        <f t="shared" si="13"/>
        <v>1.4842</v>
      </c>
    </row>
    <row r="338" spans="1:14" s="64" customFormat="1" x14ac:dyDescent="0.2">
      <c r="A338" s="63"/>
      <c r="B338" s="385"/>
      <c r="C338" s="122" t="s">
        <v>259</v>
      </c>
      <c r="D338" s="75" t="s">
        <v>53</v>
      </c>
      <c r="E338" s="67">
        <f>3.77*N10</f>
        <v>3.77</v>
      </c>
      <c r="F338" s="334"/>
      <c r="G338" s="71">
        <v>0.09</v>
      </c>
      <c r="H338" s="67">
        <f>E338*G338</f>
        <v>0.33929999999999999</v>
      </c>
      <c r="I338" s="133"/>
      <c r="J338" s="134"/>
      <c r="K338" s="324">
        <v>0.2999</v>
      </c>
      <c r="L338" s="191">
        <f t="shared" si="13"/>
        <v>1.4842</v>
      </c>
    </row>
    <row r="339" spans="1:14" s="64" customFormat="1" hidden="1" x14ac:dyDescent="0.2">
      <c r="A339" s="63"/>
      <c r="B339" s="385"/>
      <c r="C339" s="122"/>
      <c r="D339" s="75"/>
      <c r="E339" s="67"/>
      <c r="F339" s="327"/>
      <c r="G339" s="71"/>
      <c r="H339" s="67"/>
      <c r="I339" s="67"/>
      <c r="J339" s="134"/>
      <c r="K339" s="324">
        <v>0.2999</v>
      </c>
      <c r="L339" s="191">
        <f t="shared" si="13"/>
        <v>1.4842</v>
      </c>
    </row>
    <row r="340" spans="1:14" s="64" customFormat="1" x14ac:dyDescent="0.2">
      <c r="A340" s="63"/>
      <c r="B340" s="385"/>
      <c r="C340" s="122"/>
      <c r="D340" s="75"/>
      <c r="E340" s="438" t="str">
        <f>E330</f>
        <v>Custo Direto</v>
      </c>
      <c r="F340" s="438"/>
      <c r="G340" s="438"/>
      <c r="H340" s="69">
        <f>SUM(H336:H338)</f>
        <v>0.80820000000000003</v>
      </c>
      <c r="I340" s="69">
        <f>SUM(I336:I338)</f>
        <v>0.9</v>
      </c>
      <c r="J340" s="134"/>
      <c r="K340" s="324">
        <v>0.2999</v>
      </c>
      <c r="L340" s="191">
        <f t="shared" si="13"/>
        <v>1.4842</v>
      </c>
    </row>
    <row r="341" spans="1:14" s="64" customFormat="1" x14ac:dyDescent="0.2">
      <c r="A341" s="63"/>
      <c r="B341" s="385"/>
      <c r="C341" s="122"/>
      <c r="D341" s="75"/>
      <c r="E341" s="438" t="str">
        <f>E331</f>
        <v>LS(%): 148,42</v>
      </c>
      <c r="F341" s="438"/>
      <c r="G341" s="438"/>
      <c r="H341" s="67">
        <f>H340*L341</f>
        <v>1.19953044</v>
      </c>
      <c r="I341" s="131"/>
      <c r="J341" s="134"/>
      <c r="K341" s="324">
        <v>0.2999</v>
      </c>
      <c r="L341" s="191">
        <f t="shared" si="13"/>
        <v>1.4842</v>
      </c>
    </row>
    <row r="342" spans="1:14" s="64" customFormat="1" x14ac:dyDescent="0.2">
      <c r="A342" s="63"/>
      <c r="B342" s="385"/>
      <c r="C342" s="122"/>
      <c r="D342" s="75"/>
      <c r="E342" s="438" t="str">
        <f>E332</f>
        <v>BDI (%): 29,99</v>
      </c>
      <c r="F342" s="438"/>
      <c r="G342" s="438"/>
      <c r="H342" s="439">
        <f>(H340+I340+H341)*K342</f>
        <v>0.87202835895599995</v>
      </c>
      <c r="I342" s="439"/>
      <c r="J342" s="134"/>
      <c r="K342" s="324">
        <v>0.2999</v>
      </c>
      <c r="L342" s="191">
        <f t="shared" si="13"/>
        <v>1.4842</v>
      </c>
    </row>
    <row r="343" spans="1:14" s="64" customFormat="1" x14ac:dyDescent="0.2">
      <c r="A343" s="63"/>
      <c r="B343" s="385"/>
      <c r="C343" s="122"/>
      <c r="D343" s="75"/>
      <c r="E343" s="438" t="str">
        <f>E333</f>
        <v>Valor Total c/ Taxas</v>
      </c>
      <c r="F343" s="438"/>
      <c r="G343" s="438"/>
      <c r="H343" s="67"/>
      <c r="I343" s="69">
        <f>(H340+I340+H341+H342)</f>
        <v>3.7797587989559998</v>
      </c>
      <c r="J343" s="134"/>
      <c r="K343" s="324">
        <v>0.2999</v>
      </c>
      <c r="L343" s="191">
        <f t="shared" si="13"/>
        <v>1.4842</v>
      </c>
      <c r="M343" s="401">
        <v>3.78</v>
      </c>
      <c r="N343" s="86">
        <f>I343-M343</f>
        <v>-2.4120104400005005E-4</v>
      </c>
    </row>
    <row r="344" spans="1:14" s="64" customFormat="1" x14ac:dyDescent="0.2">
      <c r="A344" s="63"/>
      <c r="B344" s="385"/>
      <c r="C344" s="122"/>
      <c r="D344" s="75"/>
      <c r="E344" s="382"/>
      <c r="F344" s="382"/>
      <c r="G344" s="382"/>
      <c r="H344" s="67"/>
      <c r="I344" s="69"/>
      <c r="J344" s="134"/>
      <c r="K344" s="324"/>
      <c r="L344" s="191">
        <f t="shared" si="13"/>
        <v>1.4842</v>
      </c>
      <c r="M344" s="401"/>
      <c r="N344" s="86"/>
    </row>
    <row r="345" spans="1:14" s="64" customFormat="1" x14ac:dyDescent="0.2">
      <c r="A345" s="386"/>
      <c r="B345" s="151"/>
      <c r="C345" s="76" t="str">
        <f>orçamento!D52</f>
        <v>Cabo flexível isolado 1 kv 35 mm²</v>
      </c>
      <c r="D345" s="386" t="s">
        <v>10</v>
      </c>
      <c r="E345" s="67"/>
      <c r="F345" s="327"/>
      <c r="G345" s="71"/>
      <c r="H345" s="67"/>
      <c r="I345" s="67"/>
      <c r="J345" s="134"/>
      <c r="K345" s="324">
        <v>0.2999</v>
      </c>
      <c r="L345" s="191">
        <f t="shared" si="13"/>
        <v>1.4842</v>
      </c>
    </row>
    <row r="346" spans="1:14" s="64" customFormat="1" x14ac:dyDescent="0.2">
      <c r="A346" s="63"/>
      <c r="B346" s="385"/>
      <c r="C346" s="122" t="str">
        <f>C345</f>
        <v>Cabo flexível isolado 1 kv 35 mm²</v>
      </c>
      <c r="D346" s="75" t="str">
        <f>D345</f>
        <v>m</v>
      </c>
      <c r="E346" s="67">
        <f>17.826*N10</f>
        <v>17.826000000000001</v>
      </c>
      <c r="F346" s="327">
        <v>2.69</v>
      </c>
      <c r="G346" s="71">
        <v>1</v>
      </c>
      <c r="H346" s="67"/>
      <c r="I346" s="67">
        <f>E346*G346</f>
        <v>17.826000000000001</v>
      </c>
      <c r="J346" s="134"/>
      <c r="K346" s="324">
        <v>0.2999</v>
      </c>
      <c r="L346" s="191">
        <f t="shared" si="13"/>
        <v>1.4842</v>
      </c>
    </row>
    <row r="347" spans="1:14" s="64" customFormat="1" x14ac:dyDescent="0.2">
      <c r="A347" s="63"/>
      <c r="B347" s="385"/>
      <c r="C347" s="122" t="s">
        <v>258</v>
      </c>
      <c r="D347" s="75" t="s">
        <v>53</v>
      </c>
      <c r="E347" s="132">
        <f>5.21*N10</f>
        <v>5.21</v>
      </c>
      <c r="F347" s="334"/>
      <c r="G347" s="71">
        <v>0.09</v>
      </c>
      <c r="H347" s="67">
        <f>E347*G347</f>
        <v>0.46889999999999998</v>
      </c>
      <c r="I347" s="133"/>
      <c r="J347" s="134"/>
      <c r="K347" s="324">
        <v>0.2999</v>
      </c>
      <c r="L347" s="191">
        <f t="shared" si="13"/>
        <v>1.4842</v>
      </c>
    </row>
    <row r="348" spans="1:14" s="64" customFormat="1" x14ac:dyDescent="0.2">
      <c r="A348" s="63"/>
      <c r="B348" s="385"/>
      <c r="C348" s="122" t="s">
        <v>259</v>
      </c>
      <c r="D348" s="75" t="s">
        <v>53</v>
      </c>
      <c r="E348" s="67">
        <f>3.77*N10</f>
        <v>3.77</v>
      </c>
      <c r="F348" s="334"/>
      <c r="G348" s="71">
        <v>0.09</v>
      </c>
      <c r="H348" s="67">
        <f>E348*G348</f>
        <v>0.33929999999999999</v>
      </c>
      <c r="I348" s="133"/>
      <c r="J348" s="134"/>
      <c r="K348" s="324">
        <v>0.2999</v>
      </c>
      <c r="L348" s="191">
        <f t="shared" si="13"/>
        <v>1.4842</v>
      </c>
    </row>
    <row r="349" spans="1:14" s="64" customFormat="1" hidden="1" x14ac:dyDescent="0.2">
      <c r="A349" s="63"/>
      <c r="B349" s="385"/>
      <c r="C349" s="122"/>
      <c r="D349" s="75"/>
      <c r="E349" s="67"/>
      <c r="F349" s="327"/>
      <c r="G349" s="71"/>
      <c r="H349" s="67"/>
      <c r="I349" s="67"/>
      <c r="J349" s="134"/>
      <c r="K349" s="324">
        <v>0.2999</v>
      </c>
      <c r="L349" s="191">
        <f t="shared" si="13"/>
        <v>1.4842</v>
      </c>
    </row>
    <row r="350" spans="1:14" s="64" customFormat="1" x14ac:dyDescent="0.2">
      <c r="A350" s="63"/>
      <c r="B350" s="385"/>
      <c r="C350" s="122"/>
      <c r="D350" s="75"/>
      <c r="E350" s="438" t="str">
        <f>E340</f>
        <v>Custo Direto</v>
      </c>
      <c r="F350" s="438"/>
      <c r="G350" s="438"/>
      <c r="H350" s="69">
        <f>SUM(H346:H348)</f>
        <v>0.80820000000000003</v>
      </c>
      <c r="I350" s="69">
        <f>SUM(I346:I348)</f>
        <v>17.826000000000001</v>
      </c>
      <c r="J350" s="134"/>
      <c r="K350" s="324">
        <v>0.2999</v>
      </c>
      <c r="L350" s="191">
        <f t="shared" si="13"/>
        <v>1.4842</v>
      </c>
    </row>
    <row r="351" spans="1:14" s="64" customFormat="1" x14ac:dyDescent="0.2">
      <c r="A351" s="63"/>
      <c r="B351" s="385"/>
      <c r="C351" s="122"/>
      <c r="D351" s="75"/>
      <c r="E351" s="438" t="str">
        <f>E341</f>
        <v>LS(%): 148,42</v>
      </c>
      <c r="F351" s="438"/>
      <c r="G351" s="438"/>
      <c r="H351" s="67">
        <f>H350*L351</f>
        <v>1.19953044</v>
      </c>
      <c r="I351" s="131"/>
      <c r="J351" s="134"/>
      <c r="K351" s="324">
        <v>0.2999</v>
      </c>
      <c r="L351" s="191">
        <f t="shared" si="13"/>
        <v>1.4842</v>
      </c>
    </row>
    <row r="352" spans="1:14" s="64" customFormat="1" x14ac:dyDescent="0.2">
      <c r="A352" s="63"/>
      <c r="B352" s="385"/>
      <c r="C352" s="122"/>
      <c r="D352" s="75"/>
      <c r="E352" s="438" t="str">
        <f>E342</f>
        <v>BDI (%): 29,99</v>
      </c>
      <c r="F352" s="438"/>
      <c r="G352" s="438"/>
      <c r="H352" s="439">
        <f>(H350+I350+H351)*K352</f>
        <v>5.948135758956</v>
      </c>
      <c r="I352" s="439"/>
      <c r="J352" s="134"/>
      <c r="K352" s="324">
        <v>0.2999</v>
      </c>
      <c r="L352" s="191">
        <f t="shared" si="13"/>
        <v>1.4842</v>
      </c>
    </row>
    <row r="353" spans="1:14" s="64" customFormat="1" x14ac:dyDescent="0.2">
      <c r="A353" s="63"/>
      <c r="B353" s="385"/>
      <c r="C353" s="122"/>
      <c r="D353" s="75"/>
      <c r="E353" s="438" t="str">
        <f>E343</f>
        <v>Valor Total c/ Taxas</v>
      </c>
      <c r="F353" s="438"/>
      <c r="G353" s="438"/>
      <c r="H353" s="67"/>
      <c r="I353" s="69">
        <f>(H350+I350+H351+H352)</f>
        <v>25.781866198955999</v>
      </c>
      <c r="J353" s="134"/>
      <c r="K353" s="324">
        <v>0.2999</v>
      </c>
      <c r="L353" s="191">
        <f t="shared" si="13"/>
        <v>1.4842</v>
      </c>
      <c r="M353" s="401">
        <v>25.78</v>
      </c>
      <c r="N353" s="86">
        <f>I353-M353</f>
        <v>1.8661989559980441E-3</v>
      </c>
    </row>
    <row r="354" spans="1:14" s="64" customFormat="1" x14ac:dyDescent="0.2">
      <c r="A354" s="63"/>
      <c r="B354" s="385"/>
      <c r="C354" s="122"/>
      <c r="D354" s="75"/>
      <c r="E354" s="382"/>
      <c r="F354" s="382"/>
      <c r="G354" s="382"/>
      <c r="H354" s="67"/>
      <c r="I354" s="69"/>
      <c r="J354" s="134"/>
      <c r="K354" s="324"/>
      <c r="L354" s="191">
        <f t="shared" si="13"/>
        <v>1.4842</v>
      </c>
      <c r="M354" s="401"/>
      <c r="N354" s="86"/>
    </row>
    <row r="355" spans="1:14" s="64" customFormat="1" x14ac:dyDescent="0.2">
      <c r="A355" s="386"/>
      <c r="B355" s="151"/>
      <c r="C355" s="76" t="str">
        <f>orçamento!D53</f>
        <v>Cabo flexível isolado 1 kv 4 mm²</v>
      </c>
      <c r="D355" s="386" t="s">
        <v>10</v>
      </c>
      <c r="E355" s="67"/>
      <c r="F355" s="327"/>
      <c r="G355" s="71"/>
      <c r="H355" s="67"/>
      <c r="I355" s="67"/>
      <c r="J355" s="134"/>
      <c r="K355" s="324">
        <v>0.2999</v>
      </c>
      <c r="L355" s="191">
        <f t="shared" si="13"/>
        <v>1.4842</v>
      </c>
    </row>
    <row r="356" spans="1:14" s="64" customFormat="1" x14ac:dyDescent="0.2">
      <c r="A356" s="63"/>
      <c r="B356" s="385"/>
      <c r="C356" s="122" t="str">
        <f>C355</f>
        <v>Cabo flexível isolado 1 kv 4 mm²</v>
      </c>
      <c r="D356" s="75" t="str">
        <f>D355</f>
        <v>m</v>
      </c>
      <c r="E356" s="67">
        <f>2.287*N10</f>
        <v>2.2869999999999999</v>
      </c>
      <c r="F356" s="327">
        <v>2.69</v>
      </c>
      <c r="G356" s="71">
        <v>1</v>
      </c>
      <c r="H356" s="67"/>
      <c r="I356" s="67">
        <f>E356*G356</f>
        <v>2.2869999999999999</v>
      </c>
      <c r="J356" s="134"/>
      <c r="K356" s="324">
        <v>0.2999</v>
      </c>
      <c r="L356" s="191">
        <f t="shared" si="13"/>
        <v>1.4842</v>
      </c>
    </row>
    <row r="357" spans="1:14" s="64" customFormat="1" x14ac:dyDescent="0.2">
      <c r="A357" s="63"/>
      <c r="B357" s="385"/>
      <c r="C357" s="122" t="s">
        <v>258</v>
      </c>
      <c r="D357" s="75" t="s">
        <v>53</v>
      </c>
      <c r="E357" s="132">
        <f>5.21*N10</f>
        <v>5.21</v>
      </c>
      <c r="F357" s="334"/>
      <c r="G357" s="71">
        <v>0.09</v>
      </c>
      <c r="H357" s="67">
        <f>E357*G357</f>
        <v>0.46889999999999998</v>
      </c>
      <c r="I357" s="133"/>
      <c r="J357" s="134"/>
      <c r="K357" s="324">
        <v>0.2999</v>
      </c>
      <c r="L357" s="191">
        <f t="shared" si="13"/>
        <v>1.4842</v>
      </c>
    </row>
    <row r="358" spans="1:14" s="64" customFormat="1" x14ac:dyDescent="0.2">
      <c r="A358" s="63"/>
      <c r="B358" s="385"/>
      <c r="C358" s="122" t="s">
        <v>259</v>
      </c>
      <c r="D358" s="75" t="s">
        <v>53</v>
      </c>
      <c r="E358" s="67">
        <f>3.77*N10</f>
        <v>3.77</v>
      </c>
      <c r="F358" s="334"/>
      <c r="G358" s="71">
        <v>0.09</v>
      </c>
      <c r="H358" s="67">
        <f>E358*G358</f>
        <v>0.33929999999999999</v>
      </c>
      <c r="I358" s="133"/>
      <c r="J358" s="134"/>
      <c r="K358" s="324">
        <v>0.2999</v>
      </c>
      <c r="L358" s="191">
        <f t="shared" si="13"/>
        <v>1.4842</v>
      </c>
    </row>
    <row r="359" spans="1:14" s="64" customFormat="1" hidden="1" x14ac:dyDescent="0.2">
      <c r="A359" s="63"/>
      <c r="B359" s="385"/>
      <c r="C359" s="122"/>
      <c r="D359" s="75"/>
      <c r="E359" s="67"/>
      <c r="F359" s="327"/>
      <c r="G359" s="71"/>
      <c r="H359" s="67"/>
      <c r="I359" s="67"/>
      <c r="J359" s="134"/>
      <c r="K359" s="324">
        <v>0.2999</v>
      </c>
      <c r="L359" s="191">
        <f t="shared" si="13"/>
        <v>1.4842</v>
      </c>
    </row>
    <row r="360" spans="1:14" s="64" customFormat="1" x14ac:dyDescent="0.2">
      <c r="A360" s="63"/>
      <c r="B360" s="385"/>
      <c r="C360" s="122"/>
      <c r="D360" s="75"/>
      <c r="E360" s="438" t="str">
        <f>E350</f>
        <v>Custo Direto</v>
      </c>
      <c r="F360" s="438"/>
      <c r="G360" s="438"/>
      <c r="H360" s="69">
        <f>SUM(H356:H358)</f>
        <v>0.80820000000000003</v>
      </c>
      <c r="I360" s="69">
        <f>SUM(I356:I358)</f>
        <v>2.2869999999999999</v>
      </c>
      <c r="J360" s="134"/>
      <c r="K360" s="324">
        <v>0.2999</v>
      </c>
      <c r="L360" s="191">
        <f t="shared" si="13"/>
        <v>1.4842</v>
      </c>
    </row>
    <row r="361" spans="1:14" s="64" customFormat="1" x14ac:dyDescent="0.2">
      <c r="A361" s="63"/>
      <c r="B361" s="385"/>
      <c r="C361" s="122"/>
      <c r="D361" s="75"/>
      <c r="E361" s="438" t="str">
        <f>E351</f>
        <v>LS(%): 148,42</v>
      </c>
      <c r="F361" s="438"/>
      <c r="G361" s="438"/>
      <c r="H361" s="67">
        <f>H360*L361</f>
        <v>1.19953044</v>
      </c>
      <c r="I361" s="131"/>
      <c r="J361" s="134"/>
      <c r="K361" s="324">
        <v>0.2999</v>
      </c>
      <c r="L361" s="191">
        <f t="shared" si="13"/>
        <v>1.4842</v>
      </c>
    </row>
    <row r="362" spans="1:14" s="64" customFormat="1" x14ac:dyDescent="0.2">
      <c r="A362" s="63"/>
      <c r="B362" s="385"/>
      <c r="C362" s="122"/>
      <c r="D362" s="75"/>
      <c r="E362" s="438" t="str">
        <f>E352</f>
        <v>BDI (%): 29,99</v>
      </c>
      <c r="F362" s="438"/>
      <c r="G362" s="438"/>
      <c r="H362" s="439">
        <f>(H360+I360+H361)*K362</f>
        <v>1.287989658956</v>
      </c>
      <c r="I362" s="439"/>
      <c r="J362" s="134"/>
      <c r="K362" s="324">
        <v>0.2999</v>
      </c>
      <c r="L362" s="191">
        <f t="shared" si="13"/>
        <v>1.4842</v>
      </c>
    </row>
    <row r="363" spans="1:14" s="64" customFormat="1" x14ac:dyDescent="0.2">
      <c r="A363" s="63"/>
      <c r="B363" s="385"/>
      <c r="C363" s="122"/>
      <c r="D363" s="75"/>
      <c r="E363" s="438" t="str">
        <f>E353</f>
        <v>Valor Total c/ Taxas</v>
      </c>
      <c r="F363" s="438"/>
      <c r="G363" s="438"/>
      <c r="H363" s="67"/>
      <c r="I363" s="69">
        <f>(H360+I360+H361+H362)</f>
        <v>5.5827200989560009</v>
      </c>
      <c r="J363" s="134"/>
      <c r="K363" s="324">
        <v>0.2999</v>
      </c>
      <c r="L363" s="191">
        <f t="shared" si="13"/>
        <v>1.4842</v>
      </c>
      <c r="M363" s="401">
        <v>5.58</v>
      </c>
      <c r="N363" s="86">
        <f>I363-M363</f>
        <v>2.7200989560007827E-3</v>
      </c>
    </row>
    <row r="364" spans="1:14" s="64" customFormat="1" x14ac:dyDescent="0.2">
      <c r="A364" s="63"/>
      <c r="B364" s="385"/>
      <c r="C364" s="122"/>
      <c r="D364" s="75"/>
      <c r="E364" s="382"/>
      <c r="F364" s="382"/>
      <c r="G364" s="382"/>
      <c r="H364" s="67"/>
      <c r="I364" s="69"/>
      <c r="J364" s="134"/>
      <c r="K364" s="324"/>
      <c r="L364" s="191">
        <f t="shared" si="13"/>
        <v>1.4842</v>
      </c>
      <c r="M364" s="401"/>
      <c r="N364" s="86"/>
    </row>
    <row r="365" spans="1:14" s="64" customFormat="1" x14ac:dyDescent="0.2">
      <c r="A365" s="386"/>
      <c r="B365" s="151"/>
      <c r="C365" s="76" t="str">
        <f>orçamento!D54</f>
        <v>Cabo flexível isolado 1 kv 6 mm²</v>
      </c>
      <c r="D365" s="386" t="s">
        <v>10</v>
      </c>
      <c r="E365" s="67"/>
      <c r="F365" s="327"/>
      <c r="G365" s="71"/>
      <c r="H365" s="67"/>
      <c r="I365" s="67"/>
      <c r="J365" s="134"/>
      <c r="K365" s="324">
        <v>0.2999</v>
      </c>
      <c r="L365" s="191">
        <f t="shared" si="13"/>
        <v>1.4842</v>
      </c>
    </row>
    <row r="366" spans="1:14" s="64" customFormat="1" x14ac:dyDescent="0.2">
      <c r="A366" s="63"/>
      <c r="B366" s="385"/>
      <c r="C366" s="122" t="str">
        <f>C365</f>
        <v>Cabo flexível isolado 1 kv 6 mm²</v>
      </c>
      <c r="D366" s="75" t="str">
        <f>D365</f>
        <v>m</v>
      </c>
      <c r="E366" s="67">
        <f>3.186*N10</f>
        <v>3.1859999999999999</v>
      </c>
      <c r="F366" s="327">
        <v>2.69</v>
      </c>
      <c r="G366" s="71">
        <v>1</v>
      </c>
      <c r="H366" s="67"/>
      <c r="I366" s="67">
        <f>E366*G366</f>
        <v>3.1859999999999999</v>
      </c>
      <c r="J366" s="134"/>
      <c r="K366" s="324">
        <v>0.2999</v>
      </c>
      <c r="L366" s="191">
        <f t="shared" ref="L366:L565" si="14">L365</f>
        <v>1.4842</v>
      </c>
    </row>
    <row r="367" spans="1:14" s="64" customFormat="1" x14ac:dyDescent="0.2">
      <c r="A367" s="63"/>
      <c r="B367" s="385"/>
      <c r="C367" s="122" t="s">
        <v>258</v>
      </c>
      <c r="D367" s="75" t="s">
        <v>53</v>
      </c>
      <c r="E367" s="132">
        <f>5.21*N10</f>
        <v>5.21</v>
      </c>
      <c r="F367" s="334"/>
      <c r="G367" s="71">
        <v>0.09</v>
      </c>
      <c r="H367" s="67">
        <f>E367*G367</f>
        <v>0.46889999999999998</v>
      </c>
      <c r="I367" s="133"/>
      <c r="J367" s="134"/>
      <c r="K367" s="324">
        <v>0.2999</v>
      </c>
      <c r="L367" s="191">
        <f t="shared" si="14"/>
        <v>1.4842</v>
      </c>
    </row>
    <row r="368" spans="1:14" s="64" customFormat="1" x14ac:dyDescent="0.2">
      <c r="A368" s="63"/>
      <c r="B368" s="385"/>
      <c r="C368" s="122" t="s">
        <v>259</v>
      </c>
      <c r="D368" s="75" t="s">
        <v>53</v>
      </c>
      <c r="E368" s="67">
        <f>3.77*N10</f>
        <v>3.77</v>
      </c>
      <c r="F368" s="334"/>
      <c r="G368" s="71">
        <v>0.09</v>
      </c>
      <c r="H368" s="67">
        <f>E368*G368</f>
        <v>0.33929999999999999</v>
      </c>
      <c r="I368" s="133"/>
      <c r="J368" s="134"/>
      <c r="K368" s="324">
        <v>0.2999</v>
      </c>
      <c r="L368" s="191">
        <f t="shared" si="14"/>
        <v>1.4842</v>
      </c>
    </row>
    <row r="369" spans="1:14" s="64" customFormat="1" hidden="1" x14ac:dyDescent="0.2">
      <c r="A369" s="63"/>
      <c r="B369" s="385"/>
      <c r="C369" s="122"/>
      <c r="D369" s="75"/>
      <c r="E369" s="67"/>
      <c r="F369" s="327"/>
      <c r="G369" s="71"/>
      <c r="H369" s="67"/>
      <c r="I369" s="67"/>
      <c r="J369" s="134"/>
      <c r="K369" s="324">
        <v>0.2999</v>
      </c>
      <c r="L369" s="191">
        <f t="shared" si="14"/>
        <v>1.4842</v>
      </c>
    </row>
    <row r="370" spans="1:14" s="64" customFormat="1" x14ac:dyDescent="0.2">
      <c r="A370" s="63"/>
      <c r="B370" s="385"/>
      <c r="C370" s="122"/>
      <c r="D370" s="75"/>
      <c r="E370" s="438" t="str">
        <f>E360</f>
        <v>Custo Direto</v>
      </c>
      <c r="F370" s="438"/>
      <c r="G370" s="438"/>
      <c r="H370" s="69">
        <f>SUM(H366:H368)</f>
        <v>0.80820000000000003</v>
      </c>
      <c r="I370" s="69">
        <f>SUM(I366:I368)</f>
        <v>3.1859999999999999</v>
      </c>
      <c r="J370" s="134"/>
      <c r="K370" s="324">
        <v>0.2999</v>
      </c>
      <c r="L370" s="191">
        <f t="shared" si="14"/>
        <v>1.4842</v>
      </c>
    </row>
    <row r="371" spans="1:14" s="64" customFormat="1" x14ac:dyDescent="0.2">
      <c r="A371" s="63"/>
      <c r="B371" s="385"/>
      <c r="C371" s="122"/>
      <c r="D371" s="75"/>
      <c r="E371" s="438" t="str">
        <f>E361</f>
        <v>LS(%): 148,42</v>
      </c>
      <c r="F371" s="438"/>
      <c r="G371" s="438"/>
      <c r="H371" s="67">
        <f>H370*L371</f>
        <v>1.19953044</v>
      </c>
      <c r="I371" s="131"/>
      <c r="J371" s="134"/>
      <c r="K371" s="324">
        <v>0.2999</v>
      </c>
      <c r="L371" s="191">
        <f t="shared" si="14"/>
        <v>1.4842</v>
      </c>
    </row>
    <row r="372" spans="1:14" s="64" customFormat="1" x14ac:dyDescent="0.2">
      <c r="A372" s="63"/>
      <c r="B372" s="385"/>
      <c r="C372" s="122"/>
      <c r="D372" s="75"/>
      <c r="E372" s="438" t="str">
        <f>E362</f>
        <v>BDI (%): 29,99</v>
      </c>
      <c r="F372" s="438"/>
      <c r="G372" s="438"/>
      <c r="H372" s="439">
        <f>(H370+I370+H371)*K372</f>
        <v>1.5575997589560002</v>
      </c>
      <c r="I372" s="439"/>
      <c r="J372" s="134"/>
      <c r="K372" s="324">
        <v>0.2999</v>
      </c>
      <c r="L372" s="191">
        <f t="shared" si="14"/>
        <v>1.4842</v>
      </c>
    </row>
    <row r="373" spans="1:14" s="64" customFormat="1" x14ac:dyDescent="0.2">
      <c r="A373" s="63"/>
      <c r="B373" s="385"/>
      <c r="C373" s="122"/>
      <c r="D373" s="75"/>
      <c r="E373" s="438" t="str">
        <f>E363</f>
        <v>Valor Total c/ Taxas</v>
      </c>
      <c r="F373" s="438"/>
      <c r="G373" s="438"/>
      <c r="H373" s="67"/>
      <c r="I373" s="69">
        <f>(H370+I370+H371+H372)</f>
        <v>6.7513301989560004</v>
      </c>
      <c r="J373" s="134"/>
      <c r="K373" s="324">
        <v>0.2999</v>
      </c>
      <c r="L373" s="191">
        <f t="shared" si="14"/>
        <v>1.4842</v>
      </c>
      <c r="M373" s="401">
        <v>6.75</v>
      </c>
      <c r="N373" s="86">
        <f>I373-M373</f>
        <v>1.3301989560003946E-3</v>
      </c>
    </row>
    <row r="374" spans="1:14" s="64" customFormat="1" x14ac:dyDescent="0.2">
      <c r="A374" s="63"/>
      <c r="B374" s="385"/>
      <c r="C374" s="122"/>
      <c r="D374" s="75"/>
      <c r="E374" s="382"/>
      <c r="F374" s="382"/>
      <c r="G374" s="382"/>
      <c r="H374" s="67"/>
      <c r="I374" s="69"/>
      <c r="J374" s="134"/>
      <c r="K374" s="324"/>
      <c r="L374" s="191">
        <f t="shared" si="14"/>
        <v>1.4842</v>
      </c>
      <c r="M374" s="401"/>
      <c r="N374" s="86"/>
    </row>
    <row r="375" spans="1:14" s="64" customFormat="1" x14ac:dyDescent="0.2">
      <c r="A375" s="386"/>
      <c r="B375" s="151"/>
      <c r="C375" s="76" t="str">
        <f>orçamento!D55</f>
        <v>Cabo flexível isolado 1 kv 95 mm²</v>
      </c>
      <c r="D375" s="386" t="s">
        <v>10</v>
      </c>
      <c r="E375" s="67"/>
      <c r="F375" s="327"/>
      <c r="G375" s="71"/>
      <c r="H375" s="67"/>
      <c r="I375" s="67"/>
      <c r="J375" s="134"/>
      <c r="K375" s="324">
        <v>0.2999</v>
      </c>
      <c r="L375" s="191">
        <f t="shared" si="14"/>
        <v>1.4842</v>
      </c>
    </row>
    <row r="376" spans="1:14" s="64" customFormat="1" x14ac:dyDescent="0.2">
      <c r="A376" s="63"/>
      <c r="B376" s="385"/>
      <c r="C376" s="122" t="str">
        <f>C375</f>
        <v>Cabo flexível isolado 1 kv 95 mm²</v>
      </c>
      <c r="D376" s="75" t="str">
        <f>D375</f>
        <v>m</v>
      </c>
      <c r="E376" s="67">
        <f>43.775*N10</f>
        <v>43.774999999999999</v>
      </c>
      <c r="F376" s="327">
        <v>2.69</v>
      </c>
      <c r="G376" s="71">
        <v>1.1000000000000001</v>
      </c>
      <c r="H376" s="67"/>
      <c r="I376" s="67">
        <f>E376*G376</f>
        <v>48.152500000000003</v>
      </c>
      <c r="J376" s="134"/>
      <c r="K376" s="324">
        <v>0.2999</v>
      </c>
      <c r="L376" s="191">
        <f t="shared" si="14"/>
        <v>1.4842</v>
      </c>
    </row>
    <row r="377" spans="1:14" s="64" customFormat="1" x14ac:dyDescent="0.2">
      <c r="A377" s="63"/>
      <c r="B377" s="385"/>
      <c r="C377" s="122" t="s">
        <v>258</v>
      </c>
      <c r="D377" s="75" t="s">
        <v>53</v>
      </c>
      <c r="E377" s="132">
        <f>5.21*N10</f>
        <v>5.21</v>
      </c>
      <c r="F377" s="334"/>
      <c r="G377" s="71">
        <v>0.09</v>
      </c>
      <c r="H377" s="67">
        <f>E377*G377</f>
        <v>0.46889999999999998</v>
      </c>
      <c r="I377" s="133"/>
      <c r="J377" s="134"/>
      <c r="K377" s="324">
        <v>0.2999</v>
      </c>
      <c r="L377" s="191">
        <f t="shared" si="14"/>
        <v>1.4842</v>
      </c>
    </row>
    <row r="378" spans="1:14" s="64" customFormat="1" x14ac:dyDescent="0.2">
      <c r="A378" s="63"/>
      <c r="B378" s="385"/>
      <c r="C378" s="122" t="s">
        <v>259</v>
      </c>
      <c r="D378" s="75" t="s">
        <v>53</v>
      </c>
      <c r="E378" s="67">
        <f>3.77*N10</f>
        <v>3.77</v>
      </c>
      <c r="F378" s="334"/>
      <c r="G378" s="71">
        <v>0.09</v>
      </c>
      <c r="H378" s="67">
        <f>E378*G378</f>
        <v>0.33929999999999999</v>
      </c>
      <c r="I378" s="133"/>
      <c r="J378" s="134"/>
      <c r="K378" s="324">
        <v>0.2999</v>
      </c>
      <c r="L378" s="191">
        <f t="shared" si="14"/>
        <v>1.4842</v>
      </c>
    </row>
    <row r="379" spans="1:14" s="64" customFormat="1" hidden="1" x14ac:dyDescent="0.2">
      <c r="A379" s="63"/>
      <c r="B379" s="385"/>
      <c r="C379" s="122"/>
      <c r="D379" s="75"/>
      <c r="E379" s="67"/>
      <c r="F379" s="327"/>
      <c r="G379" s="71"/>
      <c r="H379" s="67"/>
      <c r="I379" s="67"/>
      <c r="J379" s="134"/>
      <c r="K379" s="324">
        <v>0.2999</v>
      </c>
      <c r="L379" s="191">
        <f t="shared" si="14"/>
        <v>1.4842</v>
      </c>
    </row>
    <row r="380" spans="1:14" s="64" customFormat="1" x14ac:dyDescent="0.2">
      <c r="A380" s="63"/>
      <c r="B380" s="385"/>
      <c r="C380" s="122"/>
      <c r="D380" s="75"/>
      <c r="E380" s="438" t="str">
        <f>E370</f>
        <v>Custo Direto</v>
      </c>
      <c r="F380" s="438"/>
      <c r="G380" s="438"/>
      <c r="H380" s="69">
        <f>SUM(H376:H378)</f>
        <v>0.80820000000000003</v>
      </c>
      <c r="I380" s="69">
        <f>SUM(I376:I378)</f>
        <v>48.152500000000003</v>
      </c>
      <c r="J380" s="134"/>
      <c r="K380" s="324">
        <v>0.2999</v>
      </c>
      <c r="L380" s="191">
        <f t="shared" si="14"/>
        <v>1.4842</v>
      </c>
    </row>
    <row r="381" spans="1:14" s="64" customFormat="1" x14ac:dyDescent="0.2">
      <c r="A381" s="63"/>
      <c r="B381" s="385"/>
      <c r="C381" s="122"/>
      <c r="D381" s="75"/>
      <c r="E381" s="438" t="str">
        <f>E371</f>
        <v>LS(%): 148,42</v>
      </c>
      <c r="F381" s="438"/>
      <c r="G381" s="438"/>
      <c r="H381" s="67">
        <f>H380*L381</f>
        <v>1.19953044</v>
      </c>
      <c r="I381" s="131"/>
      <c r="J381" s="134"/>
      <c r="K381" s="324">
        <v>0.2999</v>
      </c>
      <c r="L381" s="191">
        <f t="shared" si="14"/>
        <v>1.4842</v>
      </c>
    </row>
    <row r="382" spans="1:14" s="64" customFormat="1" x14ac:dyDescent="0.2">
      <c r="A382" s="63"/>
      <c r="B382" s="385"/>
      <c r="C382" s="122"/>
      <c r="D382" s="75"/>
      <c r="E382" s="438" t="str">
        <f>E372</f>
        <v>BDI (%): 29,99</v>
      </c>
      <c r="F382" s="438"/>
      <c r="G382" s="438"/>
      <c r="H382" s="439">
        <f>(H380+I380+H381)*K382</f>
        <v>15.043053108956</v>
      </c>
      <c r="I382" s="439"/>
      <c r="J382" s="134"/>
      <c r="K382" s="324">
        <v>0.2999</v>
      </c>
      <c r="L382" s="191">
        <f t="shared" si="14"/>
        <v>1.4842</v>
      </c>
    </row>
    <row r="383" spans="1:14" s="64" customFormat="1" x14ac:dyDescent="0.2">
      <c r="A383" s="63"/>
      <c r="B383" s="385"/>
      <c r="C383" s="122"/>
      <c r="D383" s="75"/>
      <c r="E383" s="438" t="str">
        <f>E373</f>
        <v>Valor Total c/ Taxas</v>
      </c>
      <c r="F383" s="438"/>
      <c r="G383" s="438"/>
      <c r="H383" s="67"/>
      <c r="I383" s="69">
        <f>(H380+I380+H381+H382)</f>
        <v>65.203283548955994</v>
      </c>
      <c r="J383" s="134"/>
      <c r="K383" s="324">
        <v>0.2999</v>
      </c>
      <c r="L383" s="191">
        <f t="shared" si="14"/>
        <v>1.4842</v>
      </c>
      <c r="M383" s="401">
        <v>65.2</v>
      </c>
      <c r="N383" s="86">
        <f>I383-M383</f>
        <v>3.2835489559914777E-3</v>
      </c>
    </row>
    <row r="384" spans="1:14" s="64" customFormat="1" x14ac:dyDescent="0.2">
      <c r="A384" s="63"/>
      <c r="B384" s="385"/>
      <c r="C384" s="122"/>
      <c r="D384" s="75"/>
      <c r="E384" s="382"/>
      <c r="F384" s="382"/>
      <c r="G384" s="382"/>
      <c r="H384" s="67"/>
      <c r="I384" s="69"/>
      <c r="J384" s="134"/>
      <c r="K384" s="324"/>
      <c r="L384" s="191">
        <f t="shared" si="14"/>
        <v>1.4842</v>
      </c>
      <c r="M384" s="401"/>
      <c r="N384" s="86"/>
    </row>
    <row r="385" spans="1:14" s="64" customFormat="1" x14ac:dyDescent="0.2">
      <c r="A385" s="386"/>
      <c r="B385" s="151"/>
      <c r="C385" s="76" t="str">
        <f>orçamento!D56</f>
        <v>Cabo flexível isolado 750v 2,5 mm²</v>
      </c>
      <c r="D385" s="386" t="s">
        <v>10</v>
      </c>
      <c r="E385" s="67"/>
      <c r="F385" s="327"/>
      <c r="G385" s="71"/>
      <c r="H385" s="67"/>
      <c r="I385" s="67"/>
      <c r="J385" s="134"/>
      <c r="K385" s="324">
        <v>0.2999</v>
      </c>
      <c r="L385" s="191">
        <f t="shared" si="14"/>
        <v>1.4842</v>
      </c>
    </row>
    <row r="386" spans="1:14" s="64" customFormat="1" x14ac:dyDescent="0.2">
      <c r="A386" s="63"/>
      <c r="B386" s="385"/>
      <c r="C386" s="122" t="str">
        <f>C385</f>
        <v>Cabo flexível isolado 750v 2,5 mm²</v>
      </c>
      <c r="D386" s="75" t="str">
        <f>D385</f>
        <v>m</v>
      </c>
      <c r="E386" s="67">
        <f>0.52*N10</f>
        <v>0.52</v>
      </c>
      <c r="F386" s="327">
        <v>2.69</v>
      </c>
      <c r="G386" s="71">
        <v>1</v>
      </c>
      <c r="H386" s="67"/>
      <c r="I386" s="67">
        <f>E386*G386</f>
        <v>0.52</v>
      </c>
      <c r="J386" s="134"/>
      <c r="K386" s="324">
        <v>0.2999</v>
      </c>
      <c r="L386" s="191">
        <f t="shared" si="14"/>
        <v>1.4842</v>
      </c>
    </row>
    <row r="387" spans="1:14" s="64" customFormat="1" x14ac:dyDescent="0.2">
      <c r="A387" s="63"/>
      <c r="B387" s="385"/>
      <c r="C387" s="122" t="s">
        <v>258</v>
      </c>
      <c r="D387" s="75" t="s">
        <v>53</v>
      </c>
      <c r="E387" s="132">
        <f>5.21*N10</f>
        <v>5.21</v>
      </c>
      <c r="F387" s="334"/>
      <c r="G387" s="71">
        <v>0.09</v>
      </c>
      <c r="H387" s="67">
        <f>E387*G387</f>
        <v>0.46889999999999998</v>
      </c>
      <c r="I387" s="133"/>
      <c r="J387" s="134"/>
      <c r="K387" s="324">
        <v>0.2999</v>
      </c>
      <c r="L387" s="191">
        <f t="shared" si="14"/>
        <v>1.4842</v>
      </c>
    </row>
    <row r="388" spans="1:14" s="64" customFormat="1" x14ac:dyDescent="0.2">
      <c r="A388" s="63"/>
      <c r="B388" s="385"/>
      <c r="C388" s="122" t="s">
        <v>259</v>
      </c>
      <c r="D388" s="75" t="s">
        <v>53</v>
      </c>
      <c r="E388" s="67">
        <f>3.77*N10</f>
        <v>3.77</v>
      </c>
      <c r="F388" s="334"/>
      <c r="G388" s="71">
        <v>0.09</v>
      </c>
      <c r="H388" s="67">
        <f>E388*G388</f>
        <v>0.33929999999999999</v>
      </c>
      <c r="I388" s="133"/>
      <c r="J388" s="134"/>
      <c r="K388" s="324">
        <v>0.2999</v>
      </c>
      <c r="L388" s="191">
        <f t="shared" si="14"/>
        <v>1.4842</v>
      </c>
    </row>
    <row r="389" spans="1:14" s="64" customFormat="1" hidden="1" x14ac:dyDescent="0.2">
      <c r="A389" s="63"/>
      <c r="B389" s="385"/>
      <c r="C389" s="122"/>
      <c r="D389" s="75"/>
      <c r="E389" s="67"/>
      <c r="F389" s="327"/>
      <c r="G389" s="71"/>
      <c r="H389" s="67"/>
      <c r="I389" s="67"/>
      <c r="J389" s="134"/>
      <c r="K389" s="324">
        <v>0.2999</v>
      </c>
      <c r="L389" s="191">
        <f t="shared" si="14"/>
        <v>1.4842</v>
      </c>
    </row>
    <row r="390" spans="1:14" s="64" customFormat="1" x14ac:dyDescent="0.2">
      <c r="A390" s="63"/>
      <c r="B390" s="385"/>
      <c r="C390" s="122"/>
      <c r="D390" s="75"/>
      <c r="E390" s="438" t="str">
        <f>E380</f>
        <v>Custo Direto</v>
      </c>
      <c r="F390" s="438"/>
      <c r="G390" s="438"/>
      <c r="H390" s="69">
        <f>SUM(H386:H388)</f>
        <v>0.80820000000000003</v>
      </c>
      <c r="I390" s="69">
        <f>SUM(I386:I388)</f>
        <v>0.52</v>
      </c>
      <c r="J390" s="134"/>
      <c r="K390" s="324">
        <v>0.2999</v>
      </c>
      <c r="L390" s="191">
        <f t="shared" si="14"/>
        <v>1.4842</v>
      </c>
    </row>
    <row r="391" spans="1:14" s="64" customFormat="1" x14ac:dyDescent="0.2">
      <c r="A391" s="63"/>
      <c r="B391" s="385"/>
      <c r="C391" s="122"/>
      <c r="D391" s="75"/>
      <c r="E391" s="438" t="str">
        <f>E381</f>
        <v>LS(%): 148,42</v>
      </c>
      <c r="F391" s="438"/>
      <c r="G391" s="438"/>
      <c r="H391" s="67">
        <f>H390*L391</f>
        <v>1.19953044</v>
      </c>
      <c r="I391" s="131"/>
      <c r="J391" s="134"/>
      <c r="K391" s="324">
        <v>0.2999</v>
      </c>
      <c r="L391" s="191">
        <f t="shared" si="14"/>
        <v>1.4842</v>
      </c>
    </row>
    <row r="392" spans="1:14" s="64" customFormat="1" x14ac:dyDescent="0.2">
      <c r="A392" s="63"/>
      <c r="B392" s="385"/>
      <c r="C392" s="122"/>
      <c r="D392" s="75"/>
      <c r="E392" s="438" t="str">
        <f>E382</f>
        <v>BDI (%): 29,99</v>
      </c>
      <c r="F392" s="438"/>
      <c r="G392" s="438"/>
      <c r="H392" s="439">
        <f>(H390+I390+H391)*K392</f>
        <v>0.75806635895600005</v>
      </c>
      <c r="I392" s="439"/>
      <c r="J392" s="134"/>
      <c r="K392" s="324">
        <v>0.2999</v>
      </c>
      <c r="L392" s="191">
        <f t="shared" si="14"/>
        <v>1.4842</v>
      </c>
    </row>
    <row r="393" spans="1:14" s="64" customFormat="1" x14ac:dyDescent="0.2">
      <c r="A393" s="63"/>
      <c r="B393" s="385"/>
      <c r="C393" s="122"/>
      <c r="D393" s="75"/>
      <c r="E393" s="438" t="str">
        <f>E383</f>
        <v>Valor Total c/ Taxas</v>
      </c>
      <c r="F393" s="438"/>
      <c r="G393" s="438"/>
      <c r="H393" s="67"/>
      <c r="I393" s="69">
        <f>(H390+I390+H391+H392)</f>
        <v>3.285796798956</v>
      </c>
      <c r="J393" s="134"/>
      <c r="K393" s="324">
        <v>0.2999</v>
      </c>
      <c r="L393" s="191">
        <f t="shared" si="14"/>
        <v>1.4842</v>
      </c>
      <c r="M393" s="401">
        <v>3.29</v>
      </c>
      <c r="N393" s="86">
        <f>I393-M393</f>
        <v>-4.2032010440000711E-3</v>
      </c>
    </row>
    <row r="394" spans="1:14" s="64" customFormat="1" x14ac:dyDescent="0.2">
      <c r="A394" s="63"/>
      <c r="B394" s="385"/>
      <c r="C394" s="122"/>
      <c r="D394" s="75"/>
      <c r="E394" s="382"/>
      <c r="F394" s="382"/>
      <c r="G394" s="382"/>
      <c r="H394" s="67"/>
      <c r="I394" s="69"/>
      <c r="J394" s="134"/>
      <c r="K394" s="324"/>
      <c r="L394" s="191">
        <f t="shared" si="14"/>
        <v>1.4842</v>
      </c>
      <c r="M394" s="401"/>
      <c r="N394" s="86"/>
    </row>
    <row r="395" spans="1:14" s="64" customFormat="1" x14ac:dyDescent="0.2">
      <c r="A395" s="386"/>
      <c r="B395" s="151"/>
      <c r="C395" s="76" t="str">
        <f>orçamento!D57</f>
        <v>Cabo flexível isolado 750v 4 mm²</v>
      </c>
      <c r="D395" s="386" t="s">
        <v>10</v>
      </c>
      <c r="E395" s="67"/>
      <c r="F395" s="327"/>
      <c r="G395" s="71"/>
      <c r="H395" s="67"/>
      <c r="I395" s="67"/>
      <c r="J395" s="134"/>
      <c r="K395" s="324">
        <v>0.2999</v>
      </c>
      <c r="L395" s="191">
        <f t="shared" si="14"/>
        <v>1.4842</v>
      </c>
    </row>
    <row r="396" spans="1:14" s="64" customFormat="1" x14ac:dyDescent="0.2">
      <c r="A396" s="63"/>
      <c r="B396" s="385"/>
      <c r="C396" s="122" t="str">
        <f>C395</f>
        <v>Cabo flexível isolado 750v 4 mm²</v>
      </c>
      <c r="D396" s="75" t="str">
        <f>D395</f>
        <v>m</v>
      </c>
      <c r="E396" s="67">
        <f>1.721*N10</f>
        <v>1.7210000000000001</v>
      </c>
      <c r="F396" s="327">
        <v>2.69</v>
      </c>
      <c r="G396" s="71">
        <v>1</v>
      </c>
      <c r="H396" s="67"/>
      <c r="I396" s="67">
        <f>E396*G396</f>
        <v>1.7210000000000001</v>
      </c>
      <c r="J396" s="134"/>
      <c r="K396" s="324">
        <v>0.2999</v>
      </c>
      <c r="L396" s="191">
        <f t="shared" si="14"/>
        <v>1.4842</v>
      </c>
    </row>
    <row r="397" spans="1:14" s="64" customFormat="1" x14ac:dyDescent="0.2">
      <c r="A397" s="63"/>
      <c r="B397" s="385"/>
      <c r="C397" s="122" t="s">
        <v>258</v>
      </c>
      <c r="D397" s="75" t="s">
        <v>53</v>
      </c>
      <c r="E397" s="132">
        <f>5.21*N10</f>
        <v>5.21</v>
      </c>
      <c r="F397" s="334"/>
      <c r="G397" s="71">
        <v>0.09</v>
      </c>
      <c r="H397" s="67">
        <f>E397*G397</f>
        <v>0.46889999999999998</v>
      </c>
      <c r="I397" s="133"/>
      <c r="J397" s="134"/>
      <c r="K397" s="324">
        <v>0.2999</v>
      </c>
      <c r="L397" s="191">
        <f t="shared" si="14"/>
        <v>1.4842</v>
      </c>
    </row>
    <row r="398" spans="1:14" s="64" customFormat="1" x14ac:dyDescent="0.2">
      <c r="A398" s="63"/>
      <c r="B398" s="385"/>
      <c r="C398" s="122" t="s">
        <v>259</v>
      </c>
      <c r="D398" s="75" t="s">
        <v>53</v>
      </c>
      <c r="E398" s="67">
        <f>3.77*N10</f>
        <v>3.77</v>
      </c>
      <c r="F398" s="334"/>
      <c r="G398" s="71">
        <v>0.09</v>
      </c>
      <c r="H398" s="67">
        <f>E398*G398</f>
        <v>0.33929999999999999</v>
      </c>
      <c r="I398" s="133"/>
      <c r="J398" s="134"/>
      <c r="K398" s="324">
        <v>0.2999</v>
      </c>
      <c r="L398" s="191">
        <f t="shared" si="14"/>
        <v>1.4842</v>
      </c>
    </row>
    <row r="399" spans="1:14" s="64" customFormat="1" hidden="1" x14ac:dyDescent="0.2">
      <c r="A399" s="63"/>
      <c r="B399" s="385"/>
      <c r="C399" s="122"/>
      <c r="D399" s="75"/>
      <c r="E399" s="67"/>
      <c r="F399" s="327"/>
      <c r="G399" s="71"/>
      <c r="H399" s="67"/>
      <c r="I399" s="67"/>
      <c r="J399" s="134"/>
      <c r="K399" s="324">
        <v>0.2999</v>
      </c>
      <c r="L399" s="191">
        <f t="shared" si="14"/>
        <v>1.4842</v>
      </c>
    </row>
    <row r="400" spans="1:14" s="64" customFormat="1" x14ac:dyDescent="0.2">
      <c r="A400" s="63"/>
      <c r="B400" s="385"/>
      <c r="C400" s="122"/>
      <c r="D400" s="75"/>
      <c r="E400" s="438" t="str">
        <f>E390</f>
        <v>Custo Direto</v>
      </c>
      <c r="F400" s="438"/>
      <c r="G400" s="438"/>
      <c r="H400" s="69">
        <f>SUM(H396:H398)</f>
        <v>0.80820000000000003</v>
      </c>
      <c r="I400" s="69">
        <f>SUM(I396:I398)</f>
        <v>1.7210000000000001</v>
      </c>
      <c r="J400" s="134"/>
      <c r="K400" s="324">
        <v>0.2999</v>
      </c>
      <c r="L400" s="191">
        <f t="shared" si="14"/>
        <v>1.4842</v>
      </c>
    </row>
    <row r="401" spans="1:14" s="64" customFormat="1" x14ac:dyDescent="0.2">
      <c r="A401" s="63"/>
      <c r="B401" s="385"/>
      <c r="C401" s="122"/>
      <c r="D401" s="75"/>
      <c r="E401" s="438" t="str">
        <f>E391</f>
        <v>LS(%): 148,42</v>
      </c>
      <c r="F401" s="438"/>
      <c r="G401" s="438"/>
      <c r="H401" s="67">
        <f>H400*L401</f>
        <v>1.19953044</v>
      </c>
      <c r="I401" s="131"/>
      <c r="J401" s="134"/>
      <c r="K401" s="324">
        <v>0.2999</v>
      </c>
      <c r="L401" s="191">
        <f t="shared" si="14"/>
        <v>1.4842</v>
      </c>
    </row>
    <row r="402" spans="1:14" s="64" customFormat="1" x14ac:dyDescent="0.2">
      <c r="A402" s="63"/>
      <c r="B402" s="385"/>
      <c r="C402" s="122"/>
      <c r="D402" s="75"/>
      <c r="E402" s="438" t="str">
        <f>E392</f>
        <v>BDI (%): 29,99</v>
      </c>
      <c r="F402" s="438"/>
      <c r="G402" s="438"/>
      <c r="H402" s="439">
        <f>(H400+I400+H401)*K402</f>
        <v>1.118246258956</v>
      </c>
      <c r="I402" s="439"/>
      <c r="J402" s="134"/>
      <c r="K402" s="324">
        <v>0.2999</v>
      </c>
      <c r="L402" s="191">
        <f t="shared" si="14"/>
        <v>1.4842</v>
      </c>
    </row>
    <row r="403" spans="1:14" s="64" customFormat="1" x14ac:dyDescent="0.2">
      <c r="A403" s="63"/>
      <c r="B403" s="385"/>
      <c r="C403" s="122"/>
      <c r="D403" s="75"/>
      <c r="E403" s="438" t="str">
        <f>E393</f>
        <v>Valor Total c/ Taxas</v>
      </c>
      <c r="F403" s="438"/>
      <c r="G403" s="438"/>
      <c r="H403" s="67"/>
      <c r="I403" s="69">
        <f>(H400+I400+H401+H402)</f>
        <v>4.8469766989560004</v>
      </c>
      <c r="J403" s="134"/>
      <c r="K403" s="324">
        <v>0.2999</v>
      </c>
      <c r="L403" s="191">
        <f t="shared" si="14"/>
        <v>1.4842</v>
      </c>
      <c r="M403" s="401">
        <v>4.8499999999999996</v>
      </c>
      <c r="N403" s="86">
        <f>I403-M403</f>
        <v>-3.0233010439992825E-3</v>
      </c>
    </row>
    <row r="404" spans="1:14" s="64" customFormat="1" x14ac:dyDescent="0.2">
      <c r="A404" s="63"/>
      <c r="B404" s="385"/>
      <c r="C404" s="122"/>
      <c r="D404" s="75"/>
      <c r="E404" s="382"/>
      <c r="F404" s="382"/>
      <c r="G404" s="382"/>
      <c r="H404" s="67"/>
      <c r="I404" s="69"/>
      <c r="J404" s="134"/>
      <c r="K404" s="324"/>
      <c r="L404" s="191">
        <f t="shared" si="14"/>
        <v>1.4842</v>
      </c>
      <c r="M404" s="401"/>
      <c r="N404" s="86"/>
    </row>
    <row r="405" spans="1:14" s="64" customFormat="1" x14ac:dyDescent="0.2">
      <c r="A405" s="386"/>
      <c r="B405" s="151"/>
      <c r="C405" s="76" t="str">
        <f>orçamento!D58</f>
        <v>Cabo flexível isolado 750v 6 mm²</v>
      </c>
      <c r="D405" s="386" t="s">
        <v>10</v>
      </c>
      <c r="E405" s="67"/>
      <c r="F405" s="327"/>
      <c r="G405" s="71"/>
      <c r="H405" s="67"/>
      <c r="I405" s="67"/>
      <c r="J405" s="134"/>
      <c r="K405" s="324">
        <v>0.2999</v>
      </c>
      <c r="L405" s="191">
        <f t="shared" si="14"/>
        <v>1.4842</v>
      </c>
    </row>
    <row r="406" spans="1:14" s="64" customFormat="1" x14ac:dyDescent="0.2">
      <c r="A406" s="63"/>
      <c r="B406" s="385"/>
      <c r="C406" s="122" t="str">
        <f>C405</f>
        <v>Cabo flexível isolado 750v 6 mm²</v>
      </c>
      <c r="D406" s="75" t="str">
        <f>D405</f>
        <v>m</v>
      </c>
      <c r="E406" s="67">
        <f>3.05*N10</f>
        <v>3.05</v>
      </c>
      <c r="F406" s="327">
        <v>2.69</v>
      </c>
      <c r="G406" s="71">
        <v>1</v>
      </c>
      <c r="H406" s="67"/>
      <c r="I406" s="67">
        <f>E406*G406</f>
        <v>3.05</v>
      </c>
      <c r="J406" s="134"/>
      <c r="K406" s="324">
        <v>0.2999</v>
      </c>
      <c r="L406" s="191">
        <f t="shared" si="14"/>
        <v>1.4842</v>
      </c>
    </row>
    <row r="407" spans="1:14" s="64" customFormat="1" x14ac:dyDescent="0.2">
      <c r="A407" s="63"/>
      <c r="B407" s="385"/>
      <c r="C407" s="122" t="s">
        <v>258</v>
      </c>
      <c r="D407" s="75" t="s">
        <v>53</v>
      </c>
      <c r="E407" s="132">
        <f>5.21*N10</f>
        <v>5.21</v>
      </c>
      <c r="F407" s="334"/>
      <c r="G407" s="71">
        <v>0.09</v>
      </c>
      <c r="H407" s="67">
        <f>E407*G407</f>
        <v>0.46889999999999998</v>
      </c>
      <c r="I407" s="133"/>
      <c r="J407" s="134"/>
      <c r="K407" s="324">
        <v>0.2999</v>
      </c>
      <c r="L407" s="191">
        <f t="shared" si="14"/>
        <v>1.4842</v>
      </c>
    </row>
    <row r="408" spans="1:14" s="64" customFormat="1" x14ac:dyDescent="0.2">
      <c r="A408" s="63"/>
      <c r="B408" s="385"/>
      <c r="C408" s="122" t="s">
        <v>259</v>
      </c>
      <c r="D408" s="75" t="s">
        <v>53</v>
      </c>
      <c r="E408" s="67">
        <f>3.77*N10</f>
        <v>3.77</v>
      </c>
      <c r="F408" s="334"/>
      <c r="G408" s="71">
        <v>0.09</v>
      </c>
      <c r="H408" s="67">
        <f>E408*G408</f>
        <v>0.33929999999999999</v>
      </c>
      <c r="I408" s="133"/>
      <c r="J408" s="134"/>
      <c r="K408" s="324">
        <v>0.2999</v>
      </c>
      <c r="L408" s="191">
        <f t="shared" si="14"/>
        <v>1.4842</v>
      </c>
    </row>
    <row r="409" spans="1:14" s="64" customFormat="1" hidden="1" x14ac:dyDescent="0.2">
      <c r="A409" s="63"/>
      <c r="B409" s="385"/>
      <c r="C409" s="122"/>
      <c r="D409" s="75"/>
      <c r="E409" s="67"/>
      <c r="F409" s="327"/>
      <c r="G409" s="71"/>
      <c r="H409" s="67"/>
      <c r="I409" s="67"/>
      <c r="J409" s="134"/>
      <c r="K409" s="324">
        <v>0.2999</v>
      </c>
      <c r="L409" s="191">
        <f t="shared" si="14"/>
        <v>1.4842</v>
      </c>
    </row>
    <row r="410" spans="1:14" s="64" customFormat="1" x14ac:dyDescent="0.2">
      <c r="A410" s="63"/>
      <c r="B410" s="385"/>
      <c r="C410" s="122"/>
      <c r="D410" s="75"/>
      <c r="E410" s="438" t="str">
        <f>E400</f>
        <v>Custo Direto</v>
      </c>
      <c r="F410" s="438"/>
      <c r="G410" s="438"/>
      <c r="H410" s="69">
        <f>SUM(H406:H408)</f>
        <v>0.80820000000000003</v>
      </c>
      <c r="I410" s="69">
        <f>SUM(I406:I408)</f>
        <v>3.05</v>
      </c>
      <c r="J410" s="134"/>
      <c r="K410" s="324">
        <v>0.2999</v>
      </c>
      <c r="L410" s="191">
        <f t="shared" si="14"/>
        <v>1.4842</v>
      </c>
    </row>
    <row r="411" spans="1:14" s="64" customFormat="1" x14ac:dyDescent="0.2">
      <c r="A411" s="63"/>
      <c r="B411" s="385"/>
      <c r="C411" s="122"/>
      <c r="D411" s="75"/>
      <c r="E411" s="438" t="str">
        <f>E401</f>
        <v>LS(%): 148,42</v>
      </c>
      <c r="F411" s="438"/>
      <c r="G411" s="438"/>
      <c r="H411" s="67">
        <f>H410*L411</f>
        <v>1.19953044</v>
      </c>
      <c r="I411" s="131"/>
      <c r="J411" s="134"/>
      <c r="K411" s="324">
        <v>0.2999</v>
      </c>
      <c r="L411" s="191">
        <f t="shared" si="14"/>
        <v>1.4842</v>
      </c>
    </row>
    <row r="412" spans="1:14" s="64" customFormat="1" x14ac:dyDescent="0.2">
      <c r="A412" s="63"/>
      <c r="B412" s="385"/>
      <c r="C412" s="122"/>
      <c r="D412" s="75"/>
      <c r="E412" s="438" t="str">
        <f>E402</f>
        <v>BDI (%): 29,99</v>
      </c>
      <c r="F412" s="438"/>
      <c r="G412" s="438"/>
      <c r="H412" s="439">
        <f>(H410+I410+H411)*K412</f>
        <v>1.516813358956</v>
      </c>
      <c r="I412" s="439"/>
      <c r="J412" s="134"/>
      <c r="K412" s="324">
        <v>0.2999</v>
      </c>
      <c r="L412" s="191">
        <f t="shared" si="14"/>
        <v>1.4842</v>
      </c>
    </row>
    <row r="413" spans="1:14" s="64" customFormat="1" x14ac:dyDescent="0.2">
      <c r="A413" s="63"/>
      <c r="B413" s="385"/>
      <c r="C413" s="122"/>
      <c r="D413" s="75"/>
      <c r="E413" s="438" t="str">
        <f>E403</f>
        <v>Valor Total c/ Taxas</v>
      </c>
      <c r="F413" s="438"/>
      <c r="G413" s="438"/>
      <c r="H413" s="67"/>
      <c r="I413" s="69">
        <f>(H410+I410+H411+H412)</f>
        <v>6.5745437989560003</v>
      </c>
      <c r="J413" s="134"/>
      <c r="K413" s="324">
        <v>0.2999</v>
      </c>
      <c r="L413" s="191">
        <f t="shared" si="14"/>
        <v>1.4842</v>
      </c>
      <c r="M413" s="401">
        <v>6.57</v>
      </c>
      <c r="N413" s="86">
        <f>I413-M413</f>
        <v>4.5437989559999892E-3</v>
      </c>
    </row>
    <row r="414" spans="1:14" s="64" customFormat="1" x14ac:dyDescent="0.2">
      <c r="A414" s="63"/>
      <c r="B414" s="385"/>
      <c r="C414" s="122"/>
      <c r="D414" s="75"/>
      <c r="E414" s="382"/>
      <c r="F414" s="382"/>
      <c r="G414" s="382"/>
      <c r="H414" s="67"/>
      <c r="I414" s="69"/>
      <c r="J414" s="134"/>
      <c r="K414" s="324"/>
      <c r="L414" s="191">
        <f t="shared" si="14"/>
        <v>1.4842</v>
      </c>
      <c r="M414" s="401"/>
      <c r="N414" s="86"/>
    </row>
    <row r="415" spans="1:14" s="64" customFormat="1" x14ac:dyDescent="0.2">
      <c r="A415" s="386"/>
      <c r="B415" s="151"/>
      <c r="C415" s="76" t="str">
        <f>orçamento!D59</f>
        <v>Cabo isolado PP 3 x 4,0 mm²</v>
      </c>
      <c r="D415" s="386" t="s">
        <v>10</v>
      </c>
      <c r="E415" s="67"/>
      <c r="F415" s="327"/>
      <c r="G415" s="71"/>
      <c r="H415" s="67"/>
      <c r="I415" s="67"/>
      <c r="J415" s="134"/>
      <c r="K415" s="324">
        <v>0.2999</v>
      </c>
      <c r="L415" s="191">
        <f t="shared" si="14"/>
        <v>1.4842</v>
      </c>
    </row>
    <row r="416" spans="1:14" s="64" customFormat="1" x14ac:dyDescent="0.2">
      <c r="A416" s="63"/>
      <c r="B416" s="385"/>
      <c r="C416" s="122" t="str">
        <f>C415</f>
        <v>Cabo isolado PP 3 x 4,0 mm²</v>
      </c>
      <c r="D416" s="75" t="str">
        <f>D415</f>
        <v>m</v>
      </c>
      <c r="E416" s="67">
        <f>4.89*N10</f>
        <v>4.8899999999999997</v>
      </c>
      <c r="F416" s="327">
        <v>2.69</v>
      </c>
      <c r="G416" s="71">
        <v>1</v>
      </c>
      <c r="H416" s="67"/>
      <c r="I416" s="67">
        <f>E416*G416</f>
        <v>4.8899999999999997</v>
      </c>
      <c r="J416" s="134"/>
      <c r="K416" s="324">
        <v>0.2999</v>
      </c>
      <c r="L416" s="191">
        <f t="shared" si="14"/>
        <v>1.4842</v>
      </c>
    </row>
    <row r="417" spans="1:14" s="64" customFormat="1" x14ac:dyDescent="0.2">
      <c r="A417" s="63"/>
      <c r="B417" s="385"/>
      <c r="C417" s="122" t="s">
        <v>258</v>
      </c>
      <c r="D417" s="75" t="s">
        <v>53</v>
      </c>
      <c r="E417" s="132">
        <f>5.21*N10</f>
        <v>5.21</v>
      </c>
      <c r="F417" s="334"/>
      <c r="G417" s="71">
        <v>0.09</v>
      </c>
      <c r="H417" s="67">
        <f>E417*G417</f>
        <v>0.46889999999999998</v>
      </c>
      <c r="I417" s="133"/>
      <c r="J417" s="134"/>
      <c r="K417" s="324">
        <v>0.2999</v>
      </c>
      <c r="L417" s="191">
        <f t="shared" si="14"/>
        <v>1.4842</v>
      </c>
    </row>
    <row r="418" spans="1:14" s="64" customFormat="1" x14ac:dyDescent="0.2">
      <c r="A418" s="63"/>
      <c r="B418" s="385"/>
      <c r="C418" s="122" t="s">
        <v>259</v>
      </c>
      <c r="D418" s="75" t="s">
        <v>53</v>
      </c>
      <c r="E418" s="67">
        <f>3.77*N10</f>
        <v>3.77</v>
      </c>
      <c r="F418" s="334"/>
      <c r="G418" s="71">
        <v>0.09</v>
      </c>
      <c r="H418" s="67">
        <f>E418*G418</f>
        <v>0.33929999999999999</v>
      </c>
      <c r="I418" s="133"/>
      <c r="J418" s="134"/>
      <c r="K418" s="324">
        <v>0.2999</v>
      </c>
      <c r="L418" s="191">
        <f t="shared" si="14"/>
        <v>1.4842</v>
      </c>
    </row>
    <row r="419" spans="1:14" s="64" customFormat="1" hidden="1" x14ac:dyDescent="0.2">
      <c r="A419" s="63"/>
      <c r="B419" s="385"/>
      <c r="C419" s="122"/>
      <c r="D419" s="75"/>
      <c r="E419" s="67"/>
      <c r="F419" s="327"/>
      <c r="G419" s="71"/>
      <c r="H419" s="67"/>
      <c r="I419" s="67"/>
      <c r="J419" s="134"/>
      <c r="K419" s="324">
        <v>0.2999</v>
      </c>
      <c r="L419" s="191">
        <f t="shared" si="14"/>
        <v>1.4842</v>
      </c>
    </row>
    <row r="420" spans="1:14" s="64" customFormat="1" x14ac:dyDescent="0.2">
      <c r="A420" s="63"/>
      <c r="B420" s="385"/>
      <c r="C420" s="122"/>
      <c r="D420" s="75"/>
      <c r="E420" s="438" t="str">
        <f>E410</f>
        <v>Custo Direto</v>
      </c>
      <c r="F420" s="438"/>
      <c r="G420" s="438"/>
      <c r="H420" s="69">
        <f>SUM(H416:H418)</f>
        <v>0.80820000000000003</v>
      </c>
      <c r="I420" s="69">
        <f>SUM(I416:I418)</f>
        <v>4.8899999999999997</v>
      </c>
      <c r="J420" s="134"/>
      <c r="K420" s="324">
        <v>0.2999</v>
      </c>
      <c r="L420" s="191">
        <f t="shared" si="14"/>
        <v>1.4842</v>
      </c>
    </row>
    <row r="421" spans="1:14" s="64" customFormat="1" x14ac:dyDescent="0.2">
      <c r="A421" s="63"/>
      <c r="B421" s="385"/>
      <c r="C421" s="122"/>
      <c r="D421" s="75"/>
      <c r="E421" s="438" t="str">
        <f>E411</f>
        <v>LS(%): 148,42</v>
      </c>
      <c r="F421" s="438"/>
      <c r="G421" s="438"/>
      <c r="H421" s="67">
        <f>H420*L421</f>
        <v>1.19953044</v>
      </c>
      <c r="I421" s="131"/>
      <c r="J421" s="134"/>
      <c r="K421" s="324">
        <v>0.2999</v>
      </c>
      <c r="L421" s="191">
        <f t="shared" si="14"/>
        <v>1.4842</v>
      </c>
    </row>
    <row r="422" spans="1:14" s="64" customFormat="1" x14ac:dyDescent="0.2">
      <c r="A422" s="63"/>
      <c r="B422" s="385"/>
      <c r="C422" s="122"/>
      <c r="D422" s="75"/>
      <c r="E422" s="438" t="str">
        <f>E412</f>
        <v>BDI (%): 29,99</v>
      </c>
      <c r="F422" s="438"/>
      <c r="G422" s="438"/>
      <c r="H422" s="439">
        <f>(H420+I420+H421)*K422</f>
        <v>2.0686293589560001</v>
      </c>
      <c r="I422" s="439"/>
      <c r="J422" s="134"/>
      <c r="K422" s="324">
        <v>0.2999</v>
      </c>
      <c r="L422" s="191">
        <f t="shared" si="14"/>
        <v>1.4842</v>
      </c>
    </row>
    <row r="423" spans="1:14" s="64" customFormat="1" x14ac:dyDescent="0.2">
      <c r="A423" s="63"/>
      <c r="B423" s="385"/>
      <c r="C423" s="122"/>
      <c r="D423" s="75"/>
      <c r="E423" s="438" t="str">
        <f>E413</f>
        <v>Valor Total c/ Taxas</v>
      </c>
      <c r="F423" s="438"/>
      <c r="G423" s="438"/>
      <c r="H423" s="67"/>
      <c r="I423" s="69">
        <f>(H420+I420+H421+H422)</f>
        <v>8.9663597989560007</v>
      </c>
      <c r="J423" s="134"/>
      <c r="K423" s="324">
        <v>0.2999</v>
      </c>
      <c r="L423" s="191">
        <f t="shared" si="14"/>
        <v>1.4842</v>
      </c>
      <c r="M423" s="401">
        <v>8.9700000000000006</v>
      </c>
      <c r="N423" s="86">
        <f>I423-M423</f>
        <v>-3.6402010439999799E-3</v>
      </c>
    </row>
    <row r="424" spans="1:14" s="64" customFormat="1" x14ac:dyDescent="0.2">
      <c r="A424" s="63"/>
      <c r="B424" s="385"/>
      <c r="C424" s="122"/>
      <c r="D424" s="75"/>
      <c r="E424" s="382"/>
      <c r="F424" s="382"/>
      <c r="G424" s="382"/>
      <c r="H424" s="67"/>
      <c r="I424" s="69"/>
      <c r="J424" s="134"/>
      <c r="K424" s="324"/>
      <c r="L424" s="191">
        <f t="shared" si="14"/>
        <v>1.4842</v>
      </c>
      <c r="M424" s="401"/>
      <c r="N424" s="86"/>
    </row>
    <row r="425" spans="1:14" s="64" customFormat="1" x14ac:dyDescent="0.2">
      <c r="A425" s="386"/>
      <c r="B425" s="151"/>
      <c r="C425" s="76" t="str">
        <f>orçamento!D60</f>
        <v>Cabo lógico STP-4pares categoria 5e</v>
      </c>
      <c r="D425" s="386" t="s">
        <v>10</v>
      </c>
      <c r="E425" s="67"/>
      <c r="F425" s="327"/>
      <c r="G425" s="71"/>
      <c r="H425" s="67"/>
      <c r="I425" s="67"/>
      <c r="J425" s="134"/>
      <c r="K425" s="324">
        <v>0.2999</v>
      </c>
      <c r="L425" s="191">
        <f t="shared" si="14"/>
        <v>1.4842</v>
      </c>
    </row>
    <row r="426" spans="1:14" s="64" customFormat="1" x14ac:dyDescent="0.2">
      <c r="A426" s="63"/>
      <c r="B426" s="385"/>
      <c r="C426" s="122" t="str">
        <f>C425</f>
        <v>Cabo lógico STP-4pares categoria 5e</v>
      </c>
      <c r="D426" s="75" t="str">
        <f>D425</f>
        <v>m</v>
      </c>
      <c r="E426" s="67">
        <f>4.47*N10</f>
        <v>4.47</v>
      </c>
      <c r="F426" s="327">
        <v>2.69</v>
      </c>
      <c r="G426" s="71">
        <v>1</v>
      </c>
      <c r="H426" s="67"/>
      <c r="I426" s="67">
        <f>E426*G426</f>
        <v>4.47</v>
      </c>
      <c r="J426" s="134"/>
      <c r="K426" s="324">
        <v>0.2999</v>
      </c>
      <c r="L426" s="191">
        <f t="shared" si="14"/>
        <v>1.4842</v>
      </c>
    </row>
    <row r="427" spans="1:14" s="64" customFormat="1" x14ac:dyDescent="0.2">
      <c r="A427" s="63"/>
      <c r="B427" s="385"/>
      <c r="C427" s="122" t="s">
        <v>258</v>
      </c>
      <c r="D427" s="75" t="s">
        <v>53</v>
      </c>
      <c r="E427" s="132">
        <f>5.21*N10</f>
        <v>5.21</v>
      </c>
      <c r="F427" s="334"/>
      <c r="G427" s="71">
        <v>0.09</v>
      </c>
      <c r="H427" s="67">
        <f>E427*G427</f>
        <v>0.46889999999999998</v>
      </c>
      <c r="I427" s="133"/>
      <c r="J427" s="134"/>
      <c r="K427" s="324">
        <v>0.2999</v>
      </c>
      <c r="L427" s="191">
        <f t="shared" si="14"/>
        <v>1.4842</v>
      </c>
    </row>
    <row r="428" spans="1:14" s="64" customFormat="1" x14ac:dyDescent="0.2">
      <c r="A428" s="63"/>
      <c r="B428" s="385"/>
      <c r="C428" s="122" t="s">
        <v>259</v>
      </c>
      <c r="D428" s="75" t="s">
        <v>53</v>
      </c>
      <c r="E428" s="67">
        <f>3.77*N10</f>
        <v>3.77</v>
      </c>
      <c r="F428" s="334"/>
      <c r="G428" s="71">
        <v>0.09</v>
      </c>
      <c r="H428" s="67">
        <f>E428*G428</f>
        <v>0.33929999999999999</v>
      </c>
      <c r="I428" s="133"/>
      <c r="J428" s="134"/>
      <c r="K428" s="324">
        <v>0.2999</v>
      </c>
      <c r="L428" s="191">
        <f t="shared" si="14"/>
        <v>1.4842</v>
      </c>
    </row>
    <row r="429" spans="1:14" s="64" customFormat="1" hidden="1" x14ac:dyDescent="0.2">
      <c r="A429" s="63"/>
      <c r="B429" s="385"/>
      <c r="C429" s="122"/>
      <c r="D429" s="75"/>
      <c r="E429" s="67"/>
      <c r="F429" s="327"/>
      <c r="G429" s="71"/>
      <c r="H429" s="67"/>
      <c r="I429" s="67"/>
      <c r="J429" s="134"/>
      <c r="K429" s="324">
        <v>0.2999</v>
      </c>
      <c r="L429" s="191">
        <f t="shared" si="14"/>
        <v>1.4842</v>
      </c>
    </row>
    <row r="430" spans="1:14" s="64" customFormat="1" x14ac:dyDescent="0.2">
      <c r="A430" s="63"/>
      <c r="B430" s="385"/>
      <c r="C430" s="122"/>
      <c r="D430" s="75"/>
      <c r="E430" s="438" t="str">
        <f>E420</f>
        <v>Custo Direto</v>
      </c>
      <c r="F430" s="438"/>
      <c r="G430" s="438"/>
      <c r="H430" s="69">
        <f>SUM(H426:H428)</f>
        <v>0.80820000000000003</v>
      </c>
      <c r="I430" s="69">
        <f>SUM(I426:I428)</f>
        <v>4.47</v>
      </c>
      <c r="J430" s="134"/>
      <c r="K430" s="324">
        <v>0.2999</v>
      </c>
      <c r="L430" s="191">
        <f t="shared" si="14"/>
        <v>1.4842</v>
      </c>
    </row>
    <row r="431" spans="1:14" s="64" customFormat="1" x14ac:dyDescent="0.2">
      <c r="A431" s="63"/>
      <c r="B431" s="385"/>
      <c r="C431" s="122"/>
      <c r="D431" s="75"/>
      <c r="E431" s="438" t="str">
        <f>E421</f>
        <v>LS(%): 148,42</v>
      </c>
      <c r="F431" s="438"/>
      <c r="G431" s="438"/>
      <c r="H431" s="67">
        <f>H430*L431</f>
        <v>1.19953044</v>
      </c>
      <c r="I431" s="131"/>
      <c r="J431" s="134"/>
      <c r="K431" s="324">
        <v>0.2999</v>
      </c>
      <c r="L431" s="191">
        <f t="shared" si="14"/>
        <v>1.4842</v>
      </c>
    </row>
    <row r="432" spans="1:14" s="64" customFormat="1" x14ac:dyDescent="0.2">
      <c r="A432" s="63"/>
      <c r="B432" s="385"/>
      <c r="C432" s="122"/>
      <c r="D432" s="75"/>
      <c r="E432" s="438" t="str">
        <f>E422</f>
        <v>BDI (%): 29,99</v>
      </c>
      <c r="F432" s="438"/>
      <c r="G432" s="438"/>
      <c r="H432" s="439">
        <f>(H430+I430+H431)*K432</f>
        <v>1.9426713589560001</v>
      </c>
      <c r="I432" s="439"/>
      <c r="J432" s="134"/>
      <c r="K432" s="324">
        <v>0.2999</v>
      </c>
      <c r="L432" s="191">
        <f t="shared" si="14"/>
        <v>1.4842</v>
      </c>
    </row>
    <row r="433" spans="1:14" s="64" customFormat="1" x14ac:dyDescent="0.2">
      <c r="A433" s="63"/>
      <c r="B433" s="385"/>
      <c r="C433" s="122"/>
      <c r="D433" s="75"/>
      <c r="E433" s="438" t="str">
        <f>E423</f>
        <v>Valor Total c/ Taxas</v>
      </c>
      <c r="F433" s="438"/>
      <c r="G433" s="438"/>
      <c r="H433" s="67"/>
      <c r="I433" s="69">
        <f>(H430+I430+H431+H432)</f>
        <v>8.4204017989560001</v>
      </c>
      <c r="J433" s="134"/>
      <c r="K433" s="324">
        <v>0.2999</v>
      </c>
      <c r="L433" s="191">
        <f t="shared" si="14"/>
        <v>1.4842</v>
      </c>
      <c r="M433" s="401">
        <v>8.42</v>
      </c>
      <c r="N433" s="86">
        <f>I433-M433</f>
        <v>4.0179895600012117E-4</v>
      </c>
    </row>
    <row r="434" spans="1:14" s="64" customFormat="1" x14ac:dyDescent="0.2">
      <c r="A434" s="63"/>
      <c r="B434" s="385"/>
      <c r="C434" s="122"/>
      <c r="D434" s="75"/>
      <c r="E434" s="382"/>
      <c r="F434" s="382"/>
      <c r="G434" s="382"/>
      <c r="H434" s="67"/>
      <c r="I434" s="69"/>
      <c r="J434" s="134"/>
      <c r="K434" s="324"/>
      <c r="L434" s="191">
        <f t="shared" si="14"/>
        <v>1.4842</v>
      </c>
      <c r="M434" s="401"/>
      <c r="N434" s="86"/>
    </row>
    <row r="435" spans="1:14" s="64" customFormat="1" x14ac:dyDescent="0.2">
      <c r="A435" s="386"/>
      <c r="B435" s="151"/>
      <c r="C435" s="76" t="str">
        <f>orçamento!D61</f>
        <v xml:space="preserve">Cabo telefônico cce-50-4 pares </v>
      </c>
      <c r="D435" s="386" t="s">
        <v>10</v>
      </c>
      <c r="E435" s="67"/>
      <c r="F435" s="327"/>
      <c r="G435" s="71"/>
      <c r="H435" s="67"/>
      <c r="I435" s="67"/>
      <c r="J435" s="134"/>
      <c r="K435" s="324">
        <v>0.2999</v>
      </c>
      <c r="L435" s="191">
        <f t="shared" si="14"/>
        <v>1.4842</v>
      </c>
    </row>
    <row r="436" spans="1:14" s="64" customFormat="1" x14ac:dyDescent="0.2">
      <c r="A436" s="63"/>
      <c r="B436" s="385"/>
      <c r="C436" s="122" t="str">
        <f>C435</f>
        <v xml:space="preserve">Cabo telefônico cce-50-4 pares </v>
      </c>
      <c r="D436" s="75" t="str">
        <f>D435</f>
        <v>m</v>
      </c>
      <c r="E436" s="67">
        <f>7.06*N10</f>
        <v>7.06</v>
      </c>
      <c r="F436" s="327">
        <v>2.69</v>
      </c>
      <c r="G436" s="71">
        <v>1</v>
      </c>
      <c r="H436" s="67"/>
      <c r="I436" s="67">
        <f>E436*G436</f>
        <v>7.06</v>
      </c>
      <c r="J436" s="134"/>
      <c r="K436" s="324">
        <v>0.2999</v>
      </c>
      <c r="L436" s="191">
        <f t="shared" si="14"/>
        <v>1.4842</v>
      </c>
    </row>
    <row r="437" spans="1:14" s="64" customFormat="1" x14ac:dyDescent="0.2">
      <c r="A437" s="63"/>
      <c r="B437" s="385"/>
      <c r="C437" s="122" t="s">
        <v>258</v>
      </c>
      <c r="D437" s="75" t="s">
        <v>53</v>
      </c>
      <c r="E437" s="132">
        <f>5.21*N10</f>
        <v>5.21</v>
      </c>
      <c r="F437" s="334"/>
      <c r="G437" s="71">
        <v>0.09</v>
      </c>
      <c r="H437" s="67">
        <f>E437*G437</f>
        <v>0.46889999999999998</v>
      </c>
      <c r="I437" s="133"/>
      <c r="J437" s="134"/>
      <c r="K437" s="324">
        <v>0.2999</v>
      </c>
      <c r="L437" s="191">
        <f t="shared" si="14"/>
        <v>1.4842</v>
      </c>
    </row>
    <row r="438" spans="1:14" s="64" customFormat="1" x14ac:dyDescent="0.2">
      <c r="A438" s="63"/>
      <c r="B438" s="385"/>
      <c r="C438" s="122" t="s">
        <v>259</v>
      </c>
      <c r="D438" s="75" t="s">
        <v>53</v>
      </c>
      <c r="E438" s="67">
        <f>3.77*N10</f>
        <v>3.77</v>
      </c>
      <c r="F438" s="334"/>
      <c r="G438" s="71">
        <v>0.09</v>
      </c>
      <c r="H438" s="67">
        <f>E438*G438</f>
        <v>0.33929999999999999</v>
      </c>
      <c r="I438" s="133"/>
      <c r="J438" s="134"/>
      <c r="K438" s="324">
        <v>0.2999</v>
      </c>
      <c r="L438" s="191">
        <f t="shared" si="14"/>
        <v>1.4842</v>
      </c>
    </row>
    <row r="439" spans="1:14" s="64" customFormat="1" hidden="1" x14ac:dyDescent="0.2">
      <c r="A439" s="63"/>
      <c r="B439" s="385"/>
      <c r="C439" s="122"/>
      <c r="D439" s="75"/>
      <c r="E439" s="67"/>
      <c r="F439" s="327"/>
      <c r="G439" s="71"/>
      <c r="H439" s="67"/>
      <c r="I439" s="67"/>
      <c r="J439" s="134"/>
      <c r="K439" s="324">
        <v>0.2999</v>
      </c>
      <c r="L439" s="191">
        <f t="shared" si="14"/>
        <v>1.4842</v>
      </c>
    </row>
    <row r="440" spans="1:14" s="64" customFormat="1" x14ac:dyDescent="0.2">
      <c r="A440" s="63"/>
      <c r="B440" s="385"/>
      <c r="C440" s="122"/>
      <c r="D440" s="75"/>
      <c r="E440" s="438" t="str">
        <f>E430</f>
        <v>Custo Direto</v>
      </c>
      <c r="F440" s="438"/>
      <c r="G440" s="438"/>
      <c r="H440" s="69">
        <f>SUM(H436:H438)</f>
        <v>0.80820000000000003</v>
      </c>
      <c r="I440" s="69">
        <f>SUM(I436:I438)</f>
        <v>7.06</v>
      </c>
      <c r="J440" s="134"/>
      <c r="K440" s="324">
        <v>0.2999</v>
      </c>
      <c r="L440" s="191">
        <f t="shared" si="14"/>
        <v>1.4842</v>
      </c>
    </row>
    <row r="441" spans="1:14" s="64" customFormat="1" x14ac:dyDescent="0.2">
      <c r="A441" s="63"/>
      <c r="B441" s="385"/>
      <c r="C441" s="122"/>
      <c r="D441" s="75"/>
      <c r="E441" s="438" t="str">
        <f>E431</f>
        <v>LS(%): 148,42</v>
      </c>
      <c r="F441" s="438"/>
      <c r="G441" s="438"/>
      <c r="H441" s="67">
        <f>H440*L441</f>
        <v>1.19953044</v>
      </c>
      <c r="I441" s="131"/>
      <c r="J441" s="134"/>
      <c r="K441" s="324">
        <v>0.2999</v>
      </c>
      <c r="L441" s="191">
        <f t="shared" si="14"/>
        <v>1.4842</v>
      </c>
    </row>
    <row r="442" spans="1:14" s="64" customFormat="1" x14ac:dyDescent="0.2">
      <c r="A442" s="63"/>
      <c r="B442" s="385"/>
      <c r="C442" s="122"/>
      <c r="D442" s="75"/>
      <c r="E442" s="438" t="str">
        <f>E432</f>
        <v>BDI (%): 29,99</v>
      </c>
      <c r="F442" s="438"/>
      <c r="G442" s="438"/>
      <c r="H442" s="439">
        <f>(H440+I440+H441)*K442</f>
        <v>2.7194123589560002</v>
      </c>
      <c r="I442" s="439"/>
      <c r="J442" s="134"/>
      <c r="K442" s="324">
        <v>0.2999</v>
      </c>
      <c r="L442" s="191">
        <f t="shared" si="14"/>
        <v>1.4842</v>
      </c>
    </row>
    <row r="443" spans="1:14" s="64" customFormat="1" x14ac:dyDescent="0.2">
      <c r="A443" s="63"/>
      <c r="B443" s="385"/>
      <c r="C443" s="122"/>
      <c r="D443" s="75"/>
      <c r="E443" s="438" t="str">
        <f>E433</f>
        <v>Valor Total c/ Taxas</v>
      </c>
      <c r="F443" s="438"/>
      <c r="G443" s="438"/>
      <c r="H443" s="67"/>
      <c r="I443" s="69">
        <f>(H440+I440+H441+H442)</f>
        <v>11.787142798956001</v>
      </c>
      <c r="J443" s="134"/>
      <c r="K443" s="324">
        <v>0.2999</v>
      </c>
      <c r="L443" s="191">
        <f t="shared" si="14"/>
        <v>1.4842</v>
      </c>
      <c r="M443" s="401">
        <v>11.79</v>
      </c>
      <c r="N443" s="86">
        <f>I443-M443</f>
        <v>-2.8572010439980033E-3</v>
      </c>
    </row>
    <row r="444" spans="1:14" s="64" customFormat="1" x14ac:dyDescent="0.2">
      <c r="A444" s="63"/>
      <c r="B444" s="385"/>
      <c r="C444" s="122"/>
      <c r="D444" s="75"/>
      <c r="E444" s="382"/>
      <c r="F444" s="382"/>
      <c r="G444" s="382"/>
      <c r="H444" s="67"/>
      <c r="I444" s="69"/>
      <c r="J444" s="134"/>
      <c r="K444" s="324"/>
      <c r="L444" s="191">
        <f t="shared" si="14"/>
        <v>1.4842</v>
      </c>
      <c r="M444" s="401"/>
      <c r="N444" s="86"/>
    </row>
    <row r="445" spans="1:14" s="64" customFormat="1" x14ac:dyDescent="0.2">
      <c r="A445" s="386"/>
      <c r="B445" s="151"/>
      <c r="C445" s="76" t="str">
        <f>orçamento!D62</f>
        <v>Cabo telefônico ci-50- 10 pares ( uso interno)</v>
      </c>
      <c r="D445" s="386" t="s">
        <v>10</v>
      </c>
      <c r="E445" s="67"/>
      <c r="F445" s="327"/>
      <c r="G445" s="71"/>
      <c r="H445" s="67"/>
      <c r="I445" s="67"/>
      <c r="J445" s="134"/>
      <c r="K445" s="324">
        <v>0.2999</v>
      </c>
      <c r="L445" s="191">
        <f t="shared" si="14"/>
        <v>1.4842</v>
      </c>
    </row>
    <row r="446" spans="1:14" s="64" customFormat="1" x14ac:dyDescent="0.2">
      <c r="A446" s="63"/>
      <c r="B446" s="385"/>
      <c r="C446" s="122" t="str">
        <f>C445</f>
        <v>Cabo telefônico ci-50- 10 pares ( uso interno)</v>
      </c>
      <c r="D446" s="75" t="str">
        <f>D445</f>
        <v>m</v>
      </c>
      <c r="E446" s="67">
        <f>2.37*N10</f>
        <v>2.37</v>
      </c>
      <c r="F446" s="327">
        <v>2.69</v>
      </c>
      <c r="G446" s="71">
        <v>1</v>
      </c>
      <c r="H446" s="67"/>
      <c r="I446" s="67">
        <f>E446*G446</f>
        <v>2.37</v>
      </c>
      <c r="J446" s="134"/>
      <c r="K446" s="324">
        <v>0.2999</v>
      </c>
      <c r="L446" s="191">
        <f t="shared" si="14"/>
        <v>1.4842</v>
      </c>
    </row>
    <row r="447" spans="1:14" s="64" customFormat="1" x14ac:dyDescent="0.2">
      <c r="A447" s="63"/>
      <c r="B447" s="385"/>
      <c r="C447" s="122" t="s">
        <v>258</v>
      </c>
      <c r="D447" s="75" t="s">
        <v>53</v>
      </c>
      <c r="E447" s="132">
        <f>5.21*N10</f>
        <v>5.21</v>
      </c>
      <c r="F447" s="334"/>
      <c r="G447" s="71">
        <v>0.09</v>
      </c>
      <c r="H447" s="67">
        <f>E447*G447</f>
        <v>0.46889999999999998</v>
      </c>
      <c r="I447" s="133"/>
      <c r="J447" s="134"/>
      <c r="K447" s="324">
        <v>0.2999</v>
      </c>
      <c r="L447" s="191">
        <f t="shared" si="14"/>
        <v>1.4842</v>
      </c>
    </row>
    <row r="448" spans="1:14" s="64" customFormat="1" x14ac:dyDescent="0.2">
      <c r="A448" s="63"/>
      <c r="B448" s="385"/>
      <c r="C448" s="122" t="s">
        <v>259</v>
      </c>
      <c r="D448" s="75" t="s">
        <v>53</v>
      </c>
      <c r="E448" s="67">
        <f>3.77*N10</f>
        <v>3.77</v>
      </c>
      <c r="F448" s="334"/>
      <c r="G448" s="71">
        <v>0.09</v>
      </c>
      <c r="H448" s="67">
        <f>E448*G448</f>
        <v>0.33929999999999999</v>
      </c>
      <c r="I448" s="133"/>
      <c r="J448" s="134"/>
      <c r="K448" s="324">
        <v>0.2999</v>
      </c>
      <c r="L448" s="191">
        <f t="shared" si="14"/>
        <v>1.4842</v>
      </c>
    </row>
    <row r="449" spans="1:14" s="64" customFormat="1" hidden="1" x14ac:dyDescent="0.2">
      <c r="A449" s="63"/>
      <c r="B449" s="385"/>
      <c r="C449" s="122"/>
      <c r="D449" s="75"/>
      <c r="E449" s="67"/>
      <c r="F449" s="327"/>
      <c r="G449" s="71"/>
      <c r="H449" s="67"/>
      <c r="I449" s="67"/>
      <c r="J449" s="134"/>
      <c r="K449" s="324">
        <v>0.2999</v>
      </c>
      <c r="L449" s="191">
        <f t="shared" si="14"/>
        <v>1.4842</v>
      </c>
    </row>
    <row r="450" spans="1:14" s="64" customFormat="1" x14ac:dyDescent="0.2">
      <c r="A450" s="63"/>
      <c r="B450" s="385"/>
      <c r="C450" s="122"/>
      <c r="D450" s="75"/>
      <c r="E450" s="438" t="str">
        <f>E440</f>
        <v>Custo Direto</v>
      </c>
      <c r="F450" s="438"/>
      <c r="G450" s="438"/>
      <c r="H450" s="69">
        <f>SUM(H446:H448)</f>
        <v>0.80820000000000003</v>
      </c>
      <c r="I450" s="69">
        <f>SUM(I446:I448)</f>
        <v>2.37</v>
      </c>
      <c r="J450" s="134"/>
      <c r="K450" s="324">
        <v>0.2999</v>
      </c>
      <c r="L450" s="191">
        <f t="shared" si="14"/>
        <v>1.4842</v>
      </c>
    </row>
    <row r="451" spans="1:14" s="64" customFormat="1" x14ac:dyDescent="0.2">
      <c r="A451" s="63"/>
      <c r="B451" s="385"/>
      <c r="C451" s="122"/>
      <c r="D451" s="75"/>
      <c r="E451" s="438" t="str">
        <f>E441</f>
        <v>LS(%): 148,42</v>
      </c>
      <c r="F451" s="438"/>
      <c r="G451" s="438"/>
      <c r="H451" s="67">
        <f>H450*L451</f>
        <v>1.19953044</v>
      </c>
      <c r="I451" s="131"/>
      <c r="J451" s="134"/>
      <c r="K451" s="324">
        <v>0.2999</v>
      </c>
      <c r="L451" s="191">
        <f t="shared" si="14"/>
        <v>1.4842</v>
      </c>
    </row>
    <row r="452" spans="1:14" s="64" customFormat="1" x14ac:dyDescent="0.2">
      <c r="A452" s="63"/>
      <c r="B452" s="385"/>
      <c r="C452" s="122"/>
      <c r="D452" s="75"/>
      <c r="E452" s="438" t="str">
        <f>E442</f>
        <v>BDI (%): 29,99</v>
      </c>
      <c r="F452" s="438"/>
      <c r="G452" s="438"/>
      <c r="H452" s="439">
        <f>(H450+I450+H451)*K452</f>
        <v>1.3128813589560002</v>
      </c>
      <c r="I452" s="439"/>
      <c r="J452" s="134"/>
      <c r="K452" s="324">
        <v>0.2999</v>
      </c>
      <c r="L452" s="191">
        <f t="shared" si="14"/>
        <v>1.4842</v>
      </c>
    </row>
    <row r="453" spans="1:14" s="64" customFormat="1" x14ac:dyDescent="0.2">
      <c r="A453" s="63"/>
      <c r="B453" s="385"/>
      <c r="C453" s="122"/>
      <c r="D453" s="75"/>
      <c r="E453" s="438" t="str">
        <f>E443</f>
        <v>Valor Total c/ Taxas</v>
      </c>
      <c r="F453" s="438"/>
      <c r="G453" s="438"/>
      <c r="H453" s="67"/>
      <c r="I453" s="69">
        <f>(H450+I450+H451+H452)</f>
        <v>5.6906117989560006</v>
      </c>
      <c r="J453" s="134"/>
      <c r="K453" s="324">
        <v>0.2999</v>
      </c>
      <c r="L453" s="191">
        <f t="shared" si="14"/>
        <v>1.4842</v>
      </c>
      <c r="M453" s="401">
        <v>5.69</v>
      </c>
      <c r="N453" s="86">
        <f>I453-M453</f>
        <v>6.1179895600016465E-4</v>
      </c>
    </row>
    <row r="454" spans="1:14" s="64" customFormat="1" x14ac:dyDescent="0.2">
      <c r="A454" s="63"/>
      <c r="B454" s="385"/>
      <c r="C454" s="122"/>
      <c r="D454" s="75"/>
      <c r="E454" s="382"/>
      <c r="F454" s="382"/>
      <c r="G454" s="382"/>
      <c r="H454" s="67"/>
      <c r="I454" s="69"/>
      <c r="J454" s="134"/>
      <c r="K454" s="324"/>
      <c r="L454" s="191">
        <f t="shared" si="14"/>
        <v>1.4842</v>
      </c>
      <c r="M454" s="401"/>
      <c r="N454" s="86"/>
    </row>
    <row r="455" spans="1:14" s="64" customFormat="1" x14ac:dyDescent="0.2">
      <c r="A455" s="386"/>
      <c r="B455" s="151"/>
      <c r="C455" s="76" t="str">
        <f>orçamento!D63</f>
        <v>Cabo UTP-4p, cat. 5e, 24 awg</v>
      </c>
      <c r="D455" s="386" t="s">
        <v>10</v>
      </c>
      <c r="E455" s="67"/>
      <c r="F455" s="327"/>
      <c r="G455" s="71"/>
      <c r="H455" s="67"/>
      <c r="I455" s="67"/>
      <c r="J455" s="134"/>
      <c r="K455" s="324">
        <v>0.2999</v>
      </c>
      <c r="L455" s="191">
        <f t="shared" si="14"/>
        <v>1.4842</v>
      </c>
    </row>
    <row r="456" spans="1:14" s="64" customFormat="1" x14ac:dyDescent="0.2">
      <c r="A456" s="63"/>
      <c r="B456" s="385"/>
      <c r="C456" s="122" t="str">
        <f>C455</f>
        <v>Cabo UTP-4p, cat. 5e, 24 awg</v>
      </c>
      <c r="D456" s="75" t="str">
        <f>D455</f>
        <v>m</v>
      </c>
      <c r="E456" s="67">
        <f>3.13*N10</f>
        <v>3.13</v>
      </c>
      <c r="F456" s="327">
        <v>2.69</v>
      </c>
      <c r="G456" s="71">
        <v>1</v>
      </c>
      <c r="H456" s="67"/>
      <c r="I456" s="67">
        <f>E456*G456</f>
        <v>3.13</v>
      </c>
      <c r="J456" s="134"/>
      <c r="K456" s="324">
        <v>0.2999</v>
      </c>
      <c r="L456" s="191">
        <f t="shared" si="14"/>
        <v>1.4842</v>
      </c>
    </row>
    <row r="457" spans="1:14" s="64" customFormat="1" x14ac:dyDescent="0.2">
      <c r="A457" s="63"/>
      <c r="B457" s="385"/>
      <c r="C457" s="122" t="s">
        <v>258</v>
      </c>
      <c r="D457" s="75" t="s">
        <v>53</v>
      </c>
      <c r="E457" s="132">
        <f>5.21*N10</f>
        <v>5.21</v>
      </c>
      <c r="F457" s="334"/>
      <c r="G457" s="71">
        <v>0.09</v>
      </c>
      <c r="H457" s="67">
        <f>E457*G457</f>
        <v>0.46889999999999998</v>
      </c>
      <c r="I457" s="133"/>
      <c r="J457" s="134"/>
      <c r="K457" s="324">
        <v>0.2999</v>
      </c>
      <c r="L457" s="191">
        <f t="shared" si="14"/>
        <v>1.4842</v>
      </c>
    </row>
    <row r="458" spans="1:14" s="64" customFormat="1" x14ac:dyDescent="0.2">
      <c r="A458" s="63"/>
      <c r="B458" s="385"/>
      <c r="C458" s="122" t="s">
        <v>259</v>
      </c>
      <c r="D458" s="75" t="s">
        <v>53</v>
      </c>
      <c r="E458" s="67">
        <f>3.77*N10</f>
        <v>3.77</v>
      </c>
      <c r="F458" s="334"/>
      <c r="G458" s="71">
        <v>0.09</v>
      </c>
      <c r="H458" s="67">
        <f>E458*G458</f>
        <v>0.33929999999999999</v>
      </c>
      <c r="I458" s="133"/>
      <c r="J458" s="134"/>
      <c r="K458" s="324">
        <v>0.2999</v>
      </c>
      <c r="L458" s="191">
        <f t="shared" si="14"/>
        <v>1.4842</v>
      </c>
    </row>
    <row r="459" spans="1:14" s="64" customFormat="1" hidden="1" x14ac:dyDescent="0.2">
      <c r="A459" s="63"/>
      <c r="B459" s="385"/>
      <c r="C459" s="122"/>
      <c r="D459" s="75"/>
      <c r="E459" s="67"/>
      <c r="F459" s="327"/>
      <c r="G459" s="71"/>
      <c r="H459" s="67"/>
      <c r="I459" s="67"/>
      <c r="J459" s="134"/>
      <c r="K459" s="324">
        <v>0.2999</v>
      </c>
      <c r="L459" s="191">
        <f t="shared" si="14"/>
        <v>1.4842</v>
      </c>
    </row>
    <row r="460" spans="1:14" s="64" customFormat="1" x14ac:dyDescent="0.2">
      <c r="A460" s="63"/>
      <c r="B460" s="385"/>
      <c r="C460" s="122"/>
      <c r="D460" s="75"/>
      <c r="E460" s="438" t="str">
        <f>E450</f>
        <v>Custo Direto</v>
      </c>
      <c r="F460" s="438"/>
      <c r="G460" s="438"/>
      <c r="H460" s="69">
        <f>SUM(H456:H458)</f>
        <v>0.80820000000000003</v>
      </c>
      <c r="I460" s="69">
        <f>SUM(I456:I458)</f>
        <v>3.13</v>
      </c>
      <c r="J460" s="134"/>
      <c r="K460" s="324">
        <v>0.2999</v>
      </c>
      <c r="L460" s="191">
        <f t="shared" si="14"/>
        <v>1.4842</v>
      </c>
    </row>
    <row r="461" spans="1:14" s="64" customFormat="1" x14ac:dyDescent="0.2">
      <c r="A461" s="63"/>
      <c r="B461" s="385"/>
      <c r="C461" s="122"/>
      <c r="D461" s="75"/>
      <c r="E461" s="438" t="str">
        <f>E451</f>
        <v>LS(%): 148,42</v>
      </c>
      <c r="F461" s="438"/>
      <c r="G461" s="438"/>
      <c r="H461" s="67">
        <f>H460*L461</f>
        <v>1.19953044</v>
      </c>
      <c r="I461" s="131"/>
      <c r="J461" s="134"/>
      <c r="K461" s="324">
        <v>0.2999</v>
      </c>
      <c r="L461" s="191">
        <f t="shared" si="14"/>
        <v>1.4842</v>
      </c>
    </row>
    <row r="462" spans="1:14" s="64" customFormat="1" x14ac:dyDescent="0.2">
      <c r="A462" s="63"/>
      <c r="B462" s="385"/>
      <c r="C462" s="122"/>
      <c r="D462" s="75"/>
      <c r="E462" s="438" t="str">
        <f>E452</f>
        <v>BDI (%): 29,99</v>
      </c>
      <c r="F462" s="438"/>
      <c r="G462" s="438"/>
      <c r="H462" s="439">
        <f>(H460+I460+H461)*K462</f>
        <v>1.540805358956</v>
      </c>
      <c r="I462" s="439"/>
      <c r="J462" s="134"/>
      <c r="K462" s="324">
        <v>0.2999</v>
      </c>
      <c r="L462" s="191">
        <f t="shared" si="14"/>
        <v>1.4842</v>
      </c>
    </row>
    <row r="463" spans="1:14" s="64" customFormat="1" x14ac:dyDescent="0.2">
      <c r="A463" s="63"/>
      <c r="B463" s="385"/>
      <c r="C463" s="122"/>
      <c r="D463" s="75"/>
      <c r="E463" s="438" t="str">
        <f>E453</f>
        <v>Valor Total c/ Taxas</v>
      </c>
      <c r="F463" s="438"/>
      <c r="G463" s="438"/>
      <c r="H463" s="67"/>
      <c r="I463" s="69">
        <f>(H460+I460+H461+H462)</f>
        <v>6.6785357989560001</v>
      </c>
      <c r="J463" s="134"/>
      <c r="K463" s="324">
        <v>0.2999</v>
      </c>
      <c r="L463" s="191">
        <f t="shared" si="14"/>
        <v>1.4842</v>
      </c>
      <c r="M463" s="401">
        <v>6.68</v>
      </c>
      <c r="N463" s="86">
        <f>I463-M463</f>
        <v>-1.4642010439995801E-3</v>
      </c>
    </row>
    <row r="464" spans="1:14" s="64" customFormat="1" x14ac:dyDescent="0.2">
      <c r="A464" s="63"/>
      <c r="B464" s="385"/>
      <c r="C464" s="122"/>
      <c r="D464" s="75"/>
      <c r="E464" s="382"/>
      <c r="F464" s="382"/>
      <c r="G464" s="382"/>
      <c r="H464" s="67"/>
      <c r="I464" s="69"/>
      <c r="J464" s="134"/>
      <c r="K464" s="324"/>
      <c r="L464" s="191">
        <f t="shared" si="14"/>
        <v>1.4842</v>
      </c>
      <c r="M464" s="401"/>
      <c r="N464" s="86"/>
    </row>
    <row r="465" spans="1:14" s="64" customFormat="1" x14ac:dyDescent="0.2">
      <c r="A465" s="386"/>
      <c r="B465" s="151"/>
      <c r="C465" s="76" t="str">
        <f>orçamento!D64</f>
        <v xml:space="preserve">Caixa de passagem metálica 15x15x12 cm </v>
      </c>
      <c r="D465" s="386" t="str">
        <f>D466</f>
        <v>unid</v>
      </c>
      <c r="E465" s="67"/>
      <c r="F465" s="327"/>
      <c r="G465" s="71"/>
      <c r="H465" s="67"/>
      <c r="I465" s="67"/>
      <c r="J465" s="134"/>
      <c r="K465" s="324">
        <v>0.2999</v>
      </c>
      <c r="L465" s="191">
        <f t="shared" si="14"/>
        <v>1.4842</v>
      </c>
    </row>
    <row r="466" spans="1:14" s="64" customFormat="1" x14ac:dyDescent="0.2">
      <c r="A466" s="63"/>
      <c r="B466" s="385"/>
      <c r="C466" s="122" t="str">
        <f>C465</f>
        <v xml:space="preserve">Caixa de passagem metálica 15x15x12 cm </v>
      </c>
      <c r="D466" s="75" t="s">
        <v>513</v>
      </c>
      <c r="E466" s="67">
        <f>10.27*N10</f>
        <v>10.27</v>
      </c>
      <c r="F466" s="327">
        <v>2.69</v>
      </c>
      <c r="G466" s="71">
        <v>2.34</v>
      </c>
      <c r="H466" s="67"/>
      <c r="I466" s="67">
        <f>E466*G466</f>
        <v>24.031799999999997</v>
      </c>
      <c r="J466" s="134"/>
      <c r="K466" s="324">
        <v>0.2999</v>
      </c>
      <c r="L466" s="191">
        <f t="shared" si="14"/>
        <v>1.4842</v>
      </c>
    </row>
    <row r="467" spans="1:14" s="64" customFormat="1" x14ac:dyDescent="0.2">
      <c r="A467" s="63"/>
      <c r="B467" s="385"/>
      <c r="C467" s="122" t="s">
        <v>258</v>
      </c>
      <c r="D467" s="75" t="s">
        <v>53</v>
      </c>
      <c r="E467" s="132">
        <f>5.21*N10</f>
        <v>5.21</v>
      </c>
      <c r="F467" s="334"/>
      <c r="G467" s="71">
        <v>1.23</v>
      </c>
      <c r="H467" s="67">
        <f>E467*G467</f>
        <v>6.4082999999999997</v>
      </c>
      <c r="I467" s="133"/>
      <c r="J467" s="134"/>
      <c r="K467" s="324">
        <v>0.2999</v>
      </c>
      <c r="L467" s="191">
        <f t="shared" si="14"/>
        <v>1.4842</v>
      </c>
    </row>
    <row r="468" spans="1:14" s="64" customFormat="1" x14ac:dyDescent="0.2">
      <c r="A468" s="63"/>
      <c r="B468" s="385"/>
      <c r="C468" s="122" t="s">
        <v>259</v>
      </c>
      <c r="D468" s="75" t="s">
        <v>53</v>
      </c>
      <c r="E468" s="67">
        <f>3.77*N10</f>
        <v>3.77</v>
      </c>
      <c r="F468" s="334"/>
      <c r="G468" s="71">
        <v>1.23</v>
      </c>
      <c r="H468" s="67">
        <f>E468*G468</f>
        <v>4.6371000000000002</v>
      </c>
      <c r="I468" s="133"/>
      <c r="J468" s="134"/>
      <c r="K468" s="324">
        <v>0.2999</v>
      </c>
      <c r="L468" s="191">
        <f t="shared" si="14"/>
        <v>1.4842</v>
      </c>
    </row>
    <row r="469" spans="1:14" s="64" customFormat="1" hidden="1" x14ac:dyDescent="0.2">
      <c r="A469" s="63"/>
      <c r="B469" s="385"/>
      <c r="C469" s="122"/>
      <c r="D469" s="75"/>
      <c r="E469" s="67"/>
      <c r="F469" s="327"/>
      <c r="G469" s="71"/>
      <c r="H469" s="67"/>
      <c r="I469" s="67"/>
      <c r="J469" s="134"/>
      <c r="K469" s="324">
        <v>0.2999</v>
      </c>
      <c r="L469" s="191">
        <f t="shared" si="14"/>
        <v>1.4842</v>
      </c>
    </row>
    <row r="470" spans="1:14" s="64" customFormat="1" x14ac:dyDescent="0.2">
      <c r="A470" s="63"/>
      <c r="B470" s="385"/>
      <c r="C470" s="122"/>
      <c r="D470" s="75"/>
      <c r="E470" s="438" t="str">
        <f>E460</f>
        <v>Custo Direto</v>
      </c>
      <c r="F470" s="438"/>
      <c r="G470" s="438"/>
      <c r="H470" s="69">
        <f>SUM(H466:H468)</f>
        <v>11.045400000000001</v>
      </c>
      <c r="I470" s="69">
        <f>SUM(I466:I468)</f>
        <v>24.031799999999997</v>
      </c>
      <c r="J470" s="134"/>
      <c r="K470" s="324">
        <v>0.2999</v>
      </c>
      <c r="L470" s="191">
        <f t="shared" si="14"/>
        <v>1.4842</v>
      </c>
    </row>
    <row r="471" spans="1:14" s="64" customFormat="1" x14ac:dyDescent="0.2">
      <c r="A471" s="63"/>
      <c r="B471" s="385"/>
      <c r="C471" s="122"/>
      <c r="D471" s="75"/>
      <c r="E471" s="438" t="str">
        <f>E461</f>
        <v>LS(%): 148,42</v>
      </c>
      <c r="F471" s="438"/>
      <c r="G471" s="438"/>
      <c r="H471" s="67">
        <f>H470*L471</f>
        <v>16.393582680000002</v>
      </c>
      <c r="I471" s="131"/>
      <c r="J471" s="134"/>
      <c r="K471" s="324">
        <v>0.2999</v>
      </c>
      <c r="L471" s="191">
        <f t="shared" si="14"/>
        <v>1.4842</v>
      </c>
    </row>
    <row r="472" spans="1:14" s="64" customFormat="1" x14ac:dyDescent="0.2">
      <c r="A472" s="63"/>
      <c r="B472" s="385"/>
      <c r="C472" s="122"/>
      <c r="D472" s="75"/>
      <c r="E472" s="438" t="str">
        <f>E462</f>
        <v>BDI (%): 29,99</v>
      </c>
      <c r="F472" s="438"/>
      <c r="G472" s="438"/>
      <c r="H472" s="439">
        <f>(H470+I470+H471)*K472</f>
        <v>15.436087725731999</v>
      </c>
      <c r="I472" s="439"/>
      <c r="J472" s="134"/>
      <c r="K472" s="324">
        <v>0.2999</v>
      </c>
      <c r="L472" s="191">
        <f t="shared" si="14"/>
        <v>1.4842</v>
      </c>
    </row>
    <row r="473" spans="1:14" s="64" customFormat="1" x14ac:dyDescent="0.2">
      <c r="A473" s="63"/>
      <c r="B473" s="385"/>
      <c r="C473" s="122"/>
      <c r="D473" s="75"/>
      <c r="E473" s="438" t="str">
        <f>E463</f>
        <v>Valor Total c/ Taxas</v>
      </c>
      <c r="F473" s="438"/>
      <c r="G473" s="438"/>
      <c r="H473" s="67"/>
      <c r="I473" s="69">
        <f>(H470+I470+H471+H472)</f>
        <v>66.906870405731993</v>
      </c>
      <c r="J473" s="134"/>
      <c r="K473" s="324">
        <v>0.2999</v>
      </c>
      <c r="L473" s="191">
        <f t="shared" si="14"/>
        <v>1.4842</v>
      </c>
      <c r="M473" s="401">
        <v>66.91</v>
      </c>
      <c r="N473" s="86">
        <f>I473-M473</f>
        <v>-3.1295942680031885E-3</v>
      </c>
    </row>
    <row r="474" spans="1:14" s="64" customFormat="1" x14ac:dyDescent="0.2">
      <c r="A474" s="63"/>
      <c r="B474" s="385"/>
      <c r="C474" s="122"/>
      <c r="D474" s="75"/>
      <c r="E474" s="382"/>
      <c r="F474" s="382"/>
      <c r="G474" s="382"/>
      <c r="H474" s="67"/>
      <c r="I474" s="69"/>
      <c r="J474" s="134"/>
      <c r="K474" s="324"/>
      <c r="L474" s="191">
        <f t="shared" si="14"/>
        <v>1.4842</v>
      </c>
      <c r="M474" s="401"/>
      <c r="N474" s="86"/>
    </row>
    <row r="475" spans="1:14" s="64" customFormat="1" x14ac:dyDescent="0.2">
      <c r="A475" s="386"/>
      <c r="B475" s="151"/>
      <c r="C475" s="76" t="str">
        <f>orçamento!D65</f>
        <v>Caixa distribuição telefônica 40x40x12 cm</v>
      </c>
      <c r="D475" s="386" t="str">
        <f>D476</f>
        <v>unid</v>
      </c>
      <c r="E475" s="67"/>
      <c r="F475" s="327"/>
      <c r="G475" s="71"/>
      <c r="H475" s="67"/>
      <c r="I475" s="67"/>
      <c r="J475" s="134"/>
      <c r="K475" s="324">
        <v>0.2999</v>
      </c>
      <c r="L475" s="191">
        <f t="shared" si="14"/>
        <v>1.4842</v>
      </c>
    </row>
    <row r="476" spans="1:14" s="64" customFormat="1" x14ac:dyDescent="0.2">
      <c r="A476" s="63"/>
      <c r="B476" s="385"/>
      <c r="C476" s="122" t="str">
        <f>C475</f>
        <v>Caixa distribuição telefônica 40x40x12 cm</v>
      </c>
      <c r="D476" s="75" t="s">
        <v>513</v>
      </c>
      <c r="E476" s="67">
        <f>49.3201*N10</f>
        <v>49.320099999999996</v>
      </c>
      <c r="F476" s="327">
        <v>2.69</v>
      </c>
      <c r="G476" s="71">
        <v>2.34</v>
      </c>
      <c r="H476" s="67"/>
      <c r="I476" s="67">
        <f>E476*G476</f>
        <v>115.40903399999999</v>
      </c>
      <c r="J476" s="134"/>
      <c r="K476" s="324">
        <v>0.2999</v>
      </c>
      <c r="L476" s="191">
        <f t="shared" si="14"/>
        <v>1.4842</v>
      </c>
    </row>
    <row r="477" spans="1:14" s="64" customFormat="1" x14ac:dyDescent="0.2">
      <c r="A477" s="63"/>
      <c r="B477" s="385"/>
      <c r="C477" s="122" t="s">
        <v>258</v>
      </c>
      <c r="D477" s="75" t="s">
        <v>53</v>
      </c>
      <c r="E477" s="132">
        <f>5.21*N10</f>
        <v>5.21</v>
      </c>
      <c r="F477" s="334"/>
      <c r="G477" s="71">
        <v>1.23</v>
      </c>
      <c r="H477" s="67">
        <f>E477*G477</f>
        <v>6.4082999999999997</v>
      </c>
      <c r="I477" s="133"/>
      <c r="J477" s="134"/>
      <c r="K477" s="324">
        <v>0.2999</v>
      </c>
      <c r="L477" s="191">
        <f t="shared" si="14"/>
        <v>1.4842</v>
      </c>
    </row>
    <row r="478" spans="1:14" s="64" customFormat="1" x14ac:dyDescent="0.2">
      <c r="A478" s="63"/>
      <c r="B478" s="385"/>
      <c r="C478" s="122" t="s">
        <v>259</v>
      </c>
      <c r="D478" s="75" t="s">
        <v>53</v>
      </c>
      <c r="E478" s="67">
        <f>3.77*N10</f>
        <v>3.77</v>
      </c>
      <c r="F478" s="334"/>
      <c r="G478" s="71">
        <v>1.23</v>
      </c>
      <c r="H478" s="67">
        <f>E478*G478</f>
        <v>4.6371000000000002</v>
      </c>
      <c r="I478" s="133"/>
      <c r="J478" s="134"/>
      <c r="K478" s="324">
        <v>0.2999</v>
      </c>
      <c r="L478" s="191">
        <f t="shared" si="14"/>
        <v>1.4842</v>
      </c>
    </row>
    <row r="479" spans="1:14" s="64" customFormat="1" hidden="1" x14ac:dyDescent="0.2">
      <c r="A479" s="63"/>
      <c r="B479" s="385"/>
      <c r="C479" s="122"/>
      <c r="D479" s="75"/>
      <c r="E479" s="67"/>
      <c r="F479" s="327"/>
      <c r="G479" s="71"/>
      <c r="H479" s="67"/>
      <c r="I479" s="67"/>
      <c r="J479" s="134"/>
      <c r="K479" s="324">
        <v>0.2999</v>
      </c>
      <c r="L479" s="191">
        <f t="shared" si="14"/>
        <v>1.4842</v>
      </c>
    </row>
    <row r="480" spans="1:14" s="64" customFormat="1" x14ac:dyDescent="0.2">
      <c r="A480" s="63"/>
      <c r="B480" s="385"/>
      <c r="C480" s="122"/>
      <c r="D480" s="75"/>
      <c r="E480" s="438" t="str">
        <f>E470</f>
        <v>Custo Direto</v>
      </c>
      <c r="F480" s="438"/>
      <c r="G480" s="438"/>
      <c r="H480" s="69">
        <f>SUM(H476:H478)</f>
        <v>11.045400000000001</v>
      </c>
      <c r="I480" s="69">
        <f>SUM(I476:I478)</f>
        <v>115.40903399999999</v>
      </c>
      <c r="J480" s="134"/>
      <c r="K480" s="324">
        <v>0.2999</v>
      </c>
      <c r="L480" s="191">
        <f t="shared" si="14"/>
        <v>1.4842</v>
      </c>
    </row>
    <row r="481" spans="1:14" s="64" customFormat="1" x14ac:dyDescent="0.2">
      <c r="A481" s="63"/>
      <c r="B481" s="385"/>
      <c r="C481" s="122"/>
      <c r="D481" s="75"/>
      <c r="E481" s="438" t="str">
        <f>E471</f>
        <v>LS(%): 148,42</v>
      </c>
      <c r="F481" s="438"/>
      <c r="G481" s="438"/>
      <c r="H481" s="67">
        <f>H480*L481</f>
        <v>16.393582680000002</v>
      </c>
      <c r="I481" s="131"/>
      <c r="J481" s="134"/>
      <c r="K481" s="324">
        <v>0.2999</v>
      </c>
      <c r="L481" s="191">
        <f t="shared" si="14"/>
        <v>1.4842</v>
      </c>
    </row>
    <row r="482" spans="1:14" s="64" customFormat="1" x14ac:dyDescent="0.2">
      <c r="A482" s="63"/>
      <c r="B482" s="385"/>
      <c r="C482" s="122"/>
      <c r="D482" s="75"/>
      <c r="E482" s="438" t="str">
        <f>E472</f>
        <v>BDI (%): 29,99</v>
      </c>
      <c r="F482" s="438"/>
      <c r="G482" s="438"/>
      <c r="H482" s="439">
        <f>(H480+I480+H481)*K482</f>
        <v>42.840120202332002</v>
      </c>
      <c r="I482" s="439"/>
      <c r="J482" s="134"/>
      <c r="K482" s="324">
        <v>0.2999</v>
      </c>
      <c r="L482" s="191">
        <f t="shared" si="14"/>
        <v>1.4842</v>
      </c>
    </row>
    <row r="483" spans="1:14" s="64" customFormat="1" x14ac:dyDescent="0.2">
      <c r="A483" s="63"/>
      <c r="B483" s="385"/>
      <c r="C483" s="122"/>
      <c r="D483" s="75"/>
      <c r="E483" s="438" t="str">
        <f>E473</f>
        <v>Valor Total c/ Taxas</v>
      </c>
      <c r="F483" s="438"/>
      <c r="G483" s="438"/>
      <c r="H483" s="67"/>
      <c r="I483" s="69">
        <f>(H480+I480+H481+H482)</f>
        <v>185.688136882332</v>
      </c>
      <c r="J483" s="134"/>
      <c r="K483" s="324">
        <v>0.2999</v>
      </c>
      <c r="L483" s="191">
        <f t="shared" si="14"/>
        <v>1.4842</v>
      </c>
      <c r="M483" s="401">
        <v>185.69</v>
      </c>
      <c r="N483" s="86">
        <f>I483-M483</f>
        <v>-1.8631176679946293E-3</v>
      </c>
    </row>
    <row r="484" spans="1:14" s="64" customFormat="1" x14ac:dyDescent="0.2">
      <c r="A484" s="63"/>
      <c r="B484" s="385"/>
      <c r="C484" s="122"/>
      <c r="D484" s="75"/>
      <c r="E484" s="382"/>
      <c r="F484" s="382"/>
      <c r="G484" s="382"/>
      <c r="H484" s="67"/>
      <c r="I484" s="69"/>
      <c r="J484" s="134"/>
      <c r="K484" s="324"/>
      <c r="L484" s="191">
        <f t="shared" si="14"/>
        <v>1.4842</v>
      </c>
      <c r="M484" s="401"/>
      <c r="N484" s="86"/>
    </row>
    <row r="485" spans="1:14" s="64" customFormat="1" x14ac:dyDescent="0.2">
      <c r="A485" s="386"/>
      <c r="B485" s="151"/>
      <c r="C485" s="76" t="str">
        <f>orçamento!D66</f>
        <v>Caixa distribuição telefônica 60x60x12 cm</v>
      </c>
      <c r="D485" s="386" t="str">
        <f>D486</f>
        <v>unid</v>
      </c>
      <c r="E485" s="67"/>
      <c r="F485" s="327"/>
      <c r="G485" s="71"/>
      <c r="H485" s="67"/>
      <c r="I485" s="67"/>
      <c r="J485" s="134"/>
      <c r="K485" s="324">
        <v>0.2999</v>
      </c>
      <c r="L485" s="191">
        <f t="shared" si="14"/>
        <v>1.4842</v>
      </c>
    </row>
    <row r="486" spans="1:14" s="64" customFormat="1" x14ac:dyDescent="0.2">
      <c r="A486" s="63"/>
      <c r="B486" s="385"/>
      <c r="C486" s="122" t="str">
        <f>C485</f>
        <v>Caixa distribuição telefônica 60x60x12 cm</v>
      </c>
      <c r="D486" s="75" t="s">
        <v>513</v>
      </c>
      <c r="E486" s="67">
        <f>75.165*N10</f>
        <v>75.165000000000006</v>
      </c>
      <c r="F486" s="327">
        <v>2.69</v>
      </c>
      <c r="G486" s="71">
        <v>2.34</v>
      </c>
      <c r="H486" s="67"/>
      <c r="I486" s="67">
        <f>E486*G486</f>
        <v>175.8861</v>
      </c>
      <c r="J486" s="134"/>
      <c r="K486" s="324">
        <v>0.2999</v>
      </c>
      <c r="L486" s="191">
        <f t="shared" si="14"/>
        <v>1.4842</v>
      </c>
    </row>
    <row r="487" spans="1:14" s="64" customFormat="1" x14ac:dyDescent="0.2">
      <c r="A487" s="63"/>
      <c r="B487" s="385"/>
      <c r="C487" s="122" t="s">
        <v>258</v>
      </c>
      <c r="D487" s="75" t="s">
        <v>53</v>
      </c>
      <c r="E487" s="132">
        <f>5.21*N10</f>
        <v>5.21</v>
      </c>
      <c r="F487" s="334"/>
      <c r="G487" s="71">
        <v>1.23</v>
      </c>
      <c r="H487" s="67">
        <f>E487*G487</f>
        <v>6.4082999999999997</v>
      </c>
      <c r="I487" s="133"/>
      <c r="J487" s="134"/>
      <c r="K487" s="324">
        <v>0.2999</v>
      </c>
      <c r="L487" s="191">
        <f t="shared" si="14"/>
        <v>1.4842</v>
      </c>
    </row>
    <row r="488" spans="1:14" s="64" customFormat="1" x14ac:dyDescent="0.2">
      <c r="A488" s="63"/>
      <c r="B488" s="385"/>
      <c r="C488" s="122" t="s">
        <v>259</v>
      </c>
      <c r="D488" s="75" t="s">
        <v>53</v>
      </c>
      <c r="E488" s="67">
        <f>3.77*N10</f>
        <v>3.77</v>
      </c>
      <c r="F488" s="334"/>
      <c r="G488" s="71">
        <v>1.23</v>
      </c>
      <c r="H488" s="67">
        <f>E488*G488</f>
        <v>4.6371000000000002</v>
      </c>
      <c r="I488" s="133"/>
      <c r="J488" s="134"/>
      <c r="K488" s="324">
        <v>0.2999</v>
      </c>
      <c r="L488" s="191">
        <f t="shared" si="14"/>
        <v>1.4842</v>
      </c>
    </row>
    <row r="489" spans="1:14" s="64" customFormat="1" hidden="1" x14ac:dyDescent="0.2">
      <c r="A489" s="63"/>
      <c r="B489" s="385"/>
      <c r="C489" s="122"/>
      <c r="D489" s="75"/>
      <c r="E489" s="67"/>
      <c r="F489" s="327"/>
      <c r="G489" s="71"/>
      <c r="H489" s="67"/>
      <c r="I489" s="67"/>
      <c r="J489" s="134"/>
      <c r="K489" s="324">
        <v>0.2999</v>
      </c>
      <c r="L489" s="191">
        <f t="shared" si="14"/>
        <v>1.4842</v>
      </c>
    </row>
    <row r="490" spans="1:14" s="64" customFormat="1" x14ac:dyDescent="0.2">
      <c r="A490" s="63"/>
      <c r="B490" s="385"/>
      <c r="C490" s="122"/>
      <c r="D490" s="75"/>
      <c r="E490" s="438" t="str">
        <f>E480</f>
        <v>Custo Direto</v>
      </c>
      <c r="F490" s="438"/>
      <c r="G490" s="438"/>
      <c r="H490" s="69">
        <f>SUM(H486:H488)</f>
        <v>11.045400000000001</v>
      </c>
      <c r="I490" s="69">
        <f>SUM(I486:I488)</f>
        <v>175.8861</v>
      </c>
      <c r="J490" s="134"/>
      <c r="K490" s="324">
        <v>0.2999</v>
      </c>
      <c r="L490" s="191">
        <f t="shared" si="14"/>
        <v>1.4842</v>
      </c>
    </row>
    <row r="491" spans="1:14" s="64" customFormat="1" x14ac:dyDescent="0.2">
      <c r="A491" s="63"/>
      <c r="B491" s="385"/>
      <c r="C491" s="122"/>
      <c r="D491" s="75"/>
      <c r="E491" s="438" t="str">
        <f>E481</f>
        <v>LS(%): 148,42</v>
      </c>
      <c r="F491" s="438"/>
      <c r="G491" s="438"/>
      <c r="H491" s="67">
        <f>H490*L491</f>
        <v>16.393582680000002</v>
      </c>
      <c r="I491" s="131"/>
      <c r="J491" s="134"/>
      <c r="K491" s="324">
        <v>0.2999</v>
      </c>
      <c r="L491" s="191">
        <f t="shared" si="14"/>
        <v>1.4842</v>
      </c>
    </row>
    <row r="492" spans="1:14" s="64" customFormat="1" x14ac:dyDescent="0.2">
      <c r="A492" s="63"/>
      <c r="B492" s="385"/>
      <c r="C492" s="122"/>
      <c r="D492" s="75"/>
      <c r="E492" s="438" t="str">
        <f>E482</f>
        <v>BDI (%): 29,99</v>
      </c>
      <c r="F492" s="438"/>
      <c r="G492" s="438"/>
      <c r="H492" s="439">
        <f>(H490+I490+H491)*K492</f>
        <v>60.977192295732003</v>
      </c>
      <c r="I492" s="439"/>
      <c r="J492" s="134"/>
      <c r="K492" s="324">
        <v>0.2999</v>
      </c>
      <c r="L492" s="191">
        <f t="shared" si="14"/>
        <v>1.4842</v>
      </c>
    </row>
    <row r="493" spans="1:14" s="64" customFormat="1" x14ac:dyDescent="0.2">
      <c r="A493" s="63"/>
      <c r="B493" s="385"/>
      <c r="C493" s="122"/>
      <c r="D493" s="75"/>
      <c r="E493" s="438" t="str">
        <f>E483</f>
        <v>Valor Total c/ Taxas</v>
      </c>
      <c r="F493" s="438"/>
      <c r="G493" s="438"/>
      <c r="H493" s="67"/>
      <c r="I493" s="69">
        <f>(H490+I490+H491+H492)</f>
        <v>264.30227497573202</v>
      </c>
      <c r="J493" s="134"/>
      <c r="K493" s="324">
        <v>0.2999</v>
      </c>
      <c r="L493" s="191">
        <f t="shared" si="14"/>
        <v>1.4842</v>
      </c>
      <c r="M493" s="401">
        <v>264.3</v>
      </c>
      <c r="N493" s="86">
        <f>I493-M493</f>
        <v>2.2749757320070785E-3</v>
      </c>
    </row>
    <row r="494" spans="1:14" s="64" customFormat="1" x14ac:dyDescent="0.2">
      <c r="A494" s="63"/>
      <c r="B494" s="385"/>
      <c r="C494" s="122"/>
      <c r="D494" s="75"/>
      <c r="E494" s="382"/>
      <c r="F494" s="382"/>
      <c r="G494" s="382"/>
      <c r="H494" s="67"/>
      <c r="I494" s="69"/>
      <c r="J494" s="134"/>
      <c r="K494" s="324"/>
      <c r="L494" s="191">
        <f t="shared" si="14"/>
        <v>1.4842</v>
      </c>
      <c r="M494" s="401"/>
      <c r="N494" s="86"/>
    </row>
    <row r="495" spans="1:14" s="64" customFormat="1" x14ac:dyDescent="0.2">
      <c r="A495" s="386"/>
      <c r="B495" s="151"/>
      <c r="C495" s="76" t="str">
        <f>orçamento!D67</f>
        <v>Caixa met. Hexagonal p/arandela (sextavada 3''x3'')</v>
      </c>
      <c r="D495" s="386" t="str">
        <f>D496</f>
        <v>unid</v>
      </c>
      <c r="E495" s="67"/>
      <c r="F495" s="327"/>
      <c r="G495" s="71"/>
      <c r="H495" s="67"/>
      <c r="I495" s="67"/>
      <c r="J495" s="134"/>
      <c r="K495" s="324">
        <v>0.2999</v>
      </c>
      <c r="L495" s="191">
        <f t="shared" si="14"/>
        <v>1.4842</v>
      </c>
    </row>
    <row r="496" spans="1:14" s="64" customFormat="1" x14ac:dyDescent="0.2">
      <c r="A496" s="63"/>
      <c r="B496" s="385"/>
      <c r="C496" s="122" t="str">
        <f>C495</f>
        <v>Caixa met. Hexagonal p/arandela (sextavada 3''x3'')</v>
      </c>
      <c r="D496" s="75" t="s">
        <v>513</v>
      </c>
      <c r="E496" s="67">
        <f>1.453*N10</f>
        <v>1.4530000000000001</v>
      </c>
      <c r="F496" s="327">
        <v>2.69</v>
      </c>
      <c r="G496" s="71">
        <v>2.34</v>
      </c>
      <c r="H496" s="67"/>
      <c r="I496" s="67">
        <f>E496*G496</f>
        <v>3.40002</v>
      </c>
      <c r="J496" s="134"/>
      <c r="K496" s="324">
        <v>0.2999</v>
      </c>
      <c r="L496" s="191">
        <f t="shared" si="14"/>
        <v>1.4842</v>
      </c>
    </row>
    <row r="497" spans="1:14" s="64" customFormat="1" x14ac:dyDescent="0.2">
      <c r="A497" s="63"/>
      <c r="B497" s="385"/>
      <c r="C497" s="122" t="s">
        <v>258</v>
      </c>
      <c r="D497" s="75" t="s">
        <v>53</v>
      </c>
      <c r="E497" s="132">
        <f>5.21*N10</f>
        <v>5.21</v>
      </c>
      <c r="F497" s="334"/>
      <c r="G497" s="71">
        <v>0.09</v>
      </c>
      <c r="H497" s="67">
        <f>E497*G497</f>
        <v>0.46889999999999998</v>
      </c>
      <c r="I497" s="133"/>
      <c r="J497" s="134"/>
      <c r="K497" s="324">
        <v>0.2999</v>
      </c>
      <c r="L497" s="191">
        <f t="shared" si="14"/>
        <v>1.4842</v>
      </c>
    </row>
    <row r="498" spans="1:14" s="64" customFormat="1" x14ac:dyDescent="0.2">
      <c r="A498" s="63"/>
      <c r="B498" s="385"/>
      <c r="C498" s="122" t="s">
        <v>259</v>
      </c>
      <c r="D498" s="75" t="s">
        <v>53</v>
      </c>
      <c r="E498" s="67">
        <f>3.77*N10</f>
        <v>3.77</v>
      </c>
      <c r="F498" s="334"/>
      <c r="G498" s="71">
        <v>0.09</v>
      </c>
      <c r="H498" s="67">
        <f>E498*G498</f>
        <v>0.33929999999999999</v>
      </c>
      <c r="I498" s="133"/>
      <c r="J498" s="134"/>
      <c r="K498" s="324">
        <v>0.2999</v>
      </c>
      <c r="L498" s="191">
        <f t="shared" si="14"/>
        <v>1.4842</v>
      </c>
    </row>
    <row r="499" spans="1:14" s="64" customFormat="1" hidden="1" x14ac:dyDescent="0.2">
      <c r="A499" s="63"/>
      <c r="B499" s="385"/>
      <c r="C499" s="122"/>
      <c r="D499" s="75"/>
      <c r="E499" s="67"/>
      <c r="F499" s="327"/>
      <c r="G499" s="71"/>
      <c r="H499" s="67"/>
      <c r="I499" s="67"/>
      <c r="J499" s="134"/>
      <c r="K499" s="324">
        <v>0.2999</v>
      </c>
      <c r="L499" s="191">
        <f t="shared" si="14"/>
        <v>1.4842</v>
      </c>
    </row>
    <row r="500" spans="1:14" s="64" customFormat="1" x14ac:dyDescent="0.2">
      <c r="A500" s="63"/>
      <c r="B500" s="385"/>
      <c r="C500" s="122"/>
      <c r="D500" s="75"/>
      <c r="E500" s="438" t="str">
        <f>E490</f>
        <v>Custo Direto</v>
      </c>
      <c r="F500" s="438"/>
      <c r="G500" s="438"/>
      <c r="H500" s="69">
        <f>SUM(H496:H498)</f>
        <v>0.80820000000000003</v>
      </c>
      <c r="I500" s="69">
        <f>SUM(I496:I498)</f>
        <v>3.40002</v>
      </c>
      <c r="J500" s="134"/>
      <c r="K500" s="324">
        <v>0.2999</v>
      </c>
      <c r="L500" s="191">
        <f t="shared" si="14"/>
        <v>1.4842</v>
      </c>
    </row>
    <row r="501" spans="1:14" s="64" customFormat="1" x14ac:dyDescent="0.2">
      <c r="A501" s="63"/>
      <c r="B501" s="385"/>
      <c r="C501" s="122"/>
      <c r="D501" s="75"/>
      <c r="E501" s="438" t="str">
        <f>E491</f>
        <v>LS(%): 148,42</v>
      </c>
      <c r="F501" s="438"/>
      <c r="G501" s="438"/>
      <c r="H501" s="67">
        <f>H500*L501</f>
        <v>1.19953044</v>
      </c>
      <c r="I501" s="131"/>
      <c r="J501" s="134"/>
      <c r="K501" s="324">
        <v>0.2999</v>
      </c>
      <c r="L501" s="191">
        <f t="shared" si="14"/>
        <v>1.4842</v>
      </c>
    </row>
    <row r="502" spans="1:14" s="64" customFormat="1" x14ac:dyDescent="0.2">
      <c r="A502" s="63"/>
      <c r="B502" s="385"/>
      <c r="C502" s="122"/>
      <c r="D502" s="75"/>
      <c r="E502" s="438" t="str">
        <f>E492</f>
        <v>BDI (%): 29,99</v>
      </c>
      <c r="F502" s="438"/>
      <c r="G502" s="438"/>
      <c r="H502" s="439">
        <f>(H500+I500+H501)*K502</f>
        <v>1.621784356956</v>
      </c>
      <c r="I502" s="439"/>
      <c r="J502" s="134"/>
      <c r="K502" s="324">
        <v>0.2999</v>
      </c>
      <c r="L502" s="191">
        <f t="shared" si="14"/>
        <v>1.4842</v>
      </c>
    </row>
    <row r="503" spans="1:14" s="64" customFormat="1" x14ac:dyDescent="0.2">
      <c r="A503" s="63"/>
      <c r="B503" s="385"/>
      <c r="C503" s="122"/>
      <c r="D503" s="75"/>
      <c r="E503" s="438" t="str">
        <f>E493</f>
        <v>Valor Total c/ Taxas</v>
      </c>
      <c r="F503" s="438"/>
      <c r="G503" s="438"/>
      <c r="H503" s="67"/>
      <c r="I503" s="69">
        <f>(H500+I500+H501+H502)</f>
        <v>7.0295347969559998</v>
      </c>
      <c r="J503" s="134"/>
      <c r="K503" s="324">
        <v>0.2999</v>
      </c>
      <c r="L503" s="191">
        <f t="shared" si="14"/>
        <v>1.4842</v>
      </c>
      <c r="M503" s="401">
        <v>7.03</v>
      </c>
      <c r="N503" s="86">
        <f>I503-M503</f>
        <v>-4.6520304400043955E-4</v>
      </c>
    </row>
    <row r="504" spans="1:14" s="64" customFormat="1" x14ac:dyDescent="0.2">
      <c r="A504" s="386"/>
      <c r="B504" s="151"/>
      <c r="C504" s="76"/>
      <c r="D504" s="386"/>
      <c r="E504" s="67"/>
      <c r="F504" s="327"/>
      <c r="G504" s="71"/>
      <c r="H504" s="67"/>
      <c r="I504" s="67"/>
      <c r="J504" s="134"/>
      <c r="K504" s="324"/>
      <c r="L504" s="191">
        <f t="shared" si="14"/>
        <v>1.4842</v>
      </c>
    </row>
    <row r="505" spans="1:14" s="64" customFormat="1" x14ac:dyDescent="0.2">
      <c r="A505" s="386"/>
      <c r="B505" s="151"/>
      <c r="C505" s="76" t="str">
        <f>orçamento!D68</f>
        <v>Caixa de pvc octogonal fundo móvel, dupla 4''</v>
      </c>
      <c r="D505" s="386" t="str">
        <f>D506</f>
        <v>unid</v>
      </c>
      <c r="E505" s="67"/>
      <c r="F505" s="327"/>
      <c r="G505" s="71"/>
      <c r="H505" s="67"/>
      <c r="I505" s="67"/>
      <c r="J505" s="134"/>
      <c r="K505" s="324">
        <v>0.2999</v>
      </c>
      <c r="L505" s="191">
        <f t="shared" si="14"/>
        <v>1.4842</v>
      </c>
    </row>
    <row r="506" spans="1:14" s="64" customFormat="1" x14ac:dyDescent="0.2">
      <c r="A506" s="63"/>
      <c r="B506" s="385"/>
      <c r="C506" s="122" t="str">
        <f>C505</f>
        <v>Caixa de pvc octogonal fundo móvel, dupla 4''</v>
      </c>
      <c r="D506" s="75" t="s">
        <v>513</v>
      </c>
      <c r="E506" s="67">
        <f>1.5*N10</f>
        <v>1.5</v>
      </c>
      <c r="F506" s="327">
        <v>2.69</v>
      </c>
      <c r="G506" s="71">
        <v>2.34</v>
      </c>
      <c r="H506" s="67"/>
      <c r="I506" s="67">
        <f>E506*G506</f>
        <v>3.51</v>
      </c>
      <c r="J506" s="134"/>
      <c r="K506" s="324">
        <v>0.2999</v>
      </c>
      <c r="L506" s="191">
        <f t="shared" si="14"/>
        <v>1.4842</v>
      </c>
    </row>
    <row r="507" spans="1:14" s="64" customFormat="1" x14ac:dyDescent="0.2">
      <c r="A507" s="63"/>
      <c r="B507" s="385"/>
      <c r="C507" s="122" t="s">
        <v>258</v>
      </c>
      <c r="D507" s="75" t="s">
        <v>53</v>
      </c>
      <c r="E507" s="132">
        <f>5.21*N10</f>
        <v>5.21</v>
      </c>
      <c r="F507" s="334"/>
      <c r="G507" s="71">
        <v>0.1</v>
      </c>
      <c r="H507" s="67">
        <f>E507*G507</f>
        <v>0.52100000000000002</v>
      </c>
      <c r="I507" s="133"/>
      <c r="J507" s="134"/>
      <c r="K507" s="324">
        <v>0.2999</v>
      </c>
      <c r="L507" s="191">
        <f t="shared" si="14"/>
        <v>1.4842</v>
      </c>
    </row>
    <row r="508" spans="1:14" s="64" customFormat="1" x14ac:dyDescent="0.2">
      <c r="A508" s="63"/>
      <c r="B508" s="385"/>
      <c r="C508" s="122" t="s">
        <v>259</v>
      </c>
      <c r="D508" s="75" t="s">
        <v>53</v>
      </c>
      <c r="E508" s="67">
        <f>3.77*N10</f>
        <v>3.77</v>
      </c>
      <c r="F508" s="334"/>
      <c r="G508" s="71">
        <v>0.1</v>
      </c>
      <c r="H508" s="67">
        <f>E508*G508</f>
        <v>0.377</v>
      </c>
      <c r="I508" s="133"/>
      <c r="J508" s="134"/>
      <c r="K508" s="324">
        <v>0.2999</v>
      </c>
      <c r="L508" s="191">
        <f t="shared" si="14"/>
        <v>1.4842</v>
      </c>
    </row>
    <row r="509" spans="1:14" s="64" customFormat="1" hidden="1" x14ac:dyDescent="0.2">
      <c r="A509" s="63"/>
      <c r="B509" s="385"/>
      <c r="C509" s="122"/>
      <c r="D509" s="75"/>
      <c r="E509" s="67"/>
      <c r="F509" s="327"/>
      <c r="G509" s="71"/>
      <c r="H509" s="67"/>
      <c r="I509" s="67"/>
      <c r="J509" s="134"/>
      <c r="K509" s="324">
        <v>0.2999</v>
      </c>
      <c r="L509" s="191">
        <f t="shared" si="14"/>
        <v>1.4842</v>
      </c>
    </row>
    <row r="510" spans="1:14" s="64" customFormat="1" x14ac:dyDescent="0.2">
      <c r="A510" s="63"/>
      <c r="B510" s="385"/>
      <c r="C510" s="122"/>
      <c r="D510" s="75"/>
      <c r="E510" s="438" t="str">
        <f>E500</f>
        <v>Custo Direto</v>
      </c>
      <c r="F510" s="438"/>
      <c r="G510" s="438"/>
      <c r="H510" s="69">
        <f>SUM(H506:H508)</f>
        <v>0.89800000000000002</v>
      </c>
      <c r="I510" s="69">
        <f>SUM(I506:I508)</f>
        <v>3.51</v>
      </c>
      <c r="J510" s="134"/>
      <c r="K510" s="324">
        <v>0.2999</v>
      </c>
      <c r="L510" s="191">
        <f t="shared" si="14"/>
        <v>1.4842</v>
      </c>
    </row>
    <row r="511" spans="1:14" s="64" customFormat="1" x14ac:dyDescent="0.2">
      <c r="A511" s="63"/>
      <c r="B511" s="385"/>
      <c r="C511" s="122"/>
      <c r="D511" s="75"/>
      <c r="E511" s="438" t="str">
        <f>E501</f>
        <v>LS(%): 148,42</v>
      </c>
      <c r="F511" s="438"/>
      <c r="G511" s="438"/>
      <c r="H511" s="67">
        <f>H510*L511</f>
        <v>1.3328116000000001</v>
      </c>
      <c r="I511" s="131"/>
      <c r="J511" s="134"/>
      <c r="K511" s="324">
        <v>0.2999</v>
      </c>
      <c r="L511" s="191">
        <f t="shared" si="14"/>
        <v>1.4842</v>
      </c>
    </row>
    <row r="512" spans="1:14" s="64" customFormat="1" x14ac:dyDescent="0.2">
      <c r="A512" s="63"/>
      <c r="B512" s="385"/>
      <c r="C512" s="122"/>
      <c r="D512" s="75"/>
      <c r="E512" s="438" t="str">
        <f>E502</f>
        <v>BDI (%): 29,99</v>
      </c>
      <c r="F512" s="438"/>
      <c r="G512" s="438"/>
      <c r="H512" s="439">
        <f>(H510+I510+H511)*K512</f>
        <v>1.72166939884</v>
      </c>
      <c r="I512" s="439"/>
      <c r="J512" s="134"/>
      <c r="K512" s="324">
        <v>0.2999</v>
      </c>
      <c r="L512" s="191">
        <f t="shared" si="14"/>
        <v>1.4842</v>
      </c>
    </row>
    <row r="513" spans="1:14" s="64" customFormat="1" x14ac:dyDescent="0.2">
      <c r="A513" s="63"/>
      <c r="B513" s="385"/>
      <c r="C513" s="122"/>
      <c r="D513" s="75"/>
      <c r="E513" s="438" t="str">
        <f>E503</f>
        <v>Valor Total c/ Taxas</v>
      </c>
      <c r="F513" s="438"/>
      <c r="G513" s="438"/>
      <c r="H513" s="67"/>
      <c r="I513" s="69">
        <f>(H510+I510+H511+H512)</f>
        <v>7.4624809988400003</v>
      </c>
      <c r="J513" s="134"/>
      <c r="K513" s="324">
        <v>0.2999</v>
      </c>
      <c r="L513" s="191">
        <f t="shared" si="14"/>
        <v>1.4842</v>
      </c>
      <c r="M513" s="401">
        <v>7.46</v>
      </c>
      <c r="N513" s="86">
        <f>I513-M513</f>
        <v>2.4809988400003036E-3</v>
      </c>
    </row>
    <row r="514" spans="1:14" s="64" customFormat="1" x14ac:dyDescent="0.2">
      <c r="A514" s="63"/>
      <c r="B514" s="385"/>
      <c r="C514" s="122"/>
      <c r="D514" s="75"/>
      <c r="E514" s="382"/>
      <c r="F514" s="382"/>
      <c r="G514" s="382"/>
      <c r="H514" s="67"/>
      <c r="I514" s="69"/>
      <c r="J514" s="134"/>
      <c r="K514" s="324"/>
      <c r="L514" s="191">
        <f t="shared" si="14"/>
        <v>1.4842</v>
      </c>
      <c r="M514" s="401"/>
      <c r="N514" s="86"/>
    </row>
    <row r="515" spans="1:14" s="64" customFormat="1" x14ac:dyDescent="0.2">
      <c r="A515" s="386"/>
      <c r="B515" s="151"/>
      <c r="C515" s="76" t="str">
        <f>orçamento!D69</f>
        <v>Caixa pvc quadrada 4''x4''x2''</v>
      </c>
      <c r="D515" s="386" t="str">
        <f>D516</f>
        <v>unid</v>
      </c>
      <c r="E515" s="67"/>
      <c r="F515" s="327"/>
      <c r="G515" s="71"/>
      <c r="H515" s="67"/>
      <c r="I515" s="67"/>
      <c r="J515" s="134"/>
      <c r="K515" s="324">
        <v>0.2999</v>
      </c>
      <c r="L515" s="191">
        <f t="shared" si="14"/>
        <v>1.4842</v>
      </c>
    </row>
    <row r="516" spans="1:14" s="64" customFormat="1" x14ac:dyDescent="0.2">
      <c r="A516" s="63"/>
      <c r="B516" s="385"/>
      <c r="C516" s="122" t="str">
        <f>C515</f>
        <v>Caixa pvc quadrada 4''x4''x2''</v>
      </c>
      <c r="D516" s="75" t="s">
        <v>513</v>
      </c>
      <c r="E516" s="67">
        <f>2.18*N10</f>
        <v>2.1800000000000002</v>
      </c>
      <c r="F516" s="327">
        <v>2.69</v>
      </c>
      <c r="G516" s="71">
        <v>2.34</v>
      </c>
      <c r="H516" s="67"/>
      <c r="I516" s="67">
        <f>E516*G516</f>
        <v>5.1012000000000004</v>
      </c>
      <c r="J516" s="134"/>
      <c r="K516" s="324">
        <v>0.2999</v>
      </c>
      <c r="L516" s="191">
        <f t="shared" si="14"/>
        <v>1.4842</v>
      </c>
    </row>
    <row r="517" spans="1:14" s="64" customFormat="1" x14ac:dyDescent="0.2">
      <c r="A517" s="63"/>
      <c r="B517" s="385"/>
      <c r="C517" s="122" t="s">
        <v>258</v>
      </c>
      <c r="D517" s="75" t="s">
        <v>53</v>
      </c>
      <c r="E517" s="132">
        <f>5.21*N10</f>
        <v>5.21</v>
      </c>
      <c r="F517" s="334"/>
      <c r="G517" s="71">
        <v>0.1</v>
      </c>
      <c r="H517" s="67">
        <f>E517*G517</f>
        <v>0.52100000000000002</v>
      </c>
      <c r="I517" s="133"/>
      <c r="J517" s="134"/>
      <c r="K517" s="324">
        <v>0.2999</v>
      </c>
      <c r="L517" s="191">
        <f t="shared" si="14"/>
        <v>1.4842</v>
      </c>
    </row>
    <row r="518" spans="1:14" s="64" customFormat="1" x14ac:dyDescent="0.2">
      <c r="A518" s="63"/>
      <c r="B518" s="385"/>
      <c r="C518" s="122" t="s">
        <v>259</v>
      </c>
      <c r="D518" s="75" t="s">
        <v>53</v>
      </c>
      <c r="E518" s="67">
        <f>3.77*N10</f>
        <v>3.77</v>
      </c>
      <c r="F518" s="334"/>
      <c r="G518" s="71">
        <v>0.1</v>
      </c>
      <c r="H518" s="67">
        <f>E518*G518</f>
        <v>0.377</v>
      </c>
      <c r="I518" s="133"/>
      <c r="J518" s="134"/>
      <c r="K518" s="324">
        <v>0.2999</v>
      </c>
      <c r="L518" s="191">
        <f t="shared" si="14"/>
        <v>1.4842</v>
      </c>
    </row>
    <row r="519" spans="1:14" s="64" customFormat="1" hidden="1" x14ac:dyDescent="0.2">
      <c r="A519" s="63"/>
      <c r="B519" s="385"/>
      <c r="C519" s="122"/>
      <c r="D519" s="75"/>
      <c r="E519" s="67"/>
      <c r="F519" s="327"/>
      <c r="G519" s="71"/>
      <c r="H519" s="67"/>
      <c r="I519" s="67"/>
      <c r="J519" s="134"/>
      <c r="K519" s="324">
        <v>0.2999</v>
      </c>
      <c r="L519" s="191">
        <f t="shared" si="14"/>
        <v>1.4842</v>
      </c>
    </row>
    <row r="520" spans="1:14" s="64" customFormat="1" x14ac:dyDescent="0.2">
      <c r="A520" s="63"/>
      <c r="B520" s="385"/>
      <c r="C520" s="122"/>
      <c r="D520" s="75"/>
      <c r="E520" s="438" t="str">
        <f>E510</f>
        <v>Custo Direto</v>
      </c>
      <c r="F520" s="438"/>
      <c r="G520" s="438"/>
      <c r="H520" s="69">
        <f>SUM(H516:H518)</f>
        <v>0.89800000000000002</v>
      </c>
      <c r="I520" s="69">
        <f>SUM(I516:I518)</f>
        <v>5.1012000000000004</v>
      </c>
      <c r="J520" s="134"/>
      <c r="K520" s="324">
        <v>0.2999</v>
      </c>
      <c r="L520" s="191">
        <f t="shared" si="14"/>
        <v>1.4842</v>
      </c>
    </row>
    <row r="521" spans="1:14" s="64" customFormat="1" x14ac:dyDescent="0.2">
      <c r="A521" s="63"/>
      <c r="B521" s="385"/>
      <c r="C521" s="122"/>
      <c r="D521" s="75"/>
      <c r="E521" s="438" t="str">
        <f>E511</f>
        <v>LS(%): 148,42</v>
      </c>
      <c r="F521" s="438"/>
      <c r="G521" s="438"/>
      <c r="H521" s="67">
        <f>H520*L521</f>
        <v>1.3328116000000001</v>
      </c>
      <c r="I521" s="131"/>
      <c r="J521" s="134"/>
      <c r="K521" s="324">
        <v>0.2999</v>
      </c>
      <c r="L521" s="191">
        <f t="shared" si="14"/>
        <v>1.4842</v>
      </c>
    </row>
    <row r="522" spans="1:14" s="64" customFormat="1" x14ac:dyDescent="0.2">
      <c r="A522" s="63"/>
      <c r="B522" s="385"/>
      <c r="C522" s="122"/>
      <c r="D522" s="75"/>
      <c r="E522" s="438" t="str">
        <f>E512</f>
        <v>BDI (%): 29,99</v>
      </c>
      <c r="F522" s="438"/>
      <c r="G522" s="438"/>
      <c r="H522" s="439">
        <f>(H520+I520+H521)*K522</f>
        <v>2.1988702788400003</v>
      </c>
      <c r="I522" s="439"/>
      <c r="J522" s="134"/>
      <c r="K522" s="324">
        <v>0.2999</v>
      </c>
      <c r="L522" s="191">
        <f t="shared" si="14"/>
        <v>1.4842</v>
      </c>
    </row>
    <row r="523" spans="1:14" s="64" customFormat="1" x14ac:dyDescent="0.2">
      <c r="A523" s="63"/>
      <c r="B523" s="385"/>
      <c r="C523" s="122"/>
      <c r="D523" s="75"/>
      <c r="E523" s="438" t="str">
        <f>E513</f>
        <v>Valor Total c/ Taxas</v>
      </c>
      <c r="F523" s="438"/>
      <c r="G523" s="438"/>
      <c r="H523" s="67"/>
      <c r="I523" s="69">
        <f>(H520+I520+H521+H522)</f>
        <v>9.5308818788400007</v>
      </c>
      <c r="J523" s="134"/>
      <c r="K523" s="324">
        <v>0.2999</v>
      </c>
      <c r="L523" s="191">
        <f t="shared" si="14"/>
        <v>1.4842</v>
      </c>
      <c r="M523" s="401">
        <v>9.5299999999999994</v>
      </c>
      <c r="N523" s="86">
        <f>I523-M523</f>
        <v>8.8187884000134886E-4</v>
      </c>
    </row>
    <row r="524" spans="1:14" s="64" customFormat="1" x14ac:dyDescent="0.2">
      <c r="A524" s="63"/>
      <c r="B524" s="385"/>
      <c r="C524" s="122"/>
      <c r="D524" s="75"/>
      <c r="E524" s="382"/>
      <c r="F524" s="382"/>
      <c r="G524" s="382"/>
      <c r="H524" s="67"/>
      <c r="I524" s="69"/>
      <c r="J524" s="134"/>
      <c r="K524" s="324"/>
      <c r="L524" s="191">
        <f t="shared" si="14"/>
        <v>1.4842</v>
      </c>
      <c r="M524" s="401"/>
      <c r="N524" s="86"/>
    </row>
    <row r="525" spans="1:14" s="64" customFormat="1" x14ac:dyDescent="0.2">
      <c r="A525" s="386"/>
      <c r="B525" s="151"/>
      <c r="C525" s="76" t="str">
        <f>orçamento!D70</f>
        <v xml:space="preserve">Caixa pvc 4'' x 2'' x 2'' </v>
      </c>
      <c r="D525" s="386" t="str">
        <f>D526</f>
        <v>unid</v>
      </c>
      <c r="E525" s="67"/>
      <c r="F525" s="327"/>
      <c r="G525" s="71"/>
      <c r="H525" s="67"/>
      <c r="I525" s="67"/>
      <c r="J525" s="134"/>
      <c r="K525" s="324">
        <v>0.2999</v>
      </c>
      <c r="L525" s="191">
        <f t="shared" si="14"/>
        <v>1.4842</v>
      </c>
    </row>
    <row r="526" spans="1:14" s="64" customFormat="1" x14ac:dyDescent="0.2">
      <c r="A526" s="63"/>
      <c r="B526" s="385"/>
      <c r="C526" s="122" t="str">
        <f>C525</f>
        <v xml:space="preserve">Caixa pvc 4'' x 2'' x 2'' </v>
      </c>
      <c r="D526" s="75" t="s">
        <v>513</v>
      </c>
      <c r="E526" s="67">
        <f>1.61*N10</f>
        <v>1.61</v>
      </c>
      <c r="F526" s="327">
        <v>2.69</v>
      </c>
      <c r="G526" s="71">
        <v>2.34</v>
      </c>
      <c r="H526" s="67"/>
      <c r="I526" s="67">
        <f>E526*G526</f>
        <v>3.7673999999999999</v>
      </c>
      <c r="J526" s="134"/>
      <c r="K526" s="324">
        <v>0.2999</v>
      </c>
      <c r="L526" s="191">
        <f t="shared" si="14"/>
        <v>1.4842</v>
      </c>
    </row>
    <row r="527" spans="1:14" s="64" customFormat="1" x14ac:dyDescent="0.2">
      <c r="A527" s="63"/>
      <c r="B527" s="385"/>
      <c r="C527" s="122" t="s">
        <v>258</v>
      </c>
      <c r="D527" s="75" t="s">
        <v>53</v>
      </c>
      <c r="E527" s="132">
        <f>5.21*N10</f>
        <v>5.21</v>
      </c>
      <c r="F527" s="334"/>
      <c r="G527" s="71">
        <v>0.1</v>
      </c>
      <c r="H527" s="67">
        <f>E527*G527</f>
        <v>0.52100000000000002</v>
      </c>
      <c r="I527" s="133"/>
      <c r="J527" s="134"/>
      <c r="K527" s="324">
        <v>0.2999</v>
      </c>
      <c r="L527" s="191">
        <f t="shared" si="14"/>
        <v>1.4842</v>
      </c>
    </row>
    <row r="528" spans="1:14" s="64" customFormat="1" x14ac:dyDescent="0.2">
      <c r="A528" s="63"/>
      <c r="B528" s="385"/>
      <c r="C528" s="122" t="s">
        <v>259</v>
      </c>
      <c r="D528" s="75" t="s">
        <v>53</v>
      </c>
      <c r="E528" s="67">
        <f>3.77*N10</f>
        <v>3.77</v>
      </c>
      <c r="F528" s="334"/>
      <c r="G528" s="71">
        <v>0.1</v>
      </c>
      <c r="H528" s="67">
        <f>E528*G528</f>
        <v>0.377</v>
      </c>
      <c r="I528" s="133"/>
      <c r="J528" s="134"/>
      <c r="K528" s="324">
        <v>0.2999</v>
      </c>
      <c r="L528" s="191">
        <f t="shared" si="14"/>
        <v>1.4842</v>
      </c>
    </row>
    <row r="529" spans="1:14" s="64" customFormat="1" hidden="1" x14ac:dyDescent="0.2">
      <c r="A529" s="63"/>
      <c r="B529" s="385"/>
      <c r="C529" s="122"/>
      <c r="D529" s="75"/>
      <c r="E529" s="67"/>
      <c r="F529" s="327"/>
      <c r="G529" s="71"/>
      <c r="H529" s="67"/>
      <c r="I529" s="67"/>
      <c r="J529" s="134"/>
      <c r="K529" s="324">
        <v>0.2999</v>
      </c>
      <c r="L529" s="191">
        <f t="shared" si="14"/>
        <v>1.4842</v>
      </c>
    </row>
    <row r="530" spans="1:14" s="64" customFormat="1" x14ac:dyDescent="0.2">
      <c r="A530" s="63"/>
      <c r="B530" s="385"/>
      <c r="C530" s="122"/>
      <c r="D530" s="75"/>
      <c r="E530" s="438" t="str">
        <f>E520</f>
        <v>Custo Direto</v>
      </c>
      <c r="F530" s="438"/>
      <c r="G530" s="438"/>
      <c r="H530" s="69">
        <f>SUM(H526:H528)</f>
        <v>0.89800000000000002</v>
      </c>
      <c r="I530" s="69">
        <f>SUM(I526:I528)</f>
        <v>3.7673999999999999</v>
      </c>
      <c r="J530" s="134"/>
      <c r="K530" s="324">
        <v>0.2999</v>
      </c>
      <c r="L530" s="191">
        <f t="shared" si="14"/>
        <v>1.4842</v>
      </c>
    </row>
    <row r="531" spans="1:14" s="64" customFormat="1" x14ac:dyDescent="0.2">
      <c r="A531" s="63"/>
      <c r="B531" s="385"/>
      <c r="C531" s="122"/>
      <c r="D531" s="75"/>
      <c r="E531" s="438" t="str">
        <f>E521</f>
        <v>LS(%): 148,42</v>
      </c>
      <c r="F531" s="438"/>
      <c r="G531" s="438"/>
      <c r="H531" s="67">
        <f>H530*L531</f>
        <v>1.3328116000000001</v>
      </c>
      <c r="I531" s="131"/>
      <c r="J531" s="134"/>
      <c r="K531" s="324">
        <v>0.2999</v>
      </c>
      <c r="L531" s="191">
        <f t="shared" si="14"/>
        <v>1.4842</v>
      </c>
    </row>
    <row r="532" spans="1:14" s="64" customFormat="1" x14ac:dyDescent="0.2">
      <c r="A532" s="63"/>
      <c r="B532" s="385"/>
      <c r="C532" s="122"/>
      <c r="D532" s="75"/>
      <c r="E532" s="438" t="str">
        <f>E522</f>
        <v>BDI (%): 29,99</v>
      </c>
      <c r="F532" s="438"/>
      <c r="G532" s="438"/>
      <c r="H532" s="439">
        <f>(H530+I530+H531)*K532</f>
        <v>1.79886365884</v>
      </c>
      <c r="I532" s="439"/>
      <c r="J532" s="134"/>
      <c r="K532" s="324">
        <v>0.2999</v>
      </c>
      <c r="L532" s="191">
        <f t="shared" si="14"/>
        <v>1.4842</v>
      </c>
    </row>
    <row r="533" spans="1:14" s="64" customFormat="1" x14ac:dyDescent="0.2">
      <c r="A533" s="63"/>
      <c r="B533" s="385"/>
      <c r="C533" s="122"/>
      <c r="D533" s="75"/>
      <c r="E533" s="438" t="str">
        <f>E523</f>
        <v>Valor Total c/ Taxas</v>
      </c>
      <c r="F533" s="438"/>
      <c r="G533" s="438"/>
      <c r="H533" s="67"/>
      <c r="I533" s="69">
        <f>(H530+I530+H531+H532)</f>
        <v>7.7970752588400005</v>
      </c>
      <c r="J533" s="134"/>
      <c r="K533" s="324">
        <v>0.2999</v>
      </c>
      <c r="L533" s="191">
        <f t="shared" si="14"/>
        <v>1.4842</v>
      </c>
      <c r="M533" s="401">
        <v>7.8</v>
      </c>
      <c r="N533" s="86">
        <f>I533-M533</f>
        <v>-2.9247411599993001E-3</v>
      </c>
    </row>
    <row r="534" spans="1:14" s="64" customFormat="1" x14ac:dyDescent="0.2">
      <c r="A534" s="63"/>
      <c r="B534" s="385"/>
      <c r="C534" s="122"/>
      <c r="D534" s="75"/>
      <c r="E534" s="382"/>
      <c r="F534" s="382"/>
      <c r="G534" s="382"/>
      <c r="H534" s="67"/>
      <c r="I534" s="69"/>
      <c r="J534" s="134"/>
      <c r="K534" s="324"/>
      <c r="L534" s="191">
        <f t="shared" si="14"/>
        <v>1.4842</v>
      </c>
      <c r="M534" s="401"/>
      <c r="N534" s="86"/>
    </row>
    <row r="535" spans="1:14" s="64" customFormat="1" x14ac:dyDescent="0.2">
      <c r="A535" s="386"/>
      <c r="B535" s="151"/>
      <c r="C535" s="76" t="str">
        <f>orçamento!D71</f>
        <v>Caixa passagem 20x20x25 fundo brita s/tampa</v>
      </c>
      <c r="D535" s="386" t="str">
        <f>D536</f>
        <v>unid</v>
      </c>
      <c r="E535" s="67"/>
      <c r="F535" s="327"/>
      <c r="G535" s="71"/>
      <c r="H535" s="67"/>
      <c r="I535" s="67"/>
      <c r="J535" s="134"/>
      <c r="K535" s="324">
        <v>0.2999</v>
      </c>
      <c r="L535" s="191">
        <f t="shared" si="14"/>
        <v>1.4842</v>
      </c>
    </row>
    <row r="536" spans="1:14" s="64" customFormat="1" x14ac:dyDescent="0.2">
      <c r="A536" s="63"/>
      <c r="B536" s="385"/>
      <c r="C536" s="122" t="str">
        <f>C535</f>
        <v>Caixa passagem 20x20x25 fundo brita s/tampa</v>
      </c>
      <c r="D536" s="75" t="s">
        <v>513</v>
      </c>
      <c r="E536" s="67">
        <f>14.09*N10</f>
        <v>14.09</v>
      </c>
      <c r="F536" s="327">
        <v>2.69</v>
      </c>
      <c r="G536" s="71">
        <v>2.34</v>
      </c>
      <c r="H536" s="67"/>
      <c r="I536" s="67">
        <f>E536*G536</f>
        <v>32.970599999999997</v>
      </c>
      <c r="J536" s="134"/>
      <c r="K536" s="324">
        <v>0.2999</v>
      </c>
      <c r="L536" s="191">
        <f t="shared" si="14"/>
        <v>1.4842</v>
      </c>
    </row>
    <row r="537" spans="1:14" s="64" customFormat="1" x14ac:dyDescent="0.2">
      <c r="A537" s="63"/>
      <c r="B537" s="385"/>
      <c r="C537" s="122" t="s">
        <v>258</v>
      </c>
      <c r="D537" s="75" t="s">
        <v>53</v>
      </c>
      <c r="E537" s="132">
        <f>5.21*N10</f>
        <v>5.21</v>
      </c>
      <c r="F537" s="334"/>
      <c r="G537" s="71">
        <v>0.17</v>
      </c>
      <c r="H537" s="67">
        <f>E537*G537</f>
        <v>0.88570000000000004</v>
      </c>
      <c r="I537" s="133"/>
      <c r="J537" s="134"/>
      <c r="K537" s="324">
        <v>0.2999</v>
      </c>
      <c r="L537" s="191">
        <f t="shared" si="14"/>
        <v>1.4842</v>
      </c>
    </row>
    <row r="538" spans="1:14" s="64" customFormat="1" x14ac:dyDescent="0.2">
      <c r="A538" s="63"/>
      <c r="B538" s="385"/>
      <c r="C538" s="122" t="s">
        <v>259</v>
      </c>
      <c r="D538" s="75" t="s">
        <v>53</v>
      </c>
      <c r="E538" s="67">
        <f>3.77*N10</f>
        <v>3.77</v>
      </c>
      <c r="F538" s="334"/>
      <c r="G538" s="71">
        <v>0.17</v>
      </c>
      <c r="H538" s="67">
        <f>E538*G538</f>
        <v>0.64090000000000003</v>
      </c>
      <c r="I538" s="133"/>
      <c r="J538" s="134"/>
      <c r="K538" s="324">
        <v>0.2999</v>
      </c>
      <c r="L538" s="191">
        <f t="shared" si="14"/>
        <v>1.4842</v>
      </c>
    </row>
    <row r="539" spans="1:14" s="64" customFormat="1" hidden="1" x14ac:dyDescent="0.2">
      <c r="A539" s="63"/>
      <c r="B539" s="385"/>
      <c r="C539" s="122"/>
      <c r="D539" s="75"/>
      <c r="E539" s="67"/>
      <c r="F539" s="327"/>
      <c r="G539" s="71"/>
      <c r="H539" s="67"/>
      <c r="I539" s="67"/>
      <c r="J539" s="134"/>
      <c r="K539" s="324">
        <v>0.2999</v>
      </c>
      <c r="L539" s="191">
        <f t="shared" si="14"/>
        <v>1.4842</v>
      </c>
    </row>
    <row r="540" spans="1:14" s="64" customFormat="1" x14ac:dyDescent="0.2">
      <c r="A540" s="63"/>
      <c r="B540" s="385"/>
      <c r="C540" s="122"/>
      <c r="D540" s="75"/>
      <c r="E540" s="438" t="str">
        <f>E530</f>
        <v>Custo Direto</v>
      </c>
      <c r="F540" s="438"/>
      <c r="G540" s="438"/>
      <c r="H540" s="69">
        <f>SUM(H536:H538)</f>
        <v>1.5266000000000002</v>
      </c>
      <c r="I540" s="69">
        <f>SUM(I536:I538)</f>
        <v>32.970599999999997</v>
      </c>
      <c r="J540" s="134"/>
      <c r="K540" s="324">
        <v>0.2999</v>
      </c>
      <c r="L540" s="191">
        <f t="shared" si="14"/>
        <v>1.4842</v>
      </c>
    </row>
    <row r="541" spans="1:14" s="64" customFormat="1" x14ac:dyDescent="0.2">
      <c r="A541" s="63"/>
      <c r="B541" s="385"/>
      <c r="C541" s="122"/>
      <c r="D541" s="75"/>
      <c r="E541" s="438" t="str">
        <f>E531</f>
        <v>LS(%): 148,42</v>
      </c>
      <c r="F541" s="438"/>
      <c r="G541" s="438"/>
      <c r="H541" s="67">
        <f>H540*L541</f>
        <v>2.2657797200000003</v>
      </c>
      <c r="I541" s="131"/>
      <c r="J541" s="134"/>
      <c r="K541" s="324">
        <v>0.2999</v>
      </c>
      <c r="L541" s="191">
        <f t="shared" si="14"/>
        <v>1.4842</v>
      </c>
    </row>
    <row r="542" spans="1:14" s="64" customFormat="1" x14ac:dyDescent="0.2">
      <c r="A542" s="63"/>
      <c r="B542" s="385"/>
      <c r="C542" s="122"/>
      <c r="D542" s="75"/>
      <c r="E542" s="438" t="str">
        <f>E532</f>
        <v>BDI (%): 29,99</v>
      </c>
      <c r="F542" s="438"/>
      <c r="G542" s="438"/>
      <c r="H542" s="439">
        <f>(H540+I540+H541)*K542</f>
        <v>11.025217618028</v>
      </c>
      <c r="I542" s="439"/>
      <c r="J542" s="134"/>
      <c r="K542" s="324">
        <v>0.2999</v>
      </c>
      <c r="L542" s="191">
        <f t="shared" si="14"/>
        <v>1.4842</v>
      </c>
    </row>
    <row r="543" spans="1:14" s="64" customFormat="1" x14ac:dyDescent="0.2">
      <c r="A543" s="63"/>
      <c r="B543" s="385"/>
      <c r="C543" s="122"/>
      <c r="D543" s="75"/>
      <c r="E543" s="438" t="str">
        <f>E533</f>
        <v>Valor Total c/ Taxas</v>
      </c>
      <c r="F543" s="438"/>
      <c r="G543" s="438"/>
      <c r="H543" s="67"/>
      <c r="I543" s="69">
        <f>(H540+I540+H541+H542)</f>
        <v>47.788197338027999</v>
      </c>
      <c r="J543" s="134"/>
      <c r="K543" s="324">
        <v>0.2999</v>
      </c>
      <c r="L543" s="191">
        <f t="shared" si="14"/>
        <v>1.4842</v>
      </c>
      <c r="M543" s="401">
        <v>47.79</v>
      </c>
      <c r="N543" s="86">
        <f>I543-M543</f>
        <v>-1.8026619720004078E-3</v>
      </c>
    </row>
    <row r="544" spans="1:14" s="64" customFormat="1" x14ac:dyDescent="0.2">
      <c r="A544" s="63"/>
      <c r="B544" s="385"/>
      <c r="C544" s="122"/>
      <c r="D544" s="75"/>
      <c r="E544" s="382"/>
      <c r="F544" s="382"/>
      <c r="G544" s="382"/>
      <c r="H544" s="67"/>
      <c r="I544" s="69"/>
      <c r="J544" s="134"/>
      <c r="K544" s="324"/>
      <c r="L544" s="191">
        <f t="shared" si="14"/>
        <v>1.4842</v>
      </c>
      <c r="M544" s="401"/>
      <c r="N544" s="86"/>
    </row>
    <row r="545" spans="1:14" s="64" customFormat="1" x14ac:dyDescent="0.2">
      <c r="A545" s="386"/>
      <c r="B545" s="151"/>
      <c r="C545" s="76" t="str">
        <f>orçamento!D72</f>
        <v>Caixa passagem 35x60x50 fundo de conc. (p/tampa r1)</v>
      </c>
      <c r="D545" s="386" t="str">
        <f>D546</f>
        <v>unid</v>
      </c>
      <c r="E545" s="67"/>
      <c r="F545" s="327"/>
      <c r="G545" s="71"/>
      <c r="H545" s="67"/>
      <c r="I545" s="67"/>
      <c r="J545" s="134"/>
      <c r="K545" s="324">
        <v>0.2999</v>
      </c>
      <c r="L545" s="191">
        <f t="shared" si="14"/>
        <v>1.4842</v>
      </c>
    </row>
    <row r="546" spans="1:14" s="64" customFormat="1" x14ac:dyDescent="0.2">
      <c r="A546" s="63"/>
      <c r="B546" s="385"/>
      <c r="C546" s="122" t="str">
        <f>C545</f>
        <v>Caixa passagem 35x60x50 fundo de conc. (p/tampa r1)</v>
      </c>
      <c r="D546" s="75" t="s">
        <v>513</v>
      </c>
      <c r="E546" s="67">
        <f>110.12*N10</f>
        <v>110.12</v>
      </c>
      <c r="F546" s="327">
        <v>2.69</v>
      </c>
      <c r="G546" s="71">
        <v>2.34</v>
      </c>
      <c r="H546" s="67"/>
      <c r="I546" s="67">
        <f>E546*G546</f>
        <v>257.68079999999998</v>
      </c>
      <c r="J546" s="134"/>
      <c r="K546" s="324">
        <v>0.2999</v>
      </c>
      <c r="L546" s="191">
        <f t="shared" si="14"/>
        <v>1.4842</v>
      </c>
    </row>
    <row r="547" spans="1:14" s="64" customFormat="1" x14ac:dyDescent="0.2">
      <c r="A547" s="63"/>
      <c r="B547" s="385"/>
      <c r="C547" s="122" t="s">
        <v>258</v>
      </c>
      <c r="D547" s="75" t="s">
        <v>53</v>
      </c>
      <c r="E547" s="132">
        <f>5.21*N10</f>
        <v>5.21</v>
      </c>
      <c r="F547" s="334"/>
      <c r="G547" s="71">
        <v>3.3</v>
      </c>
      <c r="H547" s="67">
        <f>E547*G547</f>
        <v>17.192999999999998</v>
      </c>
      <c r="I547" s="133"/>
      <c r="J547" s="134"/>
      <c r="K547" s="324">
        <v>0.2999</v>
      </c>
      <c r="L547" s="191">
        <f t="shared" si="14"/>
        <v>1.4842</v>
      </c>
    </row>
    <row r="548" spans="1:14" s="64" customFormat="1" x14ac:dyDescent="0.2">
      <c r="A548" s="63"/>
      <c r="B548" s="385"/>
      <c r="C548" s="122" t="s">
        <v>259</v>
      </c>
      <c r="D548" s="75" t="s">
        <v>53</v>
      </c>
      <c r="E548" s="67">
        <f>3.77*N10</f>
        <v>3.77</v>
      </c>
      <c r="F548" s="334"/>
      <c r="G548" s="71">
        <v>3.3</v>
      </c>
      <c r="H548" s="67">
        <f>E548*G548</f>
        <v>12.440999999999999</v>
      </c>
      <c r="I548" s="133"/>
      <c r="J548" s="134"/>
      <c r="K548" s="324">
        <v>0.2999</v>
      </c>
      <c r="L548" s="191">
        <f t="shared" si="14"/>
        <v>1.4842</v>
      </c>
    </row>
    <row r="549" spans="1:14" s="64" customFormat="1" hidden="1" x14ac:dyDescent="0.2">
      <c r="A549" s="63"/>
      <c r="B549" s="385"/>
      <c r="C549" s="122"/>
      <c r="D549" s="75"/>
      <c r="E549" s="67"/>
      <c r="F549" s="327"/>
      <c r="G549" s="71"/>
      <c r="H549" s="67"/>
      <c r="I549" s="67"/>
      <c r="J549" s="134"/>
      <c r="K549" s="324">
        <v>0.2999</v>
      </c>
      <c r="L549" s="191">
        <f t="shared" si="14"/>
        <v>1.4842</v>
      </c>
    </row>
    <row r="550" spans="1:14" s="64" customFormat="1" x14ac:dyDescent="0.2">
      <c r="A550" s="63"/>
      <c r="B550" s="385"/>
      <c r="C550" s="122"/>
      <c r="D550" s="75"/>
      <c r="E550" s="438" t="str">
        <f>E540</f>
        <v>Custo Direto</v>
      </c>
      <c r="F550" s="438"/>
      <c r="G550" s="438"/>
      <c r="H550" s="69">
        <f>SUM(H546:H548)</f>
        <v>29.633999999999997</v>
      </c>
      <c r="I550" s="69">
        <f>SUM(I546:I548)</f>
        <v>257.68079999999998</v>
      </c>
      <c r="J550" s="134"/>
      <c r="K550" s="324">
        <v>0.2999</v>
      </c>
      <c r="L550" s="191">
        <f t="shared" si="14"/>
        <v>1.4842</v>
      </c>
    </row>
    <row r="551" spans="1:14" s="64" customFormat="1" x14ac:dyDescent="0.2">
      <c r="A551" s="63"/>
      <c r="B551" s="385"/>
      <c r="C551" s="122"/>
      <c r="D551" s="75"/>
      <c r="E551" s="438" t="str">
        <f>E541</f>
        <v>LS(%): 148,42</v>
      </c>
      <c r="F551" s="438"/>
      <c r="G551" s="438"/>
      <c r="H551" s="67">
        <f>H550*L551</f>
        <v>43.982782799999995</v>
      </c>
      <c r="I551" s="131"/>
      <c r="J551" s="134"/>
      <c r="K551" s="324">
        <v>0.2999</v>
      </c>
      <c r="L551" s="191">
        <f t="shared" si="14"/>
        <v>1.4842</v>
      </c>
    </row>
    <row r="552" spans="1:14" s="64" customFormat="1" x14ac:dyDescent="0.2">
      <c r="A552" s="63"/>
      <c r="B552" s="385"/>
      <c r="C552" s="122"/>
      <c r="D552" s="75"/>
      <c r="E552" s="438" t="str">
        <f>E542</f>
        <v>BDI (%): 29,99</v>
      </c>
      <c r="F552" s="438"/>
      <c r="G552" s="438"/>
      <c r="H552" s="439">
        <f>(H550+I550+H551)*K552</f>
        <v>99.356145081720001</v>
      </c>
      <c r="I552" s="439"/>
      <c r="J552" s="134"/>
      <c r="K552" s="324">
        <v>0.2999</v>
      </c>
      <c r="L552" s="191">
        <f t="shared" si="14"/>
        <v>1.4842</v>
      </c>
    </row>
    <row r="553" spans="1:14" s="64" customFormat="1" x14ac:dyDescent="0.2">
      <c r="A553" s="63"/>
      <c r="B553" s="385"/>
      <c r="C553" s="122"/>
      <c r="D553" s="75"/>
      <c r="E553" s="438" t="str">
        <f>E543</f>
        <v>Valor Total c/ Taxas</v>
      </c>
      <c r="F553" s="438"/>
      <c r="G553" s="438"/>
      <c r="H553" s="67"/>
      <c r="I553" s="69">
        <f>(H550+I550+H551+H552)</f>
        <v>430.65372788171999</v>
      </c>
      <c r="J553" s="134"/>
      <c r="K553" s="324">
        <v>0.2999</v>
      </c>
      <c r="L553" s="191">
        <f t="shared" si="14"/>
        <v>1.4842</v>
      </c>
      <c r="M553" s="401">
        <v>430.65</v>
      </c>
      <c r="N553" s="86">
        <f>I553-M553</f>
        <v>3.7278817200103731E-3</v>
      </c>
    </row>
    <row r="554" spans="1:14" s="64" customFormat="1" x14ac:dyDescent="0.2">
      <c r="A554" s="63"/>
      <c r="B554" s="385"/>
      <c r="C554" s="122"/>
      <c r="D554" s="75"/>
      <c r="E554" s="382"/>
      <c r="F554" s="382"/>
      <c r="G554" s="382"/>
      <c r="H554" s="67"/>
      <c r="I554" s="69"/>
      <c r="J554" s="134"/>
      <c r="K554" s="324"/>
      <c r="L554" s="191">
        <f t="shared" si="14"/>
        <v>1.4842</v>
      </c>
      <c r="M554" s="401"/>
      <c r="N554" s="86"/>
    </row>
    <row r="555" spans="1:14" s="64" customFormat="1" x14ac:dyDescent="0.2">
      <c r="A555" s="386"/>
      <c r="B555" s="151"/>
      <c r="C555" s="76" t="str">
        <f>orçamento!D73</f>
        <v xml:space="preserve">Caixa passagem 50x50x60 fundo de brita s/tampa </v>
      </c>
      <c r="D555" s="386" t="str">
        <f>D556</f>
        <v>unid</v>
      </c>
      <c r="E555" s="67"/>
      <c r="F555" s="327"/>
      <c r="G555" s="71"/>
      <c r="H555" s="67"/>
      <c r="I555" s="67"/>
      <c r="J555" s="134"/>
      <c r="K555" s="324">
        <v>0.2999</v>
      </c>
      <c r="L555" s="191">
        <f t="shared" si="14"/>
        <v>1.4842</v>
      </c>
    </row>
    <row r="556" spans="1:14" s="64" customFormat="1" x14ac:dyDescent="0.2">
      <c r="A556" s="63"/>
      <c r="B556" s="385"/>
      <c r="C556" s="122" t="str">
        <f>C555</f>
        <v xml:space="preserve">Caixa passagem 50x50x60 fundo de brita s/tampa </v>
      </c>
      <c r="D556" s="75" t="s">
        <v>513</v>
      </c>
      <c r="E556" s="67">
        <f>51.45*N10</f>
        <v>51.45</v>
      </c>
      <c r="F556" s="327">
        <v>2.69</v>
      </c>
      <c r="G556" s="71">
        <v>2.34</v>
      </c>
      <c r="H556" s="67"/>
      <c r="I556" s="67">
        <f>E556*G556</f>
        <v>120.393</v>
      </c>
      <c r="J556" s="134"/>
      <c r="K556" s="324">
        <v>0.2999</v>
      </c>
      <c r="L556" s="191">
        <f t="shared" si="14"/>
        <v>1.4842</v>
      </c>
    </row>
    <row r="557" spans="1:14" s="64" customFormat="1" x14ac:dyDescent="0.2">
      <c r="A557" s="63"/>
      <c r="B557" s="385"/>
      <c r="C557" s="122" t="s">
        <v>258</v>
      </c>
      <c r="D557" s="75" t="s">
        <v>53</v>
      </c>
      <c r="E557" s="132">
        <f>5.21*N10</f>
        <v>5.21</v>
      </c>
      <c r="F557" s="334"/>
      <c r="G557" s="71">
        <v>3.3</v>
      </c>
      <c r="H557" s="67">
        <f>E557*G557</f>
        <v>17.192999999999998</v>
      </c>
      <c r="I557" s="133"/>
      <c r="J557" s="134"/>
      <c r="K557" s="324">
        <v>0.2999</v>
      </c>
      <c r="L557" s="191">
        <f t="shared" si="14"/>
        <v>1.4842</v>
      </c>
    </row>
    <row r="558" spans="1:14" s="64" customFormat="1" x14ac:dyDescent="0.2">
      <c r="A558" s="63"/>
      <c r="B558" s="385"/>
      <c r="C558" s="122" t="s">
        <v>259</v>
      </c>
      <c r="D558" s="75" t="s">
        <v>53</v>
      </c>
      <c r="E558" s="67">
        <f>3.77*N10</f>
        <v>3.77</v>
      </c>
      <c r="F558" s="334"/>
      <c r="G558" s="71">
        <v>3.3</v>
      </c>
      <c r="H558" s="67">
        <f>E558*G558</f>
        <v>12.440999999999999</v>
      </c>
      <c r="I558" s="133"/>
      <c r="J558" s="134"/>
      <c r="K558" s="324">
        <v>0.2999</v>
      </c>
      <c r="L558" s="191">
        <f t="shared" si="14"/>
        <v>1.4842</v>
      </c>
    </row>
    <row r="559" spans="1:14" s="64" customFormat="1" hidden="1" x14ac:dyDescent="0.2">
      <c r="A559" s="63"/>
      <c r="B559" s="385"/>
      <c r="C559" s="122"/>
      <c r="D559" s="75"/>
      <c r="E559" s="67"/>
      <c r="F559" s="327"/>
      <c r="G559" s="71"/>
      <c r="H559" s="67"/>
      <c r="I559" s="67"/>
      <c r="J559" s="134"/>
      <c r="K559" s="324">
        <v>0.2999</v>
      </c>
      <c r="L559" s="191">
        <f t="shared" si="14"/>
        <v>1.4842</v>
      </c>
    </row>
    <row r="560" spans="1:14" s="64" customFormat="1" x14ac:dyDescent="0.2">
      <c r="A560" s="63"/>
      <c r="B560" s="385"/>
      <c r="C560" s="122"/>
      <c r="D560" s="75"/>
      <c r="E560" s="438" t="str">
        <f>E550</f>
        <v>Custo Direto</v>
      </c>
      <c r="F560" s="438"/>
      <c r="G560" s="438"/>
      <c r="H560" s="69">
        <f>SUM(H556:H558)</f>
        <v>29.633999999999997</v>
      </c>
      <c r="I560" s="69">
        <f>SUM(I556:I558)</f>
        <v>120.393</v>
      </c>
      <c r="J560" s="134"/>
      <c r="K560" s="324">
        <v>0.2999</v>
      </c>
      <c r="L560" s="191">
        <f t="shared" si="14"/>
        <v>1.4842</v>
      </c>
    </row>
    <row r="561" spans="1:14" s="64" customFormat="1" x14ac:dyDescent="0.2">
      <c r="A561" s="63"/>
      <c r="B561" s="385"/>
      <c r="C561" s="122"/>
      <c r="D561" s="75"/>
      <c r="E561" s="438" t="str">
        <f>E551</f>
        <v>LS(%): 148,42</v>
      </c>
      <c r="F561" s="438"/>
      <c r="G561" s="438"/>
      <c r="H561" s="67">
        <f>H560*L561</f>
        <v>43.982782799999995</v>
      </c>
      <c r="I561" s="131"/>
      <c r="J561" s="134"/>
      <c r="K561" s="324">
        <v>0.2999</v>
      </c>
      <c r="L561" s="191">
        <f t="shared" si="14"/>
        <v>1.4842</v>
      </c>
    </row>
    <row r="562" spans="1:14" s="64" customFormat="1" x14ac:dyDescent="0.2">
      <c r="A562" s="63"/>
      <c r="B562" s="385"/>
      <c r="C562" s="122"/>
      <c r="D562" s="75"/>
      <c r="E562" s="438" t="str">
        <f>E552</f>
        <v>BDI (%): 29,99</v>
      </c>
      <c r="F562" s="438"/>
      <c r="G562" s="438"/>
      <c r="H562" s="439">
        <f>(H560+I560+H561)*K562</f>
        <v>58.183533861719994</v>
      </c>
      <c r="I562" s="439"/>
      <c r="J562" s="134"/>
      <c r="K562" s="324">
        <v>0.2999</v>
      </c>
      <c r="L562" s="191">
        <f t="shared" si="14"/>
        <v>1.4842</v>
      </c>
    </row>
    <row r="563" spans="1:14" s="64" customFormat="1" x14ac:dyDescent="0.2">
      <c r="A563" s="63"/>
      <c r="B563" s="385"/>
      <c r="C563" s="122"/>
      <c r="D563" s="75"/>
      <c r="E563" s="438" t="str">
        <f>E553</f>
        <v>Valor Total c/ Taxas</v>
      </c>
      <c r="F563" s="438"/>
      <c r="G563" s="438"/>
      <c r="H563" s="67"/>
      <c r="I563" s="69">
        <f>(H560+I560+H561+H562)</f>
        <v>252.19331666171996</v>
      </c>
      <c r="J563" s="134"/>
      <c r="K563" s="324">
        <v>0.2999</v>
      </c>
      <c r="L563" s="191">
        <f t="shared" si="14"/>
        <v>1.4842</v>
      </c>
      <c r="M563" s="401">
        <v>252.19</v>
      </c>
      <c r="N563" s="86">
        <f>I563-M563</f>
        <v>3.3166617199640314E-3</v>
      </c>
    </row>
    <row r="564" spans="1:14" s="64" customFormat="1" x14ac:dyDescent="0.2">
      <c r="A564" s="63"/>
      <c r="B564" s="385"/>
      <c r="C564" s="122"/>
      <c r="D564" s="75"/>
      <c r="E564" s="382"/>
      <c r="F564" s="382"/>
      <c r="G564" s="382"/>
      <c r="H564" s="67"/>
      <c r="I564" s="69"/>
      <c r="J564" s="134"/>
      <c r="K564" s="324"/>
      <c r="L564" s="191">
        <f t="shared" si="14"/>
        <v>1.4842</v>
      </c>
      <c r="M564" s="401"/>
      <c r="N564" s="86"/>
    </row>
    <row r="565" spans="1:14" s="64" customFormat="1" x14ac:dyDescent="0.2">
      <c r="A565" s="386"/>
      <c r="B565" s="151"/>
      <c r="C565" s="76" t="str">
        <f>orçamento!D74</f>
        <v>Certificado digital</v>
      </c>
      <c r="D565" s="386" t="str">
        <f>D566</f>
        <v>unid</v>
      </c>
      <c r="E565" s="67"/>
      <c r="F565" s="327"/>
      <c r="G565" s="71"/>
      <c r="H565" s="67"/>
      <c r="I565" s="67"/>
      <c r="J565" s="134"/>
      <c r="K565" s="324">
        <v>0.2999</v>
      </c>
      <c r="L565" s="191">
        <f t="shared" si="14"/>
        <v>1.4842</v>
      </c>
    </row>
    <row r="566" spans="1:14" s="64" customFormat="1" x14ac:dyDescent="0.2">
      <c r="A566" s="63"/>
      <c r="B566" s="385"/>
      <c r="C566" s="122" t="str">
        <f>C565</f>
        <v>Certificado digital</v>
      </c>
      <c r="D566" s="75" t="s">
        <v>513</v>
      </c>
      <c r="E566" s="67">
        <f>4.496*N10</f>
        <v>4.4960000000000004</v>
      </c>
      <c r="F566" s="327">
        <v>2.69</v>
      </c>
      <c r="G566" s="71">
        <v>2.34</v>
      </c>
      <c r="H566" s="67"/>
      <c r="I566" s="67">
        <f>E566*G566</f>
        <v>10.52064</v>
      </c>
      <c r="J566" s="134"/>
      <c r="K566" s="324">
        <v>0.2999</v>
      </c>
      <c r="L566" s="191">
        <f t="shared" ref="L566:L753" si="15">L565</f>
        <v>1.4842</v>
      </c>
    </row>
    <row r="567" spans="1:14" s="64" customFormat="1" hidden="1" x14ac:dyDescent="0.2">
      <c r="A567" s="63"/>
      <c r="B567" s="385"/>
      <c r="C567" s="122"/>
      <c r="D567" s="75"/>
      <c r="E567" s="67"/>
      <c r="F567" s="327"/>
      <c r="G567" s="71"/>
      <c r="H567" s="67"/>
      <c r="I567" s="67"/>
      <c r="J567" s="134"/>
      <c r="K567" s="324">
        <v>0.2999</v>
      </c>
      <c r="L567" s="191">
        <f t="shared" si="15"/>
        <v>1.4842</v>
      </c>
    </row>
    <row r="568" spans="1:14" s="64" customFormat="1" x14ac:dyDescent="0.2">
      <c r="A568" s="63"/>
      <c r="B568" s="385"/>
      <c r="C568" s="122"/>
      <c r="D568" s="75"/>
      <c r="E568" s="438" t="str">
        <f>E560</f>
        <v>Custo Direto</v>
      </c>
      <c r="F568" s="438"/>
      <c r="G568" s="438"/>
      <c r="H568" s="69">
        <f>SUM(H566:H566)</f>
        <v>0</v>
      </c>
      <c r="I568" s="69">
        <f>SUM(I566:I566)</f>
        <v>10.52064</v>
      </c>
      <c r="J568" s="134"/>
      <c r="K568" s="324">
        <v>0.2999</v>
      </c>
      <c r="L568" s="191">
        <f t="shared" si="15"/>
        <v>1.4842</v>
      </c>
    </row>
    <row r="569" spans="1:14" s="64" customFormat="1" x14ac:dyDescent="0.2">
      <c r="A569" s="63"/>
      <c r="B569" s="385"/>
      <c r="C569" s="122"/>
      <c r="D569" s="75"/>
      <c r="E569" s="438" t="str">
        <f>E561</f>
        <v>LS(%): 148,42</v>
      </c>
      <c r="F569" s="438"/>
      <c r="G569" s="438"/>
      <c r="H569" s="67">
        <f>H568*L569</f>
        <v>0</v>
      </c>
      <c r="I569" s="131"/>
      <c r="J569" s="134"/>
      <c r="K569" s="324">
        <v>0.2999</v>
      </c>
      <c r="L569" s="191">
        <f t="shared" si="15"/>
        <v>1.4842</v>
      </c>
    </row>
    <row r="570" spans="1:14" s="64" customFormat="1" x14ac:dyDescent="0.2">
      <c r="A570" s="63"/>
      <c r="B570" s="385"/>
      <c r="C570" s="122"/>
      <c r="D570" s="75"/>
      <c r="E570" s="438" t="str">
        <f>E562</f>
        <v>BDI (%): 29,99</v>
      </c>
      <c r="F570" s="438"/>
      <c r="G570" s="438"/>
      <c r="H570" s="439">
        <f>(H568+I568+H569)*K570</f>
        <v>3.1551399359999999</v>
      </c>
      <c r="I570" s="439"/>
      <c r="J570" s="134"/>
      <c r="K570" s="324">
        <v>0.2999</v>
      </c>
      <c r="L570" s="191">
        <f t="shared" si="15"/>
        <v>1.4842</v>
      </c>
    </row>
    <row r="571" spans="1:14" s="64" customFormat="1" x14ac:dyDescent="0.2">
      <c r="A571" s="63"/>
      <c r="B571" s="385"/>
      <c r="C571" s="122"/>
      <c r="D571" s="75"/>
      <c r="E571" s="438" t="str">
        <f>E563</f>
        <v>Valor Total c/ Taxas</v>
      </c>
      <c r="F571" s="438"/>
      <c r="G571" s="438"/>
      <c r="H571" s="67"/>
      <c r="I571" s="69">
        <f>(H568+I568+H569+H570)</f>
        <v>13.675779936</v>
      </c>
      <c r="J571" s="134"/>
      <c r="K571" s="324">
        <v>0.2999</v>
      </c>
      <c r="L571" s="191">
        <f t="shared" si="15"/>
        <v>1.4842</v>
      </c>
      <c r="M571" s="401">
        <v>13.68</v>
      </c>
      <c r="N571" s="86">
        <f>I571-M571</f>
        <v>-4.2200640000000789E-3</v>
      </c>
    </row>
    <row r="572" spans="1:14" s="64" customFormat="1" x14ac:dyDescent="0.2">
      <c r="A572" s="63"/>
      <c r="B572" s="385"/>
      <c r="C572" s="122"/>
      <c r="D572" s="75"/>
      <c r="E572" s="382"/>
      <c r="F572" s="382"/>
      <c r="G572" s="382"/>
      <c r="H572" s="67"/>
      <c r="I572" s="69"/>
      <c r="J572" s="134"/>
      <c r="K572" s="324"/>
      <c r="L572" s="191">
        <f t="shared" si="15"/>
        <v>1.4842</v>
      </c>
      <c r="M572" s="401"/>
      <c r="N572" s="86"/>
    </row>
    <row r="573" spans="1:14" s="64" customFormat="1" x14ac:dyDescent="0.2">
      <c r="A573" s="386"/>
      <c r="B573" s="151"/>
      <c r="C573" s="76" t="str">
        <f>orçamento!D75</f>
        <v>Condulete PVC Ib 3/4'' s/ tampa</v>
      </c>
      <c r="D573" s="386" t="str">
        <f>D574</f>
        <v>unid</v>
      </c>
      <c r="E573" s="67"/>
      <c r="F573" s="327"/>
      <c r="G573" s="71"/>
      <c r="H573" s="67"/>
      <c r="I573" s="67"/>
      <c r="J573" s="134"/>
      <c r="K573" s="324">
        <v>0.2999</v>
      </c>
      <c r="L573" s="191">
        <f t="shared" si="15"/>
        <v>1.4842</v>
      </c>
    </row>
    <row r="574" spans="1:14" s="64" customFormat="1" x14ac:dyDescent="0.2">
      <c r="A574" s="63"/>
      <c r="B574" s="385"/>
      <c r="C574" s="122" t="str">
        <f>C573</f>
        <v>Condulete PVC Ib 3/4'' s/ tampa</v>
      </c>
      <c r="D574" s="75" t="s">
        <v>513</v>
      </c>
      <c r="E574" s="67">
        <f>4.61*N10</f>
        <v>4.6100000000000003</v>
      </c>
      <c r="F574" s="327">
        <v>2.69</v>
      </c>
      <c r="G574" s="71">
        <v>2.3860000000000001</v>
      </c>
      <c r="H574" s="67"/>
      <c r="I574" s="67">
        <f>E574*G574</f>
        <v>10.999460000000001</v>
      </c>
      <c r="J574" s="134"/>
      <c r="K574" s="324">
        <v>0.2999</v>
      </c>
      <c r="L574" s="191">
        <f t="shared" si="15"/>
        <v>1.4842</v>
      </c>
    </row>
    <row r="575" spans="1:14" s="64" customFormat="1" x14ac:dyDescent="0.2">
      <c r="A575" s="63"/>
      <c r="B575" s="385"/>
      <c r="C575" s="122" t="s">
        <v>258</v>
      </c>
      <c r="D575" s="75" t="s">
        <v>53</v>
      </c>
      <c r="E575" s="132">
        <f>5.21*N10</f>
        <v>5.21</v>
      </c>
      <c r="F575" s="334"/>
      <c r="G575" s="71">
        <v>0.09</v>
      </c>
      <c r="H575" s="67">
        <f>E575*G575</f>
        <v>0.46889999999999998</v>
      </c>
      <c r="I575" s="133"/>
      <c r="J575" s="134"/>
      <c r="K575" s="324">
        <v>0.2999</v>
      </c>
      <c r="L575" s="191">
        <f t="shared" si="15"/>
        <v>1.4842</v>
      </c>
    </row>
    <row r="576" spans="1:14" s="64" customFormat="1" x14ac:dyDescent="0.2">
      <c r="A576" s="63"/>
      <c r="B576" s="385"/>
      <c r="C576" s="122" t="s">
        <v>259</v>
      </c>
      <c r="D576" s="75" t="s">
        <v>53</v>
      </c>
      <c r="E576" s="67">
        <f>3.77*N10</f>
        <v>3.77</v>
      </c>
      <c r="F576" s="334"/>
      <c r="G576" s="71">
        <v>0.09</v>
      </c>
      <c r="H576" s="67">
        <f>E576*G576</f>
        <v>0.33929999999999999</v>
      </c>
      <c r="I576" s="133"/>
      <c r="J576" s="134"/>
      <c r="K576" s="324">
        <v>0.2999</v>
      </c>
      <c r="L576" s="191">
        <f t="shared" si="15"/>
        <v>1.4842</v>
      </c>
    </row>
    <row r="577" spans="1:14" s="64" customFormat="1" hidden="1" x14ac:dyDescent="0.2">
      <c r="A577" s="63"/>
      <c r="B577" s="385"/>
      <c r="C577" s="122"/>
      <c r="D577" s="75"/>
      <c r="E577" s="67"/>
      <c r="F577" s="327"/>
      <c r="G577" s="71"/>
      <c r="H577" s="67"/>
      <c r="I577" s="67"/>
      <c r="J577" s="134"/>
      <c r="K577" s="324">
        <v>0.2999</v>
      </c>
      <c r="L577" s="191">
        <f t="shared" si="15"/>
        <v>1.4842</v>
      </c>
    </row>
    <row r="578" spans="1:14" s="64" customFormat="1" x14ac:dyDescent="0.2">
      <c r="A578" s="63"/>
      <c r="B578" s="385"/>
      <c r="C578" s="122"/>
      <c r="D578" s="75"/>
      <c r="E578" s="438" t="str">
        <f>E568</f>
        <v>Custo Direto</v>
      </c>
      <c r="F578" s="438"/>
      <c r="G578" s="438"/>
      <c r="H578" s="69">
        <f>SUM(H574:H576)</f>
        <v>0.80820000000000003</v>
      </c>
      <c r="I578" s="69">
        <f>SUM(I574:I576)</f>
        <v>10.999460000000001</v>
      </c>
      <c r="J578" s="134"/>
      <c r="K578" s="324">
        <v>0.2999</v>
      </c>
      <c r="L578" s="191">
        <f t="shared" si="15"/>
        <v>1.4842</v>
      </c>
    </row>
    <row r="579" spans="1:14" s="64" customFormat="1" x14ac:dyDescent="0.2">
      <c r="A579" s="63"/>
      <c r="B579" s="385"/>
      <c r="C579" s="122"/>
      <c r="D579" s="75"/>
      <c r="E579" s="438" t="str">
        <f>E569</f>
        <v>LS(%): 148,42</v>
      </c>
      <c r="F579" s="438"/>
      <c r="G579" s="438"/>
      <c r="H579" s="67">
        <f>H578*L579</f>
        <v>1.19953044</v>
      </c>
      <c r="I579" s="131"/>
      <c r="J579" s="134"/>
      <c r="K579" s="324">
        <v>0.2999</v>
      </c>
      <c r="L579" s="191">
        <f t="shared" si="15"/>
        <v>1.4842</v>
      </c>
    </row>
    <row r="580" spans="1:14" s="64" customFormat="1" x14ac:dyDescent="0.2">
      <c r="A580" s="63"/>
      <c r="B580" s="385"/>
      <c r="C580" s="122"/>
      <c r="D580" s="75"/>
      <c r="E580" s="438" t="str">
        <f>E570</f>
        <v>BDI (%): 29,99</v>
      </c>
      <c r="F580" s="438"/>
      <c r="G580" s="438"/>
      <c r="H580" s="439">
        <f>(H578+I578+H579)*K580</f>
        <v>3.9008564129560002</v>
      </c>
      <c r="I580" s="439"/>
      <c r="J580" s="134"/>
      <c r="K580" s="324">
        <v>0.2999</v>
      </c>
      <c r="L580" s="191">
        <f t="shared" si="15"/>
        <v>1.4842</v>
      </c>
    </row>
    <row r="581" spans="1:14" s="64" customFormat="1" x14ac:dyDescent="0.2">
      <c r="A581" s="63"/>
      <c r="B581" s="385"/>
      <c r="C581" s="122"/>
      <c r="D581" s="75"/>
      <c r="E581" s="438" t="str">
        <f>E571</f>
        <v>Valor Total c/ Taxas</v>
      </c>
      <c r="F581" s="438"/>
      <c r="G581" s="438"/>
      <c r="H581" s="67"/>
      <c r="I581" s="69">
        <f>(H578+I578+H579+H580)</f>
        <v>16.908046852956002</v>
      </c>
      <c r="J581" s="134"/>
      <c r="K581" s="324">
        <v>0.2999</v>
      </c>
      <c r="L581" s="191">
        <f t="shared" si="15"/>
        <v>1.4842</v>
      </c>
      <c r="M581" s="401">
        <v>16.91</v>
      </c>
      <c r="N581" s="86">
        <f>I581-M581</f>
        <v>-1.9531470439986265E-3</v>
      </c>
    </row>
    <row r="582" spans="1:14" s="64" customFormat="1" x14ac:dyDescent="0.2">
      <c r="A582" s="63"/>
      <c r="B582" s="385"/>
      <c r="C582" s="122"/>
      <c r="D582" s="75"/>
      <c r="E582" s="382"/>
      <c r="F582" s="382"/>
      <c r="G582" s="382"/>
      <c r="H582" s="67"/>
      <c r="I582" s="69"/>
      <c r="J582" s="134"/>
      <c r="K582" s="324"/>
      <c r="L582" s="191">
        <f t="shared" ref="L582" si="16">L581</f>
        <v>1.4842</v>
      </c>
      <c r="M582" s="401"/>
      <c r="N582" s="86"/>
    </row>
    <row r="583" spans="1:14" s="64" customFormat="1" x14ac:dyDescent="0.2">
      <c r="A583" s="386"/>
      <c r="B583" s="151"/>
      <c r="C583" s="76" t="str">
        <f>orçamento!D76</f>
        <v>Condulete PVC t 3/4'' s/ tampa</v>
      </c>
      <c r="D583" s="386" t="str">
        <f>D584</f>
        <v>unid</v>
      </c>
      <c r="E583" s="67"/>
      <c r="F583" s="327"/>
      <c r="G583" s="71"/>
      <c r="H583" s="67"/>
      <c r="I583" s="67"/>
      <c r="J583" s="134"/>
      <c r="K583" s="324">
        <v>0.2999</v>
      </c>
      <c r="L583" s="191">
        <f t="shared" si="15"/>
        <v>1.4842</v>
      </c>
    </row>
    <row r="584" spans="1:14" s="64" customFormat="1" x14ac:dyDescent="0.2">
      <c r="A584" s="63"/>
      <c r="B584" s="385"/>
      <c r="C584" s="122" t="str">
        <f>C583</f>
        <v>Condulete PVC t 3/4'' s/ tampa</v>
      </c>
      <c r="D584" s="75" t="s">
        <v>513</v>
      </c>
      <c r="E584" s="67">
        <f>8.94*N10</f>
        <v>8.94</v>
      </c>
      <c r="F584" s="327">
        <v>2.69</v>
      </c>
      <c r="G584" s="71">
        <v>2.3860000000000001</v>
      </c>
      <c r="H584" s="67"/>
      <c r="I584" s="67">
        <f>E584*G584</f>
        <v>21.330839999999998</v>
      </c>
      <c r="J584" s="134"/>
      <c r="K584" s="324">
        <v>0.2999</v>
      </c>
      <c r="L584" s="191">
        <f t="shared" si="15"/>
        <v>1.4842</v>
      </c>
    </row>
    <row r="585" spans="1:14" s="64" customFormat="1" x14ac:dyDescent="0.2">
      <c r="A585" s="63"/>
      <c r="B585" s="385"/>
      <c r="C585" s="122" t="s">
        <v>258</v>
      </c>
      <c r="D585" s="75" t="s">
        <v>53</v>
      </c>
      <c r="E585" s="132">
        <f>5.21*N10</f>
        <v>5.21</v>
      </c>
      <c r="F585" s="334"/>
      <c r="G585" s="71">
        <v>0.09</v>
      </c>
      <c r="H585" s="67">
        <f>E585*G585</f>
        <v>0.46889999999999998</v>
      </c>
      <c r="I585" s="133"/>
      <c r="J585" s="134"/>
      <c r="K585" s="324">
        <v>0.2999</v>
      </c>
      <c r="L585" s="191">
        <f t="shared" si="15"/>
        <v>1.4842</v>
      </c>
    </row>
    <row r="586" spans="1:14" s="64" customFormat="1" x14ac:dyDescent="0.2">
      <c r="A586" s="63"/>
      <c r="B586" s="385"/>
      <c r="C586" s="122" t="s">
        <v>259</v>
      </c>
      <c r="D586" s="75" t="s">
        <v>53</v>
      </c>
      <c r="E586" s="67">
        <f>3.77*N10</f>
        <v>3.77</v>
      </c>
      <c r="F586" s="334"/>
      <c r="G586" s="71">
        <v>0.09</v>
      </c>
      <c r="H586" s="67">
        <f>E586*G586</f>
        <v>0.33929999999999999</v>
      </c>
      <c r="I586" s="133"/>
      <c r="J586" s="134"/>
      <c r="K586" s="324">
        <v>0.2999</v>
      </c>
      <c r="L586" s="191">
        <f t="shared" si="15"/>
        <v>1.4842</v>
      </c>
    </row>
    <row r="587" spans="1:14" s="64" customFormat="1" hidden="1" x14ac:dyDescent="0.2">
      <c r="A587" s="63"/>
      <c r="B587" s="385"/>
      <c r="C587" s="122"/>
      <c r="D587" s="75"/>
      <c r="E587" s="67"/>
      <c r="F587" s="327"/>
      <c r="G587" s="71"/>
      <c r="H587" s="67"/>
      <c r="I587" s="67"/>
      <c r="J587" s="134"/>
      <c r="K587" s="324">
        <v>0.2999</v>
      </c>
      <c r="L587" s="191">
        <f t="shared" si="15"/>
        <v>1.4842</v>
      </c>
    </row>
    <row r="588" spans="1:14" s="64" customFormat="1" x14ac:dyDescent="0.2">
      <c r="A588" s="63"/>
      <c r="B588" s="385"/>
      <c r="C588" s="122"/>
      <c r="D588" s="75"/>
      <c r="E588" s="438" t="str">
        <f>E578</f>
        <v>Custo Direto</v>
      </c>
      <c r="F588" s="438"/>
      <c r="G588" s="438"/>
      <c r="H588" s="69">
        <f>SUM(H584:H586)</f>
        <v>0.80820000000000003</v>
      </c>
      <c r="I588" s="69">
        <f>SUM(I584:I586)</f>
        <v>21.330839999999998</v>
      </c>
      <c r="J588" s="134"/>
      <c r="K588" s="324">
        <v>0.2999</v>
      </c>
      <c r="L588" s="191">
        <f t="shared" si="15"/>
        <v>1.4842</v>
      </c>
    </row>
    <row r="589" spans="1:14" s="64" customFormat="1" x14ac:dyDescent="0.2">
      <c r="A589" s="63"/>
      <c r="B589" s="385"/>
      <c r="C589" s="122"/>
      <c r="D589" s="75"/>
      <c r="E589" s="438" t="str">
        <f>E579</f>
        <v>LS(%): 148,42</v>
      </c>
      <c r="F589" s="438"/>
      <c r="G589" s="438"/>
      <c r="H589" s="67">
        <f>H588*L589</f>
        <v>1.19953044</v>
      </c>
      <c r="I589" s="131"/>
      <c r="J589" s="134"/>
      <c r="K589" s="324">
        <v>0.2999</v>
      </c>
      <c r="L589" s="191">
        <f t="shared" si="15"/>
        <v>1.4842</v>
      </c>
    </row>
    <row r="590" spans="1:14" s="64" customFormat="1" x14ac:dyDescent="0.2">
      <c r="A590" s="63"/>
      <c r="B590" s="385"/>
      <c r="C590" s="122"/>
      <c r="D590" s="75"/>
      <c r="E590" s="438" t="str">
        <f>E580</f>
        <v>BDI (%): 29,99</v>
      </c>
      <c r="F590" s="438"/>
      <c r="G590" s="438"/>
      <c r="H590" s="439">
        <f>(H588+I588+H589)*K590</f>
        <v>6.9992372749559992</v>
      </c>
      <c r="I590" s="439"/>
      <c r="J590" s="134"/>
      <c r="K590" s="324">
        <v>0.2999</v>
      </c>
      <c r="L590" s="191">
        <f t="shared" si="15"/>
        <v>1.4842</v>
      </c>
    </row>
    <row r="591" spans="1:14" s="64" customFormat="1" x14ac:dyDescent="0.2">
      <c r="A591" s="63"/>
      <c r="B591" s="385"/>
      <c r="C591" s="122"/>
      <c r="D591" s="75"/>
      <c r="E591" s="438" t="str">
        <f>E581</f>
        <v>Valor Total c/ Taxas</v>
      </c>
      <c r="F591" s="438"/>
      <c r="G591" s="438"/>
      <c r="H591" s="67"/>
      <c r="I591" s="69">
        <f>(H588+I588+H589+H590)</f>
        <v>30.337807714955996</v>
      </c>
      <c r="J591" s="134"/>
      <c r="K591" s="324">
        <v>0.2999</v>
      </c>
      <c r="L591" s="191">
        <f t="shared" si="15"/>
        <v>1.4842</v>
      </c>
      <c r="M591" s="401">
        <v>30.34</v>
      </c>
      <c r="N591" s="86">
        <f>I591-M591</f>
        <v>-2.1922850440034836E-3</v>
      </c>
    </row>
    <row r="592" spans="1:14" s="64" customFormat="1" x14ac:dyDescent="0.2">
      <c r="A592" s="63"/>
      <c r="B592" s="385"/>
      <c r="C592" s="122"/>
      <c r="D592" s="75"/>
      <c r="E592" s="382"/>
      <c r="F592" s="382"/>
      <c r="G592" s="382"/>
      <c r="H592" s="67"/>
      <c r="I592" s="69"/>
      <c r="J592" s="134"/>
      <c r="K592" s="324"/>
      <c r="L592" s="191">
        <f t="shared" si="15"/>
        <v>1.4842</v>
      </c>
      <c r="M592" s="401"/>
      <c r="N592" s="86"/>
    </row>
    <row r="593" spans="1:14" s="64" customFormat="1" x14ac:dyDescent="0.2">
      <c r="A593" s="63"/>
      <c r="B593" s="385"/>
      <c r="C593" s="122"/>
      <c r="D593" s="75"/>
      <c r="E593" s="382"/>
      <c r="F593" s="382"/>
      <c r="G593" s="382"/>
      <c r="H593" s="67"/>
      <c r="I593" s="69"/>
      <c r="J593" s="134"/>
      <c r="K593" s="324"/>
      <c r="L593" s="191">
        <f t="shared" si="15"/>
        <v>1.4842</v>
      </c>
      <c r="M593" s="401"/>
      <c r="N593" s="86"/>
    </row>
    <row r="594" spans="1:14" s="64" customFormat="1" x14ac:dyDescent="0.2">
      <c r="A594" s="386"/>
      <c r="B594" s="151"/>
      <c r="C594" s="76" t="str">
        <f>orçamento!D77</f>
        <v>Condulete PVC x 3/4'' s/ tampa</v>
      </c>
      <c r="D594" s="386" t="str">
        <f>D595</f>
        <v>unid</v>
      </c>
      <c r="E594" s="67"/>
      <c r="F594" s="327"/>
      <c r="G594" s="71"/>
      <c r="H594" s="67"/>
      <c r="I594" s="67"/>
      <c r="J594" s="134"/>
      <c r="K594" s="324">
        <v>0.2999</v>
      </c>
      <c r="L594" s="191">
        <f t="shared" si="15"/>
        <v>1.4842</v>
      </c>
    </row>
    <row r="595" spans="1:14" s="64" customFormat="1" x14ac:dyDescent="0.2">
      <c r="A595" s="63"/>
      <c r="B595" s="385"/>
      <c r="C595" s="122" t="str">
        <f>C594</f>
        <v>Condulete PVC x 3/4'' s/ tampa</v>
      </c>
      <c r="D595" s="75" t="s">
        <v>513</v>
      </c>
      <c r="E595" s="67">
        <f>8.06*N10</f>
        <v>8.06</v>
      </c>
      <c r="F595" s="327">
        <v>2.69</v>
      </c>
      <c r="G595" s="71">
        <v>2.3860000000000001</v>
      </c>
      <c r="H595" s="67"/>
      <c r="I595" s="67">
        <f>E595*G595</f>
        <v>19.231160000000003</v>
      </c>
      <c r="J595" s="134"/>
      <c r="K595" s="324">
        <v>0.2999</v>
      </c>
      <c r="L595" s="191">
        <f t="shared" si="15"/>
        <v>1.4842</v>
      </c>
    </row>
    <row r="596" spans="1:14" s="64" customFormat="1" x14ac:dyDescent="0.2">
      <c r="A596" s="63"/>
      <c r="B596" s="385"/>
      <c r="C596" s="122" t="s">
        <v>258</v>
      </c>
      <c r="D596" s="75" t="s">
        <v>53</v>
      </c>
      <c r="E596" s="132">
        <f>5.21*N10</f>
        <v>5.21</v>
      </c>
      <c r="F596" s="334"/>
      <c r="G596" s="71">
        <v>0.09</v>
      </c>
      <c r="H596" s="67">
        <f>E596*G596</f>
        <v>0.46889999999999998</v>
      </c>
      <c r="I596" s="133"/>
      <c r="J596" s="134"/>
      <c r="K596" s="324">
        <v>0.2999</v>
      </c>
      <c r="L596" s="191">
        <f t="shared" si="15"/>
        <v>1.4842</v>
      </c>
    </row>
    <row r="597" spans="1:14" s="64" customFormat="1" x14ac:dyDescent="0.2">
      <c r="A597" s="63"/>
      <c r="B597" s="385"/>
      <c r="C597" s="122" t="s">
        <v>259</v>
      </c>
      <c r="D597" s="75" t="s">
        <v>53</v>
      </c>
      <c r="E597" s="67">
        <f>3.77*N10</f>
        <v>3.77</v>
      </c>
      <c r="F597" s="334"/>
      <c r="G597" s="71">
        <v>0.09</v>
      </c>
      <c r="H597" s="67">
        <f>E597*G597</f>
        <v>0.33929999999999999</v>
      </c>
      <c r="I597" s="133"/>
      <c r="J597" s="134"/>
      <c r="K597" s="324">
        <v>0.2999</v>
      </c>
      <c r="L597" s="191">
        <f t="shared" si="15"/>
        <v>1.4842</v>
      </c>
    </row>
    <row r="598" spans="1:14" s="64" customFormat="1" hidden="1" x14ac:dyDescent="0.2">
      <c r="A598" s="63"/>
      <c r="B598" s="385"/>
      <c r="C598" s="122"/>
      <c r="D598" s="75"/>
      <c r="E598" s="67"/>
      <c r="F598" s="327"/>
      <c r="G598" s="71"/>
      <c r="H598" s="67"/>
      <c r="I598" s="67"/>
      <c r="J598" s="134"/>
      <c r="K598" s="324">
        <v>0.2999</v>
      </c>
      <c r="L598" s="191">
        <f t="shared" si="15"/>
        <v>1.4842</v>
      </c>
    </row>
    <row r="599" spans="1:14" s="64" customFormat="1" x14ac:dyDescent="0.2">
      <c r="A599" s="63"/>
      <c r="B599" s="385"/>
      <c r="C599" s="122"/>
      <c r="D599" s="75"/>
      <c r="E599" s="438" t="str">
        <f>E588</f>
        <v>Custo Direto</v>
      </c>
      <c r="F599" s="438"/>
      <c r="G599" s="438"/>
      <c r="H599" s="69">
        <f>SUM(H595:H597)</f>
        <v>0.80820000000000003</v>
      </c>
      <c r="I599" s="69">
        <f>SUM(I595:I597)</f>
        <v>19.231160000000003</v>
      </c>
      <c r="J599" s="134"/>
      <c r="K599" s="324">
        <v>0.2999</v>
      </c>
      <c r="L599" s="191">
        <f t="shared" si="15"/>
        <v>1.4842</v>
      </c>
    </row>
    <row r="600" spans="1:14" s="64" customFormat="1" x14ac:dyDescent="0.2">
      <c r="A600" s="63"/>
      <c r="B600" s="385"/>
      <c r="C600" s="122"/>
      <c r="D600" s="75"/>
      <c r="E600" s="438" t="str">
        <f>E589</f>
        <v>LS(%): 148,42</v>
      </c>
      <c r="F600" s="438"/>
      <c r="G600" s="438"/>
      <c r="H600" s="67">
        <f>H599*L600</f>
        <v>1.19953044</v>
      </c>
      <c r="I600" s="131"/>
      <c r="J600" s="134"/>
      <c r="K600" s="324">
        <v>0.2999</v>
      </c>
      <c r="L600" s="191">
        <f t="shared" si="15"/>
        <v>1.4842</v>
      </c>
    </row>
    <row r="601" spans="1:14" s="64" customFormat="1" x14ac:dyDescent="0.2">
      <c r="A601" s="63"/>
      <c r="B601" s="385"/>
      <c r="C601" s="122"/>
      <c r="D601" s="75"/>
      <c r="E601" s="438" t="str">
        <f>E590</f>
        <v>BDI (%): 29,99</v>
      </c>
      <c r="F601" s="438"/>
      <c r="G601" s="438"/>
      <c r="H601" s="439">
        <f>(H599+I599+H600)*K601</f>
        <v>6.3695432429560004</v>
      </c>
      <c r="I601" s="439"/>
      <c r="J601" s="134"/>
      <c r="K601" s="324">
        <v>0.2999</v>
      </c>
      <c r="L601" s="191">
        <f t="shared" si="15"/>
        <v>1.4842</v>
      </c>
    </row>
    <row r="602" spans="1:14" s="64" customFormat="1" x14ac:dyDescent="0.2">
      <c r="A602" s="63"/>
      <c r="B602" s="385"/>
      <c r="C602" s="122"/>
      <c r="D602" s="75"/>
      <c r="E602" s="438" t="str">
        <f>E591</f>
        <v>Valor Total c/ Taxas</v>
      </c>
      <c r="F602" s="438"/>
      <c r="G602" s="438"/>
      <c r="H602" s="67"/>
      <c r="I602" s="69">
        <f>(H599+I599+H600+H601)</f>
        <v>27.608433682956004</v>
      </c>
      <c r="J602" s="134"/>
      <c r="K602" s="324">
        <v>0.2999</v>
      </c>
      <c r="L602" s="191">
        <f t="shared" si="15"/>
        <v>1.4842</v>
      </c>
      <c r="M602" s="401">
        <v>27.61</v>
      </c>
      <c r="N602" s="86">
        <f>I602-M602</f>
        <v>-1.5663170439950136E-3</v>
      </c>
    </row>
    <row r="603" spans="1:14" s="64" customFormat="1" x14ac:dyDescent="0.2">
      <c r="A603" s="63"/>
      <c r="B603" s="385"/>
      <c r="C603" s="122"/>
      <c r="D603" s="75"/>
      <c r="E603" s="382"/>
      <c r="F603" s="382"/>
      <c r="G603" s="382"/>
      <c r="H603" s="67"/>
      <c r="I603" s="69"/>
      <c r="J603" s="134"/>
      <c r="K603" s="324"/>
      <c r="L603" s="191">
        <f t="shared" si="15"/>
        <v>1.4842</v>
      </c>
      <c r="M603" s="401"/>
      <c r="N603" s="86"/>
    </row>
    <row r="604" spans="1:14" s="64" customFormat="1" x14ac:dyDescent="0.2">
      <c r="A604" s="386"/>
      <c r="B604" s="151"/>
      <c r="C604" s="76" t="str">
        <f>orçamento!D78</f>
        <v>Convesor de fibra óptica para cabo UTP</v>
      </c>
      <c r="D604" s="386" t="str">
        <f>D605</f>
        <v>unid</v>
      </c>
      <c r="E604" s="67"/>
      <c r="F604" s="327"/>
      <c r="G604" s="71"/>
      <c r="H604" s="67"/>
      <c r="I604" s="67"/>
      <c r="J604" s="134"/>
      <c r="K604" s="324">
        <v>0.2999</v>
      </c>
      <c r="L604" s="191">
        <f t="shared" si="15"/>
        <v>1.4842</v>
      </c>
    </row>
    <row r="605" spans="1:14" s="64" customFormat="1" x14ac:dyDescent="0.2">
      <c r="A605" s="63"/>
      <c r="B605" s="385"/>
      <c r="C605" s="122" t="str">
        <f>C604</f>
        <v>Convesor de fibra óptica para cabo UTP</v>
      </c>
      <c r="D605" s="75" t="s">
        <v>513</v>
      </c>
      <c r="E605" s="67">
        <f>50.295*N10</f>
        <v>50.295000000000002</v>
      </c>
      <c r="F605" s="327">
        <v>2.69</v>
      </c>
      <c r="G605" s="71">
        <v>2.3860000000000001</v>
      </c>
      <c r="H605" s="67"/>
      <c r="I605" s="67">
        <f>E605*G605</f>
        <v>120.00387000000001</v>
      </c>
      <c r="J605" s="134"/>
      <c r="K605" s="324">
        <v>0.2999</v>
      </c>
      <c r="L605" s="191">
        <f t="shared" si="15"/>
        <v>1.4842</v>
      </c>
    </row>
    <row r="606" spans="1:14" s="64" customFormat="1" x14ac:dyDescent="0.2">
      <c r="A606" s="63"/>
      <c r="B606" s="385"/>
      <c r="C606" s="122" t="s">
        <v>258</v>
      </c>
      <c r="D606" s="75" t="s">
        <v>53</v>
      </c>
      <c r="E606" s="132">
        <f>5.21*N10</f>
        <v>5.21</v>
      </c>
      <c r="F606" s="334"/>
      <c r="G606" s="71">
        <v>0.09</v>
      </c>
      <c r="H606" s="67">
        <f>E606*G606</f>
        <v>0.46889999999999998</v>
      </c>
      <c r="I606" s="133"/>
      <c r="J606" s="134"/>
      <c r="K606" s="324">
        <v>0.2999</v>
      </c>
      <c r="L606" s="191">
        <f t="shared" si="15"/>
        <v>1.4842</v>
      </c>
    </row>
    <row r="607" spans="1:14" s="64" customFormat="1" x14ac:dyDescent="0.2">
      <c r="A607" s="63"/>
      <c r="B607" s="385"/>
      <c r="C607" s="122" t="s">
        <v>259</v>
      </c>
      <c r="D607" s="75" t="s">
        <v>53</v>
      </c>
      <c r="E607" s="67">
        <f>3.77*N10</f>
        <v>3.77</v>
      </c>
      <c r="F607" s="334"/>
      <c r="G607" s="71">
        <v>0.09</v>
      </c>
      <c r="H607" s="67">
        <f>E607*G607</f>
        <v>0.33929999999999999</v>
      </c>
      <c r="I607" s="133"/>
      <c r="J607" s="134"/>
      <c r="K607" s="324">
        <v>0.2999</v>
      </c>
      <c r="L607" s="191">
        <f t="shared" si="15"/>
        <v>1.4842</v>
      </c>
    </row>
    <row r="608" spans="1:14" s="64" customFormat="1" hidden="1" x14ac:dyDescent="0.2">
      <c r="A608" s="63"/>
      <c r="B608" s="385"/>
      <c r="C608" s="122"/>
      <c r="D608" s="75"/>
      <c r="E608" s="67"/>
      <c r="F608" s="327"/>
      <c r="G608" s="71"/>
      <c r="H608" s="67"/>
      <c r="I608" s="67"/>
      <c r="J608" s="134"/>
      <c r="K608" s="324">
        <v>0.2999</v>
      </c>
      <c r="L608" s="191">
        <f t="shared" si="15"/>
        <v>1.4842</v>
      </c>
    </row>
    <row r="609" spans="1:14" s="64" customFormat="1" x14ac:dyDescent="0.2">
      <c r="A609" s="63"/>
      <c r="B609" s="385"/>
      <c r="C609" s="122"/>
      <c r="D609" s="75"/>
      <c r="E609" s="438" t="str">
        <f>E599</f>
        <v>Custo Direto</v>
      </c>
      <c r="F609" s="438"/>
      <c r="G609" s="438"/>
      <c r="H609" s="69">
        <f>SUM(H605:H607)</f>
        <v>0.80820000000000003</v>
      </c>
      <c r="I609" s="69">
        <f>SUM(I605:I607)</f>
        <v>120.00387000000001</v>
      </c>
      <c r="J609" s="134"/>
      <c r="K609" s="324">
        <v>0.2999</v>
      </c>
      <c r="L609" s="191">
        <f t="shared" si="15"/>
        <v>1.4842</v>
      </c>
    </row>
    <row r="610" spans="1:14" s="64" customFormat="1" x14ac:dyDescent="0.2">
      <c r="A610" s="63"/>
      <c r="B610" s="385"/>
      <c r="C610" s="122"/>
      <c r="D610" s="75"/>
      <c r="E610" s="438" t="str">
        <f>E600</f>
        <v>LS(%): 148,42</v>
      </c>
      <c r="F610" s="438"/>
      <c r="G610" s="438"/>
      <c r="H610" s="67">
        <f>H609*L610</f>
        <v>1.19953044</v>
      </c>
      <c r="I610" s="131"/>
      <c r="J610" s="134"/>
      <c r="K610" s="324">
        <v>0.2999</v>
      </c>
      <c r="L610" s="191">
        <f t="shared" si="15"/>
        <v>1.4842</v>
      </c>
    </row>
    <row r="611" spans="1:14" s="64" customFormat="1" x14ac:dyDescent="0.2">
      <c r="A611" s="63"/>
      <c r="B611" s="385"/>
      <c r="C611" s="122"/>
      <c r="D611" s="75"/>
      <c r="E611" s="438" t="str">
        <f>E601</f>
        <v>BDI (%): 29,99</v>
      </c>
      <c r="F611" s="438"/>
      <c r="G611" s="438"/>
      <c r="H611" s="439">
        <f>(H609+I609+H610)*K611</f>
        <v>36.591278971956001</v>
      </c>
      <c r="I611" s="439"/>
      <c r="J611" s="134"/>
      <c r="K611" s="324">
        <v>0.2999</v>
      </c>
      <c r="L611" s="191">
        <f t="shared" si="15"/>
        <v>1.4842</v>
      </c>
    </row>
    <row r="612" spans="1:14" s="64" customFormat="1" x14ac:dyDescent="0.2">
      <c r="A612" s="63"/>
      <c r="B612" s="385"/>
      <c r="C612" s="122"/>
      <c r="D612" s="75"/>
      <c r="E612" s="438" t="str">
        <f>E602</f>
        <v>Valor Total c/ Taxas</v>
      </c>
      <c r="F612" s="438"/>
      <c r="G612" s="438"/>
      <c r="H612" s="67"/>
      <c r="I612" s="69">
        <f>(H609+I609+H610+H611)</f>
        <v>158.602879411956</v>
      </c>
      <c r="J612" s="134"/>
      <c r="K612" s="324">
        <v>0.2999</v>
      </c>
      <c r="L612" s="191">
        <f t="shared" si="15"/>
        <v>1.4842</v>
      </c>
      <c r="M612" s="401">
        <v>158.6</v>
      </c>
      <c r="N612" s="86">
        <f>I612-M612</f>
        <v>2.8794119560018316E-3</v>
      </c>
    </row>
    <row r="613" spans="1:14" s="64" customFormat="1" x14ac:dyDescent="0.2">
      <c r="A613" s="63"/>
      <c r="B613" s="385"/>
      <c r="C613" s="122"/>
      <c r="D613" s="75"/>
      <c r="E613" s="382"/>
      <c r="F613" s="382"/>
      <c r="G613" s="382"/>
      <c r="H613" s="67"/>
      <c r="I613" s="69"/>
      <c r="J613" s="134"/>
      <c r="K613" s="324"/>
      <c r="L613" s="191">
        <f t="shared" si="15"/>
        <v>1.4842</v>
      </c>
      <c r="M613" s="401"/>
      <c r="N613" s="86"/>
    </row>
    <row r="614" spans="1:14" s="64" customFormat="1" x14ac:dyDescent="0.2">
      <c r="A614" s="386"/>
      <c r="B614" s="151"/>
      <c r="C614" s="76" t="str">
        <f>orçamento!D79</f>
        <v>Disjuntor monopolar de 10 a 30-a</v>
      </c>
      <c r="D614" s="386" t="str">
        <f>D615</f>
        <v>unid</v>
      </c>
      <c r="E614" s="67"/>
      <c r="F614" s="327"/>
      <c r="G614" s="71"/>
      <c r="H614" s="67"/>
      <c r="I614" s="67"/>
      <c r="J614" s="134"/>
      <c r="K614" s="324">
        <v>0.2999</v>
      </c>
      <c r="L614" s="191">
        <f t="shared" si="15"/>
        <v>1.4842</v>
      </c>
    </row>
    <row r="615" spans="1:14" s="64" customFormat="1" x14ac:dyDescent="0.2">
      <c r="A615" s="63"/>
      <c r="B615" s="385"/>
      <c r="C615" s="122" t="str">
        <f>C614</f>
        <v>Disjuntor monopolar de 10 a 30-a</v>
      </c>
      <c r="D615" s="75" t="s">
        <v>513</v>
      </c>
      <c r="E615" s="67">
        <f>6.15*N10</f>
        <v>6.15</v>
      </c>
      <c r="F615" s="327">
        <v>2.69</v>
      </c>
      <c r="G615" s="71">
        <v>1</v>
      </c>
      <c r="H615" s="67"/>
      <c r="I615" s="67">
        <f>E615*G615</f>
        <v>6.15</v>
      </c>
      <c r="J615" s="134"/>
      <c r="K615" s="324">
        <v>0.2999</v>
      </c>
      <c r="L615" s="191">
        <f t="shared" si="15"/>
        <v>1.4842</v>
      </c>
    </row>
    <row r="616" spans="1:14" s="64" customFormat="1" x14ac:dyDescent="0.2">
      <c r="A616" s="63"/>
      <c r="B616" s="385"/>
      <c r="C616" s="122" t="s">
        <v>258</v>
      </c>
      <c r="D616" s="75" t="s">
        <v>53</v>
      </c>
      <c r="E616" s="132">
        <f>5.21*N10</f>
        <v>5.21</v>
      </c>
      <c r="F616" s="334"/>
      <c r="G616" s="71">
        <v>0.09</v>
      </c>
      <c r="H616" s="67">
        <f>E616*G616</f>
        <v>0.46889999999999998</v>
      </c>
      <c r="I616" s="133"/>
      <c r="J616" s="134"/>
      <c r="K616" s="324">
        <v>0.2999</v>
      </c>
      <c r="L616" s="191">
        <f t="shared" si="15"/>
        <v>1.4842</v>
      </c>
    </row>
    <row r="617" spans="1:14" s="64" customFormat="1" x14ac:dyDescent="0.2">
      <c r="A617" s="63"/>
      <c r="B617" s="385"/>
      <c r="C617" s="122" t="s">
        <v>259</v>
      </c>
      <c r="D617" s="75" t="s">
        <v>53</v>
      </c>
      <c r="E617" s="67">
        <f>3.77*N10</f>
        <v>3.77</v>
      </c>
      <c r="F617" s="334"/>
      <c r="G617" s="71">
        <v>0.09</v>
      </c>
      <c r="H617" s="67">
        <f>E617*G617</f>
        <v>0.33929999999999999</v>
      </c>
      <c r="I617" s="133"/>
      <c r="J617" s="134"/>
      <c r="K617" s="324">
        <v>0.2999</v>
      </c>
      <c r="L617" s="191">
        <f t="shared" si="15"/>
        <v>1.4842</v>
      </c>
    </row>
    <row r="618" spans="1:14" s="64" customFormat="1" hidden="1" x14ac:dyDescent="0.2">
      <c r="A618" s="63"/>
      <c r="B618" s="385"/>
      <c r="C618" s="122"/>
      <c r="D618" s="75"/>
      <c r="E618" s="67"/>
      <c r="F618" s="327"/>
      <c r="G618" s="71"/>
      <c r="H618" s="67"/>
      <c r="I618" s="67"/>
      <c r="J618" s="134"/>
      <c r="K618" s="324">
        <v>0.2999</v>
      </c>
      <c r="L618" s="191">
        <f t="shared" si="15"/>
        <v>1.4842</v>
      </c>
    </row>
    <row r="619" spans="1:14" s="64" customFormat="1" x14ac:dyDescent="0.2">
      <c r="A619" s="63"/>
      <c r="B619" s="385"/>
      <c r="C619" s="122"/>
      <c r="D619" s="75"/>
      <c r="E619" s="438" t="str">
        <f>E609</f>
        <v>Custo Direto</v>
      </c>
      <c r="F619" s="438"/>
      <c r="G619" s="438"/>
      <c r="H619" s="69">
        <f>SUM(H615:H617)</f>
        <v>0.80820000000000003</v>
      </c>
      <c r="I619" s="69">
        <f>SUM(I615:I617)</f>
        <v>6.15</v>
      </c>
      <c r="J619" s="134"/>
      <c r="K619" s="324">
        <v>0.2999</v>
      </c>
      <c r="L619" s="191">
        <f t="shared" si="15"/>
        <v>1.4842</v>
      </c>
    </row>
    <row r="620" spans="1:14" s="64" customFormat="1" x14ac:dyDescent="0.2">
      <c r="A620" s="63"/>
      <c r="B620" s="385"/>
      <c r="C620" s="122"/>
      <c r="D620" s="75"/>
      <c r="E620" s="438" t="str">
        <f>E610</f>
        <v>LS(%): 148,42</v>
      </c>
      <c r="F620" s="438"/>
      <c r="G620" s="438"/>
      <c r="H620" s="67">
        <f>H619*L620</f>
        <v>1.19953044</v>
      </c>
      <c r="I620" s="131"/>
      <c r="J620" s="134"/>
      <c r="K620" s="324">
        <v>0.2999</v>
      </c>
      <c r="L620" s="191">
        <f t="shared" si="15"/>
        <v>1.4842</v>
      </c>
    </row>
    <row r="621" spans="1:14" s="64" customFormat="1" x14ac:dyDescent="0.2">
      <c r="A621" s="63"/>
      <c r="B621" s="385"/>
      <c r="C621" s="122"/>
      <c r="D621" s="75"/>
      <c r="E621" s="438" t="str">
        <f>E611</f>
        <v>BDI (%): 29,99</v>
      </c>
      <c r="F621" s="438"/>
      <c r="G621" s="438"/>
      <c r="H621" s="439">
        <f>(H619+I619+H620)*K621</f>
        <v>2.4465033589559999</v>
      </c>
      <c r="I621" s="439"/>
      <c r="J621" s="134"/>
      <c r="K621" s="324">
        <v>0.2999</v>
      </c>
      <c r="L621" s="191">
        <f t="shared" si="15"/>
        <v>1.4842</v>
      </c>
    </row>
    <row r="622" spans="1:14" s="64" customFormat="1" x14ac:dyDescent="0.2">
      <c r="A622" s="63"/>
      <c r="B622" s="385"/>
      <c r="C622" s="122"/>
      <c r="D622" s="75"/>
      <c r="E622" s="438" t="str">
        <f>E612</f>
        <v>Valor Total c/ Taxas</v>
      </c>
      <c r="F622" s="438"/>
      <c r="G622" s="438"/>
      <c r="H622" s="67"/>
      <c r="I622" s="69">
        <f>(H619+I619+H620+H621)</f>
        <v>10.604233798955999</v>
      </c>
      <c r="J622" s="134"/>
      <c r="K622" s="324">
        <v>0.2999</v>
      </c>
      <c r="L622" s="191">
        <f t="shared" si="15"/>
        <v>1.4842</v>
      </c>
      <c r="M622" s="401">
        <v>10.6</v>
      </c>
      <c r="N622" s="86">
        <f>I622-M622</f>
        <v>4.2337989559992906E-3</v>
      </c>
    </row>
    <row r="623" spans="1:14" s="64" customFormat="1" x14ac:dyDescent="0.2">
      <c r="A623" s="63"/>
      <c r="B623" s="385"/>
      <c r="C623" s="122"/>
      <c r="D623" s="75"/>
      <c r="E623" s="382"/>
      <c r="F623" s="382"/>
      <c r="G623" s="382"/>
      <c r="H623" s="67"/>
      <c r="I623" s="69"/>
      <c r="J623" s="134"/>
      <c r="K623" s="324"/>
      <c r="L623" s="191">
        <f t="shared" si="15"/>
        <v>1.4842</v>
      </c>
      <c r="M623" s="401"/>
      <c r="N623" s="86"/>
    </row>
    <row r="624" spans="1:14" s="64" customFormat="1" x14ac:dyDescent="0.2">
      <c r="A624" s="386"/>
      <c r="B624" s="151"/>
      <c r="C624" s="76" t="str">
        <f>orçamento!D80</f>
        <v>Disjuntor tripolar de 40 a 50-a</v>
      </c>
      <c r="D624" s="386" t="str">
        <f>D625</f>
        <v>unid</v>
      </c>
      <c r="E624" s="67"/>
      <c r="F624" s="327"/>
      <c r="G624" s="71"/>
      <c r="H624" s="67"/>
      <c r="I624" s="67"/>
      <c r="J624" s="134"/>
      <c r="K624" s="324">
        <v>0.2999</v>
      </c>
      <c r="L624" s="191">
        <f t="shared" si="15"/>
        <v>1.4842</v>
      </c>
    </row>
    <row r="625" spans="1:14" s="64" customFormat="1" x14ac:dyDescent="0.2">
      <c r="A625" s="63"/>
      <c r="B625" s="385"/>
      <c r="C625" s="122" t="str">
        <f>C624</f>
        <v>Disjuntor tripolar de 40 a 50-a</v>
      </c>
      <c r="D625" s="75" t="s">
        <v>513</v>
      </c>
      <c r="E625" s="67">
        <f>51.235*N10</f>
        <v>51.234999999999999</v>
      </c>
      <c r="F625" s="327">
        <v>2.69</v>
      </c>
      <c r="G625" s="71">
        <v>1</v>
      </c>
      <c r="H625" s="67"/>
      <c r="I625" s="67">
        <f>E625*G625</f>
        <v>51.234999999999999</v>
      </c>
      <c r="J625" s="134"/>
      <c r="K625" s="324">
        <v>0.2999</v>
      </c>
      <c r="L625" s="191">
        <f t="shared" si="15"/>
        <v>1.4842</v>
      </c>
    </row>
    <row r="626" spans="1:14" s="64" customFormat="1" x14ac:dyDescent="0.2">
      <c r="A626" s="63"/>
      <c r="B626" s="385"/>
      <c r="C626" s="122" t="s">
        <v>258</v>
      </c>
      <c r="D626" s="75" t="s">
        <v>53</v>
      </c>
      <c r="E626" s="132">
        <f>5.21*N10</f>
        <v>5.21</v>
      </c>
      <c r="F626" s="334"/>
      <c r="G626" s="71">
        <v>0.09</v>
      </c>
      <c r="H626" s="67">
        <f>E626*G626</f>
        <v>0.46889999999999998</v>
      </c>
      <c r="I626" s="133"/>
      <c r="J626" s="134"/>
      <c r="K626" s="324">
        <v>0.2999</v>
      </c>
      <c r="L626" s="191">
        <f t="shared" si="15"/>
        <v>1.4842</v>
      </c>
    </row>
    <row r="627" spans="1:14" s="64" customFormat="1" x14ac:dyDescent="0.2">
      <c r="A627" s="63"/>
      <c r="B627" s="385"/>
      <c r="C627" s="122" t="s">
        <v>259</v>
      </c>
      <c r="D627" s="75" t="s">
        <v>53</v>
      </c>
      <c r="E627" s="67">
        <f>3.77*N10</f>
        <v>3.77</v>
      </c>
      <c r="F627" s="334"/>
      <c r="G627" s="71">
        <v>0.09</v>
      </c>
      <c r="H627" s="67">
        <f>E627*G627</f>
        <v>0.33929999999999999</v>
      </c>
      <c r="I627" s="133"/>
      <c r="J627" s="134"/>
      <c r="K627" s="324">
        <v>0.2999</v>
      </c>
      <c r="L627" s="191">
        <f t="shared" si="15"/>
        <v>1.4842</v>
      </c>
    </row>
    <row r="628" spans="1:14" s="64" customFormat="1" hidden="1" x14ac:dyDescent="0.2">
      <c r="A628" s="63"/>
      <c r="B628" s="385"/>
      <c r="C628" s="122"/>
      <c r="D628" s="75"/>
      <c r="E628" s="67"/>
      <c r="F628" s="327"/>
      <c r="G628" s="71"/>
      <c r="H628" s="67"/>
      <c r="I628" s="67"/>
      <c r="J628" s="134"/>
      <c r="K628" s="324">
        <v>0.2999</v>
      </c>
      <c r="L628" s="191">
        <f t="shared" si="15"/>
        <v>1.4842</v>
      </c>
    </row>
    <row r="629" spans="1:14" s="64" customFormat="1" x14ac:dyDescent="0.2">
      <c r="A629" s="63"/>
      <c r="B629" s="385"/>
      <c r="C629" s="122"/>
      <c r="D629" s="75"/>
      <c r="E629" s="438" t="str">
        <f>E619</f>
        <v>Custo Direto</v>
      </c>
      <c r="F629" s="438"/>
      <c r="G629" s="438"/>
      <c r="H629" s="69">
        <f>SUM(H625:H627)</f>
        <v>0.80820000000000003</v>
      </c>
      <c r="I629" s="69">
        <f>SUM(I625:I627)</f>
        <v>51.234999999999999</v>
      </c>
      <c r="J629" s="134"/>
      <c r="K629" s="324">
        <v>0.2999</v>
      </c>
      <c r="L629" s="191">
        <f t="shared" si="15"/>
        <v>1.4842</v>
      </c>
    </row>
    <row r="630" spans="1:14" s="64" customFormat="1" x14ac:dyDescent="0.2">
      <c r="A630" s="63"/>
      <c r="B630" s="385"/>
      <c r="C630" s="122"/>
      <c r="D630" s="75"/>
      <c r="E630" s="438" t="str">
        <f>E620</f>
        <v>LS(%): 148,42</v>
      </c>
      <c r="F630" s="438"/>
      <c r="G630" s="438"/>
      <c r="H630" s="67">
        <f>H629*L630</f>
        <v>1.19953044</v>
      </c>
      <c r="I630" s="131"/>
      <c r="J630" s="134"/>
      <c r="K630" s="324">
        <v>0.2999</v>
      </c>
      <c r="L630" s="191">
        <f t="shared" si="15"/>
        <v>1.4842</v>
      </c>
    </row>
    <row r="631" spans="1:14" s="64" customFormat="1" x14ac:dyDescent="0.2">
      <c r="A631" s="63"/>
      <c r="B631" s="385"/>
      <c r="C631" s="122"/>
      <c r="D631" s="75"/>
      <c r="E631" s="438" t="str">
        <f>E621</f>
        <v>BDI (%): 29,99</v>
      </c>
      <c r="F631" s="438"/>
      <c r="G631" s="438"/>
      <c r="H631" s="439">
        <f>(H629+I629+H630)*K631</f>
        <v>15.967494858955998</v>
      </c>
      <c r="I631" s="439"/>
      <c r="J631" s="134"/>
      <c r="K631" s="324">
        <v>0.2999</v>
      </c>
      <c r="L631" s="191">
        <f t="shared" si="15"/>
        <v>1.4842</v>
      </c>
    </row>
    <row r="632" spans="1:14" s="64" customFormat="1" x14ac:dyDescent="0.2">
      <c r="A632" s="63"/>
      <c r="B632" s="385"/>
      <c r="C632" s="122"/>
      <c r="D632" s="75"/>
      <c r="E632" s="438" t="str">
        <f>E622</f>
        <v>Valor Total c/ Taxas</v>
      </c>
      <c r="F632" s="438"/>
      <c r="G632" s="438"/>
      <c r="H632" s="67"/>
      <c r="I632" s="69">
        <f>(H629+I629+H630+H631)</f>
        <v>69.21022529895599</v>
      </c>
      <c r="J632" s="134"/>
      <c r="K632" s="324">
        <v>0.2999</v>
      </c>
      <c r="L632" s="191">
        <f t="shared" si="15"/>
        <v>1.4842</v>
      </c>
      <c r="M632" s="401">
        <v>69.209999999999994</v>
      </c>
      <c r="N632" s="86">
        <f>I632-M632</f>
        <v>2.2529895599632255E-4</v>
      </c>
    </row>
    <row r="633" spans="1:14" s="64" customFormat="1" x14ac:dyDescent="0.2">
      <c r="A633" s="63"/>
      <c r="B633" s="385"/>
      <c r="C633" s="122"/>
      <c r="D633" s="75"/>
      <c r="E633" s="382"/>
      <c r="F633" s="382"/>
      <c r="G633" s="382"/>
      <c r="H633" s="67"/>
      <c r="I633" s="69"/>
      <c r="J633" s="134"/>
      <c r="K633" s="324"/>
      <c r="L633" s="191">
        <f t="shared" si="15"/>
        <v>1.4842</v>
      </c>
      <c r="M633" s="401"/>
      <c r="N633" s="86"/>
    </row>
    <row r="634" spans="1:14" s="64" customFormat="1" x14ac:dyDescent="0.2">
      <c r="A634" s="386"/>
      <c r="B634" s="151"/>
      <c r="C634" s="76" t="str">
        <f>orçamento!D81</f>
        <v>Disjuntor tripolar de 10 a 35-a</v>
      </c>
      <c r="D634" s="386" t="str">
        <f>D635</f>
        <v>unid</v>
      </c>
      <c r="E634" s="67"/>
      <c r="F634" s="327"/>
      <c r="G634" s="71"/>
      <c r="H634" s="67"/>
      <c r="I634" s="67"/>
      <c r="J634" s="134"/>
      <c r="K634" s="324">
        <v>0.2999</v>
      </c>
      <c r="L634" s="191">
        <f t="shared" si="15"/>
        <v>1.4842</v>
      </c>
    </row>
    <row r="635" spans="1:14" s="64" customFormat="1" x14ac:dyDescent="0.2">
      <c r="A635" s="63"/>
      <c r="B635" s="385"/>
      <c r="C635" s="122" t="str">
        <f>C634</f>
        <v>Disjuntor tripolar de 10 a 35-a</v>
      </c>
      <c r="D635" s="75" t="s">
        <v>513</v>
      </c>
      <c r="E635" s="67">
        <f>51.235*N10</f>
        <v>51.234999999999999</v>
      </c>
      <c r="F635" s="327">
        <v>2.69</v>
      </c>
      <c r="G635" s="71">
        <v>1</v>
      </c>
      <c r="H635" s="67"/>
      <c r="I635" s="67">
        <f>E635*G635</f>
        <v>51.234999999999999</v>
      </c>
      <c r="J635" s="134"/>
      <c r="K635" s="324">
        <v>0.2999</v>
      </c>
      <c r="L635" s="191">
        <f t="shared" si="15"/>
        <v>1.4842</v>
      </c>
    </row>
    <row r="636" spans="1:14" s="64" customFormat="1" x14ac:dyDescent="0.2">
      <c r="A636" s="63"/>
      <c r="B636" s="385"/>
      <c r="C636" s="122" t="s">
        <v>258</v>
      </c>
      <c r="D636" s="75" t="s">
        <v>53</v>
      </c>
      <c r="E636" s="132">
        <f>5.21*N10</f>
        <v>5.21</v>
      </c>
      <c r="F636" s="334"/>
      <c r="G636" s="71">
        <v>0.09</v>
      </c>
      <c r="H636" s="67">
        <f>E636*G636</f>
        <v>0.46889999999999998</v>
      </c>
      <c r="I636" s="133"/>
      <c r="J636" s="134"/>
      <c r="K636" s="324">
        <v>0.2999</v>
      </c>
      <c r="L636" s="191">
        <f t="shared" si="15"/>
        <v>1.4842</v>
      </c>
    </row>
    <row r="637" spans="1:14" s="64" customFormat="1" x14ac:dyDescent="0.2">
      <c r="A637" s="63"/>
      <c r="B637" s="385"/>
      <c r="C637" s="122" t="s">
        <v>259</v>
      </c>
      <c r="D637" s="75" t="s">
        <v>53</v>
      </c>
      <c r="E637" s="67">
        <f>3.77*N10</f>
        <v>3.77</v>
      </c>
      <c r="F637" s="334"/>
      <c r="G637" s="71">
        <v>0.09</v>
      </c>
      <c r="H637" s="67">
        <f>E637*G637</f>
        <v>0.33929999999999999</v>
      </c>
      <c r="I637" s="133"/>
      <c r="J637" s="134"/>
      <c r="K637" s="324">
        <v>0.2999</v>
      </c>
      <c r="L637" s="191">
        <f t="shared" si="15"/>
        <v>1.4842</v>
      </c>
    </row>
    <row r="638" spans="1:14" s="64" customFormat="1" hidden="1" x14ac:dyDescent="0.2">
      <c r="A638" s="63"/>
      <c r="B638" s="385"/>
      <c r="C638" s="122"/>
      <c r="D638" s="75"/>
      <c r="E638" s="67"/>
      <c r="F638" s="327"/>
      <c r="G638" s="71"/>
      <c r="H638" s="67"/>
      <c r="I638" s="67"/>
      <c r="J638" s="134"/>
      <c r="K638" s="324">
        <v>0.2999</v>
      </c>
      <c r="L638" s="191">
        <f t="shared" si="15"/>
        <v>1.4842</v>
      </c>
    </row>
    <row r="639" spans="1:14" s="64" customFormat="1" x14ac:dyDescent="0.2">
      <c r="A639" s="63"/>
      <c r="B639" s="385"/>
      <c r="C639" s="122"/>
      <c r="D639" s="75"/>
      <c r="E639" s="438" t="str">
        <f>E629</f>
        <v>Custo Direto</v>
      </c>
      <c r="F639" s="438"/>
      <c r="G639" s="438"/>
      <c r="H639" s="69">
        <f>SUM(H635:H637)</f>
        <v>0.80820000000000003</v>
      </c>
      <c r="I639" s="69">
        <f>SUM(I635:I637)</f>
        <v>51.234999999999999</v>
      </c>
      <c r="J639" s="134"/>
      <c r="K639" s="324">
        <v>0.2999</v>
      </c>
      <c r="L639" s="191">
        <f t="shared" si="15"/>
        <v>1.4842</v>
      </c>
    </row>
    <row r="640" spans="1:14" s="64" customFormat="1" x14ac:dyDescent="0.2">
      <c r="A640" s="63"/>
      <c r="B640" s="385"/>
      <c r="C640" s="122"/>
      <c r="D640" s="75"/>
      <c r="E640" s="438" t="str">
        <f>E630</f>
        <v>LS(%): 148,42</v>
      </c>
      <c r="F640" s="438"/>
      <c r="G640" s="438"/>
      <c r="H640" s="67">
        <f>H639*L640</f>
        <v>1.19953044</v>
      </c>
      <c r="I640" s="131"/>
      <c r="J640" s="134"/>
      <c r="K640" s="324">
        <v>0.2999</v>
      </c>
      <c r="L640" s="191">
        <f t="shared" si="15"/>
        <v>1.4842</v>
      </c>
    </row>
    <row r="641" spans="1:14" s="64" customFormat="1" x14ac:dyDescent="0.2">
      <c r="A641" s="63"/>
      <c r="B641" s="385"/>
      <c r="C641" s="122"/>
      <c r="D641" s="75"/>
      <c r="E641" s="438" t="str">
        <f>E631</f>
        <v>BDI (%): 29,99</v>
      </c>
      <c r="F641" s="438"/>
      <c r="G641" s="438"/>
      <c r="H641" s="439">
        <f>(H639+I639+H640)*K641</f>
        <v>15.967494858955998</v>
      </c>
      <c r="I641" s="439"/>
      <c r="J641" s="134"/>
      <c r="K641" s="324">
        <v>0.2999</v>
      </c>
      <c r="L641" s="191">
        <f t="shared" si="15"/>
        <v>1.4842</v>
      </c>
    </row>
    <row r="642" spans="1:14" s="64" customFormat="1" x14ac:dyDescent="0.2">
      <c r="A642" s="63"/>
      <c r="B642" s="385"/>
      <c r="C642" s="122"/>
      <c r="D642" s="75"/>
      <c r="E642" s="438" t="str">
        <f>E632</f>
        <v>Valor Total c/ Taxas</v>
      </c>
      <c r="F642" s="438"/>
      <c r="G642" s="438"/>
      <c r="H642" s="67"/>
      <c r="I642" s="69">
        <f>(H639+I639+H640+H641)</f>
        <v>69.21022529895599</v>
      </c>
      <c r="J642" s="134"/>
      <c r="K642" s="324">
        <v>0.2999</v>
      </c>
      <c r="L642" s="191">
        <f t="shared" si="15"/>
        <v>1.4842</v>
      </c>
      <c r="M642" s="401">
        <v>69.209999999999994</v>
      </c>
      <c r="N642" s="86">
        <f>I642-M642</f>
        <v>2.2529895599632255E-4</v>
      </c>
    </row>
    <row r="643" spans="1:14" s="64" customFormat="1" x14ac:dyDescent="0.2">
      <c r="A643" s="63"/>
      <c r="B643" s="385"/>
      <c r="C643" s="122"/>
      <c r="D643" s="75"/>
      <c r="E643" s="382"/>
      <c r="F643" s="382"/>
      <c r="G643" s="382"/>
      <c r="H643" s="67"/>
      <c r="I643" s="69"/>
      <c r="J643" s="134"/>
      <c r="K643" s="324"/>
      <c r="L643" s="191">
        <f t="shared" si="15"/>
        <v>1.4842</v>
      </c>
      <c r="M643" s="401"/>
      <c r="N643" s="86"/>
    </row>
    <row r="644" spans="1:14" s="64" customFormat="1" x14ac:dyDescent="0.2">
      <c r="A644" s="386"/>
      <c r="B644" s="151"/>
      <c r="C644" s="76" t="str">
        <f>orçamento!D82</f>
        <v>Disjuntor tripolar de 200-a</v>
      </c>
      <c r="D644" s="386" t="str">
        <f>D645</f>
        <v>unid</v>
      </c>
      <c r="E644" s="67"/>
      <c r="F644" s="327"/>
      <c r="G644" s="71"/>
      <c r="H644" s="67"/>
      <c r="I644" s="67"/>
      <c r="J644" s="134"/>
      <c r="K644" s="324">
        <v>0.2999</v>
      </c>
      <c r="L644" s="191">
        <f t="shared" si="15"/>
        <v>1.4842</v>
      </c>
    </row>
    <row r="645" spans="1:14" s="64" customFormat="1" x14ac:dyDescent="0.2">
      <c r="A645" s="63"/>
      <c r="B645" s="385"/>
      <c r="C645" s="122" t="str">
        <f>C644</f>
        <v>Disjuntor tripolar de 200-a</v>
      </c>
      <c r="D645" s="75" t="s">
        <v>513</v>
      </c>
      <c r="E645" s="67">
        <f>173.97*N10</f>
        <v>173.97</v>
      </c>
      <c r="F645" s="327">
        <v>2.69</v>
      </c>
      <c r="G645" s="71">
        <v>4.5</v>
      </c>
      <c r="H645" s="67"/>
      <c r="I645" s="67">
        <f>E645*G645</f>
        <v>782.86500000000001</v>
      </c>
      <c r="J645" s="134"/>
      <c r="K645" s="324">
        <v>0.2999</v>
      </c>
      <c r="L645" s="191">
        <f t="shared" si="15"/>
        <v>1.4842</v>
      </c>
    </row>
    <row r="646" spans="1:14" s="64" customFormat="1" x14ac:dyDescent="0.2">
      <c r="A646" s="63"/>
      <c r="B646" s="385"/>
      <c r="C646" s="122" t="s">
        <v>258</v>
      </c>
      <c r="D646" s="75" t="s">
        <v>53</v>
      </c>
      <c r="E646" s="132">
        <f>5.21*N10</f>
        <v>5.21</v>
      </c>
      <c r="F646" s="334"/>
      <c r="G646" s="71">
        <v>2.2999999999999998</v>
      </c>
      <c r="H646" s="67">
        <f>E646*G646</f>
        <v>11.982999999999999</v>
      </c>
      <c r="I646" s="133"/>
      <c r="J646" s="134"/>
      <c r="K646" s="324">
        <v>0.2999</v>
      </c>
      <c r="L646" s="191">
        <f t="shared" si="15"/>
        <v>1.4842</v>
      </c>
    </row>
    <row r="647" spans="1:14" s="64" customFormat="1" x14ac:dyDescent="0.2">
      <c r="A647" s="63"/>
      <c r="B647" s="385"/>
      <c r="C647" s="122" t="s">
        <v>259</v>
      </c>
      <c r="D647" s="75" t="s">
        <v>53</v>
      </c>
      <c r="E647" s="67">
        <f>3.77*N10</f>
        <v>3.77</v>
      </c>
      <c r="F647" s="334"/>
      <c r="G647" s="71">
        <v>2.2999999999999998</v>
      </c>
      <c r="H647" s="67">
        <f>E647*G647</f>
        <v>8.6709999999999994</v>
      </c>
      <c r="I647" s="133"/>
      <c r="J647" s="134"/>
      <c r="K647" s="324">
        <v>0.2999</v>
      </c>
      <c r="L647" s="191">
        <f t="shared" si="15"/>
        <v>1.4842</v>
      </c>
    </row>
    <row r="648" spans="1:14" s="64" customFormat="1" hidden="1" x14ac:dyDescent="0.2">
      <c r="A648" s="63"/>
      <c r="B648" s="385"/>
      <c r="C648" s="122"/>
      <c r="D648" s="75"/>
      <c r="E648" s="67"/>
      <c r="F648" s="327"/>
      <c r="G648" s="71"/>
      <c r="H648" s="67"/>
      <c r="I648" s="67"/>
      <c r="J648" s="134"/>
      <c r="K648" s="324">
        <v>0.2999</v>
      </c>
      <c r="L648" s="191">
        <f t="shared" si="15"/>
        <v>1.4842</v>
      </c>
    </row>
    <row r="649" spans="1:14" s="64" customFormat="1" x14ac:dyDescent="0.2">
      <c r="A649" s="63"/>
      <c r="B649" s="385"/>
      <c r="C649" s="122"/>
      <c r="D649" s="75"/>
      <c r="E649" s="438" t="str">
        <f>E639</f>
        <v>Custo Direto</v>
      </c>
      <c r="F649" s="438"/>
      <c r="G649" s="438"/>
      <c r="H649" s="69">
        <f>SUM(H645:H647)</f>
        <v>20.653999999999996</v>
      </c>
      <c r="I649" s="69">
        <f>SUM(I645:I647)</f>
        <v>782.86500000000001</v>
      </c>
      <c r="J649" s="134"/>
      <c r="K649" s="324">
        <v>0.2999</v>
      </c>
      <c r="L649" s="191">
        <f t="shared" si="15"/>
        <v>1.4842</v>
      </c>
    </row>
    <row r="650" spans="1:14" s="64" customFormat="1" x14ac:dyDescent="0.2">
      <c r="A650" s="63"/>
      <c r="B650" s="385"/>
      <c r="C650" s="122"/>
      <c r="D650" s="75"/>
      <c r="E650" s="438" t="str">
        <f>E640</f>
        <v>LS(%): 148,42</v>
      </c>
      <c r="F650" s="438"/>
      <c r="G650" s="438"/>
      <c r="H650" s="67">
        <f>H649*L650</f>
        <v>30.654666799999994</v>
      </c>
      <c r="I650" s="131"/>
      <c r="J650" s="134"/>
      <c r="K650" s="324">
        <v>0.2999</v>
      </c>
      <c r="L650" s="191">
        <f t="shared" si="15"/>
        <v>1.4842</v>
      </c>
    </row>
    <row r="651" spans="1:14" s="64" customFormat="1" x14ac:dyDescent="0.2">
      <c r="A651" s="63"/>
      <c r="B651" s="385"/>
      <c r="C651" s="122"/>
      <c r="D651" s="75"/>
      <c r="E651" s="438" t="str">
        <f>E641</f>
        <v>BDI (%): 29,99</v>
      </c>
      <c r="F651" s="438"/>
      <c r="G651" s="438"/>
      <c r="H651" s="439">
        <f>(H649+I649+H650)*K651</f>
        <v>250.16868267332001</v>
      </c>
      <c r="I651" s="439"/>
      <c r="J651" s="134"/>
      <c r="K651" s="324">
        <v>0.2999</v>
      </c>
      <c r="L651" s="191">
        <f t="shared" si="15"/>
        <v>1.4842</v>
      </c>
    </row>
    <row r="652" spans="1:14" s="64" customFormat="1" x14ac:dyDescent="0.2">
      <c r="A652" s="63"/>
      <c r="B652" s="385"/>
      <c r="C652" s="122"/>
      <c r="D652" s="75"/>
      <c r="E652" s="438" t="str">
        <f>E642</f>
        <v>Valor Total c/ Taxas</v>
      </c>
      <c r="F652" s="438"/>
      <c r="G652" s="438"/>
      <c r="H652" s="67"/>
      <c r="I652" s="69">
        <f>(H649+I649+H650+H651)</f>
        <v>1084.3423494733199</v>
      </c>
      <c r="J652" s="134"/>
      <c r="K652" s="324">
        <v>0.2999</v>
      </c>
      <c r="L652" s="191">
        <f t="shared" si="15"/>
        <v>1.4842</v>
      </c>
      <c r="M652" s="401">
        <v>1084.3399999999999</v>
      </c>
      <c r="N652" s="86">
        <f>I652-M652</f>
        <v>2.3494733200095652E-3</v>
      </c>
    </row>
    <row r="653" spans="1:14" s="64" customFormat="1" x14ac:dyDescent="0.2">
      <c r="A653" s="63"/>
      <c r="B653" s="385"/>
      <c r="C653" s="122"/>
      <c r="D653" s="75"/>
      <c r="E653" s="382"/>
      <c r="F653" s="382"/>
      <c r="G653" s="382"/>
      <c r="H653" s="67"/>
      <c r="I653" s="69"/>
      <c r="J653" s="134"/>
      <c r="K653" s="324"/>
      <c r="L653" s="191">
        <f t="shared" si="15"/>
        <v>1.4842</v>
      </c>
      <c r="M653" s="401"/>
      <c r="N653" s="86"/>
    </row>
    <row r="654" spans="1:14" s="64" customFormat="1" x14ac:dyDescent="0.2">
      <c r="A654" s="386"/>
      <c r="B654" s="151"/>
      <c r="C654" s="76" t="str">
        <f>orçamento!D83</f>
        <v>Disjuntor diferencial residual 25a, 30 ma</v>
      </c>
      <c r="D654" s="386" t="str">
        <f>D655</f>
        <v>unid</v>
      </c>
      <c r="E654" s="67"/>
      <c r="F654" s="327"/>
      <c r="G654" s="71"/>
      <c r="H654" s="67"/>
      <c r="I654" s="67"/>
      <c r="J654" s="134"/>
      <c r="K654" s="324">
        <v>0.2999</v>
      </c>
      <c r="L654" s="191">
        <f t="shared" si="15"/>
        <v>1.4842</v>
      </c>
    </row>
    <row r="655" spans="1:14" s="64" customFormat="1" x14ac:dyDescent="0.2">
      <c r="A655" s="63"/>
      <c r="B655" s="385"/>
      <c r="C655" s="122" t="str">
        <f>C654</f>
        <v>Disjuntor diferencial residual 25a, 30 ma</v>
      </c>
      <c r="D655" s="75" t="s">
        <v>513</v>
      </c>
      <c r="E655" s="67">
        <f>48.852*N10</f>
        <v>48.851999999999997</v>
      </c>
      <c r="F655" s="327">
        <v>2.69</v>
      </c>
      <c r="G655" s="71">
        <v>2.2999999999999998</v>
      </c>
      <c r="H655" s="67"/>
      <c r="I655" s="67">
        <f>E655*G655</f>
        <v>112.35959999999999</v>
      </c>
      <c r="J655" s="134"/>
      <c r="K655" s="324">
        <v>0.2999</v>
      </c>
      <c r="L655" s="191">
        <f t="shared" si="15"/>
        <v>1.4842</v>
      </c>
    </row>
    <row r="656" spans="1:14" s="64" customFormat="1" x14ac:dyDescent="0.2">
      <c r="A656" s="63"/>
      <c r="B656" s="385"/>
      <c r="C656" s="122" t="s">
        <v>258</v>
      </c>
      <c r="D656" s="75" t="s">
        <v>53</v>
      </c>
      <c r="E656" s="132">
        <f>5.21*N10</f>
        <v>5.21</v>
      </c>
      <c r="F656" s="334"/>
      <c r="G656" s="71">
        <v>0.09</v>
      </c>
      <c r="H656" s="67">
        <f>E656*G656</f>
        <v>0.46889999999999998</v>
      </c>
      <c r="I656" s="133"/>
      <c r="J656" s="134"/>
      <c r="K656" s="324">
        <v>0.2999</v>
      </c>
      <c r="L656" s="191">
        <f t="shared" si="15"/>
        <v>1.4842</v>
      </c>
    </row>
    <row r="657" spans="1:14" s="64" customFormat="1" x14ac:dyDescent="0.2">
      <c r="A657" s="63"/>
      <c r="B657" s="385"/>
      <c r="C657" s="122" t="s">
        <v>259</v>
      </c>
      <c r="D657" s="75" t="s">
        <v>53</v>
      </c>
      <c r="E657" s="67">
        <f>3.77*N10</f>
        <v>3.77</v>
      </c>
      <c r="F657" s="334"/>
      <c r="G657" s="71">
        <v>0.09</v>
      </c>
      <c r="H657" s="67">
        <f>E657*G657</f>
        <v>0.33929999999999999</v>
      </c>
      <c r="I657" s="133"/>
      <c r="J657" s="134"/>
      <c r="K657" s="324">
        <v>0.2999</v>
      </c>
      <c r="L657" s="191">
        <f t="shared" si="15"/>
        <v>1.4842</v>
      </c>
    </row>
    <row r="658" spans="1:14" s="64" customFormat="1" hidden="1" x14ac:dyDescent="0.2">
      <c r="A658" s="63"/>
      <c r="B658" s="385"/>
      <c r="C658" s="122"/>
      <c r="D658" s="75"/>
      <c r="E658" s="67"/>
      <c r="F658" s="327"/>
      <c r="G658" s="71"/>
      <c r="H658" s="67"/>
      <c r="I658" s="67"/>
      <c r="J658" s="134"/>
      <c r="K658" s="324">
        <v>0.2999</v>
      </c>
      <c r="L658" s="191">
        <f t="shared" si="15"/>
        <v>1.4842</v>
      </c>
    </row>
    <row r="659" spans="1:14" s="64" customFormat="1" x14ac:dyDescent="0.2">
      <c r="A659" s="63"/>
      <c r="B659" s="385"/>
      <c r="C659" s="122"/>
      <c r="D659" s="75"/>
      <c r="E659" s="438" t="str">
        <f>E649</f>
        <v>Custo Direto</v>
      </c>
      <c r="F659" s="438"/>
      <c r="G659" s="438"/>
      <c r="H659" s="69">
        <f>SUM(H655:H657)</f>
        <v>0.80820000000000003</v>
      </c>
      <c r="I659" s="69">
        <f>SUM(I655:I657)</f>
        <v>112.35959999999999</v>
      </c>
      <c r="J659" s="134"/>
      <c r="K659" s="324">
        <v>0.2999</v>
      </c>
      <c r="L659" s="191">
        <f t="shared" si="15"/>
        <v>1.4842</v>
      </c>
    </row>
    <row r="660" spans="1:14" s="64" customFormat="1" x14ac:dyDescent="0.2">
      <c r="A660" s="63"/>
      <c r="B660" s="385"/>
      <c r="C660" s="122"/>
      <c r="D660" s="75"/>
      <c r="E660" s="438" t="str">
        <f>E650</f>
        <v>LS(%): 148,42</v>
      </c>
      <c r="F660" s="438"/>
      <c r="G660" s="438"/>
      <c r="H660" s="67">
        <f>H659*L660</f>
        <v>1.19953044</v>
      </c>
      <c r="I660" s="131"/>
      <c r="J660" s="134"/>
      <c r="K660" s="324">
        <v>0.2999</v>
      </c>
      <c r="L660" s="191">
        <f t="shared" si="15"/>
        <v>1.4842</v>
      </c>
    </row>
    <row r="661" spans="1:14" s="64" customFormat="1" x14ac:dyDescent="0.2">
      <c r="A661" s="63"/>
      <c r="B661" s="385"/>
      <c r="C661" s="122"/>
      <c r="D661" s="75"/>
      <c r="E661" s="438" t="str">
        <f>E651</f>
        <v>BDI (%): 29,99</v>
      </c>
      <c r="F661" s="438"/>
      <c r="G661" s="438"/>
      <c r="H661" s="439">
        <f>(H659+I659+H660)*K661</f>
        <v>34.298762398955994</v>
      </c>
      <c r="I661" s="439"/>
      <c r="J661" s="134"/>
      <c r="K661" s="324">
        <v>0.2999</v>
      </c>
      <c r="L661" s="191">
        <f t="shared" si="15"/>
        <v>1.4842</v>
      </c>
    </row>
    <row r="662" spans="1:14" s="64" customFormat="1" x14ac:dyDescent="0.2">
      <c r="A662" s="63"/>
      <c r="B662" s="385"/>
      <c r="C662" s="122"/>
      <c r="D662" s="75"/>
      <c r="E662" s="438" t="str">
        <f>E652</f>
        <v>Valor Total c/ Taxas</v>
      </c>
      <c r="F662" s="438"/>
      <c r="G662" s="438"/>
      <c r="H662" s="67"/>
      <c r="I662" s="69">
        <f>(H659+I659+H660+H661)</f>
        <v>148.66609283895599</v>
      </c>
      <c r="J662" s="134"/>
      <c r="K662" s="324">
        <v>0.2999</v>
      </c>
      <c r="L662" s="191">
        <f t="shared" si="15"/>
        <v>1.4842</v>
      </c>
      <c r="M662" s="401">
        <v>148.66999999999999</v>
      </c>
      <c r="N662" s="86">
        <f>I662-M662</f>
        <v>-3.9071610439975757E-3</v>
      </c>
    </row>
    <row r="663" spans="1:14" s="64" customFormat="1" x14ac:dyDescent="0.2">
      <c r="A663" s="63"/>
      <c r="B663" s="385"/>
      <c r="C663" s="122"/>
      <c r="D663" s="75"/>
      <c r="E663" s="382"/>
      <c r="F663" s="382"/>
      <c r="G663" s="382"/>
      <c r="H663" s="67"/>
      <c r="I663" s="69"/>
      <c r="J663" s="134"/>
      <c r="K663" s="324"/>
      <c r="L663" s="191">
        <f t="shared" si="15"/>
        <v>1.4842</v>
      </c>
      <c r="M663" s="401"/>
      <c r="N663" s="86"/>
    </row>
    <row r="664" spans="1:14" s="64" customFormat="1" x14ac:dyDescent="0.2">
      <c r="A664" s="386"/>
      <c r="B664" s="151"/>
      <c r="C664" s="76" t="str">
        <f>orçamento!D84</f>
        <v>Dispositivo interno óptico 1 u para rack</v>
      </c>
      <c r="D664" s="386" t="str">
        <f>D665</f>
        <v>unid</v>
      </c>
      <c r="E664" s="67"/>
      <c r="F664" s="327"/>
      <c r="G664" s="71"/>
      <c r="H664" s="67"/>
      <c r="I664" s="67"/>
      <c r="J664" s="134"/>
      <c r="K664" s="324">
        <v>0.2999</v>
      </c>
      <c r="L664" s="191">
        <f t="shared" si="15"/>
        <v>1.4842</v>
      </c>
    </row>
    <row r="665" spans="1:14" s="64" customFormat="1" x14ac:dyDescent="0.2">
      <c r="A665" s="63"/>
      <c r="B665" s="385"/>
      <c r="C665" s="122" t="str">
        <f>C664</f>
        <v>Dispositivo interno óptico 1 u para rack</v>
      </c>
      <c r="D665" s="75" t="s">
        <v>513</v>
      </c>
      <c r="E665" s="67">
        <f>52.176*N10</f>
        <v>52.176000000000002</v>
      </c>
      <c r="F665" s="327">
        <v>2.69</v>
      </c>
      <c r="G665" s="71">
        <v>2.2999999999999998</v>
      </c>
      <c r="H665" s="67"/>
      <c r="I665" s="67">
        <f>E665*G665</f>
        <v>120.00479999999999</v>
      </c>
      <c r="J665" s="134"/>
      <c r="K665" s="324">
        <v>0.2999</v>
      </c>
      <c r="L665" s="191">
        <f t="shared" si="15"/>
        <v>1.4842</v>
      </c>
    </row>
    <row r="666" spans="1:14" s="64" customFormat="1" x14ac:dyDescent="0.2">
      <c r="A666" s="63"/>
      <c r="B666" s="385"/>
      <c r="C666" s="122" t="s">
        <v>258</v>
      </c>
      <c r="D666" s="75" t="s">
        <v>53</v>
      </c>
      <c r="E666" s="132">
        <f>5.21*N10</f>
        <v>5.21</v>
      </c>
      <c r="F666" s="334"/>
      <c r="G666" s="71">
        <v>0.09</v>
      </c>
      <c r="H666" s="67">
        <f>E666*G666</f>
        <v>0.46889999999999998</v>
      </c>
      <c r="I666" s="133"/>
      <c r="J666" s="134"/>
      <c r="K666" s="324">
        <v>0.2999</v>
      </c>
      <c r="L666" s="191">
        <f t="shared" si="15"/>
        <v>1.4842</v>
      </c>
    </row>
    <row r="667" spans="1:14" s="64" customFormat="1" x14ac:dyDescent="0.2">
      <c r="A667" s="63"/>
      <c r="B667" s="385"/>
      <c r="C667" s="122" t="s">
        <v>259</v>
      </c>
      <c r="D667" s="75" t="s">
        <v>53</v>
      </c>
      <c r="E667" s="67">
        <f>3.77*N10</f>
        <v>3.77</v>
      </c>
      <c r="F667" s="334"/>
      <c r="G667" s="71">
        <v>0.09</v>
      </c>
      <c r="H667" s="67">
        <f>E667*G667</f>
        <v>0.33929999999999999</v>
      </c>
      <c r="I667" s="133"/>
      <c r="J667" s="134"/>
      <c r="K667" s="324">
        <v>0.2999</v>
      </c>
      <c r="L667" s="191">
        <f t="shared" si="15"/>
        <v>1.4842</v>
      </c>
    </row>
    <row r="668" spans="1:14" s="64" customFormat="1" hidden="1" x14ac:dyDescent="0.2">
      <c r="A668" s="63"/>
      <c r="B668" s="385"/>
      <c r="C668" s="122"/>
      <c r="D668" s="75"/>
      <c r="E668" s="67"/>
      <c r="F668" s="327"/>
      <c r="G668" s="71"/>
      <c r="H668" s="67"/>
      <c r="I668" s="67"/>
      <c r="J668" s="134"/>
      <c r="K668" s="324">
        <v>0.2999</v>
      </c>
      <c r="L668" s="191">
        <f t="shared" si="15"/>
        <v>1.4842</v>
      </c>
    </row>
    <row r="669" spans="1:14" s="64" customFormat="1" x14ac:dyDescent="0.2">
      <c r="A669" s="63"/>
      <c r="B669" s="385"/>
      <c r="C669" s="122"/>
      <c r="D669" s="75"/>
      <c r="E669" s="438" t="str">
        <f>E659</f>
        <v>Custo Direto</v>
      </c>
      <c r="F669" s="438"/>
      <c r="G669" s="438"/>
      <c r="H669" s="69">
        <f>SUM(H665:H667)</f>
        <v>0.80820000000000003</v>
      </c>
      <c r="I669" s="69">
        <f>SUM(I665:I667)</f>
        <v>120.00479999999999</v>
      </c>
      <c r="J669" s="134"/>
      <c r="K669" s="324">
        <v>0.2999</v>
      </c>
      <c r="L669" s="191">
        <f t="shared" si="15"/>
        <v>1.4842</v>
      </c>
    </row>
    <row r="670" spans="1:14" s="64" customFormat="1" x14ac:dyDescent="0.2">
      <c r="A670" s="63"/>
      <c r="B670" s="385"/>
      <c r="C670" s="122"/>
      <c r="D670" s="75"/>
      <c r="E670" s="438" t="str">
        <f>E660</f>
        <v>LS(%): 148,42</v>
      </c>
      <c r="F670" s="438"/>
      <c r="G670" s="438"/>
      <c r="H670" s="67">
        <f>H669*L670</f>
        <v>1.19953044</v>
      </c>
      <c r="I670" s="131"/>
      <c r="J670" s="134"/>
      <c r="K670" s="324">
        <v>0.2999</v>
      </c>
      <c r="L670" s="191">
        <f t="shared" si="15"/>
        <v>1.4842</v>
      </c>
    </row>
    <row r="671" spans="1:14" s="64" customFormat="1" x14ac:dyDescent="0.2">
      <c r="A671" s="63"/>
      <c r="B671" s="385"/>
      <c r="C671" s="122"/>
      <c r="D671" s="75"/>
      <c r="E671" s="438" t="str">
        <f>E661</f>
        <v>BDI (%): 29,99</v>
      </c>
      <c r="F671" s="438"/>
      <c r="G671" s="438"/>
      <c r="H671" s="439">
        <f>(H669+I669+H670)*K671</f>
        <v>36.591557878955996</v>
      </c>
      <c r="I671" s="439"/>
      <c r="J671" s="134"/>
      <c r="K671" s="324">
        <v>0.2999</v>
      </c>
      <c r="L671" s="191">
        <f t="shared" si="15"/>
        <v>1.4842</v>
      </c>
    </row>
    <row r="672" spans="1:14" s="64" customFormat="1" x14ac:dyDescent="0.2">
      <c r="A672" s="63"/>
      <c r="B672" s="385"/>
      <c r="C672" s="122"/>
      <c r="D672" s="75"/>
      <c r="E672" s="438" t="str">
        <f>E662</f>
        <v>Valor Total c/ Taxas</v>
      </c>
      <c r="F672" s="438"/>
      <c r="G672" s="438"/>
      <c r="H672" s="67"/>
      <c r="I672" s="69">
        <f>(H669+I669+H670+H671)</f>
        <v>158.60408831895597</v>
      </c>
      <c r="J672" s="134"/>
      <c r="K672" s="324">
        <v>0.2999</v>
      </c>
      <c r="L672" s="191">
        <f t="shared" si="15"/>
        <v>1.4842</v>
      </c>
      <c r="M672" s="401">
        <v>158.6</v>
      </c>
      <c r="N672" s="86">
        <f>I672-M672</f>
        <v>4.0883189559792754E-3</v>
      </c>
    </row>
    <row r="673" spans="1:14" s="64" customFormat="1" x14ac:dyDescent="0.2">
      <c r="A673" s="63"/>
      <c r="B673" s="385"/>
      <c r="C673" s="122"/>
      <c r="D673" s="75"/>
      <c r="E673" s="382"/>
      <c r="F673" s="382"/>
      <c r="G673" s="382"/>
      <c r="H673" s="67"/>
      <c r="I673" s="69"/>
      <c r="J673" s="134"/>
      <c r="K673" s="324"/>
      <c r="L673" s="191">
        <f t="shared" si="15"/>
        <v>1.4842</v>
      </c>
      <c r="M673" s="401"/>
      <c r="N673" s="86"/>
    </row>
    <row r="674" spans="1:14" s="64" customFormat="1" x14ac:dyDescent="0.2">
      <c r="A674" s="386"/>
      <c r="B674" s="151"/>
      <c r="C674" s="76" t="str">
        <f>orçamento!D85</f>
        <v>Eletroduto de PVC rigido diâmetro 1'' inclusive conexões</v>
      </c>
      <c r="D674" s="386" t="s">
        <v>10</v>
      </c>
      <c r="E674" s="67"/>
      <c r="F674" s="327"/>
      <c r="G674" s="71"/>
      <c r="H674" s="67"/>
      <c r="I674" s="67"/>
      <c r="J674" s="134"/>
      <c r="K674" s="324">
        <v>0.2999</v>
      </c>
      <c r="L674" s="191">
        <f t="shared" si="15"/>
        <v>1.4842</v>
      </c>
    </row>
    <row r="675" spans="1:14" s="64" customFormat="1" x14ac:dyDescent="0.2">
      <c r="A675" s="63"/>
      <c r="B675" s="385"/>
      <c r="C675" s="122" t="str">
        <f>C674</f>
        <v>Eletroduto de PVC rigido diâmetro 1'' inclusive conexões</v>
      </c>
      <c r="D675" s="75" t="s">
        <v>10</v>
      </c>
      <c r="E675" s="67">
        <f>6.09*N10</f>
        <v>6.09</v>
      </c>
      <c r="F675" s="327">
        <v>2.69</v>
      </c>
      <c r="G675" s="71">
        <v>1.5</v>
      </c>
      <c r="H675" s="67"/>
      <c r="I675" s="67">
        <f>E675*G675</f>
        <v>9.1349999999999998</v>
      </c>
      <c r="J675" s="134"/>
      <c r="K675" s="324">
        <v>0.2999</v>
      </c>
      <c r="L675" s="191">
        <f t="shared" si="15"/>
        <v>1.4842</v>
      </c>
    </row>
    <row r="676" spans="1:14" s="64" customFormat="1" x14ac:dyDescent="0.2">
      <c r="A676" s="63"/>
      <c r="B676" s="385"/>
      <c r="C676" s="122" t="s">
        <v>258</v>
      </c>
      <c r="D676" s="75" t="s">
        <v>53</v>
      </c>
      <c r="E676" s="132">
        <f>5.21*N10</f>
        <v>5.21</v>
      </c>
      <c r="F676" s="334"/>
      <c r="G676" s="71">
        <v>0.09</v>
      </c>
      <c r="H676" s="67">
        <f>E676*G676</f>
        <v>0.46889999999999998</v>
      </c>
      <c r="I676" s="133"/>
      <c r="J676" s="134"/>
      <c r="K676" s="324">
        <v>0.2999</v>
      </c>
      <c r="L676" s="191">
        <f t="shared" si="15"/>
        <v>1.4842</v>
      </c>
    </row>
    <row r="677" spans="1:14" s="64" customFormat="1" x14ac:dyDescent="0.2">
      <c r="A677" s="63"/>
      <c r="B677" s="385"/>
      <c r="C677" s="122" t="s">
        <v>259</v>
      </c>
      <c r="D677" s="75" t="s">
        <v>53</v>
      </c>
      <c r="E677" s="67">
        <f>3.77*N10</f>
        <v>3.77</v>
      </c>
      <c r="F677" s="334"/>
      <c r="G677" s="71">
        <v>0.09</v>
      </c>
      <c r="H677" s="67">
        <f>E677*G677</f>
        <v>0.33929999999999999</v>
      </c>
      <c r="I677" s="133"/>
      <c r="J677" s="134"/>
      <c r="K677" s="324">
        <v>0.2999</v>
      </c>
      <c r="L677" s="191">
        <f t="shared" si="15"/>
        <v>1.4842</v>
      </c>
    </row>
    <row r="678" spans="1:14" s="64" customFormat="1" hidden="1" x14ac:dyDescent="0.2">
      <c r="A678" s="63"/>
      <c r="B678" s="385"/>
      <c r="C678" s="122"/>
      <c r="D678" s="75"/>
      <c r="E678" s="67"/>
      <c r="F678" s="327"/>
      <c r="G678" s="71"/>
      <c r="H678" s="67"/>
      <c r="I678" s="67"/>
      <c r="J678" s="134"/>
      <c r="K678" s="324">
        <v>0.2999</v>
      </c>
      <c r="L678" s="191">
        <f t="shared" si="15"/>
        <v>1.4842</v>
      </c>
    </row>
    <row r="679" spans="1:14" s="64" customFormat="1" x14ac:dyDescent="0.2">
      <c r="A679" s="63"/>
      <c r="B679" s="385"/>
      <c r="C679" s="122"/>
      <c r="D679" s="75"/>
      <c r="E679" s="438" t="str">
        <f>E669</f>
        <v>Custo Direto</v>
      </c>
      <c r="F679" s="438"/>
      <c r="G679" s="438"/>
      <c r="H679" s="69">
        <f>SUM(H675:H677)</f>
        <v>0.80820000000000003</v>
      </c>
      <c r="I679" s="69">
        <f>SUM(I675:I677)</f>
        <v>9.1349999999999998</v>
      </c>
      <c r="J679" s="134"/>
      <c r="K679" s="324">
        <v>0.2999</v>
      </c>
      <c r="L679" s="191">
        <f t="shared" si="15"/>
        <v>1.4842</v>
      </c>
    </row>
    <row r="680" spans="1:14" s="64" customFormat="1" x14ac:dyDescent="0.2">
      <c r="A680" s="63"/>
      <c r="B680" s="385"/>
      <c r="C680" s="122"/>
      <c r="D680" s="75"/>
      <c r="E680" s="438" t="str">
        <f>E670</f>
        <v>LS(%): 148,42</v>
      </c>
      <c r="F680" s="438"/>
      <c r="G680" s="438"/>
      <c r="H680" s="67">
        <f>H679*L680</f>
        <v>1.19953044</v>
      </c>
      <c r="I680" s="131"/>
      <c r="J680" s="134"/>
      <c r="K680" s="324">
        <v>0.2999</v>
      </c>
      <c r="L680" s="191">
        <f t="shared" si="15"/>
        <v>1.4842</v>
      </c>
    </row>
    <row r="681" spans="1:14" s="64" customFormat="1" x14ac:dyDescent="0.2">
      <c r="A681" s="63"/>
      <c r="B681" s="385"/>
      <c r="C681" s="122"/>
      <c r="D681" s="75"/>
      <c r="E681" s="438" t="str">
        <f>E671</f>
        <v>BDI (%): 29,99</v>
      </c>
      <c r="F681" s="438"/>
      <c r="G681" s="438"/>
      <c r="H681" s="439">
        <f>(H679+I679+H680)*K681</f>
        <v>3.3417048589559997</v>
      </c>
      <c r="I681" s="439"/>
      <c r="J681" s="134"/>
      <c r="K681" s="324">
        <v>0.2999</v>
      </c>
      <c r="L681" s="191">
        <f t="shared" si="15"/>
        <v>1.4842</v>
      </c>
    </row>
    <row r="682" spans="1:14" s="64" customFormat="1" x14ac:dyDescent="0.2">
      <c r="A682" s="63"/>
      <c r="B682" s="385"/>
      <c r="C682" s="122"/>
      <c r="D682" s="75"/>
      <c r="E682" s="438" t="str">
        <f>E672</f>
        <v>Valor Total c/ Taxas</v>
      </c>
      <c r="F682" s="438"/>
      <c r="G682" s="438"/>
      <c r="H682" s="67"/>
      <c r="I682" s="69">
        <f>(H679+I679+H680+H681)</f>
        <v>14.484435298955999</v>
      </c>
      <c r="J682" s="134"/>
      <c r="K682" s="324">
        <v>0.2999</v>
      </c>
      <c r="L682" s="191">
        <f t="shared" si="15"/>
        <v>1.4842</v>
      </c>
      <c r="M682" s="401">
        <v>14.48</v>
      </c>
      <c r="N682" s="86">
        <f>I682-M682</f>
        <v>4.43529895599859E-3</v>
      </c>
    </row>
    <row r="683" spans="1:14" s="64" customFormat="1" x14ac:dyDescent="0.2">
      <c r="A683" s="63"/>
      <c r="B683" s="385"/>
      <c r="C683" s="122"/>
      <c r="D683" s="75"/>
      <c r="E683" s="382"/>
      <c r="F683" s="382"/>
      <c r="G683" s="382"/>
      <c r="H683" s="67"/>
      <c r="I683" s="69"/>
      <c r="J683" s="134"/>
      <c r="K683" s="324"/>
      <c r="L683" s="191">
        <f t="shared" si="15"/>
        <v>1.4842</v>
      </c>
      <c r="M683" s="401"/>
      <c r="N683" s="86"/>
    </row>
    <row r="684" spans="1:14" s="64" customFormat="1" x14ac:dyDescent="0.2">
      <c r="A684" s="386"/>
      <c r="B684" s="151"/>
      <c r="C684" s="76" t="str">
        <f>orçamento!D86</f>
        <v>Eletroduto de PVC rigido diâmetro 2'' inclusive conexões</v>
      </c>
      <c r="D684" s="386" t="s">
        <v>10</v>
      </c>
      <c r="E684" s="67"/>
      <c r="F684" s="327"/>
      <c r="G684" s="71"/>
      <c r="H684" s="67"/>
      <c r="I684" s="67"/>
      <c r="J684" s="134"/>
      <c r="K684" s="324">
        <v>0.2999</v>
      </c>
      <c r="L684" s="191">
        <f t="shared" si="15"/>
        <v>1.4842</v>
      </c>
    </row>
    <row r="685" spans="1:14" s="64" customFormat="1" x14ac:dyDescent="0.2">
      <c r="A685" s="63"/>
      <c r="B685" s="385"/>
      <c r="C685" s="122" t="str">
        <f>C684</f>
        <v>Eletroduto de PVC rigido diâmetro 2'' inclusive conexões</v>
      </c>
      <c r="D685" s="75" t="s">
        <v>10</v>
      </c>
      <c r="E685" s="67">
        <f>6.073*N10</f>
        <v>6.0730000000000004</v>
      </c>
      <c r="F685" s="327">
        <v>2.69</v>
      </c>
      <c r="G685" s="71">
        <v>2.95</v>
      </c>
      <c r="H685" s="67"/>
      <c r="I685" s="67">
        <f>E685*G685</f>
        <v>17.915350000000004</v>
      </c>
      <c r="J685" s="134"/>
      <c r="K685" s="324">
        <v>0.2999</v>
      </c>
      <c r="L685" s="191">
        <f t="shared" si="15"/>
        <v>1.4842</v>
      </c>
    </row>
    <row r="686" spans="1:14" s="64" customFormat="1" x14ac:dyDescent="0.2">
      <c r="A686" s="63"/>
      <c r="B686" s="385"/>
      <c r="C686" s="122" t="s">
        <v>258</v>
      </c>
      <c r="D686" s="75" t="s">
        <v>53</v>
      </c>
      <c r="E686" s="132">
        <f>5.21*N10</f>
        <v>5.21</v>
      </c>
      <c r="F686" s="334"/>
      <c r="G686" s="71">
        <v>0.09</v>
      </c>
      <c r="H686" s="67">
        <f>E686*G686</f>
        <v>0.46889999999999998</v>
      </c>
      <c r="I686" s="133"/>
      <c r="J686" s="134"/>
      <c r="K686" s="324">
        <v>0.2999</v>
      </c>
      <c r="L686" s="191">
        <f t="shared" si="15"/>
        <v>1.4842</v>
      </c>
    </row>
    <row r="687" spans="1:14" s="64" customFormat="1" x14ac:dyDescent="0.2">
      <c r="A687" s="63"/>
      <c r="B687" s="385"/>
      <c r="C687" s="122" t="s">
        <v>259</v>
      </c>
      <c r="D687" s="75" t="s">
        <v>53</v>
      </c>
      <c r="E687" s="67">
        <f>3.77*N10</f>
        <v>3.77</v>
      </c>
      <c r="F687" s="334"/>
      <c r="G687" s="71">
        <v>0.09</v>
      </c>
      <c r="H687" s="67">
        <f>E687*G687</f>
        <v>0.33929999999999999</v>
      </c>
      <c r="I687" s="133"/>
      <c r="J687" s="134"/>
      <c r="K687" s="324">
        <v>0.2999</v>
      </c>
      <c r="L687" s="191">
        <f t="shared" si="15"/>
        <v>1.4842</v>
      </c>
    </row>
    <row r="688" spans="1:14" s="64" customFormat="1" hidden="1" x14ac:dyDescent="0.2">
      <c r="A688" s="63"/>
      <c r="B688" s="385"/>
      <c r="C688" s="122"/>
      <c r="D688" s="75"/>
      <c r="E688" s="67"/>
      <c r="F688" s="327"/>
      <c r="G688" s="71"/>
      <c r="H688" s="67"/>
      <c r="I688" s="67"/>
      <c r="J688" s="134"/>
      <c r="K688" s="324">
        <v>0.2999</v>
      </c>
      <c r="L688" s="191">
        <f t="shared" si="15"/>
        <v>1.4842</v>
      </c>
    </row>
    <row r="689" spans="1:14" s="64" customFormat="1" x14ac:dyDescent="0.2">
      <c r="A689" s="63"/>
      <c r="B689" s="385"/>
      <c r="C689" s="122"/>
      <c r="D689" s="75"/>
      <c r="E689" s="438" t="str">
        <f>E679</f>
        <v>Custo Direto</v>
      </c>
      <c r="F689" s="438"/>
      <c r="G689" s="438"/>
      <c r="H689" s="69">
        <f>SUM(H685:H687)</f>
        <v>0.80820000000000003</v>
      </c>
      <c r="I689" s="69">
        <f>SUM(I685:I687)</f>
        <v>17.915350000000004</v>
      </c>
      <c r="J689" s="134"/>
      <c r="K689" s="324">
        <v>0.2999</v>
      </c>
      <c r="L689" s="191">
        <f t="shared" si="15"/>
        <v>1.4842</v>
      </c>
    </row>
    <row r="690" spans="1:14" s="64" customFormat="1" x14ac:dyDescent="0.2">
      <c r="A690" s="63"/>
      <c r="B690" s="385"/>
      <c r="C690" s="122"/>
      <c r="D690" s="75"/>
      <c r="E690" s="438" t="str">
        <f>E680</f>
        <v>LS(%): 148,42</v>
      </c>
      <c r="F690" s="438"/>
      <c r="G690" s="438"/>
      <c r="H690" s="67">
        <f>H689*L690</f>
        <v>1.19953044</v>
      </c>
      <c r="I690" s="131"/>
      <c r="J690" s="134"/>
      <c r="K690" s="324">
        <v>0.2999</v>
      </c>
      <c r="L690" s="191">
        <f t="shared" si="15"/>
        <v>1.4842</v>
      </c>
    </row>
    <row r="691" spans="1:14" s="64" customFormat="1" x14ac:dyDescent="0.2">
      <c r="A691" s="63"/>
      <c r="B691" s="385"/>
      <c r="C691" s="122"/>
      <c r="D691" s="75"/>
      <c r="E691" s="438" t="str">
        <f>E681</f>
        <v>BDI (%): 29,99</v>
      </c>
      <c r="F691" s="438"/>
      <c r="G691" s="438"/>
      <c r="H691" s="439">
        <f>(H689+I689+H690)*K691</f>
        <v>5.974931823956001</v>
      </c>
      <c r="I691" s="439"/>
      <c r="J691" s="134"/>
      <c r="K691" s="324">
        <v>0.2999</v>
      </c>
      <c r="L691" s="191">
        <f t="shared" si="15"/>
        <v>1.4842</v>
      </c>
    </row>
    <row r="692" spans="1:14" s="64" customFormat="1" x14ac:dyDescent="0.2">
      <c r="A692" s="63"/>
      <c r="B692" s="385"/>
      <c r="C692" s="122"/>
      <c r="D692" s="75"/>
      <c r="E692" s="438" t="str">
        <f>E682</f>
        <v>Valor Total c/ Taxas</v>
      </c>
      <c r="F692" s="438"/>
      <c r="G692" s="438"/>
      <c r="H692" s="67"/>
      <c r="I692" s="69">
        <f>(H689+I689+H690+H691)</f>
        <v>25.898012263956005</v>
      </c>
      <c r="J692" s="134"/>
      <c r="K692" s="324">
        <v>0.2999</v>
      </c>
      <c r="L692" s="191">
        <f t="shared" si="15"/>
        <v>1.4842</v>
      </c>
      <c r="M692" s="401">
        <v>25.9</v>
      </c>
      <c r="N692" s="86">
        <f>I692-M692</f>
        <v>-1.9877360439934932E-3</v>
      </c>
    </row>
    <row r="693" spans="1:14" s="64" customFormat="1" x14ac:dyDescent="0.2">
      <c r="A693" s="63"/>
      <c r="B693" s="385"/>
      <c r="C693" s="122"/>
      <c r="D693" s="75"/>
      <c r="E693" s="382"/>
      <c r="F693" s="382"/>
      <c r="G693" s="382"/>
      <c r="H693" s="67"/>
      <c r="I693" s="69"/>
      <c r="J693" s="134"/>
      <c r="K693" s="324"/>
      <c r="L693" s="191">
        <f t="shared" si="15"/>
        <v>1.4842</v>
      </c>
      <c r="M693" s="401"/>
      <c r="N693" s="86"/>
    </row>
    <row r="694" spans="1:14" s="64" customFormat="1" x14ac:dyDescent="0.2">
      <c r="A694" s="386"/>
      <c r="B694" s="151"/>
      <c r="C694" s="76" t="str">
        <f>orçamento!D87</f>
        <v>Eletroduto de PVC rigido diâmetro 3'' inclusive conexões</v>
      </c>
      <c r="D694" s="386" t="s">
        <v>10</v>
      </c>
      <c r="E694" s="67"/>
      <c r="F694" s="327"/>
      <c r="G694" s="71"/>
      <c r="H694" s="67"/>
      <c r="I694" s="67"/>
      <c r="J694" s="134"/>
      <c r="K694" s="324">
        <v>0.2999</v>
      </c>
      <c r="L694" s="191">
        <f t="shared" si="15"/>
        <v>1.4842</v>
      </c>
    </row>
    <row r="695" spans="1:14" s="64" customFormat="1" x14ac:dyDescent="0.2">
      <c r="A695" s="63"/>
      <c r="B695" s="385"/>
      <c r="C695" s="122" t="str">
        <f>C694</f>
        <v>Eletroduto de PVC rigido diâmetro 3'' inclusive conexões</v>
      </c>
      <c r="D695" s="75" t="s">
        <v>10</v>
      </c>
      <c r="E695" s="67">
        <f>9.492*N10</f>
        <v>9.4920000000000009</v>
      </c>
      <c r="F695" s="327">
        <v>2.69</v>
      </c>
      <c r="G695" s="71">
        <v>2.95</v>
      </c>
      <c r="H695" s="67"/>
      <c r="I695" s="67">
        <f>E695*G695</f>
        <v>28.001400000000004</v>
      </c>
      <c r="J695" s="134"/>
      <c r="K695" s="324">
        <v>0.2999</v>
      </c>
      <c r="L695" s="191">
        <f t="shared" si="15"/>
        <v>1.4842</v>
      </c>
    </row>
    <row r="696" spans="1:14" s="64" customFormat="1" x14ac:dyDescent="0.2">
      <c r="A696" s="63"/>
      <c r="B696" s="385"/>
      <c r="C696" s="122" t="s">
        <v>258</v>
      </c>
      <c r="D696" s="75" t="s">
        <v>53</v>
      </c>
      <c r="E696" s="132">
        <f>5.21*N10</f>
        <v>5.21</v>
      </c>
      <c r="F696" s="334"/>
      <c r="G696" s="71">
        <v>0.4</v>
      </c>
      <c r="H696" s="67">
        <f>E696*G696</f>
        <v>2.0840000000000001</v>
      </c>
      <c r="I696" s="133"/>
      <c r="J696" s="134"/>
      <c r="K696" s="324">
        <v>0.2999</v>
      </c>
      <c r="L696" s="191">
        <f t="shared" si="15"/>
        <v>1.4842</v>
      </c>
    </row>
    <row r="697" spans="1:14" s="64" customFormat="1" x14ac:dyDescent="0.2">
      <c r="A697" s="63"/>
      <c r="B697" s="385"/>
      <c r="C697" s="122" t="s">
        <v>259</v>
      </c>
      <c r="D697" s="75" t="s">
        <v>53</v>
      </c>
      <c r="E697" s="67">
        <f>3.77*N10</f>
        <v>3.77</v>
      </c>
      <c r="F697" s="334"/>
      <c r="G697" s="71">
        <v>0.4</v>
      </c>
      <c r="H697" s="67">
        <f>E697*G697</f>
        <v>1.508</v>
      </c>
      <c r="I697" s="133"/>
      <c r="J697" s="134"/>
      <c r="K697" s="324">
        <v>0.2999</v>
      </c>
      <c r="L697" s="191">
        <f t="shared" si="15"/>
        <v>1.4842</v>
      </c>
    </row>
    <row r="698" spans="1:14" s="64" customFormat="1" hidden="1" x14ac:dyDescent="0.2">
      <c r="A698" s="63"/>
      <c r="B698" s="385"/>
      <c r="C698" s="122"/>
      <c r="D698" s="75"/>
      <c r="E698" s="67"/>
      <c r="F698" s="327"/>
      <c r="G698" s="71"/>
      <c r="H698" s="67"/>
      <c r="I698" s="67"/>
      <c r="J698" s="134"/>
      <c r="K698" s="324">
        <v>0.2999</v>
      </c>
      <c r="L698" s="191">
        <f t="shared" si="15"/>
        <v>1.4842</v>
      </c>
    </row>
    <row r="699" spans="1:14" s="64" customFormat="1" x14ac:dyDescent="0.2">
      <c r="A699" s="63"/>
      <c r="B699" s="385"/>
      <c r="C699" s="122"/>
      <c r="D699" s="75"/>
      <c r="E699" s="438" t="str">
        <f>E689</f>
        <v>Custo Direto</v>
      </c>
      <c r="F699" s="438"/>
      <c r="G699" s="438"/>
      <c r="H699" s="69">
        <f>SUM(H695:H697)</f>
        <v>3.5920000000000001</v>
      </c>
      <c r="I699" s="69">
        <f>SUM(I695:I697)</f>
        <v>28.001400000000004</v>
      </c>
      <c r="J699" s="134"/>
      <c r="K699" s="324">
        <v>0.2999</v>
      </c>
      <c r="L699" s="191">
        <f t="shared" si="15"/>
        <v>1.4842</v>
      </c>
    </row>
    <row r="700" spans="1:14" s="64" customFormat="1" x14ac:dyDescent="0.2">
      <c r="A700" s="63"/>
      <c r="B700" s="385"/>
      <c r="C700" s="122"/>
      <c r="D700" s="75"/>
      <c r="E700" s="438" t="str">
        <f>E690</f>
        <v>LS(%): 148,42</v>
      </c>
      <c r="F700" s="438"/>
      <c r="G700" s="438"/>
      <c r="H700" s="67">
        <f>H699*L700</f>
        <v>5.3312464000000004</v>
      </c>
      <c r="I700" s="131"/>
      <c r="J700" s="134"/>
      <c r="K700" s="324">
        <v>0.2999</v>
      </c>
      <c r="L700" s="191">
        <f t="shared" si="15"/>
        <v>1.4842</v>
      </c>
    </row>
    <row r="701" spans="1:14" s="64" customFormat="1" x14ac:dyDescent="0.2">
      <c r="A701" s="63"/>
      <c r="B701" s="385"/>
      <c r="C701" s="122"/>
      <c r="D701" s="75"/>
      <c r="E701" s="438" t="str">
        <f>E691</f>
        <v>BDI (%): 29,99</v>
      </c>
      <c r="F701" s="438"/>
      <c r="G701" s="438"/>
      <c r="H701" s="439">
        <f>(H699+I699+H700)*K701</f>
        <v>11.07370145536</v>
      </c>
      <c r="I701" s="439"/>
      <c r="J701" s="134"/>
      <c r="K701" s="324">
        <v>0.2999</v>
      </c>
      <c r="L701" s="191">
        <f t="shared" si="15"/>
        <v>1.4842</v>
      </c>
    </row>
    <row r="702" spans="1:14" s="64" customFormat="1" x14ac:dyDescent="0.2">
      <c r="A702" s="63"/>
      <c r="B702" s="385"/>
      <c r="C702" s="122"/>
      <c r="D702" s="75"/>
      <c r="E702" s="438" t="str">
        <f>E692</f>
        <v>Valor Total c/ Taxas</v>
      </c>
      <c r="F702" s="438"/>
      <c r="G702" s="438"/>
      <c r="H702" s="67"/>
      <c r="I702" s="69">
        <f>(H699+I699+H700+H701)</f>
        <v>47.998347855360002</v>
      </c>
      <c r="J702" s="134"/>
      <c r="K702" s="324">
        <v>0.2999</v>
      </c>
      <c r="L702" s="191">
        <f t="shared" si="15"/>
        <v>1.4842</v>
      </c>
      <c r="M702" s="401">
        <v>48</v>
      </c>
      <c r="N702" s="86">
        <f>I702-M702</f>
        <v>-1.6521446399977435E-3</v>
      </c>
    </row>
    <row r="703" spans="1:14" s="64" customFormat="1" x14ac:dyDescent="0.2">
      <c r="A703" s="63"/>
      <c r="B703" s="385"/>
      <c r="C703" s="122"/>
      <c r="D703" s="75"/>
      <c r="E703" s="382"/>
      <c r="F703" s="382"/>
      <c r="G703" s="382"/>
      <c r="H703" s="67"/>
      <c r="I703" s="69"/>
      <c r="J703" s="134"/>
      <c r="K703" s="324"/>
      <c r="L703" s="191">
        <f t="shared" si="15"/>
        <v>1.4842</v>
      </c>
      <c r="M703" s="401"/>
      <c r="N703" s="86"/>
    </row>
    <row r="704" spans="1:14" s="64" customFormat="1" x14ac:dyDescent="0.2">
      <c r="A704" s="386"/>
      <c r="B704" s="151"/>
      <c r="C704" s="76" t="str">
        <f>orçamento!D88</f>
        <v>Eletroduto de PVC rigido diâmetro 3/4'' inclusive conexões</v>
      </c>
      <c r="D704" s="386" t="s">
        <v>10</v>
      </c>
      <c r="E704" s="67"/>
      <c r="F704" s="327"/>
      <c r="G704" s="71"/>
      <c r="H704" s="67"/>
      <c r="I704" s="67"/>
      <c r="J704" s="134"/>
      <c r="K704" s="324">
        <v>0.2999</v>
      </c>
      <c r="L704" s="191">
        <f t="shared" si="15"/>
        <v>1.4842</v>
      </c>
    </row>
    <row r="705" spans="1:14" s="64" customFormat="1" x14ac:dyDescent="0.2">
      <c r="A705" s="63"/>
      <c r="B705" s="385"/>
      <c r="C705" s="122" t="str">
        <f>C704</f>
        <v>Eletroduto de PVC rigido diâmetro 3/4'' inclusive conexões</v>
      </c>
      <c r="D705" s="75" t="s">
        <v>10</v>
      </c>
      <c r="E705" s="67">
        <f>4*N10</f>
        <v>4</v>
      </c>
      <c r="F705" s="327">
        <v>2.69</v>
      </c>
      <c r="G705" s="71">
        <v>1.976</v>
      </c>
      <c r="H705" s="67"/>
      <c r="I705" s="67">
        <f>E705*G705</f>
        <v>7.9039999999999999</v>
      </c>
      <c r="J705" s="134"/>
      <c r="K705" s="324">
        <v>0.2999</v>
      </c>
      <c r="L705" s="191">
        <f t="shared" si="15"/>
        <v>1.4842</v>
      </c>
    </row>
    <row r="706" spans="1:14" s="64" customFormat="1" x14ac:dyDescent="0.2">
      <c r="A706" s="63"/>
      <c r="B706" s="385"/>
      <c r="C706" s="122" t="s">
        <v>258</v>
      </c>
      <c r="D706" s="75" t="s">
        <v>53</v>
      </c>
      <c r="E706" s="132">
        <f>5.21*N10</f>
        <v>5.21</v>
      </c>
      <c r="F706" s="334"/>
      <c r="G706" s="71">
        <v>0.09</v>
      </c>
      <c r="H706" s="67">
        <f>E706*G706</f>
        <v>0.46889999999999998</v>
      </c>
      <c r="I706" s="133"/>
      <c r="J706" s="134"/>
      <c r="K706" s="324">
        <v>0.2999</v>
      </c>
      <c r="L706" s="191">
        <f t="shared" si="15"/>
        <v>1.4842</v>
      </c>
    </row>
    <row r="707" spans="1:14" s="64" customFormat="1" x14ac:dyDescent="0.2">
      <c r="A707" s="63"/>
      <c r="B707" s="385"/>
      <c r="C707" s="122" t="s">
        <v>259</v>
      </c>
      <c r="D707" s="75" t="s">
        <v>53</v>
      </c>
      <c r="E707" s="67">
        <f>3.77*N10</f>
        <v>3.77</v>
      </c>
      <c r="F707" s="334"/>
      <c r="G707" s="71">
        <v>0.09</v>
      </c>
      <c r="H707" s="67">
        <f>E707*G707</f>
        <v>0.33929999999999999</v>
      </c>
      <c r="I707" s="133"/>
      <c r="J707" s="134"/>
      <c r="K707" s="324">
        <v>0.2999</v>
      </c>
      <c r="L707" s="191">
        <f t="shared" si="15"/>
        <v>1.4842</v>
      </c>
    </row>
    <row r="708" spans="1:14" s="64" customFormat="1" hidden="1" x14ac:dyDescent="0.2">
      <c r="A708" s="63"/>
      <c r="B708" s="385"/>
      <c r="C708" s="122"/>
      <c r="D708" s="75"/>
      <c r="E708" s="67"/>
      <c r="F708" s="327"/>
      <c r="G708" s="71"/>
      <c r="H708" s="67"/>
      <c r="I708" s="67"/>
      <c r="J708" s="134"/>
      <c r="K708" s="324">
        <v>0.2999</v>
      </c>
      <c r="L708" s="191">
        <f t="shared" si="15"/>
        <v>1.4842</v>
      </c>
    </row>
    <row r="709" spans="1:14" s="64" customFormat="1" x14ac:dyDescent="0.2">
      <c r="A709" s="63"/>
      <c r="B709" s="385"/>
      <c r="C709" s="122"/>
      <c r="D709" s="75"/>
      <c r="E709" s="438" t="str">
        <f>E699</f>
        <v>Custo Direto</v>
      </c>
      <c r="F709" s="438"/>
      <c r="G709" s="438"/>
      <c r="H709" s="69">
        <f>SUM(H705:H707)</f>
        <v>0.80820000000000003</v>
      </c>
      <c r="I709" s="69">
        <f>SUM(I705:I707)</f>
        <v>7.9039999999999999</v>
      </c>
      <c r="J709" s="134"/>
      <c r="K709" s="324">
        <v>0.2999</v>
      </c>
      <c r="L709" s="191">
        <f t="shared" si="15"/>
        <v>1.4842</v>
      </c>
    </row>
    <row r="710" spans="1:14" s="64" customFormat="1" x14ac:dyDescent="0.2">
      <c r="A710" s="63"/>
      <c r="B710" s="385"/>
      <c r="C710" s="122"/>
      <c r="D710" s="75"/>
      <c r="E710" s="438" t="str">
        <f>E700</f>
        <v>LS(%): 148,42</v>
      </c>
      <c r="F710" s="438"/>
      <c r="G710" s="438"/>
      <c r="H710" s="67">
        <f>H709*L710</f>
        <v>1.19953044</v>
      </c>
      <c r="I710" s="131"/>
      <c r="J710" s="134"/>
      <c r="K710" s="324">
        <v>0.2999</v>
      </c>
      <c r="L710" s="191">
        <f t="shared" si="15"/>
        <v>1.4842</v>
      </c>
    </row>
    <row r="711" spans="1:14" s="64" customFormat="1" x14ac:dyDescent="0.2">
      <c r="A711" s="63"/>
      <c r="B711" s="385"/>
      <c r="C711" s="122"/>
      <c r="D711" s="75"/>
      <c r="E711" s="438" t="str">
        <f>E701</f>
        <v>BDI (%): 29,99</v>
      </c>
      <c r="F711" s="438"/>
      <c r="G711" s="438"/>
      <c r="H711" s="439">
        <f>(H709+I709+H710)*K711</f>
        <v>2.9725279589559999</v>
      </c>
      <c r="I711" s="439"/>
      <c r="J711" s="134"/>
      <c r="K711" s="324">
        <v>0.2999</v>
      </c>
      <c r="L711" s="191">
        <f t="shared" si="15"/>
        <v>1.4842</v>
      </c>
    </row>
    <row r="712" spans="1:14" s="64" customFormat="1" x14ac:dyDescent="0.2">
      <c r="A712" s="63"/>
      <c r="B712" s="385"/>
      <c r="C712" s="122"/>
      <c r="D712" s="75"/>
      <c r="E712" s="438" t="str">
        <f>E702</f>
        <v>Valor Total c/ Taxas</v>
      </c>
      <c r="F712" s="438"/>
      <c r="G712" s="438"/>
      <c r="H712" s="67"/>
      <c r="I712" s="69">
        <f>(H709+I709+H710+H711)</f>
        <v>12.884258398956</v>
      </c>
      <c r="J712" s="134"/>
      <c r="K712" s="324">
        <v>0.2999</v>
      </c>
      <c r="L712" s="191">
        <f t="shared" si="15"/>
        <v>1.4842</v>
      </c>
      <c r="M712" s="401">
        <v>12.88</v>
      </c>
      <c r="N712" s="86">
        <f>I712-M712</f>
        <v>4.2583989559989988E-3</v>
      </c>
    </row>
    <row r="713" spans="1:14" s="64" customFormat="1" x14ac:dyDescent="0.2">
      <c r="A713" s="63"/>
      <c r="B713" s="385"/>
      <c r="C713" s="122"/>
      <c r="D713" s="75"/>
      <c r="E713" s="382"/>
      <c r="F713" s="382"/>
      <c r="G713" s="382"/>
      <c r="H713" s="67"/>
      <c r="I713" s="69"/>
      <c r="J713" s="134"/>
      <c r="K713" s="324"/>
      <c r="L713" s="191">
        <f t="shared" si="15"/>
        <v>1.4842</v>
      </c>
      <c r="M713" s="401"/>
      <c r="N713" s="86"/>
    </row>
    <row r="714" spans="1:14" s="64" customFormat="1" x14ac:dyDescent="0.2">
      <c r="A714" s="386"/>
      <c r="B714" s="151"/>
      <c r="C714" s="76" t="str">
        <f>orçamento!D89</f>
        <v>Eletroduto de PVC rigido diâmetro 4'' inclusive conexões</v>
      </c>
      <c r="D714" s="386" t="s">
        <v>10</v>
      </c>
      <c r="E714" s="67"/>
      <c r="F714" s="327"/>
      <c r="G714" s="71"/>
      <c r="H714" s="67"/>
      <c r="I714" s="67"/>
      <c r="J714" s="134"/>
      <c r="K714" s="324">
        <v>0.2999</v>
      </c>
      <c r="L714" s="191">
        <f t="shared" si="15"/>
        <v>1.4842</v>
      </c>
    </row>
    <row r="715" spans="1:14" s="64" customFormat="1" x14ac:dyDescent="0.2">
      <c r="A715" s="63"/>
      <c r="B715" s="385"/>
      <c r="C715" s="122" t="str">
        <f>C714</f>
        <v>Eletroduto de PVC rigido diâmetro 4'' inclusive conexões</v>
      </c>
      <c r="D715" s="75" t="s">
        <v>10</v>
      </c>
      <c r="E715" s="67">
        <f>7.69*N10</f>
        <v>7.69</v>
      </c>
      <c r="F715" s="327">
        <v>2.69</v>
      </c>
      <c r="G715" s="71">
        <v>3.1</v>
      </c>
      <c r="H715" s="67"/>
      <c r="I715" s="67">
        <f>E715*G715</f>
        <v>23.839000000000002</v>
      </c>
      <c r="J715" s="134"/>
      <c r="K715" s="324">
        <v>0.2999</v>
      </c>
      <c r="L715" s="191">
        <f t="shared" si="15"/>
        <v>1.4842</v>
      </c>
    </row>
    <row r="716" spans="1:14" s="64" customFormat="1" x14ac:dyDescent="0.2">
      <c r="A716" s="63"/>
      <c r="B716" s="385"/>
      <c r="C716" s="122" t="s">
        <v>258</v>
      </c>
      <c r="D716" s="75" t="s">
        <v>53</v>
      </c>
      <c r="E716" s="132">
        <f>5.21*N10</f>
        <v>5.21</v>
      </c>
      <c r="F716" s="334"/>
      <c r="G716" s="71">
        <v>1.1000000000000001</v>
      </c>
      <c r="H716" s="67">
        <f>E716*G716</f>
        <v>5.7310000000000008</v>
      </c>
      <c r="I716" s="133"/>
      <c r="J716" s="134"/>
      <c r="K716" s="324">
        <v>0.2999</v>
      </c>
      <c r="L716" s="191">
        <f t="shared" si="15"/>
        <v>1.4842</v>
      </c>
    </row>
    <row r="717" spans="1:14" s="64" customFormat="1" x14ac:dyDescent="0.2">
      <c r="A717" s="63"/>
      <c r="B717" s="385"/>
      <c r="C717" s="122" t="s">
        <v>259</v>
      </c>
      <c r="D717" s="75" t="s">
        <v>53</v>
      </c>
      <c r="E717" s="67">
        <f>3.77*N10</f>
        <v>3.77</v>
      </c>
      <c r="F717" s="334"/>
      <c r="G717" s="71">
        <v>1.1000000000000001</v>
      </c>
      <c r="H717" s="67">
        <f>E717*G717</f>
        <v>4.1470000000000002</v>
      </c>
      <c r="I717" s="133"/>
      <c r="J717" s="134"/>
      <c r="K717" s="324">
        <v>0.2999</v>
      </c>
      <c r="L717" s="191">
        <f t="shared" si="15"/>
        <v>1.4842</v>
      </c>
    </row>
    <row r="718" spans="1:14" s="64" customFormat="1" hidden="1" x14ac:dyDescent="0.2">
      <c r="A718" s="63"/>
      <c r="B718" s="385"/>
      <c r="C718" s="122"/>
      <c r="D718" s="75"/>
      <c r="E718" s="67"/>
      <c r="F718" s="327"/>
      <c r="G718" s="71"/>
      <c r="H718" s="67"/>
      <c r="I718" s="67"/>
      <c r="J718" s="134"/>
      <c r="K718" s="324">
        <v>0.2999</v>
      </c>
      <c r="L718" s="191">
        <f t="shared" si="15"/>
        <v>1.4842</v>
      </c>
    </row>
    <row r="719" spans="1:14" s="64" customFormat="1" x14ac:dyDescent="0.2">
      <c r="A719" s="63"/>
      <c r="B719" s="385"/>
      <c r="C719" s="122"/>
      <c r="D719" s="75"/>
      <c r="E719" s="438" t="str">
        <f>E709</f>
        <v>Custo Direto</v>
      </c>
      <c r="F719" s="438"/>
      <c r="G719" s="438"/>
      <c r="H719" s="69">
        <f>SUM(H715:H717)</f>
        <v>9.8780000000000001</v>
      </c>
      <c r="I719" s="69">
        <f>SUM(I715:I717)</f>
        <v>23.839000000000002</v>
      </c>
      <c r="J719" s="134"/>
      <c r="K719" s="324">
        <v>0.2999</v>
      </c>
      <c r="L719" s="191">
        <f t="shared" si="15"/>
        <v>1.4842</v>
      </c>
    </row>
    <row r="720" spans="1:14" s="64" customFormat="1" x14ac:dyDescent="0.2">
      <c r="A720" s="63"/>
      <c r="B720" s="385"/>
      <c r="C720" s="122"/>
      <c r="D720" s="75"/>
      <c r="E720" s="438" t="str">
        <f>E710</f>
        <v>LS(%): 148,42</v>
      </c>
      <c r="F720" s="438"/>
      <c r="G720" s="438"/>
      <c r="H720" s="67">
        <f>H719*L720</f>
        <v>14.660927599999999</v>
      </c>
      <c r="I720" s="131"/>
      <c r="J720" s="134"/>
      <c r="K720" s="324">
        <v>0.2999</v>
      </c>
      <c r="L720" s="191">
        <f t="shared" si="15"/>
        <v>1.4842</v>
      </c>
    </row>
    <row r="721" spans="1:14" s="64" customFormat="1" x14ac:dyDescent="0.2">
      <c r="A721" s="63"/>
      <c r="B721" s="385"/>
      <c r="C721" s="122"/>
      <c r="D721" s="75"/>
      <c r="E721" s="438" t="str">
        <f>E711</f>
        <v>BDI (%): 29,99</v>
      </c>
      <c r="F721" s="438"/>
      <c r="G721" s="438"/>
      <c r="H721" s="439">
        <f>(H719+I719+H720)*K721</f>
        <v>14.508540487239999</v>
      </c>
      <c r="I721" s="439"/>
      <c r="J721" s="134"/>
      <c r="K721" s="324">
        <v>0.2999</v>
      </c>
      <c r="L721" s="191">
        <f t="shared" si="15"/>
        <v>1.4842</v>
      </c>
    </row>
    <row r="722" spans="1:14" s="64" customFormat="1" x14ac:dyDescent="0.2">
      <c r="A722" s="63"/>
      <c r="B722" s="385"/>
      <c r="C722" s="122"/>
      <c r="D722" s="75"/>
      <c r="E722" s="438" t="str">
        <f>E712</f>
        <v>Valor Total c/ Taxas</v>
      </c>
      <c r="F722" s="438"/>
      <c r="G722" s="438"/>
      <c r="H722" s="67"/>
      <c r="I722" s="69">
        <f>(H719+I719+H720+H721)</f>
        <v>62.886468087239997</v>
      </c>
      <c r="J722" s="134"/>
      <c r="K722" s="324">
        <v>0.2999</v>
      </c>
      <c r="L722" s="191">
        <f t="shared" si="15"/>
        <v>1.4842</v>
      </c>
      <c r="M722" s="401">
        <v>62.89</v>
      </c>
      <c r="N722" s="86">
        <f>I722-M722</f>
        <v>-3.5319127600033084E-3</v>
      </c>
    </row>
    <row r="723" spans="1:14" s="64" customFormat="1" x14ac:dyDescent="0.2">
      <c r="A723" s="63"/>
      <c r="B723" s="385"/>
      <c r="C723" s="122"/>
      <c r="D723" s="75"/>
      <c r="E723" s="382"/>
      <c r="F723" s="382"/>
      <c r="G723" s="382"/>
      <c r="H723" s="67"/>
      <c r="I723" s="69"/>
      <c r="J723" s="134"/>
      <c r="K723" s="324"/>
      <c r="L723" s="191">
        <f t="shared" si="15"/>
        <v>1.4842</v>
      </c>
      <c r="M723" s="401"/>
      <c r="N723" s="86"/>
    </row>
    <row r="724" spans="1:14" s="64" customFormat="1" x14ac:dyDescent="0.2">
      <c r="A724" s="386"/>
      <c r="B724" s="151"/>
      <c r="C724" s="76" t="str">
        <f>orçamento!D90</f>
        <v>Eletroduto de ferro galvanizado  diâmetro 3'' inclusive conexões</v>
      </c>
      <c r="D724" s="386" t="s">
        <v>10</v>
      </c>
      <c r="E724" s="67"/>
      <c r="F724" s="327"/>
      <c r="G724" s="71"/>
      <c r="H724" s="67"/>
      <c r="I724" s="67"/>
      <c r="J724" s="134"/>
      <c r="K724" s="324">
        <v>0.2999</v>
      </c>
      <c r="L724" s="191">
        <f t="shared" si="15"/>
        <v>1.4842</v>
      </c>
    </row>
    <row r="725" spans="1:14" s="64" customFormat="1" x14ac:dyDescent="0.2">
      <c r="A725" s="63"/>
      <c r="B725" s="385"/>
      <c r="C725" s="122" t="str">
        <f>C724</f>
        <v>Eletroduto de ferro galvanizado  diâmetro 3'' inclusive conexões</v>
      </c>
      <c r="D725" s="75" t="s">
        <v>10</v>
      </c>
      <c r="E725" s="67">
        <f>10.409*N10</f>
        <v>10.409000000000001</v>
      </c>
      <c r="F725" s="327">
        <v>2.69</v>
      </c>
      <c r="G725" s="71">
        <v>3.1</v>
      </c>
      <c r="H725" s="67"/>
      <c r="I725" s="67">
        <f>E725*G725</f>
        <v>32.267900000000004</v>
      </c>
      <c r="J725" s="134"/>
      <c r="K725" s="324">
        <v>0.2999</v>
      </c>
      <c r="L725" s="191">
        <f t="shared" si="15"/>
        <v>1.4842</v>
      </c>
    </row>
    <row r="726" spans="1:14" s="64" customFormat="1" x14ac:dyDescent="0.2">
      <c r="A726" s="63"/>
      <c r="B726" s="385"/>
      <c r="C726" s="122" t="s">
        <v>258</v>
      </c>
      <c r="D726" s="75" t="s">
        <v>53</v>
      </c>
      <c r="E726" s="132">
        <f>5.21*N10</f>
        <v>5.21</v>
      </c>
      <c r="F726" s="334"/>
      <c r="G726" s="71">
        <v>1.1000000000000001</v>
      </c>
      <c r="H726" s="67">
        <f>E726*G726</f>
        <v>5.7310000000000008</v>
      </c>
      <c r="I726" s="133"/>
      <c r="J726" s="134"/>
      <c r="K726" s="324">
        <v>0.2999</v>
      </c>
      <c r="L726" s="191">
        <f t="shared" si="15"/>
        <v>1.4842</v>
      </c>
    </row>
    <row r="727" spans="1:14" s="64" customFormat="1" x14ac:dyDescent="0.2">
      <c r="A727" s="63"/>
      <c r="B727" s="385"/>
      <c r="C727" s="122" t="s">
        <v>259</v>
      </c>
      <c r="D727" s="75" t="s">
        <v>53</v>
      </c>
      <c r="E727" s="67">
        <f>3.77*N10</f>
        <v>3.77</v>
      </c>
      <c r="F727" s="334"/>
      <c r="G727" s="71">
        <v>1.1000000000000001</v>
      </c>
      <c r="H727" s="67">
        <f>E727*G727</f>
        <v>4.1470000000000002</v>
      </c>
      <c r="I727" s="133"/>
      <c r="J727" s="134"/>
      <c r="K727" s="324">
        <v>0.2999</v>
      </c>
      <c r="L727" s="191">
        <f t="shared" si="15"/>
        <v>1.4842</v>
      </c>
    </row>
    <row r="728" spans="1:14" s="64" customFormat="1" hidden="1" x14ac:dyDescent="0.2">
      <c r="A728" s="63"/>
      <c r="B728" s="385"/>
      <c r="C728" s="122"/>
      <c r="D728" s="75"/>
      <c r="E728" s="67"/>
      <c r="F728" s="327"/>
      <c r="G728" s="71"/>
      <c r="H728" s="67"/>
      <c r="I728" s="67"/>
      <c r="J728" s="134"/>
      <c r="K728" s="324">
        <v>0.2999</v>
      </c>
      <c r="L728" s="191">
        <f t="shared" si="15"/>
        <v>1.4842</v>
      </c>
    </row>
    <row r="729" spans="1:14" s="64" customFormat="1" x14ac:dyDescent="0.2">
      <c r="A729" s="63"/>
      <c r="B729" s="385"/>
      <c r="C729" s="122"/>
      <c r="D729" s="75"/>
      <c r="E729" s="438" t="str">
        <f>E719</f>
        <v>Custo Direto</v>
      </c>
      <c r="F729" s="438"/>
      <c r="G729" s="438"/>
      <c r="H729" s="69">
        <f>SUM(H725:H727)</f>
        <v>9.8780000000000001</v>
      </c>
      <c r="I729" s="69">
        <f>SUM(I725:I727)</f>
        <v>32.267900000000004</v>
      </c>
      <c r="J729" s="134"/>
      <c r="K729" s="324">
        <v>0.2999</v>
      </c>
      <c r="L729" s="191">
        <f t="shared" si="15"/>
        <v>1.4842</v>
      </c>
    </row>
    <row r="730" spans="1:14" s="64" customFormat="1" x14ac:dyDescent="0.2">
      <c r="A730" s="63"/>
      <c r="B730" s="385"/>
      <c r="C730" s="122"/>
      <c r="D730" s="75"/>
      <c r="E730" s="438" t="str">
        <f>E720</f>
        <v>LS(%): 148,42</v>
      </c>
      <c r="F730" s="438"/>
      <c r="G730" s="438"/>
      <c r="H730" s="67">
        <f>H729*L730</f>
        <v>14.660927599999999</v>
      </c>
      <c r="I730" s="131"/>
      <c r="J730" s="134"/>
      <c r="K730" s="324">
        <v>0.2999</v>
      </c>
      <c r="L730" s="191">
        <f t="shared" si="15"/>
        <v>1.4842</v>
      </c>
    </row>
    <row r="731" spans="1:14" s="64" customFormat="1" x14ac:dyDescent="0.2">
      <c r="A731" s="63"/>
      <c r="B731" s="385"/>
      <c r="C731" s="122"/>
      <c r="D731" s="75"/>
      <c r="E731" s="438" t="str">
        <f>E721</f>
        <v>BDI (%): 29,99</v>
      </c>
      <c r="F731" s="438"/>
      <c r="G731" s="438"/>
      <c r="H731" s="439">
        <f>(H729+I729+H730)*K731</f>
        <v>17.036367597240002</v>
      </c>
      <c r="I731" s="439"/>
      <c r="J731" s="134"/>
      <c r="K731" s="324">
        <v>0.2999</v>
      </c>
      <c r="L731" s="191">
        <f t="shared" si="15"/>
        <v>1.4842</v>
      </c>
    </row>
    <row r="732" spans="1:14" s="64" customFormat="1" x14ac:dyDescent="0.2">
      <c r="A732" s="63"/>
      <c r="B732" s="385"/>
      <c r="C732" s="122"/>
      <c r="D732" s="75"/>
      <c r="E732" s="438" t="str">
        <f>E722</f>
        <v>Valor Total c/ Taxas</v>
      </c>
      <c r="F732" s="438"/>
      <c r="G732" s="438"/>
      <c r="H732" s="67"/>
      <c r="I732" s="69">
        <f>(H729+I729+H730+H731)</f>
        <v>73.843195197240007</v>
      </c>
      <c r="J732" s="134"/>
      <c r="K732" s="324">
        <v>0.2999</v>
      </c>
      <c r="L732" s="191">
        <f t="shared" si="15"/>
        <v>1.4842</v>
      </c>
      <c r="M732" s="401">
        <v>73.84</v>
      </c>
      <c r="N732" s="86">
        <f>I732-M732</f>
        <v>3.1951972400037221E-3</v>
      </c>
    </row>
    <row r="733" spans="1:14" s="64" customFormat="1" x14ac:dyDescent="0.2">
      <c r="A733" s="63"/>
      <c r="B733" s="385"/>
      <c r="C733" s="122"/>
      <c r="D733" s="75"/>
      <c r="E733" s="382"/>
      <c r="F733" s="382"/>
      <c r="G733" s="382"/>
      <c r="H733" s="67"/>
      <c r="I733" s="69"/>
      <c r="J733" s="134"/>
      <c r="K733" s="324"/>
      <c r="L733" s="191">
        <f t="shared" si="15"/>
        <v>1.4842</v>
      </c>
      <c r="M733" s="401"/>
      <c r="N733" s="86"/>
    </row>
    <row r="734" spans="1:14" s="64" customFormat="1" x14ac:dyDescent="0.2">
      <c r="A734" s="386"/>
      <c r="B734" s="151"/>
      <c r="C734" s="76" t="str">
        <f>orçamento!D91</f>
        <v>Espelho baquelite 4'' x 2'' 2 furos RJ-45</v>
      </c>
      <c r="D734" s="386" t="s">
        <v>513</v>
      </c>
      <c r="E734" s="67"/>
      <c r="F734" s="327"/>
      <c r="G734" s="71"/>
      <c r="H734" s="67"/>
      <c r="I734" s="67"/>
      <c r="J734" s="134"/>
      <c r="K734" s="324">
        <v>0.2999</v>
      </c>
      <c r="L734" s="191">
        <f t="shared" si="15"/>
        <v>1.4842</v>
      </c>
    </row>
    <row r="735" spans="1:14" s="64" customFormat="1" x14ac:dyDescent="0.2">
      <c r="A735" s="63"/>
      <c r="B735" s="385"/>
      <c r="C735" s="122" t="str">
        <f>C734</f>
        <v>Espelho baquelite 4'' x 2'' 2 furos RJ-45</v>
      </c>
      <c r="D735" s="75" t="s">
        <v>513</v>
      </c>
      <c r="E735" s="67">
        <f>8.952*N10</f>
        <v>8.952</v>
      </c>
      <c r="F735" s="327">
        <v>2.69</v>
      </c>
      <c r="G735" s="71">
        <v>2.1</v>
      </c>
      <c r="H735" s="67"/>
      <c r="I735" s="67">
        <f>E735*G735</f>
        <v>18.799199999999999</v>
      </c>
      <c r="J735" s="134"/>
      <c r="K735" s="324">
        <v>0.2999</v>
      </c>
      <c r="L735" s="191">
        <f t="shared" si="15"/>
        <v>1.4842</v>
      </c>
    </row>
    <row r="736" spans="1:14" s="64" customFormat="1" x14ac:dyDescent="0.2">
      <c r="A736" s="63"/>
      <c r="B736" s="385"/>
      <c r="C736" s="122" t="s">
        <v>258</v>
      </c>
      <c r="D736" s="75" t="s">
        <v>53</v>
      </c>
      <c r="E736" s="132">
        <f>5.21*N10</f>
        <v>5.21</v>
      </c>
      <c r="F736" s="334"/>
      <c r="G736" s="71">
        <v>0.09</v>
      </c>
      <c r="H736" s="67">
        <f>E736*G736</f>
        <v>0.46889999999999998</v>
      </c>
      <c r="I736" s="133"/>
      <c r="J736" s="134"/>
      <c r="K736" s="324">
        <v>0.2999</v>
      </c>
      <c r="L736" s="191">
        <f t="shared" si="15"/>
        <v>1.4842</v>
      </c>
    </row>
    <row r="737" spans="1:14" s="64" customFormat="1" x14ac:dyDescent="0.2">
      <c r="A737" s="63"/>
      <c r="B737" s="385"/>
      <c r="C737" s="122" t="s">
        <v>259</v>
      </c>
      <c r="D737" s="75" t="s">
        <v>53</v>
      </c>
      <c r="E737" s="67">
        <f>3.77*N10</f>
        <v>3.77</v>
      </c>
      <c r="F737" s="334"/>
      <c r="G737" s="71">
        <v>0.09</v>
      </c>
      <c r="H737" s="67">
        <f>E737*G737</f>
        <v>0.33929999999999999</v>
      </c>
      <c r="I737" s="133"/>
      <c r="J737" s="134"/>
      <c r="K737" s="324">
        <v>0.2999</v>
      </c>
      <c r="L737" s="191">
        <f t="shared" si="15"/>
        <v>1.4842</v>
      </c>
    </row>
    <row r="738" spans="1:14" s="64" customFormat="1" hidden="1" x14ac:dyDescent="0.2">
      <c r="A738" s="63"/>
      <c r="B738" s="385"/>
      <c r="C738" s="122"/>
      <c r="D738" s="75"/>
      <c r="E738" s="67"/>
      <c r="F738" s="327"/>
      <c r="G738" s="71"/>
      <c r="H738" s="67"/>
      <c r="I738" s="67"/>
      <c r="J738" s="134"/>
      <c r="K738" s="324">
        <v>0.2999</v>
      </c>
      <c r="L738" s="191">
        <f t="shared" si="15"/>
        <v>1.4842</v>
      </c>
    </row>
    <row r="739" spans="1:14" s="64" customFormat="1" x14ac:dyDescent="0.2">
      <c r="A739" s="63"/>
      <c r="B739" s="385"/>
      <c r="C739" s="122"/>
      <c r="D739" s="75"/>
      <c r="E739" s="438" t="str">
        <f>E729</f>
        <v>Custo Direto</v>
      </c>
      <c r="F739" s="438"/>
      <c r="G739" s="438"/>
      <c r="H739" s="69">
        <f>SUM(H735:H737)</f>
        <v>0.80820000000000003</v>
      </c>
      <c r="I739" s="69">
        <f>SUM(I735:I737)</f>
        <v>18.799199999999999</v>
      </c>
      <c r="J739" s="134"/>
      <c r="K739" s="324">
        <v>0.2999</v>
      </c>
      <c r="L739" s="191">
        <f t="shared" si="15"/>
        <v>1.4842</v>
      </c>
    </row>
    <row r="740" spans="1:14" s="64" customFormat="1" x14ac:dyDescent="0.2">
      <c r="A740" s="63"/>
      <c r="B740" s="385"/>
      <c r="C740" s="122"/>
      <c r="D740" s="75"/>
      <c r="E740" s="438" t="str">
        <f>E730</f>
        <v>LS(%): 148,42</v>
      </c>
      <c r="F740" s="438"/>
      <c r="G740" s="438"/>
      <c r="H740" s="67">
        <f>H739*L740</f>
        <v>1.19953044</v>
      </c>
      <c r="I740" s="131"/>
      <c r="J740" s="134"/>
      <c r="K740" s="324">
        <v>0.2999</v>
      </c>
      <c r="L740" s="191">
        <f t="shared" si="15"/>
        <v>1.4842</v>
      </c>
    </row>
    <row r="741" spans="1:14" s="64" customFormat="1" x14ac:dyDescent="0.2">
      <c r="A741" s="63"/>
      <c r="B741" s="385"/>
      <c r="C741" s="122"/>
      <c r="D741" s="75"/>
      <c r="E741" s="438" t="str">
        <f>E731</f>
        <v>BDI (%): 29,99</v>
      </c>
      <c r="F741" s="438"/>
      <c r="G741" s="438"/>
      <c r="H741" s="439">
        <f>(H739+I739+H740)*K741</f>
        <v>6.2399984389559995</v>
      </c>
      <c r="I741" s="439"/>
      <c r="J741" s="134"/>
      <c r="K741" s="324">
        <v>0.2999</v>
      </c>
      <c r="L741" s="191">
        <f t="shared" si="15"/>
        <v>1.4842</v>
      </c>
    </row>
    <row r="742" spans="1:14" s="64" customFormat="1" x14ac:dyDescent="0.2">
      <c r="A742" s="63"/>
      <c r="B742" s="385"/>
      <c r="C742" s="122"/>
      <c r="D742" s="75"/>
      <c r="E742" s="438" t="str">
        <f>E732</f>
        <v>Valor Total c/ Taxas</v>
      </c>
      <c r="F742" s="438"/>
      <c r="G742" s="438"/>
      <c r="H742" s="67"/>
      <c r="I742" s="69">
        <f>(H739+I739+H740+H741)</f>
        <v>27.046928878955999</v>
      </c>
      <c r="J742" s="134"/>
      <c r="K742" s="324">
        <v>0.2999</v>
      </c>
      <c r="L742" s="191">
        <f t="shared" si="15"/>
        <v>1.4842</v>
      </c>
      <c r="M742" s="401">
        <v>27.05</v>
      </c>
      <c r="N742" s="86">
        <f>I742-M742</f>
        <v>-3.0711210440017567E-3</v>
      </c>
    </row>
    <row r="743" spans="1:14" s="64" customFormat="1" x14ac:dyDescent="0.2">
      <c r="A743" s="63"/>
      <c r="B743" s="385"/>
      <c r="C743" s="122"/>
      <c r="D743" s="75"/>
      <c r="E743" s="382"/>
      <c r="F743" s="382"/>
      <c r="G743" s="382"/>
      <c r="H743" s="67"/>
      <c r="I743" s="69"/>
      <c r="J743" s="134"/>
      <c r="K743" s="324"/>
      <c r="L743" s="191">
        <f t="shared" si="15"/>
        <v>1.4842</v>
      </c>
      <c r="M743" s="401"/>
      <c r="N743" s="86"/>
    </row>
    <row r="744" spans="1:14" s="64" customFormat="1" x14ac:dyDescent="0.2">
      <c r="A744" s="386"/>
      <c r="B744" s="151"/>
      <c r="C744" s="76" t="str">
        <f>orçamento!D92</f>
        <v>Fibra óptica monomodo geleado</v>
      </c>
      <c r="D744" s="386" t="str">
        <f>D745</f>
        <v>unid</v>
      </c>
      <c r="E744" s="67"/>
      <c r="F744" s="327"/>
      <c r="G744" s="71"/>
      <c r="H744" s="67"/>
      <c r="I744" s="67"/>
      <c r="J744" s="134"/>
      <c r="K744" s="324">
        <v>0.2999</v>
      </c>
      <c r="L744" s="191">
        <f t="shared" ref="L744:L807" si="17">L743</f>
        <v>1.4842</v>
      </c>
    </row>
    <row r="745" spans="1:14" s="64" customFormat="1" x14ac:dyDescent="0.2">
      <c r="A745" s="63"/>
      <c r="B745" s="385"/>
      <c r="C745" s="122" t="str">
        <f>C744</f>
        <v>Fibra óptica monomodo geleado</v>
      </c>
      <c r="D745" s="75" t="s">
        <v>513</v>
      </c>
      <c r="E745" s="67">
        <f>7.43*N10</f>
        <v>7.43</v>
      </c>
      <c r="F745" s="327">
        <v>2.69</v>
      </c>
      <c r="G745" s="71">
        <v>1</v>
      </c>
      <c r="H745" s="67"/>
      <c r="I745" s="67">
        <f>E745*G745</f>
        <v>7.43</v>
      </c>
      <c r="J745" s="134"/>
      <c r="K745" s="324">
        <v>0.2999</v>
      </c>
      <c r="L745" s="191">
        <f t="shared" si="17"/>
        <v>1.4842</v>
      </c>
    </row>
    <row r="746" spans="1:14" s="64" customFormat="1" x14ac:dyDescent="0.2">
      <c r="A746" s="63"/>
      <c r="B746" s="385"/>
      <c r="C746" s="122" t="s">
        <v>258</v>
      </c>
      <c r="D746" s="75" t="s">
        <v>53</v>
      </c>
      <c r="E746" s="132">
        <f>5.21*N10</f>
        <v>5.21</v>
      </c>
      <c r="F746" s="334"/>
      <c r="G746" s="71">
        <v>0.09</v>
      </c>
      <c r="H746" s="67">
        <f>E746*G746</f>
        <v>0.46889999999999998</v>
      </c>
      <c r="I746" s="133"/>
      <c r="J746" s="134"/>
      <c r="K746" s="324">
        <v>0.2999</v>
      </c>
      <c r="L746" s="191">
        <f t="shared" si="17"/>
        <v>1.4842</v>
      </c>
    </row>
    <row r="747" spans="1:14" s="64" customFormat="1" x14ac:dyDescent="0.2">
      <c r="A747" s="63"/>
      <c r="B747" s="385"/>
      <c r="C747" s="122" t="s">
        <v>259</v>
      </c>
      <c r="D747" s="75" t="s">
        <v>53</v>
      </c>
      <c r="E747" s="67">
        <f>3.77*N10</f>
        <v>3.77</v>
      </c>
      <c r="F747" s="334"/>
      <c r="G747" s="71">
        <v>0.09</v>
      </c>
      <c r="H747" s="67">
        <f>E747*G747</f>
        <v>0.33929999999999999</v>
      </c>
      <c r="I747" s="133"/>
      <c r="J747" s="134"/>
      <c r="K747" s="324">
        <v>0.2999</v>
      </c>
      <c r="L747" s="191">
        <f t="shared" si="17"/>
        <v>1.4842</v>
      </c>
    </row>
    <row r="748" spans="1:14" s="64" customFormat="1" hidden="1" x14ac:dyDescent="0.2">
      <c r="A748" s="63"/>
      <c r="B748" s="385"/>
      <c r="C748" s="122"/>
      <c r="D748" s="75"/>
      <c r="E748" s="67"/>
      <c r="F748" s="327"/>
      <c r="G748" s="71"/>
      <c r="H748" s="67"/>
      <c r="I748" s="67"/>
      <c r="J748" s="134"/>
      <c r="K748" s="324">
        <v>0.2999</v>
      </c>
      <c r="L748" s="191">
        <f t="shared" si="17"/>
        <v>1.4842</v>
      </c>
    </row>
    <row r="749" spans="1:14" s="64" customFormat="1" x14ac:dyDescent="0.2">
      <c r="A749" s="63"/>
      <c r="B749" s="385"/>
      <c r="C749" s="122"/>
      <c r="D749" s="75"/>
      <c r="E749" s="438" t="str">
        <f>E739</f>
        <v>Custo Direto</v>
      </c>
      <c r="F749" s="438"/>
      <c r="G749" s="438"/>
      <c r="H749" s="69">
        <f>SUM(H745:H747)</f>
        <v>0.80820000000000003</v>
      </c>
      <c r="I749" s="69">
        <f>SUM(I745:I747)</f>
        <v>7.43</v>
      </c>
      <c r="J749" s="134"/>
      <c r="K749" s="324">
        <v>0.2999</v>
      </c>
      <c r="L749" s="191">
        <f t="shared" si="17"/>
        <v>1.4842</v>
      </c>
    </row>
    <row r="750" spans="1:14" s="64" customFormat="1" x14ac:dyDescent="0.2">
      <c r="A750" s="63"/>
      <c r="B750" s="385"/>
      <c r="C750" s="122"/>
      <c r="D750" s="75"/>
      <c r="E750" s="438" t="str">
        <f>E740</f>
        <v>LS(%): 148,42</v>
      </c>
      <c r="F750" s="438"/>
      <c r="G750" s="438"/>
      <c r="H750" s="67">
        <f>H749*L750</f>
        <v>1.19953044</v>
      </c>
      <c r="I750" s="131"/>
      <c r="J750" s="134"/>
      <c r="K750" s="324">
        <v>0.2999</v>
      </c>
      <c r="L750" s="191">
        <f t="shared" si="17"/>
        <v>1.4842</v>
      </c>
    </row>
    <row r="751" spans="1:14" s="64" customFormat="1" x14ac:dyDescent="0.2">
      <c r="A751" s="63"/>
      <c r="B751" s="385"/>
      <c r="C751" s="122"/>
      <c r="D751" s="75"/>
      <c r="E751" s="438" t="str">
        <f>E741</f>
        <v>BDI (%): 29,99</v>
      </c>
      <c r="F751" s="438"/>
      <c r="G751" s="438"/>
      <c r="H751" s="439">
        <f>(H749+I749+H750)*K751</f>
        <v>2.8303753589559997</v>
      </c>
      <c r="I751" s="439"/>
      <c r="J751" s="134"/>
      <c r="K751" s="324">
        <v>0.2999</v>
      </c>
      <c r="L751" s="191">
        <f t="shared" si="17"/>
        <v>1.4842</v>
      </c>
    </row>
    <row r="752" spans="1:14" s="64" customFormat="1" x14ac:dyDescent="0.2">
      <c r="A752" s="63"/>
      <c r="B752" s="385"/>
      <c r="C752" s="122"/>
      <c r="D752" s="75"/>
      <c r="E752" s="438" t="str">
        <f>E742</f>
        <v>Valor Total c/ Taxas</v>
      </c>
      <c r="F752" s="438"/>
      <c r="G752" s="438"/>
      <c r="H752" s="67"/>
      <c r="I752" s="69">
        <f>(H749+I749+H750+H751)</f>
        <v>12.268105798955999</v>
      </c>
      <c r="J752" s="134"/>
      <c r="K752" s="324">
        <v>0.2999</v>
      </c>
      <c r="L752" s="191">
        <f t="shared" si="17"/>
        <v>1.4842</v>
      </c>
      <c r="M752" s="401">
        <v>12.27</v>
      </c>
      <c r="N752" s="86">
        <f>I752-M752</f>
        <v>-1.8942010440010648E-3</v>
      </c>
    </row>
    <row r="753" spans="1:14" s="64" customFormat="1" x14ac:dyDescent="0.2">
      <c r="A753" s="63"/>
      <c r="B753" s="385"/>
      <c r="C753" s="122"/>
      <c r="D753" s="75"/>
      <c r="E753" s="382"/>
      <c r="F753" s="382"/>
      <c r="G753" s="382"/>
      <c r="H753" s="67"/>
      <c r="I753" s="69"/>
      <c r="J753" s="134"/>
      <c r="K753" s="324"/>
      <c r="L753" s="191">
        <f t="shared" si="15"/>
        <v>1.4842</v>
      </c>
      <c r="M753" s="401"/>
      <c r="N753" s="86"/>
    </row>
    <row r="754" spans="1:14" s="64" customFormat="1" x14ac:dyDescent="0.2">
      <c r="A754" s="386"/>
      <c r="B754" s="151"/>
      <c r="C754" s="76" t="str">
        <f>orçamento!D93</f>
        <v>Fio de cobre nu no. 6 mm² (18,00 m/kg)</v>
      </c>
      <c r="D754" s="386" t="s">
        <v>10</v>
      </c>
      <c r="E754" s="67"/>
      <c r="F754" s="327"/>
      <c r="G754" s="71"/>
      <c r="H754" s="67"/>
      <c r="I754" s="67"/>
      <c r="J754" s="134"/>
      <c r="K754" s="324">
        <v>0.2999</v>
      </c>
      <c r="L754" s="191">
        <f t="shared" si="17"/>
        <v>1.4842</v>
      </c>
    </row>
    <row r="755" spans="1:14" s="64" customFormat="1" x14ac:dyDescent="0.2">
      <c r="A755" s="63"/>
      <c r="B755" s="385"/>
      <c r="C755" s="122" t="str">
        <f>C754</f>
        <v>Fio de cobre nu no. 6 mm² (18,00 m/kg)</v>
      </c>
      <c r="D755" s="75" t="s">
        <v>10</v>
      </c>
      <c r="E755" s="67">
        <f>3.115*N10</f>
        <v>3.1150000000000002</v>
      </c>
      <c r="F755" s="327">
        <v>2.69</v>
      </c>
      <c r="G755" s="71">
        <v>1</v>
      </c>
      <c r="H755" s="67"/>
      <c r="I755" s="67">
        <f>E755*G755</f>
        <v>3.1150000000000002</v>
      </c>
      <c r="J755" s="134"/>
      <c r="K755" s="324">
        <v>0.2999</v>
      </c>
      <c r="L755" s="191">
        <f t="shared" si="17"/>
        <v>1.4842</v>
      </c>
    </row>
    <row r="756" spans="1:14" s="64" customFormat="1" x14ac:dyDescent="0.2">
      <c r="A756" s="63"/>
      <c r="B756" s="385"/>
      <c r="C756" s="122" t="s">
        <v>258</v>
      </c>
      <c r="D756" s="75" t="s">
        <v>53</v>
      </c>
      <c r="E756" s="132">
        <f>5.21*N10</f>
        <v>5.21</v>
      </c>
      <c r="F756" s="334"/>
      <c r="G756" s="71">
        <v>0.09</v>
      </c>
      <c r="H756" s="67">
        <f>E756*G756</f>
        <v>0.46889999999999998</v>
      </c>
      <c r="I756" s="133"/>
      <c r="J756" s="134"/>
      <c r="K756" s="324">
        <v>0.2999</v>
      </c>
      <c r="L756" s="191">
        <f t="shared" si="17"/>
        <v>1.4842</v>
      </c>
    </row>
    <row r="757" spans="1:14" s="64" customFormat="1" x14ac:dyDescent="0.2">
      <c r="A757" s="63"/>
      <c r="B757" s="385"/>
      <c r="C757" s="122" t="s">
        <v>259</v>
      </c>
      <c r="D757" s="75" t="s">
        <v>53</v>
      </c>
      <c r="E757" s="67">
        <f>3.77*N10</f>
        <v>3.77</v>
      </c>
      <c r="F757" s="334"/>
      <c r="G757" s="71">
        <v>0.09</v>
      </c>
      <c r="H757" s="67">
        <f>E757*G757</f>
        <v>0.33929999999999999</v>
      </c>
      <c r="I757" s="133"/>
      <c r="J757" s="134"/>
      <c r="K757" s="324">
        <v>0.2999</v>
      </c>
      <c r="L757" s="191">
        <f t="shared" si="17"/>
        <v>1.4842</v>
      </c>
    </row>
    <row r="758" spans="1:14" s="64" customFormat="1" hidden="1" x14ac:dyDescent="0.2">
      <c r="A758" s="63"/>
      <c r="B758" s="385"/>
      <c r="C758" s="122"/>
      <c r="D758" s="75"/>
      <c r="E758" s="67"/>
      <c r="F758" s="327"/>
      <c r="G758" s="71"/>
      <c r="H758" s="67"/>
      <c r="I758" s="67"/>
      <c r="J758" s="134"/>
      <c r="K758" s="324">
        <v>0.2999</v>
      </c>
      <c r="L758" s="191">
        <f t="shared" si="17"/>
        <v>1.4842</v>
      </c>
    </row>
    <row r="759" spans="1:14" s="64" customFormat="1" x14ac:dyDescent="0.2">
      <c r="A759" s="63"/>
      <c r="B759" s="385"/>
      <c r="C759" s="122"/>
      <c r="D759" s="75"/>
      <c r="E759" s="438" t="str">
        <f>E749</f>
        <v>Custo Direto</v>
      </c>
      <c r="F759" s="438"/>
      <c r="G759" s="438"/>
      <c r="H759" s="69">
        <f>SUM(H755:H757)</f>
        <v>0.80820000000000003</v>
      </c>
      <c r="I759" s="69">
        <f>SUM(I755:I757)</f>
        <v>3.1150000000000002</v>
      </c>
      <c r="J759" s="134"/>
      <c r="K759" s="324">
        <v>0.2999</v>
      </c>
      <c r="L759" s="191">
        <f t="shared" si="17"/>
        <v>1.4842</v>
      </c>
    </row>
    <row r="760" spans="1:14" s="64" customFormat="1" x14ac:dyDescent="0.2">
      <c r="A760" s="63"/>
      <c r="B760" s="385"/>
      <c r="C760" s="122"/>
      <c r="D760" s="75"/>
      <c r="E760" s="438" t="str">
        <f>E750</f>
        <v>LS(%): 148,42</v>
      </c>
      <c r="F760" s="438"/>
      <c r="G760" s="438"/>
      <c r="H760" s="67">
        <f>H759*L760</f>
        <v>1.19953044</v>
      </c>
      <c r="I760" s="131"/>
      <c r="J760" s="134"/>
      <c r="K760" s="324">
        <v>0.2999</v>
      </c>
      <c r="L760" s="191">
        <f t="shared" si="17"/>
        <v>1.4842</v>
      </c>
    </row>
    <row r="761" spans="1:14" s="64" customFormat="1" x14ac:dyDescent="0.2">
      <c r="A761" s="63"/>
      <c r="B761" s="385"/>
      <c r="C761" s="122"/>
      <c r="D761" s="75"/>
      <c r="E761" s="438" t="str">
        <f>E751</f>
        <v>BDI (%): 29,99</v>
      </c>
      <c r="F761" s="438"/>
      <c r="G761" s="438"/>
      <c r="H761" s="439">
        <f>(H759+I759+H760)*K761</f>
        <v>1.5363068589560003</v>
      </c>
      <c r="I761" s="439"/>
      <c r="J761" s="134"/>
      <c r="K761" s="324">
        <v>0.2999</v>
      </c>
      <c r="L761" s="191">
        <f t="shared" si="17"/>
        <v>1.4842</v>
      </c>
    </row>
    <row r="762" spans="1:14" s="64" customFormat="1" x14ac:dyDescent="0.2">
      <c r="A762" s="63"/>
      <c r="B762" s="385"/>
      <c r="C762" s="122"/>
      <c r="D762" s="75"/>
      <c r="E762" s="438" t="str">
        <f>E752</f>
        <v>Valor Total c/ Taxas</v>
      </c>
      <c r="F762" s="438"/>
      <c r="G762" s="438"/>
      <c r="H762" s="67"/>
      <c r="I762" s="69">
        <f>(H759+I759+H760+H761)</f>
        <v>6.6590372989560009</v>
      </c>
      <c r="J762" s="134"/>
      <c r="K762" s="324">
        <v>0.2999</v>
      </c>
      <c r="L762" s="191">
        <f t="shared" si="17"/>
        <v>1.4842</v>
      </c>
      <c r="M762" s="401">
        <v>6.66</v>
      </c>
      <c r="N762" s="86">
        <f>I762-M762</f>
        <v>-9.6270104399920342E-4</v>
      </c>
    </row>
    <row r="763" spans="1:14" s="64" customFormat="1" x14ac:dyDescent="0.2">
      <c r="A763" s="63"/>
      <c r="B763" s="385"/>
      <c r="C763" s="122"/>
      <c r="D763" s="75"/>
      <c r="E763" s="382"/>
      <c r="F763" s="382"/>
      <c r="G763" s="382"/>
      <c r="H763" s="67"/>
      <c r="I763" s="69"/>
      <c r="J763" s="134"/>
      <c r="K763" s="324"/>
      <c r="L763" s="191">
        <f t="shared" si="17"/>
        <v>1.4842</v>
      </c>
      <c r="M763" s="401"/>
      <c r="N763" s="86"/>
    </row>
    <row r="764" spans="1:14" s="64" customFormat="1" x14ac:dyDescent="0.2">
      <c r="A764" s="386"/>
      <c r="B764" s="151"/>
      <c r="C764" s="76" t="str">
        <f>orçamento!D94</f>
        <v>Haste Copperweld 5/8'' x 3,00 m c/ conector</v>
      </c>
      <c r="D764" s="386" t="s">
        <v>622</v>
      </c>
      <c r="E764" s="67"/>
      <c r="F764" s="327"/>
      <c r="G764" s="71"/>
      <c r="H764" s="67"/>
      <c r="I764" s="67"/>
      <c r="J764" s="134"/>
      <c r="K764" s="324">
        <v>0.2999</v>
      </c>
      <c r="L764" s="191">
        <f t="shared" si="17"/>
        <v>1.4842</v>
      </c>
    </row>
    <row r="765" spans="1:14" s="64" customFormat="1" x14ac:dyDescent="0.2">
      <c r="A765" s="63"/>
      <c r="B765" s="385"/>
      <c r="C765" s="122" t="str">
        <f>C764</f>
        <v>Haste Copperweld 5/8'' x 3,00 m c/ conector</v>
      </c>
      <c r="D765" s="75" t="s">
        <v>622</v>
      </c>
      <c r="E765" s="67">
        <f>3.755*N10</f>
        <v>3.7549999999999999</v>
      </c>
      <c r="F765" s="327">
        <v>2.69</v>
      </c>
      <c r="G765" s="71">
        <v>3.4</v>
      </c>
      <c r="H765" s="67"/>
      <c r="I765" s="67">
        <f>E765*G765</f>
        <v>12.766999999999999</v>
      </c>
      <c r="J765" s="134"/>
      <c r="K765" s="324">
        <v>0.2999</v>
      </c>
      <c r="L765" s="191">
        <f t="shared" si="17"/>
        <v>1.4842</v>
      </c>
    </row>
    <row r="766" spans="1:14" s="64" customFormat="1" x14ac:dyDescent="0.2">
      <c r="A766" s="63"/>
      <c r="B766" s="385"/>
      <c r="C766" s="122" t="s">
        <v>258</v>
      </c>
      <c r="D766" s="75" t="s">
        <v>53</v>
      </c>
      <c r="E766" s="132">
        <f>5.21*N10</f>
        <v>5.21</v>
      </c>
      <c r="F766" s="334"/>
      <c r="G766" s="71">
        <v>1.3</v>
      </c>
      <c r="H766" s="67">
        <f>E766*G766</f>
        <v>6.7730000000000006</v>
      </c>
      <c r="I766" s="133"/>
      <c r="J766" s="134"/>
      <c r="K766" s="324">
        <v>0.2999</v>
      </c>
      <c r="L766" s="191">
        <f t="shared" si="17"/>
        <v>1.4842</v>
      </c>
    </row>
    <row r="767" spans="1:14" s="64" customFormat="1" x14ac:dyDescent="0.2">
      <c r="A767" s="63"/>
      <c r="B767" s="385"/>
      <c r="C767" s="122" t="s">
        <v>259</v>
      </c>
      <c r="D767" s="75" t="s">
        <v>53</v>
      </c>
      <c r="E767" s="67">
        <f>3.77*N10</f>
        <v>3.77</v>
      </c>
      <c r="F767" s="334"/>
      <c r="G767" s="71">
        <v>1.3</v>
      </c>
      <c r="H767" s="67">
        <f>E767*G767</f>
        <v>4.9009999999999998</v>
      </c>
      <c r="I767" s="133"/>
      <c r="J767" s="134"/>
      <c r="K767" s="324">
        <v>0.2999</v>
      </c>
      <c r="L767" s="191">
        <f t="shared" si="17"/>
        <v>1.4842</v>
      </c>
    </row>
    <row r="768" spans="1:14" s="64" customFormat="1" hidden="1" x14ac:dyDescent="0.2">
      <c r="A768" s="63"/>
      <c r="B768" s="385"/>
      <c r="C768" s="122"/>
      <c r="D768" s="75"/>
      <c r="E768" s="67"/>
      <c r="F768" s="327"/>
      <c r="G768" s="71"/>
      <c r="H768" s="67"/>
      <c r="I768" s="67"/>
      <c r="J768" s="134"/>
      <c r="K768" s="324">
        <v>0.2999</v>
      </c>
      <c r="L768" s="191">
        <f t="shared" si="17"/>
        <v>1.4842</v>
      </c>
    </row>
    <row r="769" spans="1:14" s="64" customFormat="1" x14ac:dyDescent="0.2">
      <c r="A769" s="63"/>
      <c r="B769" s="385"/>
      <c r="C769" s="122"/>
      <c r="D769" s="75"/>
      <c r="E769" s="438" t="str">
        <f>E759</f>
        <v>Custo Direto</v>
      </c>
      <c r="F769" s="438"/>
      <c r="G769" s="438"/>
      <c r="H769" s="69">
        <f>SUM(H765:H767)</f>
        <v>11.673999999999999</v>
      </c>
      <c r="I769" s="69">
        <f>SUM(I765:I767)</f>
        <v>12.766999999999999</v>
      </c>
      <c r="J769" s="134"/>
      <c r="K769" s="324">
        <v>0.2999</v>
      </c>
      <c r="L769" s="191">
        <f t="shared" si="17"/>
        <v>1.4842</v>
      </c>
    </row>
    <row r="770" spans="1:14" s="64" customFormat="1" x14ac:dyDescent="0.2">
      <c r="A770" s="63"/>
      <c r="B770" s="385"/>
      <c r="C770" s="122"/>
      <c r="D770" s="75"/>
      <c r="E770" s="438" t="str">
        <f>E760</f>
        <v>LS(%): 148,42</v>
      </c>
      <c r="F770" s="438"/>
      <c r="G770" s="438"/>
      <c r="H770" s="67">
        <f>H769*L770</f>
        <v>17.3265508</v>
      </c>
      <c r="I770" s="131"/>
      <c r="J770" s="134"/>
      <c r="K770" s="324">
        <v>0.2999</v>
      </c>
      <c r="L770" s="191">
        <f t="shared" si="17"/>
        <v>1.4842</v>
      </c>
    </row>
    <row r="771" spans="1:14" s="64" customFormat="1" x14ac:dyDescent="0.2">
      <c r="A771" s="63"/>
      <c r="B771" s="385"/>
      <c r="C771" s="122"/>
      <c r="D771" s="75"/>
      <c r="E771" s="438" t="str">
        <f>E761</f>
        <v>BDI (%): 29,99</v>
      </c>
      <c r="F771" s="438"/>
      <c r="G771" s="438"/>
      <c r="H771" s="439">
        <f>(H769+I769+H770)*K771</f>
        <v>12.526088484919999</v>
      </c>
      <c r="I771" s="439"/>
      <c r="J771" s="134"/>
      <c r="K771" s="324">
        <v>0.2999</v>
      </c>
      <c r="L771" s="191">
        <f t="shared" si="17"/>
        <v>1.4842</v>
      </c>
    </row>
    <row r="772" spans="1:14" s="64" customFormat="1" x14ac:dyDescent="0.2">
      <c r="A772" s="63"/>
      <c r="B772" s="385"/>
      <c r="C772" s="122"/>
      <c r="D772" s="75"/>
      <c r="E772" s="438" t="str">
        <f>E762</f>
        <v>Valor Total c/ Taxas</v>
      </c>
      <c r="F772" s="438"/>
      <c r="G772" s="438"/>
      <c r="H772" s="67"/>
      <c r="I772" s="69">
        <f>(H769+I769+H770+H771)</f>
        <v>54.29363928491999</v>
      </c>
      <c r="J772" s="134"/>
      <c r="K772" s="324">
        <v>0.2999</v>
      </c>
      <c r="L772" s="191">
        <f t="shared" si="17"/>
        <v>1.4842</v>
      </c>
      <c r="M772" s="401">
        <v>54.29</v>
      </c>
      <c r="N772" s="86">
        <f>I772-M772</f>
        <v>3.6392849199913258E-3</v>
      </c>
    </row>
    <row r="773" spans="1:14" s="64" customFormat="1" x14ac:dyDescent="0.2">
      <c r="A773" s="63"/>
      <c r="B773" s="385"/>
      <c r="C773" s="122"/>
      <c r="D773" s="75"/>
      <c r="E773" s="382"/>
      <c r="F773" s="382"/>
      <c r="G773" s="382"/>
      <c r="H773" s="67"/>
      <c r="I773" s="69"/>
      <c r="J773" s="134"/>
      <c r="K773" s="324"/>
      <c r="L773" s="191">
        <f t="shared" si="17"/>
        <v>1.4842</v>
      </c>
      <c r="M773" s="401"/>
      <c r="N773" s="86"/>
    </row>
    <row r="774" spans="1:14" s="64" customFormat="1" x14ac:dyDescent="0.2">
      <c r="A774" s="386"/>
      <c r="B774" s="151"/>
      <c r="C774" s="76" t="str">
        <f>orçamento!D95</f>
        <v>Interruptor para ventilador</v>
      </c>
      <c r="D774" s="386" t="s">
        <v>622</v>
      </c>
      <c r="E774" s="67"/>
      <c r="F774" s="327"/>
      <c r="G774" s="71"/>
      <c r="H774" s="67"/>
      <c r="I774" s="67"/>
      <c r="J774" s="134"/>
      <c r="K774" s="324">
        <v>0.2999</v>
      </c>
      <c r="L774" s="191">
        <f t="shared" si="17"/>
        <v>1.4842</v>
      </c>
    </row>
    <row r="775" spans="1:14" s="64" customFormat="1" x14ac:dyDescent="0.2">
      <c r="A775" s="63"/>
      <c r="B775" s="385"/>
      <c r="C775" s="122" t="str">
        <f>C774</f>
        <v>Interruptor para ventilador</v>
      </c>
      <c r="D775" s="75" t="s">
        <v>622</v>
      </c>
      <c r="E775" s="67">
        <f>6.86*N10</f>
        <v>6.86</v>
      </c>
      <c r="F775" s="327">
        <v>2.69</v>
      </c>
      <c r="G775" s="71">
        <v>3.4</v>
      </c>
      <c r="H775" s="67"/>
      <c r="I775" s="67">
        <f>E775*G775</f>
        <v>23.324000000000002</v>
      </c>
      <c r="J775" s="134"/>
      <c r="K775" s="324">
        <v>0.2999</v>
      </c>
      <c r="L775" s="191">
        <f t="shared" si="17"/>
        <v>1.4842</v>
      </c>
    </row>
    <row r="776" spans="1:14" s="64" customFormat="1" x14ac:dyDescent="0.2">
      <c r="A776" s="63"/>
      <c r="B776" s="385"/>
      <c r="C776" s="122" t="s">
        <v>258</v>
      </c>
      <c r="D776" s="75" t="s">
        <v>53</v>
      </c>
      <c r="E776" s="132">
        <f>5.21*N10</f>
        <v>5.21</v>
      </c>
      <c r="F776" s="334"/>
      <c r="G776" s="71">
        <v>1.3</v>
      </c>
      <c r="H776" s="67">
        <f>E776*G776</f>
        <v>6.7730000000000006</v>
      </c>
      <c r="I776" s="133"/>
      <c r="J776" s="134"/>
      <c r="K776" s="324">
        <v>0.2999</v>
      </c>
      <c r="L776" s="191">
        <f t="shared" si="17"/>
        <v>1.4842</v>
      </c>
    </row>
    <row r="777" spans="1:14" s="64" customFormat="1" x14ac:dyDescent="0.2">
      <c r="A777" s="63"/>
      <c r="B777" s="385"/>
      <c r="C777" s="122" t="s">
        <v>259</v>
      </c>
      <c r="D777" s="75" t="s">
        <v>53</v>
      </c>
      <c r="E777" s="67">
        <f>3.77*N10</f>
        <v>3.77</v>
      </c>
      <c r="F777" s="334"/>
      <c r="G777" s="71">
        <v>1.3</v>
      </c>
      <c r="H777" s="67">
        <f>E777*G777</f>
        <v>4.9009999999999998</v>
      </c>
      <c r="I777" s="133"/>
      <c r="J777" s="134"/>
      <c r="K777" s="324">
        <v>0.2999</v>
      </c>
      <c r="L777" s="191">
        <f t="shared" si="17"/>
        <v>1.4842</v>
      </c>
    </row>
    <row r="778" spans="1:14" s="64" customFormat="1" hidden="1" x14ac:dyDescent="0.2">
      <c r="A778" s="63"/>
      <c r="B778" s="385"/>
      <c r="C778" s="122"/>
      <c r="D778" s="75"/>
      <c r="E778" s="67"/>
      <c r="F778" s="327"/>
      <c r="G778" s="71"/>
      <c r="H778" s="67"/>
      <c r="I778" s="67"/>
      <c r="J778" s="134"/>
      <c r="K778" s="324">
        <v>0.2999</v>
      </c>
      <c r="L778" s="191">
        <f t="shared" si="17"/>
        <v>1.4842</v>
      </c>
    </row>
    <row r="779" spans="1:14" s="64" customFormat="1" x14ac:dyDescent="0.2">
      <c r="A779" s="63"/>
      <c r="B779" s="385"/>
      <c r="C779" s="122"/>
      <c r="D779" s="75"/>
      <c r="E779" s="438" t="str">
        <f>E769</f>
        <v>Custo Direto</v>
      </c>
      <c r="F779" s="438"/>
      <c r="G779" s="438"/>
      <c r="H779" s="69">
        <f>SUM(H775:H777)</f>
        <v>11.673999999999999</v>
      </c>
      <c r="I779" s="69">
        <f>SUM(I775:I777)</f>
        <v>23.324000000000002</v>
      </c>
      <c r="J779" s="134"/>
      <c r="K779" s="324">
        <v>0.2999</v>
      </c>
      <c r="L779" s="191">
        <f t="shared" si="17"/>
        <v>1.4842</v>
      </c>
    </row>
    <row r="780" spans="1:14" s="64" customFormat="1" x14ac:dyDescent="0.2">
      <c r="A780" s="63"/>
      <c r="B780" s="385"/>
      <c r="C780" s="122"/>
      <c r="D780" s="75"/>
      <c r="E780" s="438" t="str">
        <f>E770</f>
        <v>LS(%): 148,42</v>
      </c>
      <c r="F780" s="438"/>
      <c r="G780" s="438"/>
      <c r="H780" s="67">
        <f>H779*L780</f>
        <v>17.3265508</v>
      </c>
      <c r="I780" s="131"/>
      <c r="J780" s="134"/>
      <c r="K780" s="324">
        <v>0.2999</v>
      </c>
      <c r="L780" s="191">
        <f t="shared" si="17"/>
        <v>1.4842</v>
      </c>
    </row>
    <row r="781" spans="1:14" s="64" customFormat="1" x14ac:dyDescent="0.2">
      <c r="A781" s="63"/>
      <c r="B781" s="385"/>
      <c r="C781" s="122"/>
      <c r="D781" s="75"/>
      <c r="E781" s="438" t="str">
        <f>E771</f>
        <v>BDI (%): 29,99</v>
      </c>
      <c r="F781" s="438"/>
      <c r="G781" s="438"/>
      <c r="H781" s="439">
        <f>(H779+I779+H780)*K781</f>
        <v>15.692132784920002</v>
      </c>
      <c r="I781" s="439"/>
      <c r="J781" s="134"/>
      <c r="K781" s="324">
        <v>0.2999</v>
      </c>
      <c r="L781" s="191">
        <f t="shared" si="17"/>
        <v>1.4842</v>
      </c>
    </row>
    <row r="782" spans="1:14" s="64" customFormat="1" x14ac:dyDescent="0.2">
      <c r="A782" s="63"/>
      <c r="B782" s="385"/>
      <c r="C782" s="122"/>
      <c r="D782" s="75"/>
      <c r="E782" s="438" t="str">
        <f>E772</f>
        <v>Valor Total c/ Taxas</v>
      </c>
      <c r="F782" s="438"/>
      <c r="G782" s="438"/>
      <c r="H782" s="67"/>
      <c r="I782" s="69">
        <f>(H779+I779+H780+H781)</f>
        <v>68.016683584920003</v>
      </c>
      <c r="J782" s="134"/>
      <c r="K782" s="324">
        <v>0.2999</v>
      </c>
      <c r="L782" s="191">
        <f t="shared" si="17"/>
        <v>1.4842</v>
      </c>
      <c r="M782" s="401">
        <v>68.02</v>
      </c>
      <c r="N782" s="86">
        <f>I782-M782</f>
        <v>-3.3164150799933623E-3</v>
      </c>
    </row>
    <row r="783" spans="1:14" s="64" customFormat="1" x14ac:dyDescent="0.2">
      <c r="A783" s="63"/>
      <c r="B783" s="385"/>
      <c r="C783" s="122"/>
      <c r="D783" s="75"/>
      <c r="E783" s="382"/>
      <c r="F783" s="382"/>
      <c r="G783" s="382"/>
      <c r="H783" s="67"/>
      <c r="I783" s="69"/>
      <c r="J783" s="134"/>
      <c r="K783" s="324"/>
      <c r="L783" s="191">
        <f t="shared" si="17"/>
        <v>1.4842</v>
      </c>
      <c r="M783" s="401"/>
      <c r="N783" s="86"/>
    </row>
    <row r="784" spans="1:14" s="64" customFormat="1" x14ac:dyDescent="0.2">
      <c r="A784" s="63"/>
      <c r="B784" s="385"/>
      <c r="C784" s="122"/>
      <c r="D784" s="75"/>
      <c r="E784" s="382"/>
      <c r="F784" s="382"/>
      <c r="G784" s="382"/>
      <c r="H784" s="67"/>
      <c r="I784" s="69"/>
      <c r="J784" s="134"/>
      <c r="K784" s="324"/>
      <c r="L784" s="191">
        <f t="shared" si="17"/>
        <v>1.4842</v>
      </c>
      <c r="M784" s="401"/>
      <c r="N784" s="86"/>
    </row>
    <row r="785" spans="1:14" s="64" customFormat="1" x14ac:dyDescent="0.2">
      <c r="A785" s="386"/>
      <c r="B785" s="151"/>
      <c r="C785" s="76" t="str">
        <f>orçamento!D96</f>
        <v>Interruptor paralelo simples (1 seção)</v>
      </c>
      <c r="D785" s="386" t="s">
        <v>622</v>
      </c>
      <c r="E785" s="67"/>
      <c r="F785" s="327"/>
      <c r="G785" s="71"/>
      <c r="H785" s="67"/>
      <c r="I785" s="67"/>
      <c r="J785" s="134"/>
      <c r="K785" s="324">
        <v>0.2999</v>
      </c>
      <c r="L785" s="191">
        <f t="shared" si="17"/>
        <v>1.4842</v>
      </c>
    </row>
    <row r="786" spans="1:14" s="64" customFormat="1" x14ac:dyDescent="0.2">
      <c r="A786" s="63"/>
      <c r="B786" s="385"/>
      <c r="C786" s="122" t="str">
        <f>C785</f>
        <v>Interruptor paralelo simples (1 seção)</v>
      </c>
      <c r="D786" s="75" t="s">
        <v>622</v>
      </c>
      <c r="E786" s="67">
        <f>3.57*N10</f>
        <v>3.57</v>
      </c>
      <c r="F786" s="327">
        <v>2.69</v>
      </c>
      <c r="G786" s="71">
        <v>2.1</v>
      </c>
      <c r="H786" s="67"/>
      <c r="I786" s="67">
        <f>E786*G786</f>
        <v>7.4969999999999999</v>
      </c>
      <c r="J786" s="134"/>
      <c r="K786" s="324">
        <v>0.2999</v>
      </c>
      <c r="L786" s="191">
        <f t="shared" si="17"/>
        <v>1.4842</v>
      </c>
    </row>
    <row r="787" spans="1:14" s="64" customFormat="1" x14ac:dyDescent="0.2">
      <c r="A787" s="63"/>
      <c r="B787" s="385"/>
      <c r="C787" s="122" t="s">
        <v>258</v>
      </c>
      <c r="D787" s="75" t="s">
        <v>53</v>
      </c>
      <c r="E787" s="132">
        <f>5.21*N10</f>
        <v>5.21</v>
      </c>
      <c r="F787" s="334"/>
      <c r="G787" s="71">
        <v>0.09</v>
      </c>
      <c r="H787" s="67">
        <f>E787*G787</f>
        <v>0.46889999999999998</v>
      </c>
      <c r="I787" s="133"/>
      <c r="J787" s="134"/>
      <c r="K787" s="324">
        <v>0.2999</v>
      </c>
      <c r="L787" s="191">
        <f t="shared" si="17"/>
        <v>1.4842</v>
      </c>
    </row>
    <row r="788" spans="1:14" s="64" customFormat="1" x14ac:dyDescent="0.2">
      <c r="A788" s="63"/>
      <c r="B788" s="385"/>
      <c r="C788" s="122" t="s">
        <v>259</v>
      </c>
      <c r="D788" s="75" t="s">
        <v>53</v>
      </c>
      <c r="E788" s="67">
        <f>3.77*N10</f>
        <v>3.77</v>
      </c>
      <c r="F788" s="334"/>
      <c r="G788" s="71">
        <v>0.09</v>
      </c>
      <c r="H788" s="67">
        <f>E788*G788</f>
        <v>0.33929999999999999</v>
      </c>
      <c r="I788" s="133"/>
      <c r="J788" s="134"/>
      <c r="K788" s="324">
        <v>0.2999</v>
      </c>
      <c r="L788" s="191">
        <f t="shared" si="17"/>
        <v>1.4842</v>
      </c>
    </row>
    <row r="789" spans="1:14" s="64" customFormat="1" hidden="1" x14ac:dyDescent="0.2">
      <c r="A789" s="63"/>
      <c r="B789" s="385"/>
      <c r="C789" s="122"/>
      <c r="D789" s="75"/>
      <c r="E789" s="67"/>
      <c r="F789" s="327"/>
      <c r="G789" s="71"/>
      <c r="H789" s="67"/>
      <c r="I789" s="67"/>
      <c r="J789" s="134"/>
      <c r="K789" s="324">
        <v>0.2999</v>
      </c>
      <c r="L789" s="191">
        <f t="shared" si="17"/>
        <v>1.4842</v>
      </c>
    </row>
    <row r="790" spans="1:14" s="64" customFormat="1" x14ac:dyDescent="0.2">
      <c r="A790" s="63"/>
      <c r="B790" s="385"/>
      <c r="C790" s="122"/>
      <c r="D790" s="75"/>
      <c r="E790" s="438" t="str">
        <f>E779</f>
        <v>Custo Direto</v>
      </c>
      <c r="F790" s="438"/>
      <c r="G790" s="438"/>
      <c r="H790" s="69">
        <f>SUM(H786:H788)</f>
        <v>0.80820000000000003</v>
      </c>
      <c r="I790" s="69">
        <f>SUM(I786:I788)</f>
        <v>7.4969999999999999</v>
      </c>
      <c r="J790" s="134"/>
      <c r="K790" s="324">
        <v>0.2999</v>
      </c>
      <c r="L790" s="191">
        <f t="shared" si="17"/>
        <v>1.4842</v>
      </c>
    </row>
    <row r="791" spans="1:14" s="64" customFormat="1" x14ac:dyDescent="0.2">
      <c r="A791" s="63"/>
      <c r="B791" s="385"/>
      <c r="C791" s="122"/>
      <c r="D791" s="75"/>
      <c r="E791" s="438" t="str">
        <f>E780</f>
        <v>LS(%): 148,42</v>
      </c>
      <c r="F791" s="438"/>
      <c r="G791" s="438"/>
      <c r="H791" s="67">
        <f>H790*L791</f>
        <v>1.19953044</v>
      </c>
      <c r="I791" s="131"/>
      <c r="J791" s="134"/>
      <c r="K791" s="324">
        <v>0.2999</v>
      </c>
      <c r="L791" s="191">
        <f t="shared" si="17"/>
        <v>1.4842</v>
      </c>
    </row>
    <row r="792" spans="1:14" s="64" customFormat="1" x14ac:dyDescent="0.2">
      <c r="A792" s="63"/>
      <c r="B792" s="385"/>
      <c r="C792" s="122"/>
      <c r="D792" s="75"/>
      <c r="E792" s="438" t="str">
        <f>E781</f>
        <v>BDI (%): 29,99</v>
      </c>
      <c r="F792" s="438"/>
      <c r="G792" s="438"/>
      <c r="H792" s="439">
        <f>(H790+I790+H791)*K792</f>
        <v>2.8504686589559998</v>
      </c>
      <c r="I792" s="439"/>
      <c r="J792" s="134"/>
      <c r="K792" s="324">
        <v>0.2999</v>
      </c>
      <c r="L792" s="191">
        <f t="shared" si="17"/>
        <v>1.4842</v>
      </c>
    </row>
    <row r="793" spans="1:14" s="64" customFormat="1" x14ac:dyDescent="0.2">
      <c r="A793" s="63"/>
      <c r="B793" s="385"/>
      <c r="C793" s="122"/>
      <c r="D793" s="75"/>
      <c r="E793" s="438" t="str">
        <f>E782</f>
        <v>Valor Total c/ Taxas</v>
      </c>
      <c r="F793" s="438"/>
      <c r="G793" s="438"/>
      <c r="H793" s="67"/>
      <c r="I793" s="69">
        <f>(H790+I790+H791+H792)</f>
        <v>12.355199098956</v>
      </c>
      <c r="J793" s="134"/>
      <c r="K793" s="324">
        <v>0.2999</v>
      </c>
      <c r="L793" s="191">
        <f t="shared" si="17"/>
        <v>1.4842</v>
      </c>
      <c r="M793" s="401">
        <v>12.36</v>
      </c>
      <c r="N793" s="86">
        <f>I793-M793</f>
        <v>-4.8009010439997724E-3</v>
      </c>
    </row>
    <row r="794" spans="1:14" s="64" customFormat="1" x14ac:dyDescent="0.2">
      <c r="A794" s="63"/>
      <c r="B794" s="385"/>
      <c r="C794" s="122"/>
      <c r="D794" s="75"/>
      <c r="E794" s="382"/>
      <c r="F794" s="382"/>
      <c r="G794" s="382"/>
      <c r="H794" s="67"/>
      <c r="I794" s="69"/>
      <c r="J794" s="134"/>
      <c r="K794" s="324"/>
      <c r="L794" s="191">
        <f t="shared" si="17"/>
        <v>1.4842</v>
      </c>
      <c r="M794" s="401"/>
      <c r="N794" s="86"/>
    </row>
    <row r="795" spans="1:14" s="64" customFormat="1" x14ac:dyDescent="0.2">
      <c r="A795" s="386"/>
      <c r="B795" s="151"/>
      <c r="C795" s="76" t="str">
        <f>orçamento!D97</f>
        <v>Interruptor  simples (1 seção)</v>
      </c>
      <c r="D795" s="386" t="s">
        <v>622</v>
      </c>
      <c r="E795" s="67"/>
      <c r="F795" s="327"/>
      <c r="G795" s="71"/>
      <c r="H795" s="67"/>
      <c r="I795" s="67"/>
      <c r="J795" s="134"/>
      <c r="K795" s="324">
        <v>0.2999</v>
      </c>
      <c r="L795" s="191">
        <f t="shared" si="17"/>
        <v>1.4842</v>
      </c>
    </row>
    <row r="796" spans="1:14" s="64" customFormat="1" x14ac:dyDescent="0.2">
      <c r="A796" s="63"/>
      <c r="B796" s="385"/>
      <c r="C796" s="122" t="str">
        <f>C795</f>
        <v>Interruptor  simples (1 seção)</v>
      </c>
      <c r="D796" s="75" t="s">
        <v>622</v>
      </c>
      <c r="E796" s="67">
        <f>3.39*N10</f>
        <v>3.39</v>
      </c>
      <c r="F796" s="327">
        <v>2.69</v>
      </c>
      <c r="G796" s="71">
        <v>1.8</v>
      </c>
      <c r="H796" s="67"/>
      <c r="I796" s="67">
        <f>E796*G796</f>
        <v>6.1020000000000003</v>
      </c>
      <c r="J796" s="134"/>
      <c r="K796" s="324">
        <v>0.2999</v>
      </c>
      <c r="L796" s="191">
        <f t="shared" si="17"/>
        <v>1.4842</v>
      </c>
    </row>
    <row r="797" spans="1:14" s="64" customFormat="1" x14ac:dyDescent="0.2">
      <c r="A797" s="63"/>
      <c r="B797" s="385"/>
      <c r="C797" s="122" t="s">
        <v>258</v>
      </c>
      <c r="D797" s="75" t="s">
        <v>53</v>
      </c>
      <c r="E797" s="132">
        <f>5.21*N10</f>
        <v>5.21</v>
      </c>
      <c r="F797" s="334"/>
      <c r="G797" s="71">
        <v>0.09</v>
      </c>
      <c r="H797" s="67">
        <f>E797*G797</f>
        <v>0.46889999999999998</v>
      </c>
      <c r="I797" s="133"/>
      <c r="J797" s="134"/>
      <c r="K797" s="324">
        <v>0.2999</v>
      </c>
      <c r="L797" s="191">
        <f t="shared" si="17"/>
        <v>1.4842</v>
      </c>
    </row>
    <row r="798" spans="1:14" s="64" customFormat="1" x14ac:dyDescent="0.2">
      <c r="A798" s="63"/>
      <c r="B798" s="385"/>
      <c r="C798" s="122" t="s">
        <v>259</v>
      </c>
      <c r="D798" s="75" t="s">
        <v>53</v>
      </c>
      <c r="E798" s="67">
        <f>3.77*N10</f>
        <v>3.77</v>
      </c>
      <c r="F798" s="334"/>
      <c r="G798" s="71">
        <v>0.09</v>
      </c>
      <c r="H798" s="67">
        <f>E798*G798</f>
        <v>0.33929999999999999</v>
      </c>
      <c r="I798" s="133"/>
      <c r="J798" s="134"/>
      <c r="K798" s="324">
        <v>0.2999</v>
      </c>
      <c r="L798" s="191">
        <f t="shared" si="17"/>
        <v>1.4842</v>
      </c>
    </row>
    <row r="799" spans="1:14" s="64" customFormat="1" hidden="1" x14ac:dyDescent="0.2">
      <c r="A799" s="63"/>
      <c r="B799" s="385"/>
      <c r="C799" s="122"/>
      <c r="D799" s="75"/>
      <c r="E799" s="67"/>
      <c r="F799" s="327"/>
      <c r="G799" s="71"/>
      <c r="H799" s="67"/>
      <c r="I799" s="67"/>
      <c r="J799" s="134"/>
      <c r="K799" s="324">
        <v>0.2999</v>
      </c>
      <c r="L799" s="191">
        <f t="shared" si="17"/>
        <v>1.4842</v>
      </c>
    </row>
    <row r="800" spans="1:14" s="64" customFormat="1" x14ac:dyDescent="0.2">
      <c r="A800" s="63"/>
      <c r="B800" s="385"/>
      <c r="C800" s="122"/>
      <c r="D800" s="75"/>
      <c r="E800" s="438" t="str">
        <f>E790</f>
        <v>Custo Direto</v>
      </c>
      <c r="F800" s="438"/>
      <c r="G800" s="438"/>
      <c r="H800" s="69">
        <f>SUM(H796:H798)</f>
        <v>0.80820000000000003</v>
      </c>
      <c r="I800" s="69">
        <f>SUM(I796:I798)</f>
        <v>6.1020000000000003</v>
      </c>
      <c r="J800" s="134"/>
      <c r="K800" s="324">
        <v>0.2999</v>
      </c>
      <c r="L800" s="191">
        <f t="shared" si="17"/>
        <v>1.4842</v>
      </c>
    </row>
    <row r="801" spans="1:14" s="64" customFormat="1" x14ac:dyDescent="0.2">
      <c r="A801" s="63"/>
      <c r="B801" s="385"/>
      <c r="C801" s="122"/>
      <c r="D801" s="75"/>
      <c r="E801" s="438" t="str">
        <f>E791</f>
        <v>LS(%): 148,42</v>
      </c>
      <c r="F801" s="438"/>
      <c r="G801" s="438"/>
      <c r="H801" s="67">
        <f>H800*L801</f>
        <v>1.19953044</v>
      </c>
      <c r="I801" s="131"/>
      <c r="J801" s="134"/>
      <c r="K801" s="324">
        <v>0.2999</v>
      </c>
      <c r="L801" s="191">
        <f t="shared" si="17"/>
        <v>1.4842</v>
      </c>
    </row>
    <row r="802" spans="1:14" s="64" customFormat="1" x14ac:dyDescent="0.2">
      <c r="A802" s="63"/>
      <c r="B802" s="385"/>
      <c r="C802" s="122"/>
      <c r="D802" s="75"/>
      <c r="E802" s="438" t="str">
        <f>E792</f>
        <v>BDI (%): 29,99</v>
      </c>
      <c r="F802" s="438"/>
      <c r="G802" s="438"/>
      <c r="H802" s="439">
        <f>(H800+I800+H801)*K802</f>
        <v>2.4321081589559999</v>
      </c>
      <c r="I802" s="439"/>
      <c r="J802" s="134"/>
      <c r="K802" s="324">
        <v>0.2999</v>
      </c>
      <c r="L802" s="191">
        <f t="shared" si="17"/>
        <v>1.4842</v>
      </c>
    </row>
    <row r="803" spans="1:14" s="64" customFormat="1" x14ac:dyDescent="0.2">
      <c r="A803" s="63"/>
      <c r="B803" s="385"/>
      <c r="C803" s="122"/>
      <c r="D803" s="75"/>
      <c r="E803" s="438" t="str">
        <f>E793</f>
        <v>Valor Total c/ Taxas</v>
      </c>
      <c r="F803" s="438"/>
      <c r="G803" s="438"/>
      <c r="H803" s="67"/>
      <c r="I803" s="69">
        <f>(H800+I800+H801+H802)</f>
        <v>10.541838598956</v>
      </c>
      <c r="J803" s="134"/>
      <c r="K803" s="324">
        <v>0.2999</v>
      </c>
      <c r="L803" s="191">
        <f t="shared" si="17"/>
        <v>1.4842</v>
      </c>
      <c r="M803" s="401">
        <v>10.54</v>
      </c>
      <c r="N803" s="86">
        <f>I803-M803</f>
        <v>1.8385989560005811E-3</v>
      </c>
    </row>
    <row r="804" spans="1:14" s="64" customFormat="1" x14ac:dyDescent="0.2">
      <c r="A804" s="63"/>
      <c r="B804" s="385"/>
      <c r="C804" s="122"/>
      <c r="D804" s="75"/>
      <c r="E804" s="382"/>
      <c r="F804" s="382"/>
      <c r="G804" s="382"/>
      <c r="H804" s="67"/>
      <c r="I804" s="69"/>
      <c r="J804" s="134"/>
      <c r="K804" s="324"/>
      <c r="L804" s="191">
        <f t="shared" si="17"/>
        <v>1.4842</v>
      </c>
      <c r="M804" s="401"/>
      <c r="N804" s="86"/>
    </row>
    <row r="805" spans="1:14" s="64" customFormat="1" x14ac:dyDescent="0.2">
      <c r="A805" s="386"/>
      <c r="B805" s="151"/>
      <c r="C805" s="76" t="str">
        <f>orçamento!D98</f>
        <v>Interruptor  simples (2 seção)</v>
      </c>
      <c r="D805" s="386" t="s">
        <v>622</v>
      </c>
      <c r="E805" s="67"/>
      <c r="F805" s="327"/>
      <c r="G805" s="71"/>
      <c r="H805" s="67"/>
      <c r="I805" s="67"/>
      <c r="J805" s="134"/>
      <c r="K805" s="324">
        <v>0.2999</v>
      </c>
      <c r="L805" s="191">
        <f t="shared" si="17"/>
        <v>1.4842</v>
      </c>
    </row>
    <row r="806" spans="1:14" s="64" customFormat="1" x14ac:dyDescent="0.2">
      <c r="A806" s="63"/>
      <c r="B806" s="385"/>
      <c r="C806" s="122" t="str">
        <f>C805</f>
        <v>Interruptor  simples (2 seção)</v>
      </c>
      <c r="D806" s="75" t="s">
        <v>622</v>
      </c>
      <c r="E806" s="67">
        <f>3.455*N10</f>
        <v>3.4550000000000001</v>
      </c>
      <c r="F806" s="327">
        <v>2.69</v>
      </c>
      <c r="G806" s="71">
        <v>3.8</v>
      </c>
      <c r="H806" s="67"/>
      <c r="I806" s="67">
        <f>E806*G806</f>
        <v>13.129</v>
      </c>
      <c r="J806" s="134"/>
      <c r="K806" s="324">
        <v>0.2999</v>
      </c>
      <c r="L806" s="191">
        <f t="shared" si="17"/>
        <v>1.4842</v>
      </c>
    </row>
    <row r="807" spans="1:14" s="64" customFormat="1" x14ac:dyDescent="0.2">
      <c r="A807" s="63"/>
      <c r="B807" s="385"/>
      <c r="C807" s="122" t="s">
        <v>258</v>
      </c>
      <c r="D807" s="75" t="s">
        <v>53</v>
      </c>
      <c r="E807" s="132">
        <f>5.21*N10</f>
        <v>5.21</v>
      </c>
      <c r="F807" s="334"/>
      <c r="G807" s="71">
        <v>0.09</v>
      </c>
      <c r="H807" s="67">
        <f>E807*G807</f>
        <v>0.46889999999999998</v>
      </c>
      <c r="I807" s="133"/>
      <c r="J807" s="134"/>
      <c r="K807" s="324">
        <v>0.2999</v>
      </c>
      <c r="L807" s="191">
        <f t="shared" si="17"/>
        <v>1.4842</v>
      </c>
    </row>
    <row r="808" spans="1:14" s="64" customFormat="1" x14ac:dyDescent="0.2">
      <c r="A808" s="63"/>
      <c r="B808" s="385"/>
      <c r="C808" s="122" t="s">
        <v>259</v>
      </c>
      <c r="D808" s="75" t="s">
        <v>53</v>
      </c>
      <c r="E808" s="67">
        <f>3.77*N10</f>
        <v>3.77</v>
      </c>
      <c r="F808" s="334"/>
      <c r="G808" s="71">
        <v>0.09</v>
      </c>
      <c r="H808" s="67">
        <f>E808*G808</f>
        <v>0.33929999999999999</v>
      </c>
      <c r="I808" s="133"/>
      <c r="J808" s="134"/>
      <c r="K808" s="324">
        <v>0.2999</v>
      </c>
      <c r="L808" s="191">
        <f t="shared" ref="L808:L944" si="18">L807</f>
        <v>1.4842</v>
      </c>
    </row>
    <row r="809" spans="1:14" s="64" customFormat="1" hidden="1" x14ac:dyDescent="0.2">
      <c r="A809" s="63"/>
      <c r="B809" s="385"/>
      <c r="C809" s="122"/>
      <c r="D809" s="75"/>
      <c r="E809" s="67"/>
      <c r="F809" s="327"/>
      <c r="G809" s="71"/>
      <c r="H809" s="67"/>
      <c r="I809" s="67"/>
      <c r="J809" s="134"/>
      <c r="K809" s="324">
        <v>0.2999</v>
      </c>
      <c r="L809" s="191">
        <f t="shared" si="18"/>
        <v>1.4842</v>
      </c>
    </row>
    <row r="810" spans="1:14" s="64" customFormat="1" x14ac:dyDescent="0.2">
      <c r="A810" s="63"/>
      <c r="B810" s="385"/>
      <c r="C810" s="122"/>
      <c r="D810" s="75"/>
      <c r="E810" s="438" t="str">
        <f>E800</f>
        <v>Custo Direto</v>
      </c>
      <c r="F810" s="438"/>
      <c r="G810" s="438"/>
      <c r="H810" s="69">
        <f>SUM(H806:H808)</f>
        <v>0.80820000000000003</v>
      </c>
      <c r="I810" s="69">
        <f>SUM(I806:I808)</f>
        <v>13.129</v>
      </c>
      <c r="J810" s="134"/>
      <c r="K810" s="324">
        <v>0.2999</v>
      </c>
      <c r="L810" s="191">
        <f t="shared" si="18"/>
        <v>1.4842</v>
      </c>
    </row>
    <row r="811" spans="1:14" s="64" customFormat="1" x14ac:dyDescent="0.2">
      <c r="A811" s="63"/>
      <c r="B811" s="385"/>
      <c r="C811" s="122"/>
      <c r="D811" s="75"/>
      <c r="E811" s="438" t="str">
        <f>E801</f>
        <v>LS(%): 148,42</v>
      </c>
      <c r="F811" s="438"/>
      <c r="G811" s="438"/>
      <c r="H811" s="67">
        <f>H810*L811</f>
        <v>1.19953044</v>
      </c>
      <c r="I811" s="131"/>
      <c r="J811" s="134"/>
      <c r="K811" s="324">
        <v>0.2999</v>
      </c>
      <c r="L811" s="191">
        <f t="shared" si="18"/>
        <v>1.4842</v>
      </c>
    </row>
    <row r="812" spans="1:14" s="64" customFormat="1" x14ac:dyDescent="0.2">
      <c r="A812" s="63"/>
      <c r="B812" s="385"/>
      <c r="C812" s="122"/>
      <c r="D812" s="75"/>
      <c r="E812" s="438" t="str">
        <f>E802</f>
        <v>BDI (%): 29,99</v>
      </c>
      <c r="F812" s="438"/>
      <c r="G812" s="438"/>
      <c r="H812" s="439">
        <f>(H810+I810+H811)*K812</f>
        <v>4.5395054589559996</v>
      </c>
      <c r="I812" s="439"/>
      <c r="J812" s="134"/>
      <c r="K812" s="324">
        <v>0.2999</v>
      </c>
      <c r="L812" s="191">
        <f t="shared" si="18"/>
        <v>1.4842</v>
      </c>
    </row>
    <row r="813" spans="1:14" s="64" customFormat="1" x14ac:dyDescent="0.2">
      <c r="A813" s="63"/>
      <c r="B813" s="385"/>
      <c r="C813" s="122"/>
      <c r="D813" s="75"/>
      <c r="E813" s="438" t="str">
        <f>E803</f>
        <v>Valor Total c/ Taxas</v>
      </c>
      <c r="F813" s="438"/>
      <c r="G813" s="438"/>
      <c r="H813" s="67"/>
      <c r="I813" s="69">
        <f>(H810+I810+H811+H812)</f>
        <v>19.676235898955998</v>
      </c>
      <c r="J813" s="134"/>
      <c r="K813" s="324">
        <v>0.2999</v>
      </c>
      <c r="L813" s="191">
        <f t="shared" si="18"/>
        <v>1.4842</v>
      </c>
      <c r="M813" s="401">
        <v>19.68</v>
      </c>
      <c r="N813" s="86">
        <f>I813-M813</f>
        <v>-3.7641010440019329E-3</v>
      </c>
    </row>
    <row r="814" spans="1:14" s="64" customFormat="1" x14ac:dyDescent="0.2">
      <c r="A814" s="63"/>
      <c r="B814" s="385"/>
      <c r="C814" s="122"/>
      <c r="D814" s="75"/>
      <c r="E814" s="382"/>
      <c r="F814" s="382"/>
      <c r="G814" s="382"/>
      <c r="H814" s="67"/>
      <c r="I814" s="69"/>
      <c r="J814" s="134"/>
      <c r="K814" s="324"/>
      <c r="L814" s="191">
        <f t="shared" si="18"/>
        <v>1.4842</v>
      </c>
      <c r="M814" s="401"/>
      <c r="N814" s="86"/>
    </row>
    <row r="815" spans="1:14" s="64" customFormat="1" x14ac:dyDescent="0.2">
      <c r="A815" s="386"/>
      <c r="B815" s="151"/>
      <c r="C815" s="76" t="str">
        <f>orçamento!D99</f>
        <v>Interruptor  simples (3 seção)</v>
      </c>
      <c r="D815" s="386" t="s">
        <v>622</v>
      </c>
      <c r="E815" s="67"/>
      <c r="F815" s="327"/>
      <c r="G815" s="71"/>
      <c r="H815" s="67"/>
      <c r="I815" s="67"/>
      <c r="J815" s="134"/>
      <c r="K815" s="324">
        <v>0.2999</v>
      </c>
      <c r="L815" s="191">
        <f t="shared" si="18"/>
        <v>1.4842</v>
      </c>
    </row>
    <row r="816" spans="1:14" s="64" customFormat="1" x14ac:dyDescent="0.2">
      <c r="A816" s="63"/>
      <c r="B816" s="385"/>
      <c r="C816" s="122" t="str">
        <f>C815</f>
        <v>Interruptor  simples (3 seção)</v>
      </c>
      <c r="D816" s="75" t="s">
        <v>622</v>
      </c>
      <c r="E816" s="67">
        <f>5.689*N10</f>
        <v>5.6890000000000001</v>
      </c>
      <c r="F816" s="327">
        <v>2.69</v>
      </c>
      <c r="G816" s="71">
        <v>3.8</v>
      </c>
      <c r="H816" s="67"/>
      <c r="I816" s="67">
        <f>E816*G816</f>
        <v>21.618199999999998</v>
      </c>
      <c r="J816" s="134"/>
      <c r="K816" s="324">
        <v>0.2999</v>
      </c>
      <c r="L816" s="191">
        <f t="shared" si="18"/>
        <v>1.4842</v>
      </c>
    </row>
    <row r="817" spans="1:14" s="64" customFormat="1" x14ac:dyDescent="0.2">
      <c r="A817" s="63"/>
      <c r="B817" s="385"/>
      <c r="C817" s="122" t="s">
        <v>258</v>
      </c>
      <c r="D817" s="75" t="s">
        <v>53</v>
      </c>
      <c r="E817" s="132">
        <f>5.21*N10</f>
        <v>5.21</v>
      </c>
      <c r="F817" s="334"/>
      <c r="G817" s="71">
        <v>0.09</v>
      </c>
      <c r="H817" s="67">
        <f>E817*G817</f>
        <v>0.46889999999999998</v>
      </c>
      <c r="I817" s="133"/>
      <c r="J817" s="134"/>
      <c r="K817" s="324">
        <v>0.2999</v>
      </c>
      <c r="L817" s="191">
        <f t="shared" si="18"/>
        <v>1.4842</v>
      </c>
    </row>
    <row r="818" spans="1:14" s="64" customFormat="1" x14ac:dyDescent="0.2">
      <c r="A818" s="63"/>
      <c r="B818" s="385"/>
      <c r="C818" s="122" t="s">
        <v>259</v>
      </c>
      <c r="D818" s="75" t="s">
        <v>53</v>
      </c>
      <c r="E818" s="67">
        <f>3.77*N10</f>
        <v>3.77</v>
      </c>
      <c r="F818" s="334"/>
      <c r="G818" s="71">
        <v>0.09</v>
      </c>
      <c r="H818" s="67">
        <f>E818*G818</f>
        <v>0.33929999999999999</v>
      </c>
      <c r="I818" s="133"/>
      <c r="J818" s="134"/>
      <c r="K818" s="324">
        <v>0.2999</v>
      </c>
      <c r="L818" s="191">
        <f t="shared" si="18"/>
        <v>1.4842</v>
      </c>
    </row>
    <row r="819" spans="1:14" s="64" customFormat="1" hidden="1" x14ac:dyDescent="0.2">
      <c r="A819" s="63"/>
      <c r="B819" s="385"/>
      <c r="C819" s="122"/>
      <c r="D819" s="75"/>
      <c r="E819" s="67"/>
      <c r="F819" s="327"/>
      <c r="G819" s="71"/>
      <c r="H819" s="67"/>
      <c r="I819" s="67"/>
      <c r="J819" s="134"/>
      <c r="K819" s="324">
        <v>0.2999</v>
      </c>
      <c r="L819" s="191">
        <f t="shared" si="18"/>
        <v>1.4842</v>
      </c>
    </row>
    <row r="820" spans="1:14" s="64" customFormat="1" x14ac:dyDescent="0.2">
      <c r="A820" s="63"/>
      <c r="B820" s="385"/>
      <c r="C820" s="122"/>
      <c r="D820" s="75"/>
      <c r="E820" s="438" t="str">
        <f>E810</f>
        <v>Custo Direto</v>
      </c>
      <c r="F820" s="438"/>
      <c r="G820" s="438"/>
      <c r="H820" s="69">
        <f>SUM(H816:H818)</f>
        <v>0.80820000000000003</v>
      </c>
      <c r="I820" s="69">
        <f>SUM(I816:I818)</f>
        <v>21.618199999999998</v>
      </c>
      <c r="J820" s="134"/>
      <c r="K820" s="324">
        <v>0.2999</v>
      </c>
      <c r="L820" s="191">
        <f t="shared" si="18"/>
        <v>1.4842</v>
      </c>
    </row>
    <row r="821" spans="1:14" s="64" customFormat="1" x14ac:dyDescent="0.2">
      <c r="A821" s="63"/>
      <c r="B821" s="385"/>
      <c r="C821" s="122"/>
      <c r="D821" s="75"/>
      <c r="E821" s="438" t="str">
        <f>E811</f>
        <v>LS(%): 148,42</v>
      </c>
      <c r="F821" s="438"/>
      <c r="G821" s="438"/>
      <c r="H821" s="67">
        <f>H820*L821</f>
        <v>1.19953044</v>
      </c>
      <c r="I821" s="131"/>
      <c r="J821" s="134"/>
      <c r="K821" s="324">
        <v>0.2999</v>
      </c>
      <c r="L821" s="191">
        <f t="shared" si="18"/>
        <v>1.4842</v>
      </c>
    </row>
    <row r="822" spans="1:14" s="64" customFormat="1" x14ac:dyDescent="0.2">
      <c r="A822" s="63"/>
      <c r="B822" s="385"/>
      <c r="C822" s="122"/>
      <c r="D822" s="75"/>
      <c r="E822" s="438" t="str">
        <f>E812</f>
        <v>BDI (%): 29,99</v>
      </c>
      <c r="F822" s="438"/>
      <c r="G822" s="438"/>
      <c r="H822" s="439">
        <f>(H820+I820+H821)*K822</f>
        <v>7.0854165389559993</v>
      </c>
      <c r="I822" s="439"/>
      <c r="J822" s="134"/>
      <c r="K822" s="324">
        <v>0.2999</v>
      </c>
      <c r="L822" s="191">
        <f t="shared" si="18"/>
        <v>1.4842</v>
      </c>
    </row>
    <row r="823" spans="1:14" s="64" customFormat="1" x14ac:dyDescent="0.2">
      <c r="A823" s="63"/>
      <c r="B823" s="385"/>
      <c r="C823" s="122"/>
      <c r="D823" s="75"/>
      <c r="E823" s="438" t="str">
        <f>E813</f>
        <v>Valor Total c/ Taxas</v>
      </c>
      <c r="F823" s="438"/>
      <c r="G823" s="438"/>
      <c r="H823" s="67"/>
      <c r="I823" s="69">
        <f>(H820+I820+H821+H822)</f>
        <v>30.711346978955998</v>
      </c>
      <c r="J823" s="134"/>
      <c r="K823" s="324">
        <v>0.2999</v>
      </c>
      <c r="L823" s="191">
        <f t="shared" si="18"/>
        <v>1.4842</v>
      </c>
      <c r="M823" s="401">
        <v>30.71</v>
      </c>
      <c r="N823" s="86">
        <f>I823-M823</f>
        <v>1.3469789559970025E-3</v>
      </c>
    </row>
    <row r="824" spans="1:14" s="64" customFormat="1" x14ac:dyDescent="0.2">
      <c r="A824" s="63"/>
      <c r="B824" s="385"/>
      <c r="C824" s="122"/>
      <c r="D824" s="75"/>
      <c r="E824" s="382"/>
      <c r="F824" s="382"/>
      <c r="G824" s="382"/>
      <c r="H824" s="67"/>
      <c r="I824" s="69"/>
      <c r="J824" s="134"/>
      <c r="K824" s="324"/>
      <c r="L824" s="191">
        <f t="shared" si="18"/>
        <v>1.4842</v>
      </c>
      <c r="M824" s="401"/>
      <c r="N824" s="86"/>
    </row>
    <row r="825" spans="1:14" s="64" customFormat="1" x14ac:dyDescent="0.2">
      <c r="A825" s="386"/>
      <c r="B825" s="151"/>
      <c r="C825" s="76" t="str">
        <f>orçamento!D100</f>
        <v>Interruptor  simples 1 tomada univ. conjugados</v>
      </c>
      <c r="D825" s="386" t="s">
        <v>622</v>
      </c>
      <c r="E825" s="67"/>
      <c r="F825" s="327"/>
      <c r="G825" s="71"/>
      <c r="H825" s="67"/>
      <c r="I825" s="67"/>
      <c r="J825" s="134"/>
      <c r="K825" s="324">
        <v>0.2999</v>
      </c>
      <c r="L825" s="191">
        <f t="shared" si="18"/>
        <v>1.4842</v>
      </c>
    </row>
    <row r="826" spans="1:14" s="64" customFormat="1" x14ac:dyDescent="0.2">
      <c r="A826" s="63"/>
      <c r="B826" s="385"/>
      <c r="C826" s="122" t="str">
        <f>C825</f>
        <v>Interruptor  simples 1 tomada univ. conjugados</v>
      </c>
      <c r="D826" s="75" t="s">
        <v>622</v>
      </c>
      <c r="E826" s="67">
        <f>5.689*N10</f>
        <v>5.6890000000000001</v>
      </c>
      <c r="F826" s="327">
        <v>2.69</v>
      </c>
      <c r="G826" s="71">
        <v>2.7370000000000001</v>
      </c>
      <c r="H826" s="67"/>
      <c r="I826" s="67">
        <f>E826*G826</f>
        <v>15.570793</v>
      </c>
      <c r="J826" s="134"/>
      <c r="K826" s="324">
        <v>0.2999</v>
      </c>
      <c r="L826" s="191">
        <f t="shared" si="18"/>
        <v>1.4842</v>
      </c>
    </row>
    <row r="827" spans="1:14" s="64" customFormat="1" x14ac:dyDescent="0.2">
      <c r="A827" s="63"/>
      <c r="B827" s="385"/>
      <c r="C827" s="122" t="s">
        <v>258</v>
      </c>
      <c r="D827" s="75" t="s">
        <v>53</v>
      </c>
      <c r="E827" s="132">
        <f>5.21*N10</f>
        <v>5.21</v>
      </c>
      <c r="F827" s="334"/>
      <c r="G827" s="71">
        <v>0.09</v>
      </c>
      <c r="H827" s="67">
        <f>E827*G827</f>
        <v>0.46889999999999998</v>
      </c>
      <c r="I827" s="133"/>
      <c r="J827" s="134"/>
      <c r="K827" s="324">
        <v>0.2999</v>
      </c>
      <c r="L827" s="191">
        <f t="shared" si="18"/>
        <v>1.4842</v>
      </c>
    </row>
    <row r="828" spans="1:14" s="64" customFormat="1" x14ac:dyDescent="0.2">
      <c r="A828" s="63"/>
      <c r="B828" s="385"/>
      <c r="C828" s="122" t="s">
        <v>259</v>
      </c>
      <c r="D828" s="75" t="s">
        <v>53</v>
      </c>
      <c r="E828" s="67">
        <f>3.77*N10</f>
        <v>3.77</v>
      </c>
      <c r="F828" s="334"/>
      <c r="G828" s="71">
        <v>0.09</v>
      </c>
      <c r="H828" s="67">
        <f>E828*G828</f>
        <v>0.33929999999999999</v>
      </c>
      <c r="I828" s="133"/>
      <c r="J828" s="134"/>
      <c r="K828" s="324">
        <v>0.2999</v>
      </c>
      <c r="L828" s="191">
        <f t="shared" si="18"/>
        <v>1.4842</v>
      </c>
    </row>
    <row r="829" spans="1:14" s="64" customFormat="1" hidden="1" x14ac:dyDescent="0.2">
      <c r="A829" s="63"/>
      <c r="B829" s="385"/>
      <c r="C829" s="122"/>
      <c r="D829" s="75"/>
      <c r="E829" s="67"/>
      <c r="F829" s="327"/>
      <c r="G829" s="71"/>
      <c r="H829" s="67"/>
      <c r="I829" s="67"/>
      <c r="J829" s="134"/>
      <c r="K829" s="324">
        <v>0.2999</v>
      </c>
      <c r="L829" s="191">
        <f t="shared" si="18"/>
        <v>1.4842</v>
      </c>
    </row>
    <row r="830" spans="1:14" s="64" customFormat="1" x14ac:dyDescent="0.2">
      <c r="A830" s="63"/>
      <c r="B830" s="385"/>
      <c r="C830" s="122"/>
      <c r="D830" s="75"/>
      <c r="E830" s="438" t="str">
        <f>E820</f>
        <v>Custo Direto</v>
      </c>
      <c r="F830" s="438"/>
      <c r="G830" s="438"/>
      <c r="H830" s="69">
        <f>SUM(H826:H828)</f>
        <v>0.80820000000000003</v>
      </c>
      <c r="I830" s="69">
        <f>SUM(I826:I828)</f>
        <v>15.570793</v>
      </c>
      <c r="J830" s="134"/>
      <c r="K830" s="324">
        <v>0.2999</v>
      </c>
      <c r="L830" s="191">
        <f t="shared" si="18"/>
        <v>1.4842</v>
      </c>
    </row>
    <row r="831" spans="1:14" s="64" customFormat="1" x14ac:dyDescent="0.2">
      <c r="A831" s="63"/>
      <c r="B831" s="385"/>
      <c r="C831" s="122"/>
      <c r="D831" s="75"/>
      <c r="E831" s="438" t="str">
        <f>E821</f>
        <v>LS(%): 148,42</v>
      </c>
      <c r="F831" s="438"/>
      <c r="G831" s="438"/>
      <c r="H831" s="67">
        <f>H830*L831</f>
        <v>1.19953044</v>
      </c>
      <c r="I831" s="131"/>
      <c r="J831" s="134"/>
      <c r="K831" s="324">
        <v>0.2999</v>
      </c>
      <c r="L831" s="191">
        <f t="shared" si="18"/>
        <v>1.4842</v>
      </c>
    </row>
    <row r="832" spans="1:14" s="64" customFormat="1" x14ac:dyDescent="0.2">
      <c r="A832" s="63"/>
      <c r="B832" s="385"/>
      <c r="C832" s="122"/>
      <c r="D832" s="75"/>
      <c r="E832" s="438" t="str">
        <f>E822</f>
        <v>BDI (%): 29,99</v>
      </c>
      <c r="F832" s="438"/>
      <c r="G832" s="438"/>
      <c r="H832" s="439">
        <f>(H830+I830+H831)*K832</f>
        <v>5.2717991796560009</v>
      </c>
      <c r="I832" s="439"/>
      <c r="J832" s="134"/>
      <c r="K832" s="324">
        <v>0.2999</v>
      </c>
      <c r="L832" s="191">
        <f t="shared" si="18"/>
        <v>1.4842</v>
      </c>
    </row>
    <row r="833" spans="1:14" s="64" customFormat="1" x14ac:dyDescent="0.2">
      <c r="A833" s="63"/>
      <c r="B833" s="385"/>
      <c r="C833" s="122"/>
      <c r="D833" s="75"/>
      <c r="E833" s="438" t="str">
        <f>E823</f>
        <v>Valor Total c/ Taxas</v>
      </c>
      <c r="F833" s="438"/>
      <c r="G833" s="438"/>
      <c r="H833" s="67"/>
      <c r="I833" s="69">
        <f>(H830+I830+H831+H832)</f>
        <v>22.850322619656001</v>
      </c>
      <c r="J833" s="134"/>
      <c r="K833" s="324">
        <v>0.2999</v>
      </c>
      <c r="L833" s="191">
        <f t="shared" si="18"/>
        <v>1.4842</v>
      </c>
      <c r="M833" s="401">
        <v>22.85</v>
      </c>
      <c r="N833" s="86">
        <f>I833-M833</f>
        <v>3.2261965600000053E-4</v>
      </c>
    </row>
    <row r="834" spans="1:14" s="64" customFormat="1" x14ac:dyDescent="0.2">
      <c r="A834" s="63"/>
      <c r="B834" s="385"/>
      <c r="C834" s="122"/>
      <c r="D834" s="75"/>
      <c r="E834" s="382"/>
      <c r="F834" s="382"/>
      <c r="G834" s="382"/>
      <c r="H834" s="67"/>
      <c r="I834" s="69"/>
      <c r="J834" s="134"/>
      <c r="K834" s="324"/>
      <c r="L834" s="191">
        <f t="shared" si="18"/>
        <v>1.4842</v>
      </c>
      <c r="M834" s="401"/>
      <c r="N834" s="86"/>
    </row>
    <row r="835" spans="1:14" s="64" customFormat="1" x14ac:dyDescent="0.2">
      <c r="A835" s="386"/>
      <c r="B835" s="151"/>
      <c r="C835" s="76" t="str">
        <f>orçamento!D101</f>
        <v xml:space="preserve">Line cord up - 4p, cat. 5 e, flexivel, 2,0 m </v>
      </c>
      <c r="D835" s="386" t="s">
        <v>622</v>
      </c>
      <c r="E835" s="67"/>
      <c r="F835" s="327"/>
      <c r="G835" s="71"/>
      <c r="H835" s="67"/>
      <c r="I835" s="67"/>
      <c r="J835" s="134"/>
      <c r="K835" s="324">
        <v>0.2999</v>
      </c>
      <c r="L835" s="191">
        <f t="shared" si="18"/>
        <v>1.4842</v>
      </c>
    </row>
    <row r="836" spans="1:14" s="64" customFormat="1" x14ac:dyDescent="0.2">
      <c r="A836" s="63"/>
      <c r="B836" s="385"/>
      <c r="C836" s="122" t="str">
        <f>C835</f>
        <v xml:space="preserve">Line cord up - 4p, cat. 5 e, flexivel, 2,0 m </v>
      </c>
      <c r="D836" s="75" t="s">
        <v>622</v>
      </c>
      <c r="E836" s="67">
        <f>5.68*N10</f>
        <v>5.68</v>
      </c>
      <c r="F836" s="327">
        <v>2.69</v>
      </c>
      <c r="G836" s="71">
        <v>1.84</v>
      </c>
      <c r="H836" s="67"/>
      <c r="I836" s="67">
        <f>E836*G836</f>
        <v>10.4512</v>
      </c>
      <c r="J836" s="134"/>
      <c r="K836" s="324">
        <v>0.2999</v>
      </c>
      <c r="L836" s="191">
        <f t="shared" si="18"/>
        <v>1.4842</v>
      </c>
    </row>
    <row r="837" spans="1:14" s="64" customFormat="1" x14ac:dyDescent="0.2">
      <c r="A837" s="63"/>
      <c r="B837" s="385"/>
      <c r="C837" s="122" t="s">
        <v>258</v>
      </c>
      <c r="D837" s="75" t="s">
        <v>53</v>
      </c>
      <c r="E837" s="132">
        <f>5.21*N10</f>
        <v>5.21</v>
      </c>
      <c r="F837" s="334"/>
      <c r="G837" s="71">
        <v>0.09</v>
      </c>
      <c r="H837" s="67">
        <f>E837*G837</f>
        <v>0.46889999999999998</v>
      </c>
      <c r="I837" s="133"/>
      <c r="J837" s="134"/>
      <c r="K837" s="324">
        <v>0.2999</v>
      </c>
      <c r="L837" s="191">
        <f t="shared" si="18"/>
        <v>1.4842</v>
      </c>
    </row>
    <row r="838" spans="1:14" s="64" customFormat="1" x14ac:dyDescent="0.2">
      <c r="A838" s="63"/>
      <c r="B838" s="385"/>
      <c r="C838" s="122" t="s">
        <v>259</v>
      </c>
      <c r="D838" s="75" t="s">
        <v>53</v>
      </c>
      <c r="E838" s="67">
        <f>3.77*N10</f>
        <v>3.77</v>
      </c>
      <c r="F838" s="334"/>
      <c r="G838" s="71">
        <v>0.09</v>
      </c>
      <c r="H838" s="67">
        <f>E838*G838</f>
        <v>0.33929999999999999</v>
      </c>
      <c r="I838" s="133"/>
      <c r="J838" s="134"/>
      <c r="K838" s="324">
        <v>0.2999</v>
      </c>
      <c r="L838" s="191">
        <f t="shared" si="18"/>
        <v>1.4842</v>
      </c>
    </row>
    <row r="839" spans="1:14" s="64" customFormat="1" hidden="1" x14ac:dyDescent="0.2">
      <c r="A839" s="63"/>
      <c r="B839" s="385"/>
      <c r="C839" s="122"/>
      <c r="D839" s="75"/>
      <c r="E839" s="67"/>
      <c r="F839" s="327"/>
      <c r="G839" s="71"/>
      <c r="H839" s="67"/>
      <c r="I839" s="67"/>
      <c r="J839" s="134"/>
      <c r="K839" s="324">
        <v>0.2999</v>
      </c>
      <c r="L839" s="191">
        <f t="shared" si="18"/>
        <v>1.4842</v>
      </c>
    </row>
    <row r="840" spans="1:14" s="64" customFormat="1" x14ac:dyDescent="0.2">
      <c r="A840" s="63"/>
      <c r="B840" s="385"/>
      <c r="C840" s="122"/>
      <c r="D840" s="75"/>
      <c r="E840" s="438" t="str">
        <f>E830</f>
        <v>Custo Direto</v>
      </c>
      <c r="F840" s="438"/>
      <c r="G840" s="438"/>
      <c r="H840" s="69">
        <f>SUM(H836:H838)</f>
        <v>0.80820000000000003</v>
      </c>
      <c r="I840" s="69">
        <f>SUM(I836:I838)</f>
        <v>10.4512</v>
      </c>
      <c r="J840" s="134"/>
      <c r="K840" s="324">
        <v>0.2999</v>
      </c>
      <c r="L840" s="191">
        <f t="shared" si="18"/>
        <v>1.4842</v>
      </c>
    </row>
    <row r="841" spans="1:14" s="64" customFormat="1" x14ac:dyDescent="0.2">
      <c r="A841" s="63"/>
      <c r="B841" s="385"/>
      <c r="C841" s="122"/>
      <c r="D841" s="75"/>
      <c r="E841" s="438" t="str">
        <f>E831</f>
        <v>LS(%): 148,42</v>
      </c>
      <c r="F841" s="438"/>
      <c r="G841" s="438"/>
      <c r="H841" s="67">
        <f>H840*L841</f>
        <v>1.19953044</v>
      </c>
      <c r="I841" s="131"/>
      <c r="J841" s="134"/>
      <c r="K841" s="324">
        <v>0.2999</v>
      </c>
      <c r="L841" s="191">
        <f t="shared" si="18"/>
        <v>1.4842</v>
      </c>
    </row>
    <row r="842" spans="1:14" s="64" customFormat="1" x14ac:dyDescent="0.2">
      <c r="A842" s="63"/>
      <c r="B842" s="385"/>
      <c r="C842" s="122"/>
      <c r="D842" s="75"/>
      <c r="E842" s="438" t="str">
        <f>E832</f>
        <v>BDI (%): 29,99</v>
      </c>
      <c r="F842" s="438"/>
      <c r="G842" s="438"/>
      <c r="H842" s="439">
        <f>(H840+I840+H841)*K842</f>
        <v>3.7364332389559998</v>
      </c>
      <c r="I842" s="439"/>
      <c r="J842" s="134"/>
      <c r="K842" s="324">
        <v>0.2999</v>
      </c>
      <c r="L842" s="191">
        <f t="shared" si="18"/>
        <v>1.4842</v>
      </c>
    </row>
    <row r="843" spans="1:14" s="64" customFormat="1" x14ac:dyDescent="0.2">
      <c r="A843" s="63"/>
      <c r="B843" s="385"/>
      <c r="C843" s="122"/>
      <c r="D843" s="75"/>
      <c r="E843" s="438" t="str">
        <f>E833</f>
        <v>Valor Total c/ Taxas</v>
      </c>
      <c r="F843" s="438"/>
      <c r="G843" s="438"/>
      <c r="H843" s="67"/>
      <c r="I843" s="69">
        <f>(H840+I840+H841+H842)</f>
        <v>16.195363678955999</v>
      </c>
      <c r="J843" s="134"/>
      <c r="K843" s="324">
        <v>0.2999</v>
      </c>
      <c r="L843" s="191">
        <f t="shared" si="18"/>
        <v>1.4842</v>
      </c>
      <c r="M843" s="401">
        <v>16.2</v>
      </c>
      <c r="N843" s="86">
        <f>I843-M843</f>
        <v>-4.6363210439999136E-3</v>
      </c>
    </row>
    <row r="844" spans="1:14" s="64" customFormat="1" x14ac:dyDescent="0.2">
      <c r="A844" s="63"/>
      <c r="B844" s="385"/>
      <c r="C844" s="122"/>
      <c r="D844" s="75"/>
      <c r="E844" s="382"/>
      <c r="F844" s="382"/>
      <c r="G844" s="382"/>
      <c r="H844" s="67"/>
      <c r="I844" s="69"/>
      <c r="J844" s="134"/>
      <c r="K844" s="324"/>
      <c r="L844" s="191">
        <f t="shared" si="18"/>
        <v>1.4842</v>
      </c>
      <c r="M844" s="401"/>
      <c r="N844" s="86"/>
    </row>
    <row r="845" spans="1:14" s="64" customFormat="1" x14ac:dyDescent="0.2">
      <c r="A845" s="386"/>
      <c r="B845" s="151"/>
      <c r="C845" s="76" t="str">
        <f>orçamento!D102</f>
        <v>Luminaria circular com vidro p/quadr 400 w, p/base e-40</v>
      </c>
      <c r="D845" s="386" t="s">
        <v>622</v>
      </c>
      <c r="E845" s="67"/>
      <c r="F845" s="327"/>
      <c r="G845" s="71"/>
      <c r="H845" s="67"/>
      <c r="I845" s="67"/>
      <c r="J845" s="134"/>
      <c r="K845" s="324">
        <v>0.2999</v>
      </c>
      <c r="L845" s="191">
        <f t="shared" si="18"/>
        <v>1.4842</v>
      </c>
    </row>
    <row r="846" spans="1:14" s="64" customFormat="1" x14ac:dyDescent="0.2">
      <c r="A846" s="63"/>
      <c r="B846" s="385"/>
      <c r="C846" s="122" t="str">
        <f>C845</f>
        <v>Luminaria circular com vidro p/quadr 400 w, p/base e-40</v>
      </c>
      <c r="D846" s="75" t="s">
        <v>622</v>
      </c>
      <c r="E846" s="67">
        <f>159.2*N10</f>
        <v>159.19999999999999</v>
      </c>
      <c r="F846" s="327">
        <v>2.69</v>
      </c>
      <c r="G846" s="71">
        <v>3.5</v>
      </c>
      <c r="H846" s="67"/>
      <c r="I846" s="67">
        <f>E846*G846</f>
        <v>557.19999999999993</v>
      </c>
      <c r="J846" s="134"/>
      <c r="K846" s="324">
        <v>0.2999</v>
      </c>
      <c r="L846" s="191">
        <f t="shared" si="18"/>
        <v>1.4842</v>
      </c>
    </row>
    <row r="847" spans="1:14" s="64" customFormat="1" x14ac:dyDescent="0.2">
      <c r="A847" s="63"/>
      <c r="B847" s="385"/>
      <c r="C847" s="122" t="s">
        <v>258</v>
      </c>
      <c r="D847" s="75" t="s">
        <v>53</v>
      </c>
      <c r="E847" s="132">
        <f>5.21*N10</f>
        <v>5.21</v>
      </c>
      <c r="F847" s="334"/>
      <c r="G847" s="71">
        <v>0.09</v>
      </c>
      <c r="H847" s="67">
        <f>E847*G847</f>
        <v>0.46889999999999998</v>
      </c>
      <c r="I847" s="133"/>
      <c r="J847" s="134"/>
      <c r="K847" s="324">
        <v>0.2999</v>
      </c>
      <c r="L847" s="191">
        <f t="shared" si="18"/>
        <v>1.4842</v>
      </c>
    </row>
    <row r="848" spans="1:14" s="64" customFormat="1" x14ac:dyDescent="0.2">
      <c r="A848" s="63"/>
      <c r="B848" s="385"/>
      <c r="C848" s="122" t="s">
        <v>259</v>
      </c>
      <c r="D848" s="75" t="s">
        <v>53</v>
      </c>
      <c r="E848" s="67">
        <f>3.77*N10</f>
        <v>3.77</v>
      </c>
      <c r="F848" s="334"/>
      <c r="G848" s="71">
        <v>0.09</v>
      </c>
      <c r="H848" s="67">
        <f>E848*G848</f>
        <v>0.33929999999999999</v>
      </c>
      <c r="I848" s="133"/>
      <c r="J848" s="134"/>
      <c r="K848" s="324">
        <v>0.2999</v>
      </c>
      <c r="L848" s="191">
        <f t="shared" si="18"/>
        <v>1.4842</v>
      </c>
    </row>
    <row r="849" spans="1:14" s="64" customFormat="1" hidden="1" x14ac:dyDescent="0.2">
      <c r="A849" s="63"/>
      <c r="B849" s="385"/>
      <c r="C849" s="122"/>
      <c r="D849" s="75"/>
      <c r="E849" s="67"/>
      <c r="F849" s="327"/>
      <c r="G849" s="71"/>
      <c r="H849" s="67"/>
      <c r="I849" s="67"/>
      <c r="J849" s="134"/>
      <c r="K849" s="324">
        <v>0.2999</v>
      </c>
      <c r="L849" s="191">
        <f t="shared" si="18"/>
        <v>1.4842</v>
      </c>
    </row>
    <row r="850" spans="1:14" s="64" customFormat="1" x14ac:dyDescent="0.2">
      <c r="A850" s="63"/>
      <c r="B850" s="385"/>
      <c r="C850" s="122"/>
      <c r="D850" s="75"/>
      <c r="E850" s="438" t="str">
        <f>E840</f>
        <v>Custo Direto</v>
      </c>
      <c r="F850" s="438"/>
      <c r="G850" s="438"/>
      <c r="H850" s="69">
        <f>SUM(H846:H848)</f>
        <v>0.80820000000000003</v>
      </c>
      <c r="I850" s="69">
        <f>SUM(I846:I848)</f>
        <v>557.19999999999993</v>
      </c>
      <c r="J850" s="134"/>
      <c r="K850" s="324">
        <v>0.2999</v>
      </c>
      <c r="L850" s="191">
        <f t="shared" si="18"/>
        <v>1.4842</v>
      </c>
    </row>
    <row r="851" spans="1:14" s="64" customFormat="1" x14ac:dyDescent="0.2">
      <c r="A851" s="63"/>
      <c r="B851" s="385"/>
      <c r="C851" s="122"/>
      <c r="D851" s="75"/>
      <c r="E851" s="438" t="str">
        <f>E841</f>
        <v>LS(%): 148,42</v>
      </c>
      <c r="F851" s="438"/>
      <c r="G851" s="438"/>
      <c r="H851" s="67">
        <f>H850*L851</f>
        <v>1.19953044</v>
      </c>
      <c r="I851" s="131"/>
      <c r="J851" s="134"/>
      <c r="K851" s="324">
        <v>0.2999</v>
      </c>
      <c r="L851" s="191">
        <f t="shared" si="18"/>
        <v>1.4842</v>
      </c>
    </row>
    <row r="852" spans="1:14" s="64" customFormat="1" x14ac:dyDescent="0.2">
      <c r="A852" s="63"/>
      <c r="B852" s="385"/>
      <c r="C852" s="122"/>
      <c r="D852" s="75"/>
      <c r="E852" s="438" t="str">
        <f>E842</f>
        <v>BDI (%): 29,99</v>
      </c>
      <c r="F852" s="438"/>
      <c r="G852" s="438"/>
      <c r="H852" s="439">
        <f>(H850+I850+H851)*K852</f>
        <v>167.70639835895599</v>
      </c>
      <c r="I852" s="439"/>
      <c r="J852" s="134"/>
      <c r="K852" s="324">
        <v>0.2999</v>
      </c>
      <c r="L852" s="191">
        <f t="shared" si="18"/>
        <v>1.4842</v>
      </c>
    </row>
    <row r="853" spans="1:14" s="64" customFormat="1" x14ac:dyDescent="0.2">
      <c r="A853" s="63"/>
      <c r="B853" s="385"/>
      <c r="C853" s="122"/>
      <c r="D853" s="75"/>
      <c r="E853" s="438" t="str">
        <f>E843</f>
        <v>Valor Total c/ Taxas</v>
      </c>
      <c r="F853" s="438"/>
      <c r="G853" s="438"/>
      <c r="H853" s="67"/>
      <c r="I853" s="69">
        <f>(H850+I850+H851+H852)</f>
        <v>726.91412879895597</v>
      </c>
      <c r="J853" s="134"/>
      <c r="K853" s="324">
        <v>0.2999</v>
      </c>
      <c r="L853" s="191">
        <f t="shared" si="18"/>
        <v>1.4842</v>
      </c>
      <c r="M853" s="401">
        <v>726.91</v>
      </c>
      <c r="N853" s="86">
        <f>I853-M853</f>
        <v>4.1287989560032656E-3</v>
      </c>
    </row>
    <row r="854" spans="1:14" s="64" customFormat="1" x14ac:dyDescent="0.2">
      <c r="A854" s="63"/>
      <c r="B854" s="385"/>
      <c r="C854" s="122"/>
      <c r="D854" s="75"/>
      <c r="E854" s="382"/>
      <c r="F854" s="382"/>
      <c r="G854" s="382"/>
      <c r="H854" s="67"/>
      <c r="I854" s="69"/>
      <c r="J854" s="134"/>
      <c r="K854" s="324"/>
      <c r="L854" s="191">
        <f t="shared" si="18"/>
        <v>1.4842</v>
      </c>
      <c r="M854" s="401"/>
      <c r="N854" s="86"/>
    </row>
    <row r="855" spans="1:14" s="64" customFormat="1" x14ac:dyDescent="0.2">
      <c r="A855" s="386"/>
      <c r="B855" s="151"/>
      <c r="C855" s="76" t="str">
        <f>orçamento!D103</f>
        <v>Luminaria conj.c/1 pétala simpl. (ate 400 w) padrão b</v>
      </c>
      <c r="D855" s="386" t="s">
        <v>622</v>
      </c>
      <c r="E855" s="67"/>
      <c r="F855" s="327"/>
      <c r="G855" s="71"/>
      <c r="H855" s="67"/>
      <c r="I855" s="67"/>
      <c r="J855" s="134"/>
      <c r="K855" s="324">
        <v>0.2999</v>
      </c>
      <c r="L855" s="191">
        <f t="shared" si="18"/>
        <v>1.4842</v>
      </c>
    </row>
    <row r="856" spans="1:14" s="64" customFormat="1" x14ac:dyDescent="0.2">
      <c r="A856" s="63"/>
      <c r="B856" s="385"/>
      <c r="C856" s="122" t="str">
        <f>C855</f>
        <v>Luminaria conj.c/1 pétala simpl. (ate 400 w) padrão b</v>
      </c>
      <c r="D856" s="75" t="s">
        <v>622</v>
      </c>
      <c r="E856" s="67">
        <f>47.6001*N10</f>
        <v>47.600099999999998</v>
      </c>
      <c r="F856" s="327">
        <v>2.69</v>
      </c>
      <c r="G856" s="71">
        <v>2.2999999999999998</v>
      </c>
      <c r="H856" s="67"/>
      <c r="I856" s="67">
        <f>E856*G856</f>
        <v>109.48022999999999</v>
      </c>
      <c r="J856" s="134"/>
      <c r="K856" s="324">
        <v>0.2999</v>
      </c>
      <c r="L856" s="191">
        <f t="shared" si="18"/>
        <v>1.4842</v>
      </c>
    </row>
    <row r="857" spans="1:14" s="64" customFormat="1" x14ac:dyDescent="0.2">
      <c r="A857" s="63"/>
      <c r="B857" s="385"/>
      <c r="C857" s="122" t="s">
        <v>258</v>
      </c>
      <c r="D857" s="75" t="s">
        <v>53</v>
      </c>
      <c r="E857" s="132">
        <f>5.21*N10</f>
        <v>5.21</v>
      </c>
      <c r="F857" s="334"/>
      <c r="G857" s="71">
        <v>0.09</v>
      </c>
      <c r="H857" s="67">
        <f>E857*G857</f>
        <v>0.46889999999999998</v>
      </c>
      <c r="I857" s="133"/>
      <c r="J857" s="134"/>
      <c r="K857" s="324">
        <v>0.2999</v>
      </c>
      <c r="L857" s="191">
        <f t="shared" si="18"/>
        <v>1.4842</v>
      </c>
    </row>
    <row r="858" spans="1:14" s="64" customFormat="1" x14ac:dyDescent="0.2">
      <c r="A858" s="63"/>
      <c r="B858" s="385"/>
      <c r="C858" s="122" t="s">
        <v>259</v>
      </c>
      <c r="D858" s="75" t="s">
        <v>53</v>
      </c>
      <c r="E858" s="67">
        <f>3.77*N10</f>
        <v>3.77</v>
      </c>
      <c r="F858" s="334"/>
      <c r="G858" s="71">
        <v>0.09</v>
      </c>
      <c r="H858" s="67">
        <f>E858*G858</f>
        <v>0.33929999999999999</v>
      </c>
      <c r="I858" s="133"/>
      <c r="J858" s="134"/>
      <c r="K858" s="324">
        <v>0.2999</v>
      </c>
      <c r="L858" s="191">
        <f t="shared" si="18"/>
        <v>1.4842</v>
      </c>
    </row>
    <row r="859" spans="1:14" s="64" customFormat="1" hidden="1" x14ac:dyDescent="0.2">
      <c r="A859" s="63"/>
      <c r="B859" s="385"/>
      <c r="C859" s="122"/>
      <c r="D859" s="75"/>
      <c r="E859" s="67"/>
      <c r="F859" s="327"/>
      <c r="G859" s="71"/>
      <c r="H859" s="67"/>
      <c r="I859" s="67"/>
      <c r="J859" s="134"/>
      <c r="K859" s="324">
        <v>0.2999</v>
      </c>
      <c r="L859" s="191">
        <f t="shared" si="18"/>
        <v>1.4842</v>
      </c>
    </row>
    <row r="860" spans="1:14" s="64" customFormat="1" x14ac:dyDescent="0.2">
      <c r="A860" s="63"/>
      <c r="B860" s="385"/>
      <c r="C860" s="122"/>
      <c r="D860" s="75"/>
      <c r="E860" s="438" t="str">
        <f>E850</f>
        <v>Custo Direto</v>
      </c>
      <c r="F860" s="438"/>
      <c r="G860" s="438"/>
      <c r="H860" s="69">
        <f>SUM(H856:H858)</f>
        <v>0.80820000000000003</v>
      </c>
      <c r="I860" s="69">
        <f>SUM(I856:I858)</f>
        <v>109.48022999999999</v>
      </c>
      <c r="J860" s="134"/>
      <c r="K860" s="324">
        <v>0.2999</v>
      </c>
      <c r="L860" s="191">
        <f t="shared" si="18"/>
        <v>1.4842</v>
      </c>
    </row>
    <row r="861" spans="1:14" s="64" customFormat="1" x14ac:dyDescent="0.2">
      <c r="A861" s="63"/>
      <c r="B861" s="385"/>
      <c r="C861" s="122"/>
      <c r="D861" s="75"/>
      <c r="E861" s="438" t="str">
        <f>E851</f>
        <v>LS(%): 148,42</v>
      </c>
      <c r="F861" s="438"/>
      <c r="G861" s="438"/>
      <c r="H861" s="67">
        <f>H860*L861</f>
        <v>1.19953044</v>
      </c>
      <c r="I861" s="131"/>
      <c r="J861" s="134"/>
      <c r="K861" s="324">
        <v>0.2999</v>
      </c>
      <c r="L861" s="191">
        <f t="shared" si="18"/>
        <v>1.4842</v>
      </c>
    </row>
    <row r="862" spans="1:14" s="64" customFormat="1" x14ac:dyDescent="0.2">
      <c r="A862" s="63"/>
      <c r="B862" s="385"/>
      <c r="C862" s="122"/>
      <c r="D862" s="75"/>
      <c r="E862" s="438" t="str">
        <f>E852</f>
        <v>BDI (%): 29,99</v>
      </c>
      <c r="F862" s="438"/>
      <c r="G862" s="438"/>
      <c r="H862" s="439">
        <f>(H860+I860+H861)*K862</f>
        <v>33.435239335955998</v>
      </c>
      <c r="I862" s="439"/>
      <c r="J862" s="134"/>
      <c r="K862" s="324">
        <v>0.2999</v>
      </c>
      <c r="L862" s="191">
        <f t="shared" si="18"/>
        <v>1.4842</v>
      </c>
    </row>
    <row r="863" spans="1:14" s="64" customFormat="1" x14ac:dyDescent="0.2">
      <c r="A863" s="63"/>
      <c r="B863" s="385"/>
      <c r="C863" s="122"/>
      <c r="D863" s="75"/>
      <c r="E863" s="438" t="str">
        <f>E853</f>
        <v>Valor Total c/ Taxas</v>
      </c>
      <c r="F863" s="438"/>
      <c r="G863" s="438"/>
      <c r="H863" s="67"/>
      <c r="I863" s="69">
        <f>(H860+I860+H861+H862)</f>
        <v>144.92319977595599</v>
      </c>
      <c r="J863" s="134"/>
      <c r="K863" s="324">
        <v>0.2999</v>
      </c>
      <c r="L863" s="191">
        <f t="shared" si="18"/>
        <v>1.4842</v>
      </c>
      <c r="M863" s="401">
        <v>144.91999999999999</v>
      </c>
      <c r="N863" s="86">
        <f>I863-M863</f>
        <v>3.1997759560056238E-3</v>
      </c>
    </row>
    <row r="864" spans="1:14" s="64" customFormat="1" x14ac:dyDescent="0.2">
      <c r="A864" s="63"/>
      <c r="B864" s="385"/>
      <c r="C864" s="122"/>
      <c r="D864" s="75"/>
      <c r="E864" s="382"/>
      <c r="F864" s="382"/>
      <c r="G864" s="382"/>
      <c r="H864" s="67"/>
      <c r="I864" s="69"/>
      <c r="J864" s="134"/>
      <c r="K864" s="324"/>
      <c r="L864" s="191">
        <f t="shared" si="18"/>
        <v>1.4842</v>
      </c>
      <c r="M864" s="401"/>
      <c r="N864" s="86"/>
    </row>
    <row r="865" spans="1:14" s="64" customFormat="1" ht="25.5" x14ac:dyDescent="0.2">
      <c r="A865" s="386"/>
      <c r="B865" s="151"/>
      <c r="C865" s="76" t="str">
        <f>orçamento!D104</f>
        <v>Luminaria fluorescente de embutir 2 x 32 ou 2 x 40 w, completa, reator eletrônico e lâmpada conforme projeto</v>
      </c>
      <c r="D865" s="386" t="s">
        <v>622</v>
      </c>
      <c r="E865" s="67"/>
      <c r="F865" s="327"/>
      <c r="G865" s="71"/>
      <c r="H865" s="67"/>
      <c r="I865" s="67"/>
      <c r="J865" s="134"/>
      <c r="K865" s="324">
        <v>0.2999</v>
      </c>
      <c r="L865" s="191">
        <f t="shared" si="18"/>
        <v>1.4842</v>
      </c>
    </row>
    <row r="866" spans="1:14" s="64" customFormat="1" ht="25.5" x14ac:dyDescent="0.2">
      <c r="A866" s="63"/>
      <c r="B866" s="385"/>
      <c r="C866" s="122" t="str">
        <f>C865</f>
        <v>Luminaria fluorescente de embutir 2 x 32 ou 2 x 40 w, completa, reator eletrônico e lâmpada conforme projeto</v>
      </c>
      <c r="D866" s="75" t="s">
        <v>622</v>
      </c>
      <c r="E866" s="67">
        <f>38.913*N10</f>
        <v>38.912999999999997</v>
      </c>
      <c r="F866" s="327">
        <v>2.69</v>
      </c>
      <c r="G866" s="71">
        <v>2.2999999999999998</v>
      </c>
      <c r="H866" s="67"/>
      <c r="I866" s="67">
        <f>E866*G866</f>
        <v>89.499899999999982</v>
      </c>
      <c r="J866" s="134"/>
      <c r="K866" s="324">
        <v>0.2999</v>
      </c>
      <c r="L866" s="191">
        <f t="shared" si="18"/>
        <v>1.4842</v>
      </c>
    </row>
    <row r="867" spans="1:14" s="64" customFormat="1" x14ac:dyDescent="0.2">
      <c r="A867" s="63"/>
      <c r="B867" s="385"/>
      <c r="C867" s="122" t="s">
        <v>258</v>
      </c>
      <c r="D867" s="75" t="s">
        <v>53</v>
      </c>
      <c r="E867" s="132">
        <f>5.21*N10</f>
        <v>5.21</v>
      </c>
      <c r="F867" s="334"/>
      <c r="G867" s="71">
        <v>0.09</v>
      </c>
      <c r="H867" s="67">
        <f>E867*G867</f>
        <v>0.46889999999999998</v>
      </c>
      <c r="I867" s="133"/>
      <c r="J867" s="134"/>
      <c r="K867" s="324">
        <v>0.2999</v>
      </c>
      <c r="L867" s="191">
        <f t="shared" si="18"/>
        <v>1.4842</v>
      </c>
    </row>
    <row r="868" spans="1:14" s="64" customFormat="1" x14ac:dyDescent="0.2">
      <c r="A868" s="63"/>
      <c r="B868" s="385"/>
      <c r="C868" s="122" t="s">
        <v>259</v>
      </c>
      <c r="D868" s="75" t="s">
        <v>53</v>
      </c>
      <c r="E868" s="67">
        <f>3.77*N10</f>
        <v>3.77</v>
      </c>
      <c r="F868" s="334"/>
      <c r="G868" s="71">
        <v>0.09</v>
      </c>
      <c r="H868" s="67">
        <f>E868*G868</f>
        <v>0.33929999999999999</v>
      </c>
      <c r="I868" s="133"/>
      <c r="J868" s="134"/>
      <c r="K868" s="324">
        <v>0.2999</v>
      </c>
      <c r="L868" s="191">
        <f t="shared" si="18"/>
        <v>1.4842</v>
      </c>
    </row>
    <row r="869" spans="1:14" s="64" customFormat="1" hidden="1" x14ac:dyDescent="0.2">
      <c r="A869" s="63"/>
      <c r="B869" s="385"/>
      <c r="C869" s="122"/>
      <c r="D869" s="75"/>
      <c r="E869" s="67"/>
      <c r="F869" s="327"/>
      <c r="G869" s="71"/>
      <c r="H869" s="67"/>
      <c r="I869" s="67"/>
      <c r="J869" s="134"/>
      <c r="K869" s="324">
        <v>0.2999</v>
      </c>
      <c r="L869" s="191">
        <f t="shared" si="18"/>
        <v>1.4842</v>
      </c>
    </row>
    <row r="870" spans="1:14" s="64" customFormat="1" x14ac:dyDescent="0.2">
      <c r="A870" s="63"/>
      <c r="B870" s="385"/>
      <c r="C870" s="122"/>
      <c r="D870" s="75"/>
      <c r="E870" s="438" t="str">
        <f>E860</f>
        <v>Custo Direto</v>
      </c>
      <c r="F870" s="438"/>
      <c r="G870" s="438"/>
      <c r="H870" s="69">
        <f>SUM(H866:H868)</f>
        <v>0.80820000000000003</v>
      </c>
      <c r="I870" s="69">
        <f>SUM(I866:I868)</f>
        <v>89.499899999999982</v>
      </c>
      <c r="J870" s="134"/>
      <c r="K870" s="324">
        <v>0.2999</v>
      </c>
      <c r="L870" s="191">
        <f t="shared" si="18"/>
        <v>1.4842</v>
      </c>
    </row>
    <row r="871" spans="1:14" s="64" customFormat="1" x14ac:dyDescent="0.2">
      <c r="A871" s="63"/>
      <c r="B871" s="385"/>
      <c r="C871" s="122"/>
      <c r="D871" s="75"/>
      <c r="E871" s="438" t="str">
        <f>E861</f>
        <v>LS(%): 148,42</v>
      </c>
      <c r="F871" s="438"/>
      <c r="G871" s="438"/>
      <c r="H871" s="67">
        <f>H870*L871</f>
        <v>1.19953044</v>
      </c>
      <c r="I871" s="131"/>
      <c r="J871" s="134"/>
      <c r="K871" s="324">
        <v>0.2999</v>
      </c>
      <c r="L871" s="191">
        <f t="shared" si="18"/>
        <v>1.4842</v>
      </c>
    </row>
    <row r="872" spans="1:14" s="64" customFormat="1" x14ac:dyDescent="0.2">
      <c r="A872" s="63"/>
      <c r="B872" s="385"/>
      <c r="C872" s="122"/>
      <c r="D872" s="75"/>
      <c r="E872" s="438" t="str">
        <f>E862</f>
        <v>BDI (%): 29,99</v>
      </c>
      <c r="F872" s="438"/>
      <c r="G872" s="438"/>
      <c r="H872" s="439">
        <f>(H870+I870+H871)*K872</f>
        <v>27.443138368955996</v>
      </c>
      <c r="I872" s="439"/>
      <c r="J872" s="134"/>
      <c r="K872" s="324">
        <v>0.2999</v>
      </c>
      <c r="L872" s="191">
        <f t="shared" si="18"/>
        <v>1.4842</v>
      </c>
    </row>
    <row r="873" spans="1:14" s="64" customFormat="1" x14ac:dyDescent="0.2">
      <c r="A873" s="63"/>
      <c r="B873" s="385"/>
      <c r="C873" s="122"/>
      <c r="D873" s="75"/>
      <c r="E873" s="438" t="str">
        <f>E863</f>
        <v>Valor Total c/ Taxas</v>
      </c>
      <c r="F873" s="438"/>
      <c r="G873" s="438"/>
      <c r="H873" s="67"/>
      <c r="I873" s="69">
        <f>(H870+I870+H871+H872)</f>
        <v>118.95076880895598</v>
      </c>
      <c r="J873" s="134"/>
      <c r="K873" s="324">
        <v>0.2999</v>
      </c>
      <c r="L873" s="191">
        <f t="shared" si="18"/>
        <v>1.4842</v>
      </c>
      <c r="M873" s="401">
        <v>118.95</v>
      </c>
      <c r="N873" s="86">
        <f>I873-M873</f>
        <v>7.6880895598208099E-4</v>
      </c>
    </row>
    <row r="874" spans="1:14" s="64" customFormat="1" x14ac:dyDescent="0.2">
      <c r="A874" s="63"/>
      <c r="B874" s="385"/>
      <c r="C874" s="122"/>
      <c r="D874" s="75"/>
      <c r="E874" s="382"/>
      <c r="F874" s="382"/>
      <c r="G874" s="382"/>
      <c r="H874" s="67"/>
      <c r="I874" s="69"/>
      <c r="J874" s="134"/>
      <c r="K874" s="324"/>
      <c r="L874" s="191">
        <f t="shared" si="18"/>
        <v>1.4842</v>
      </c>
      <c r="M874" s="401"/>
      <c r="N874" s="86"/>
    </row>
    <row r="875" spans="1:14" s="64" customFormat="1" x14ac:dyDescent="0.2">
      <c r="A875" s="386"/>
      <c r="B875" s="151"/>
      <c r="C875" s="76" t="str">
        <f>orçamento!D105</f>
        <v>Organizador de  Cabos (guias)</v>
      </c>
      <c r="D875" s="386" t="s">
        <v>622</v>
      </c>
      <c r="E875" s="67"/>
      <c r="F875" s="327"/>
      <c r="G875" s="71"/>
      <c r="H875" s="67"/>
      <c r="I875" s="67"/>
      <c r="J875" s="134"/>
      <c r="K875" s="324">
        <v>0.2999</v>
      </c>
      <c r="L875" s="191">
        <f t="shared" si="18"/>
        <v>1.4842</v>
      </c>
    </row>
    <row r="876" spans="1:14" s="64" customFormat="1" x14ac:dyDescent="0.2">
      <c r="A876" s="63"/>
      <c r="B876" s="385"/>
      <c r="C876" s="122" t="str">
        <f>C875</f>
        <v>Organizador de  Cabos (guias)</v>
      </c>
      <c r="D876" s="75" t="s">
        <v>622</v>
      </c>
      <c r="E876" s="67">
        <f>16.35*N10</f>
        <v>16.350000000000001</v>
      </c>
      <c r="F876" s="327">
        <v>2.69</v>
      </c>
      <c r="G876" s="71">
        <v>2.2999999999999998</v>
      </c>
      <c r="H876" s="67"/>
      <c r="I876" s="67">
        <f>E876*G876</f>
        <v>37.604999999999997</v>
      </c>
      <c r="J876" s="134"/>
      <c r="K876" s="324">
        <v>0.2999</v>
      </c>
      <c r="L876" s="191">
        <f t="shared" si="18"/>
        <v>1.4842</v>
      </c>
    </row>
    <row r="877" spans="1:14" s="64" customFormat="1" x14ac:dyDescent="0.2">
      <c r="A877" s="63"/>
      <c r="B877" s="385"/>
      <c r="C877" s="122" t="s">
        <v>258</v>
      </c>
      <c r="D877" s="75" t="s">
        <v>53</v>
      </c>
      <c r="E877" s="132">
        <f>5.21*N10</f>
        <v>5.21</v>
      </c>
      <c r="F877" s="334"/>
      <c r="G877" s="71">
        <v>0.09</v>
      </c>
      <c r="H877" s="67">
        <f>E877*G877</f>
        <v>0.46889999999999998</v>
      </c>
      <c r="I877" s="133"/>
      <c r="J877" s="134"/>
      <c r="K877" s="324">
        <v>0.2999</v>
      </c>
      <c r="L877" s="191">
        <f t="shared" si="18"/>
        <v>1.4842</v>
      </c>
    </row>
    <row r="878" spans="1:14" s="64" customFormat="1" x14ac:dyDescent="0.2">
      <c r="A878" s="63"/>
      <c r="B878" s="385"/>
      <c r="C878" s="122" t="s">
        <v>259</v>
      </c>
      <c r="D878" s="75" t="s">
        <v>53</v>
      </c>
      <c r="E878" s="67">
        <f>3.77*N10</f>
        <v>3.77</v>
      </c>
      <c r="F878" s="334"/>
      <c r="G878" s="71">
        <v>0.09</v>
      </c>
      <c r="H878" s="67">
        <f>E878*G878</f>
        <v>0.33929999999999999</v>
      </c>
      <c r="I878" s="133"/>
      <c r="J878" s="134"/>
      <c r="K878" s="324">
        <v>0.2999</v>
      </c>
      <c r="L878" s="191">
        <f t="shared" si="18"/>
        <v>1.4842</v>
      </c>
    </row>
    <row r="879" spans="1:14" s="64" customFormat="1" hidden="1" x14ac:dyDescent="0.2">
      <c r="A879" s="63"/>
      <c r="B879" s="385"/>
      <c r="C879" s="122"/>
      <c r="D879" s="75"/>
      <c r="E879" s="67"/>
      <c r="F879" s="327"/>
      <c r="G879" s="71"/>
      <c r="H879" s="67"/>
      <c r="I879" s="67"/>
      <c r="J879" s="134"/>
      <c r="K879" s="324">
        <v>0.2999</v>
      </c>
      <c r="L879" s="191">
        <f t="shared" si="18"/>
        <v>1.4842</v>
      </c>
    </row>
    <row r="880" spans="1:14" s="64" customFormat="1" x14ac:dyDescent="0.2">
      <c r="A880" s="63"/>
      <c r="B880" s="385"/>
      <c r="C880" s="122"/>
      <c r="D880" s="75"/>
      <c r="E880" s="438" t="str">
        <f>E870</f>
        <v>Custo Direto</v>
      </c>
      <c r="F880" s="438"/>
      <c r="G880" s="438"/>
      <c r="H880" s="69">
        <f>SUM(H876:H878)</f>
        <v>0.80820000000000003</v>
      </c>
      <c r="I880" s="69">
        <f>SUM(I876:I878)</f>
        <v>37.604999999999997</v>
      </c>
      <c r="J880" s="134"/>
      <c r="K880" s="324">
        <v>0.2999</v>
      </c>
      <c r="L880" s="191">
        <f t="shared" si="18"/>
        <v>1.4842</v>
      </c>
    </row>
    <row r="881" spans="1:14" s="64" customFormat="1" x14ac:dyDescent="0.2">
      <c r="A881" s="63"/>
      <c r="B881" s="385"/>
      <c r="C881" s="122"/>
      <c r="D881" s="75"/>
      <c r="E881" s="438" t="str">
        <f>E871</f>
        <v>LS(%): 148,42</v>
      </c>
      <c r="F881" s="438"/>
      <c r="G881" s="438"/>
      <c r="H881" s="67">
        <f>H880*L881</f>
        <v>1.19953044</v>
      </c>
      <c r="I881" s="131"/>
      <c r="J881" s="134"/>
      <c r="K881" s="324">
        <v>0.2999</v>
      </c>
      <c r="L881" s="191">
        <f t="shared" si="18"/>
        <v>1.4842</v>
      </c>
    </row>
    <row r="882" spans="1:14" s="64" customFormat="1" x14ac:dyDescent="0.2">
      <c r="A882" s="63"/>
      <c r="B882" s="385"/>
      <c r="C882" s="122"/>
      <c r="D882" s="75"/>
      <c r="E882" s="438" t="str">
        <f>E872</f>
        <v>BDI (%): 29,99</v>
      </c>
      <c r="F882" s="438"/>
      <c r="G882" s="438"/>
      <c r="H882" s="439">
        <f>(H880+I880+H881)*K882</f>
        <v>11.879857858955997</v>
      </c>
      <c r="I882" s="439"/>
      <c r="J882" s="134"/>
      <c r="K882" s="324">
        <v>0.2999</v>
      </c>
      <c r="L882" s="191">
        <f t="shared" si="18"/>
        <v>1.4842</v>
      </c>
    </row>
    <row r="883" spans="1:14" s="64" customFormat="1" x14ac:dyDescent="0.2">
      <c r="A883" s="63"/>
      <c r="B883" s="385"/>
      <c r="C883" s="122"/>
      <c r="D883" s="75"/>
      <c r="E883" s="438" t="str">
        <f>E873</f>
        <v>Valor Total c/ Taxas</v>
      </c>
      <c r="F883" s="438"/>
      <c r="G883" s="438"/>
      <c r="H883" s="67"/>
      <c r="I883" s="69">
        <f>(H880+I880+H881+H882)</f>
        <v>51.492588298955994</v>
      </c>
      <c r="J883" s="134"/>
      <c r="K883" s="324">
        <v>0.2999</v>
      </c>
      <c r="L883" s="191">
        <f t="shared" si="18"/>
        <v>1.4842</v>
      </c>
      <c r="M883" s="401">
        <v>51.49</v>
      </c>
      <c r="N883" s="86">
        <f>I883-M883</f>
        <v>2.5882989559917746E-3</v>
      </c>
    </row>
    <row r="884" spans="1:14" s="64" customFormat="1" x14ac:dyDescent="0.2">
      <c r="A884" s="63"/>
      <c r="B884" s="385"/>
      <c r="C884" s="122"/>
      <c r="D884" s="75"/>
      <c r="E884" s="382"/>
      <c r="F884" s="382"/>
      <c r="G884" s="382"/>
      <c r="H884" s="67"/>
      <c r="I884" s="69"/>
      <c r="J884" s="134"/>
      <c r="K884" s="324"/>
      <c r="L884" s="191">
        <f t="shared" si="18"/>
        <v>1.4842</v>
      </c>
      <c r="M884" s="401"/>
      <c r="N884" s="86"/>
    </row>
    <row r="885" spans="1:14" s="64" customFormat="1" x14ac:dyDescent="0.2">
      <c r="A885" s="386"/>
      <c r="B885" s="151"/>
      <c r="C885" s="76" t="str">
        <f>orçamento!D106</f>
        <v xml:space="preserve">Patch cord utp-4 p, cat 5e, flexível 2,0 m </v>
      </c>
      <c r="D885" s="386" t="s">
        <v>622</v>
      </c>
      <c r="E885" s="67"/>
      <c r="F885" s="327"/>
      <c r="G885" s="71"/>
      <c r="H885" s="67"/>
      <c r="I885" s="67"/>
      <c r="J885" s="134"/>
      <c r="K885" s="324">
        <v>0.2999</v>
      </c>
      <c r="L885" s="191">
        <f t="shared" si="18"/>
        <v>1.4842</v>
      </c>
    </row>
    <row r="886" spans="1:14" s="64" customFormat="1" x14ac:dyDescent="0.2">
      <c r="A886" s="63"/>
      <c r="B886" s="385"/>
      <c r="C886" s="122" t="str">
        <f>C885</f>
        <v xml:space="preserve">Patch cord utp-4 p, cat 5e, flexível 2,0 m </v>
      </c>
      <c r="D886" s="75" t="s">
        <v>622</v>
      </c>
      <c r="E886" s="67">
        <f>9.95*N10</f>
        <v>9.9499999999999993</v>
      </c>
      <c r="F886" s="327">
        <v>2.69</v>
      </c>
      <c r="G886" s="71">
        <v>1.1000000000000001</v>
      </c>
      <c r="H886" s="67"/>
      <c r="I886" s="67">
        <f>E886*G886</f>
        <v>10.945</v>
      </c>
      <c r="J886" s="134"/>
      <c r="K886" s="324">
        <v>0.2999</v>
      </c>
      <c r="L886" s="191">
        <f t="shared" si="18"/>
        <v>1.4842</v>
      </c>
    </row>
    <row r="887" spans="1:14" s="64" customFormat="1" x14ac:dyDescent="0.2">
      <c r="A887" s="63"/>
      <c r="B887" s="385"/>
      <c r="C887" s="122" t="s">
        <v>258</v>
      </c>
      <c r="D887" s="75" t="s">
        <v>53</v>
      </c>
      <c r="E887" s="132">
        <f>5.21*N10</f>
        <v>5.21</v>
      </c>
      <c r="F887" s="334"/>
      <c r="G887" s="71">
        <v>0.05</v>
      </c>
      <c r="H887" s="67">
        <f>E887*G887</f>
        <v>0.26050000000000001</v>
      </c>
      <c r="I887" s="133"/>
      <c r="J887" s="134"/>
      <c r="K887" s="324">
        <v>0.2999</v>
      </c>
      <c r="L887" s="191">
        <f t="shared" si="18"/>
        <v>1.4842</v>
      </c>
    </row>
    <row r="888" spans="1:14" s="64" customFormat="1" x14ac:dyDescent="0.2">
      <c r="A888" s="63"/>
      <c r="B888" s="385"/>
      <c r="C888" s="122" t="s">
        <v>259</v>
      </c>
      <c r="D888" s="75" t="s">
        <v>53</v>
      </c>
      <c r="E888" s="67">
        <f>3.77*N10</f>
        <v>3.77</v>
      </c>
      <c r="F888" s="334"/>
      <c r="G888" s="71">
        <v>0.05</v>
      </c>
      <c r="H888" s="67">
        <f>E888*G888</f>
        <v>0.1885</v>
      </c>
      <c r="I888" s="133"/>
      <c r="J888" s="134"/>
      <c r="K888" s="324">
        <v>0.2999</v>
      </c>
      <c r="L888" s="191">
        <f t="shared" si="18"/>
        <v>1.4842</v>
      </c>
    </row>
    <row r="889" spans="1:14" s="64" customFormat="1" hidden="1" x14ac:dyDescent="0.2">
      <c r="A889" s="63"/>
      <c r="B889" s="385"/>
      <c r="C889" s="122"/>
      <c r="D889" s="75"/>
      <c r="E889" s="67"/>
      <c r="F889" s="327"/>
      <c r="G889" s="71"/>
      <c r="H889" s="67"/>
      <c r="I889" s="67"/>
      <c r="J889" s="134"/>
      <c r="K889" s="324">
        <v>0.2999</v>
      </c>
      <c r="L889" s="191">
        <f t="shared" si="18"/>
        <v>1.4842</v>
      </c>
    </row>
    <row r="890" spans="1:14" s="64" customFormat="1" x14ac:dyDescent="0.2">
      <c r="A890" s="63"/>
      <c r="B890" s="385"/>
      <c r="C890" s="122"/>
      <c r="D890" s="75"/>
      <c r="E890" s="438" t="str">
        <f>E880</f>
        <v>Custo Direto</v>
      </c>
      <c r="F890" s="438"/>
      <c r="G890" s="438"/>
      <c r="H890" s="69">
        <f>SUM(H886:H888)</f>
        <v>0.44900000000000001</v>
      </c>
      <c r="I890" s="69">
        <f>SUM(I886:I888)</f>
        <v>10.945</v>
      </c>
      <c r="J890" s="134"/>
      <c r="K890" s="324">
        <v>0.2999</v>
      </c>
      <c r="L890" s="191">
        <f t="shared" si="18"/>
        <v>1.4842</v>
      </c>
    </row>
    <row r="891" spans="1:14" s="64" customFormat="1" x14ac:dyDescent="0.2">
      <c r="A891" s="63"/>
      <c r="B891" s="385"/>
      <c r="C891" s="122"/>
      <c r="D891" s="75"/>
      <c r="E891" s="438" t="str">
        <f>E881</f>
        <v>LS(%): 148,42</v>
      </c>
      <c r="F891" s="438"/>
      <c r="G891" s="438"/>
      <c r="H891" s="67">
        <f>H890*L891</f>
        <v>0.66640580000000005</v>
      </c>
      <c r="I891" s="131"/>
      <c r="J891" s="134"/>
      <c r="K891" s="324">
        <v>0.2999</v>
      </c>
      <c r="L891" s="191">
        <f t="shared" si="18"/>
        <v>1.4842</v>
      </c>
    </row>
    <row r="892" spans="1:14" s="64" customFormat="1" x14ac:dyDescent="0.2">
      <c r="A892" s="63"/>
      <c r="B892" s="385"/>
      <c r="C892" s="122"/>
      <c r="D892" s="75"/>
      <c r="E892" s="438" t="str">
        <f>E882</f>
        <v>BDI (%): 29,99</v>
      </c>
      <c r="F892" s="438"/>
      <c r="G892" s="438"/>
      <c r="H892" s="439">
        <f>(H890+I890+H891)*K892</f>
        <v>3.6169156994199998</v>
      </c>
      <c r="I892" s="439"/>
      <c r="J892" s="134"/>
      <c r="K892" s="324">
        <v>0.2999</v>
      </c>
      <c r="L892" s="191">
        <f t="shared" si="18"/>
        <v>1.4842</v>
      </c>
    </row>
    <row r="893" spans="1:14" s="64" customFormat="1" x14ac:dyDescent="0.2">
      <c r="A893" s="63"/>
      <c r="B893" s="385"/>
      <c r="C893" s="122"/>
      <c r="D893" s="75"/>
      <c r="E893" s="438" t="str">
        <f>E883</f>
        <v>Valor Total c/ Taxas</v>
      </c>
      <c r="F893" s="438"/>
      <c r="G893" s="438"/>
      <c r="H893" s="67"/>
      <c r="I893" s="69">
        <f>(H890+I890+H891+H892)</f>
        <v>15.67732149942</v>
      </c>
      <c r="J893" s="134"/>
      <c r="K893" s="324">
        <v>0.2999</v>
      </c>
      <c r="L893" s="191">
        <f t="shared" si="18"/>
        <v>1.4842</v>
      </c>
      <c r="M893" s="401">
        <v>15.68</v>
      </c>
      <c r="N893" s="86">
        <f>I893-M893</f>
        <v>-2.6785005800000761E-3</v>
      </c>
    </row>
    <row r="894" spans="1:14" s="64" customFormat="1" x14ac:dyDescent="0.2">
      <c r="A894" s="63"/>
      <c r="B894" s="385"/>
      <c r="C894" s="122"/>
      <c r="D894" s="75"/>
      <c r="E894" s="382"/>
      <c r="F894" s="382"/>
      <c r="G894" s="382"/>
      <c r="H894" s="67"/>
      <c r="I894" s="69"/>
      <c r="J894" s="134"/>
      <c r="K894" s="324"/>
      <c r="L894" s="191">
        <f t="shared" si="18"/>
        <v>1.4842</v>
      </c>
      <c r="M894" s="401"/>
      <c r="N894" s="86"/>
    </row>
    <row r="895" spans="1:14" s="64" customFormat="1" x14ac:dyDescent="0.2">
      <c r="A895" s="386"/>
      <c r="B895" s="151"/>
      <c r="C895" s="76" t="str">
        <f>orçamento!D107</f>
        <v>Patch pannel padrão 19'' cat. 5e, com 24 portas</v>
      </c>
      <c r="D895" s="386" t="s">
        <v>622</v>
      </c>
      <c r="E895" s="67"/>
      <c r="F895" s="327"/>
      <c r="G895" s="71"/>
      <c r="H895" s="67"/>
      <c r="I895" s="67"/>
      <c r="J895" s="134"/>
      <c r="K895" s="324">
        <v>0.2999</v>
      </c>
      <c r="L895" s="191">
        <f t="shared" si="18"/>
        <v>1.4842</v>
      </c>
    </row>
    <row r="896" spans="1:14" s="64" customFormat="1" x14ac:dyDescent="0.2">
      <c r="A896" s="63"/>
      <c r="B896" s="385"/>
      <c r="C896" s="122" t="str">
        <f>C895</f>
        <v>Patch pannel padrão 19'' cat. 5e, com 24 portas</v>
      </c>
      <c r="D896" s="75" t="s">
        <v>622</v>
      </c>
      <c r="E896" s="67">
        <f>206.949*N10</f>
        <v>206.94900000000001</v>
      </c>
      <c r="F896" s="327">
        <v>2.69</v>
      </c>
      <c r="G896" s="71">
        <v>2.1</v>
      </c>
      <c r="H896" s="67"/>
      <c r="I896" s="67">
        <f>E896*G896</f>
        <v>434.59290000000004</v>
      </c>
      <c r="J896" s="134"/>
      <c r="K896" s="324">
        <v>0.2999</v>
      </c>
      <c r="L896" s="191">
        <f t="shared" si="18"/>
        <v>1.4842</v>
      </c>
    </row>
    <row r="897" spans="1:14" s="64" customFormat="1" x14ac:dyDescent="0.2">
      <c r="A897" s="63"/>
      <c r="B897" s="385"/>
      <c r="C897" s="122" t="s">
        <v>258</v>
      </c>
      <c r="D897" s="75" t="s">
        <v>53</v>
      </c>
      <c r="E897" s="132">
        <f>5.21*N10</f>
        <v>5.21</v>
      </c>
      <c r="F897" s="334"/>
      <c r="G897" s="71">
        <v>0.05</v>
      </c>
      <c r="H897" s="67">
        <f>E897*G897</f>
        <v>0.26050000000000001</v>
      </c>
      <c r="I897" s="133"/>
      <c r="J897" s="134"/>
      <c r="K897" s="324">
        <v>0.2999</v>
      </c>
      <c r="L897" s="191">
        <f t="shared" si="18"/>
        <v>1.4842</v>
      </c>
    </row>
    <row r="898" spans="1:14" s="64" customFormat="1" x14ac:dyDescent="0.2">
      <c r="A898" s="63"/>
      <c r="B898" s="385"/>
      <c r="C898" s="122" t="s">
        <v>259</v>
      </c>
      <c r="D898" s="75" t="s">
        <v>53</v>
      </c>
      <c r="E898" s="67">
        <f>3.77*N10</f>
        <v>3.77</v>
      </c>
      <c r="F898" s="334"/>
      <c r="G898" s="71">
        <v>0.05</v>
      </c>
      <c r="H898" s="67">
        <f>E898*G898</f>
        <v>0.1885</v>
      </c>
      <c r="I898" s="133"/>
      <c r="J898" s="134"/>
      <c r="K898" s="324">
        <v>0.2999</v>
      </c>
      <c r="L898" s="191">
        <f t="shared" si="18"/>
        <v>1.4842</v>
      </c>
    </row>
    <row r="899" spans="1:14" s="64" customFormat="1" hidden="1" x14ac:dyDescent="0.2">
      <c r="A899" s="63"/>
      <c r="B899" s="385"/>
      <c r="C899" s="122"/>
      <c r="D899" s="75"/>
      <c r="E899" s="67"/>
      <c r="F899" s="327"/>
      <c r="G899" s="71"/>
      <c r="H899" s="67"/>
      <c r="I899" s="67"/>
      <c r="J899" s="134"/>
      <c r="K899" s="324">
        <v>0.2999</v>
      </c>
      <c r="L899" s="191">
        <f t="shared" si="18"/>
        <v>1.4842</v>
      </c>
    </row>
    <row r="900" spans="1:14" s="64" customFormat="1" x14ac:dyDescent="0.2">
      <c r="A900" s="63"/>
      <c r="B900" s="385"/>
      <c r="C900" s="122"/>
      <c r="D900" s="75"/>
      <c r="E900" s="438" t="str">
        <f>E890</f>
        <v>Custo Direto</v>
      </c>
      <c r="F900" s="438"/>
      <c r="G900" s="438"/>
      <c r="H900" s="69">
        <f>SUM(H896:H898)</f>
        <v>0.44900000000000001</v>
      </c>
      <c r="I900" s="69">
        <f>SUM(I896:I898)</f>
        <v>434.59290000000004</v>
      </c>
      <c r="J900" s="134"/>
      <c r="K900" s="324">
        <v>0.2999</v>
      </c>
      <c r="L900" s="191">
        <f t="shared" si="18"/>
        <v>1.4842</v>
      </c>
    </row>
    <row r="901" spans="1:14" s="64" customFormat="1" x14ac:dyDescent="0.2">
      <c r="A901" s="63"/>
      <c r="B901" s="385"/>
      <c r="C901" s="122"/>
      <c r="D901" s="75"/>
      <c r="E901" s="438" t="str">
        <f>E891</f>
        <v>LS(%): 148,42</v>
      </c>
      <c r="F901" s="438"/>
      <c r="G901" s="438"/>
      <c r="H901" s="67">
        <f>H900*L901</f>
        <v>0.66640580000000005</v>
      </c>
      <c r="I901" s="131"/>
      <c r="J901" s="134"/>
      <c r="K901" s="324">
        <v>0.2999</v>
      </c>
      <c r="L901" s="191">
        <f t="shared" si="18"/>
        <v>1.4842</v>
      </c>
    </row>
    <row r="902" spans="1:14" s="64" customFormat="1" x14ac:dyDescent="0.2">
      <c r="A902" s="63"/>
      <c r="B902" s="385"/>
      <c r="C902" s="122"/>
      <c r="D902" s="75"/>
      <c r="E902" s="438" t="str">
        <f>E892</f>
        <v>BDI (%): 29,99</v>
      </c>
      <c r="F902" s="438"/>
      <c r="G902" s="438"/>
      <c r="H902" s="439">
        <f>(H900+I900+H901)*K902</f>
        <v>130.66892090942002</v>
      </c>
      <c r="I902" s="439"/>
      <c r="J902" s="134"/>
      <c r="K902" s="324">
        <v>0.2999</v>
      </c>
      <c r="L902" s="191">
        <f t="shared" si="18"/>
        <v>1.4842</v>
      </c>
    </row>
    <row r="903" spans="1:14" s="64" customFormat="1" x14ac:dyDescent="0.2">
      <c r="A903" s="63"/>
      <c r="B903" s="385"/>
      <c r="C903" s="122"/>
      <c r="D903" s="75"/>
      <c r="E903" s="438" t="str">
        <f>E893</f>
        <v>Valor Total c/ Taxas</v>
      </c>
      <c r="F903" s="438"/>
      <c r="G903" s="438"/>
      <c r="H903" s="67"/>
      <c r="I903" s="69">
        <f>(H900+I900+H901+H902)</f>
        <v>566.37722670942003</v>
      </c>
      <c r="J903" s="134"/>
      <c r="K903" s="324">
        <v>0.2999</v>
      </c>
      <c r="L903" s="191">
        <f t="shared" si="18"/>
        <v>1.4842</v>
      </c>
      <c r="M903" s="401">
        <v>566.38</v>
      </c>
      <c r="N903" s="86">
        <f>I903-M903</f>
        <v>-2.7732905799666696E-3</v>
      </c>
    </row>
    <row r="904" spans="1:14" s="64" customFormat="1" x14ac:dyDescent="0.2">
      <c r="A904" s="63"/>
      <c r="B904" s="385"/>
      <c r="C904" s="122"/>
      <c r="D904" s="75"/>
      <c r="E904" s="382"/>
      <c r="F904" s="382"/>
      <c r="G904" s="382"/>
      <c r="H904" s="67"/>
      <c r="I904" s="69"/>
      <c r="J904" s="134"/>
      <c r="K904" s="324"/>
      <c r="L904" s="191">
        <f t="shared" si="18"/>
        <v>1.4842</v>
      </c>
      <c r="M904" s="401"/>
      <c r="N904" s="86"/>
    </row>
    <row r="905" spans="1:14" s="64" customFormat="1" x14ac:dyDescent="0.2">
      <c r="A905" s="386"/>
      <c r="B905" s="151"/>
      <c r="C905" s="76" t="str">
        <f>orçamento!D108</f>
        <v>Petrolet c 1'' s/tampa</v>
      </c>
      <c r="D905" s="386" t="s">
        <v>622</v>
      </c>
      <c r="E905" s="67"/>
      <c r="F905" s="327"/>
      <c r="G905" s="71"/>
      <c r="H905" s="67"/>
      <c r="I905" s="67"/>
      <c r="J905" s="134"/>
      <c r="K905" s="324">
        <v>0.2999</v>
      </c>
      <c r="L905" s="191">
        <f t="shared" si="18"/>
        <v>1.4842</v>
      </c>
    </row>
    <row r="906" spans="1:14" s="64" customFormat="1" x14ac:dyDescent="0.2">
      <c r="A906" s="63"/>
      <c r="B906" s="385"/>
      <c r="C906" s="122" t="str">
        <f>C905</f>
        <v>Petrolet c 1'' s/tampa</v>
      </c>
      <c r="D906" s="75" t="s">
        <v>622</v>
      </c>
      <c r="E906" s="67">
        <f>12.05*N10</f>
        <v>12.05</v>
      </c>
      <c r="F906" s="327">
        <v>2.69</v>
      </c>
      <c r="G906" s="71">
        <v>1</v>
      </c>
      <c r="H906" s="67"/>
      <c r="I906" s="67">
        <f>E906*G906</f>
        <v>12.05</v>
      </c>
      <c r="J906" s="134"/>
      <c r="K906" s="324">
        <v>0.2999</v>
      </c>
      <c r="L906" s="191">
        <f t="shared" si="18"/>
        <v>1.4842</v>
      </c>
    </row>
    <row r="907" spans="1:14" s="64" customFormat="1" x14ac:dyDescent="0.2">
      <c r="A907" s="63"/>
      <c r="B907" s="385"/>
      <c r="C907" s="122" t="s">
        <v>258</v>
      </c>
      <c r="D907" s="75" t="s">
        <v>53</v>
      </c>
      <c r="E907" s="132">
        <f>5.21*N10</f>
        <v>5.21</v>
      </c>
      <c r="F907" s="334"/>
      <c r="G907" s="71">
        <v>0.05</v>
      </c>
      <c r="H907" s="67">
        <f>E907*G907</f>
        <v>0.26050000000000001</v>
      </c>
      <c r="I907" s="133"/>
      <c r="J907" s="134"/>
      <c r="K907" s="324">
        <v>0.2999</v>
      </c>
      <c r="L907" s="191">
        <f t="shared" si="18"/>
        <v>1.4842</v>
      </c>
    </row>
    <row r="908" spans="1:14" s="64" customFormat="1" x14ac:dyDescent="0.2">
      <c r="A908" s="63"/>
      <c r="B908" s="385"/>
      <c r="C908" s="122" t="s">
        <v>259</v>
      </c>
      <c r="D908" s="75" t="s">
        <v>53</v>
      </c>
      <c r="E908" s="67">
        <f>3.77*N10</f>
        <v>3.77</v>
      </c>
      <c r="F908" s="334"/>
      <c r="G908" s="71">
        <v>0.05</v>
      </c>
      <c r="H908" s="67">
        <f>E908*G908</f>
        <v>0.1885</v>
      </c>
      <c r="I908" s="133"/>
      <c r="J908" s="134"/>
      <c r="K908" s="324">
        <v>0.2999</v>
      </c>
      <c r="L908" s="191">
        <f t="shared" si="18"/>
        <v>1.4842</v>
      </c>
    </row>
    <row r="909" spans="1:14" s="64" customFormat="1" hidden="1" x14ac:dyDescent="0.2">
      <c r="A909" s="63"/>
      <c r="B909" s="385"/>
      <c r="C909" s="122"/>
      <c r="D909" s="75"/>
      <c r="E909" s="67"/>
      <c r="F909" s="327"/>
      <c r="G909" s="71"/>
      <c r="H909" s="67"/>
      <c r="I909" s="67"/>
      <c r="J909" s="134"/>
      <c r="K909" s="324">
        <v>0.2999</v>
      </c>
      <c r="L909" s="191">
        <f t="shared" si="18"/>
        <v>1.4842</v>
      </c>
    </row>
    <row r="910" spans="1:14" s="64" customFormat="1" x14ac:dyDescent="0.2">
      <c r="A910" s="63"/>
      <c r="B910" s="385"/>
      <c r="C910" s="122"/>
      <c r="D910" s="75"/>
      <c r="E910" s="438" t="str">
        <f>E900</f>
        <v>Custo Direto</v>
      </c>
      <c r="F910" s="438"/>
      <c r="G910" s="438"/>
      <c r="H910" s="69">
        <f>SUM(H906:H908)</f>
        <v>0.44900000000000001</v>
      </c>
      <c r="I910" s="69">
        <f>SUM(I906:I908)</f>
        <v>12.05</v>
      </c>
      <c r="J910" s="134"/>
      <c r="K910" s="324">
        <v>0.2999</v>
      </c>
      <c r="L910" s="191">
        <f t="shared" si="18"/>
        <v>1.4842</v>
      </c>
    </row>
    <row r="911" spans="1:14" s="64" customFormat="1" x14ac:dyDescent="0.2">
      <c r="A911" s="63"/>
      <c r="B911" s="385"/>
      <c r="C911" s="122"/>
      <c r="D911" s="75"/>
      <c r="E911" s="438" t="str">
        <f>E901</f>
        <v>LS(%): 148,42</v>
      </c>
      <c r="F911" s="438"/>
      <c r="G911" s="438"/>
      <c r="H911" s="67">
        <f>H910*L911</f>
        <v>0.66640580000000005</v>
      </c>
      <c r="I911" s="131"/>
      <c r="J911" s="134"/>
      <c r="K911" s="324">
        <v>0.2999</v>
      </c>
      <c r="L911" s="191">
        <f t="shared" si="18"/>
        <v>1.4842</v>
      </c>
    </row>
    <row r="912" spans="1:14" s="64" customFormat="1" x14ac:dyDescent="0.2">
      <c r="A912" s="63"/>
      <c r="B912" s="385"/>
      <c r="C912" s="122"/>
      <c r="D912" s="75"/>
      <c r="E912" s="438" t="str">
        <f>E902</f>
        <v>BDI (%): 29,99</v>
      </c>
      <c r="F912" s="438"/>
      <c r="G912" s="438"/>
      <c r="H912" s="439">
        <f>(H910+I910+H911)*K912</f>
        <v>3.94830519942</v>
      </c>
      <c r="I912" s="439"/>
      <c r="J912" s="134"/>
      <c r="K912" s="324">
        <v>0.2999</v>
      </c>
      <c r="L912" s="191">
        <f t="shared" si="18"/>
        <v>1.4842</v>
      </c>
    </row>
    <row r="913" spans="1:14" s="64" customFormat="1" x14ac:dyDescent="0.2">
      <c r="A913" s="63"/>
      <c r="B913" s="385"/>
      <c r="C913" s="122"/>
      <c r="D913" s="75"/>
      <c r="E913" s="438" t="str">
        <f>E903</f>
        <v>Valor Total c/ Taxas</v>
      </c>
      <c r="F913" s="438"/>
      <c r="G913" s="438"/>
      <c r="H913" s="67"/>
      <c r="I913" s="69">
        <f>(H910+I910+H911+H912)</f>
        <v>17.11371099942</v>
      </c>
      <c r="J913" s="134"/>
      <c r="K913" s="324">
        <v>0.2999</v>
      </c>
      <c r="L913" s="191">
        <f t="shared" si="18"/>
        <v>1.4842</v>
      </c>
      <c r="M913" s="401">
        <v>17.11</v>
      </c>
      <c r="N913" s="86">
        <f>I913-M913</f>
        <v>3.71099942000086E-3</v>
      </c>
    </row>
    <row r="914" spans="1:14" s="64" customFormat="1" x14ac:dyDescent="0.2">
      <c r="A914" s="63"/>
      <c r="B914" s="385"/>
      <c r="C914" s="122"/>
      <c r="D914" s="75"/>
      <c r="E914" s="382"/>
      <c r="F914" s="382"/>
      <c r="G914" s="382"/>
      <c r="H914" s="67"/>
      <c r="I914" s="69"/>
      <c r="J914" s="134"/>
      <c r="K914" s="324"/>
      <c r="L914" s="191">
        <f t="shared" si="18"/>
        <v>1.4842</v>
      </c>
      <c r="M914" s="401"/>
      <c r="N914" s="86"/>
    </row>
    <row r="915" spans="1:14" s="64" customFormat="1" x14ac:dyDescent="0.2">
      <c r="A915" s="386"/>
      <c r="B915" s="151"/>
      <c r="C915" s="76" t="str">
        <f>orçamento!D109</f>
        <v>Petrolet c 3/4'' s/tampa</v>
      </c>
      <c r="D915" s="386" t="s">
        <v>622</v>
      </c>
      <c r="E915" s="67"/>
      <c r="F915" s="327"/>
      <c r="G915" s="71"/>
      <c r="H915" s="67"/>
      <c r="I915" s="67"/>
      <c r="J915" s="134"/>
      <c r="K915" s="324">
        <v>0.2999</v>
      </c>
      <c r="L915" s="191">
        <f t="shared" si="18"/>
        <v>1.4842</v>
      </c>
    </row>
    <row r="916" spans="1:14" s="64" customFormat="1" x14ac:dyDescent="0.2">
      <c r="A916" s="63"/>
      <c r="B916" s="385"/>
      <c r="C916" s="122" t="str">
        <f>C915</f>
        <v>Petrolet c 3/4'' s/tampa</v>
      </c>
      <c r="D916" s="75" t="s">
        <v>622</v>
      </c>
      <c r="E916" s="67">
        <f>7.99*N10</f>
        <v>7.99</v>
      </c>
      <c r="F916" s="327">
        <v>2.69</v>
      </c>
      <c r="G916" s="71">
        <v>1</v>
      </c>
      <c r="H916" s="67"/>
      <c r="I916" s="67">
        <f>E916*G916</f>
        <v>7.99</v>
      </c>
      <c r="J916" s="134"/>
      <c r="K916" s="324">
        <v>0.2999</v>
      </c>
      <c r="L916" s="191">
        <f t="shared" si="18"/>
        <v>1.4842</v>
      </c>
    </row>
    <row r="917" spans="1:14" s="64" customFormat="1" x14ac:dyDescent="0.2">
      <c r="A917" s="63"/>
      <c r="B917" s="385"/>
      <c r="C917" s="122" t="s">
        <v>258</v>
      </c>
      <c r="D917" s="75" t="s">
        <v>53</v>
      </c>
      <c r="E917" s="132">
        <f>5.21*N10</f>
        <v>5.21</v>
      </c>
      <c r="F917" s="334"/>
      <c r="G917" s="71">
        <v>0.05</v>
      </c>
      <c r="H917" s="67">
        <f>E917*G917</f>
        <v>0.26050000000000001</v>
      </c>
      <c r="I917" s="133"/>
      <c r="J917" s="134"/>
      <c r="K917" s="324">
        <v>0.2999</v>
      </c>
      <c r="L917" s="191">
        <f t="shared" si="18"/>
        <v>1.4842</v>
      </c>
    </row>
    <row r="918" spans="1:14" s="64" customFormat="1" x14ac:dyDescent="0.2">
      <c r="A918" s="63"/>
      <c r="B918" s="385"/>
      <c r="C918" s="122" t="s">
        <v>259</v>
      </c>
      <c r="D918" s="75" t="s">
        <v>53</v>
      </c>
      <c r="E918" s="67">
        <f>3.77*N10</f>
        <v>3.77</v>
      </c>
      <c r="F918" s="334"/>
      <c r="G918" s="71">
        <v>0.05</v>
      </c>
      <c r="H918" s="67">
        <f>E918*G918</f>
        <v>0.1885</v>
      </c>
      <c r="I918" s="133"/>
      <c r="J918" s="134"/>
      <c r="K918" s="324">
        <v>0.2999</v>
      </c>
      <c r="L918" s="191">
        <f t="shared" si="18"/>
        <v>1.4842</v>
      </c>
    </row>
    <row r="919" spans="1:14" s="64" customFormat="1" hidden="1" x14ac:dyDescent="0.2">
      <c r="A919" s="63"/>
      <c r="B919" s="385"/>
      <c r="C919" s="122"/>
      <c r="D919" s="75"/>
      <c r="E919" s="67"/>
      <c r="F919" s="327"/>
      <c r="G919" s="71"/>
      <c r="H919" s="67"/>
      <c r="I919" s="67"/>
      <c r="J919" s="134"/>
      <c r="K919" s="324">
        <v>0.2999</v>
      </c>
      <c r="L919" s="191">
        <f t="shared" si="18"/>
        <v>1.4842</v>
      </c>
    </row>
    <row r="920" spans="1:14" s="64" customFormat="1" x14ac:dyDescent="0.2">
      <c r="A920" s="63"/>
      <c r="B920" s="385"/>
      <c r="C920" s="122"/>
      <c r="D920" s="75"/>
      <c r="E920" s="438" t="str">
        <f>E910</f>
        <v>Custo Direto</v>
      </c>
      <c r="F920" s="438"/>
      <c r="G920" s="438"/>
      <c r="H920" s="69">
        <f>SUM(H916:H918)</f>
        <v>0.44900000000000001</v>
      </c>
      <c r="I920" s="69">
        <f>SUM(I916:I918)</f>
        <v>7.99</v>
      </c>
      <c r="J920" s="134"/>
      <c r="K920" s="324">
        <v>0.2999</v>
      </c>
      <c r="L920" s="191">
        <f t="shared" si="18"/>
        <v>1.4842</v>
      </c>
    </row>
    <row r="921" spans="1:14" s="64" customFormat="1" x14ac:dyDescent="0.2">
      <c r="A921" s="63"/>
      <c r="B921" s="385"/>
      <c r="C921" s="122"/>
      <c r="D921" s="75"/>
      <c r="E921" s="438" t="str">
        <f>E911</f>
        <v>LS(%): 148,42</v>
      </c>
      <c r="F921" s="438"/>
      <c r="G921" s="438"/>
      <c r="H921" s="67">
        <f>H920*L921</f>
        <v>0.66640580000000005</v>
      </c>
      <c r="I921" s="131"/>
      <c r="J921" s="134"/>
      <c r="K921" s="324">
        <v>0.2999</v>
      </c>
      <c r="L921" s="191">
        <f t="shared" si="18"/>
        <v>1.4842</v>
      </c>
    </row>
    <row r="922" spans="1:14" s="64" customFormat="1" x14ac:dyDescent="0.2">
      <c r="A922" s="63"/>
      <c r="B922" s="385"/>
      <c r="C922" s="122"/>
      <c r="D922" s="75"/>
      <c r="E922" s="438" t="str">
        <f>E912</f>
        <v>BDI (%): 29,99</v>
      </c>
      <c r="F922" s="438"/>
      <c r="G922" s="438"/>
      <c r="H922" s="439">
        <f>(H920+I920+H921)*K922</f>
        <v>2.73071119942</v>
      </c>
      <c r="I922" s="439"/>
      <c r="J922" s="134"/>
      <c r="K922" s="324">
        <v>0.2999</v>
      </c>
      <c r="L922" s="191">
        <f t="shared" si="18"/>
        <v>1.4842</v>
      </c>
    </row>
    <row r="923" spans="1:14" s="64" customFormat="1" x14ac:dyDescent="0.2">
      <c r="A923" s="63"/>
      <c r="B923" s="385"/>
      <c r="C923" s="122"/>
      <c r="D923" s="75"/>
      <c r="E923" s="438" t="str">
        <f>E913</f>
        <v>Valor Total c/ Taxas</v>
      </c>
      <c r="F923" s="438"/>
      <c r="G923" s="438"/>
      <c r="H923" s="67"/>
      <c r="I923" s="69">
        <f>(H920+I920+H921+H922)</f>
        <v>11.83611699942</v>
      </c>
      <c r="J923" s="134"/>
      <c r="K923" s="324">
        <v>0.2999</v>
      </c>
      <c r="L923" s="191">
        <f t="shared" si="18"/>
        <v>1.4842</v>
      </c>
      <c r="M923" s="401">
        <v>11.84</v>
      </c>
      <c r="N923" s="86">
        <f>I923-M923</f>
        <v>-3.8830005800001288E-3</v>
      </c>
    </row>
    <row r="924" spans="1:14" s="64" customFormat="1" x14ac:dyDescent="0.2">
      <c r="A924" s="63"/>
      <c r="B924" s="385"/>
      <c r="C924" s="122"/>
      <c r="D924" s="75"/>
      <c r="E924" s="382"/>
      <c r="F924" s="382"/>
      <c r="G924" s="382"/>
      <c r="H924" s="67"/>
      <c r="I924" s="69"/>
      <c r="J924" s="134"/>
      <c r="K924" s="324"/>
      <c r="L924" s="191">
        <f t="shared" si="18"/>
        <v>1.4842</v>
      </c>
      <c r="M924" s="401"/>
      <c r="N924" s="86"/>
    </row>
    <row r="925" spans="1:14" s="64" customFormat="1" x14ac:dyDescent="0.2">
      <c r="A925" s="386"/>
      <c r="B925" s="151"/>
      <c r="C925" s="76" t="str">
        <f>orçamento!D110</f>
        <v>Petrolet II, Ir ou Ib 1'' s/tampa</v>
      </c>
      <c r="D925" s="386" t="s">
        <v>622</v>
      </c>
      <c r="E925" s="67"/>
      <c r="F925" s="327"/>
      <c r="G925" s="71"/>
      <c r="H925" s="67"/>
      <c r="I925" s="67"/>
      <c r="J925" s="134"/>
      <c r="K925" s="324">
        <v>0.2999</v>
      </c>
      <c r="L925" s="191">
        <f t="shared" ref="L925:L988" si="19">L924</f>
        <v>1.4842</v>
      </c>
    </row>
    <row r="926" spans="1:14" s="64" customFormat="1" x14ac:dyDescent="0.2">
      <c r="A926" s="63"/>
      <c r="B926" s="385"/>
      <c r="C926" s="122" t="str">
        <f>C925</f>
        <v>Petrolet II, Ir ou Ib 1'' s/tampa</v>
      </c>
      <c r="D926" s="75" t="s">
        <v>622</v>
      </c>
      <c r="E926" s="67">
        <f>11.526*N10</f>
        <v>11.526</v>
      </c>
      <c r="F926" s="327">
        <v>2.69</v>
      </c>
      <c r="G926" s="71">
        <v>1</v>
      </c>
      <c r="H926" s="67"/>
      <c r="I926" s="67">
        <f>E926*G926</f>
        <v>11.526</v>
      </c>
      <c r="J926" s="134"/>
      <c r="K926" s="324">
        <v>0.2999</v>
      </c>
      <c r="L926" s="191">
        <f t="shared" si="19"/>
        <v>1.4842</v>
      </c>
    </row>
    <row r="927" spans="1:14" s="64" customFormat="1" x14ac:dyDescent="0.2">
      <c r="A927" s="63"/>
      <c r="B927" s="385"/>
      <c r="C927" s="122" t="s">
        <v>258</v>
      </c>
      <c r="D927" s="75" t="s">
        <v>53</v>
      </c>
      <c r="E927" s="132">
        <f>5.21*N10</f>
        <v>5.21</v>
      </c>
      <c r="F927" s="334"/>
      <c r="G927" s="71">
        <v>0.05</v>
      </c>
      <c r="H927" s="67">
        <f>E927*G927</f>
        <v>0.26050000000000001</v>
      </c>
      <c r="I927" s="133"/>
      <c r="J927" s="134"/>
      <c r="K927" s="324">
        <v>0.2999</v>
      </c>
      <c r="L927" s="191">
        <f t="shared" si="19"/>
        <v>1.4842</v>
      </c>
    </row>
    <row r="928" spans="1:14" s="64" customFormat="1" x14ac:dyDescent="0.2">
      <c r="A928" s="63"/>
      <c r="B928" s="385"/>
      <c r="C928" s="122" t="s">
        <v>259</v>
      </c>
      <c r="D928" s="75" t="s">
        <v>53</v>
      </c>
      <c r="E928" s="67">
        <f>3.77*N10</f>
        <v>3.77</v>
      </c>
      <c r="F928" s="334"/>
      <c r="G928" s="71">
        <v>0.05</v>
      </c>
      <c r="H928" s="67">
        <f>E928*G928</f>
        <v>0.1885</v>
      </c>
      <c r="I928" s="133"/>
      <c r="J928" s="134"/>
      <c r="K928" s="324">
        <v>0.2999</v>
      </c>
      <c r="L928" s="191">
        <f t="shared" si="19"/>
        <v>1.4842</v>
      </c>
    </row>
    <row r="929" spans="1:14" s="64" customFormat="1" hidden="1" x14ac:dyDescent="0.2">
      <c r="A929" s="63"/>
      <c r="B929" s="385"/>
      <c r="C929" s="122"/>
      <c r="D929" s="75"/>
      <c r="E929" s="67"/>
      <c r="F929" s="327"/>
      <c r="G929" s="71"/>
      <c r="H929" s="67"/>
      <c r="I929" s="67"/>
      <c r="J929" s="134"/>
      <c r="K929" s="324">
        <v>0.2999</v>
      </c>
      <c r="L929" s="191">
        <f t="shared" si="19"/>
        <v>1.4842</v>
      </c>
    </row>
    <row r="930" spans="1:14" s="64" customFormat="1" x14ac:dyDescent="0.2">
      <c r="A930" s="63"/>
      <c r="B930" s="385"/>
      <c r="C930" s="122"/>
      <c r="D930" s="75"/>
      <c r="E930" s="438" t="str">
        <f>E920</f>
        <v>Custo Direto</v>
      </c>
      <c r="F930" s="438"/>
      <c r="G930" s="438"/>
      <c r="H930" s="69">
        <f>SUM(H926:H928)</f>
        <v>0.44900000000000001</v>
      </c>
      <c r="I930" s="69">
        <f>SUM(I926:I928)</f>
        <v>11.526</v>
      </c>
      <c r="J930" s="134"/>
      <c r="K930" s="324">
        <v>0.2999</v>
      </c>
      <c r="L930" s="191">
        <f t="shared" si="19"/>
        <v>1.4842</v>
      </c>
    </row>
    <row r="931" spans="1:14" s="64" customFormat="1" x14ac:dyDescent="0.2">
      <c r="A931" s="63"/>
      <c r="B931" s="385"/>
      <c r="C931" s="122"/>
      <c r="D931" s="75"/>
      <c r="E931" s="438" t="str">
        <f>E921</f>
        <v>LS(%): 148,42</v>
      </c>
      <c r="F931" s="438"/>
      <c r="G931" s="438"/>
      <c r="H931" s="67">
        <f>H930*L931</f>
        <v>0.66640580000000005</v>
      </c>
      <c r="I931" s="131"/>
      <c r="J931" s="134"/>
      <c r="K931" s="324">
        <v>0.2999</v>
      </c>
      <c r="L931" s="191">
        <f t="shared" si="19"/>
        <v>1.4842</v>
      </c>
    </row>
    <row r="932" spans="1:14" s="64" customFormat="1" x14ac:dyDescent="0.2">
      <c r="A932" s="63"/>
      <c r="B932" s="385"/>
      <c r="C932" s="122"/>
      <c r="D932" s="75"/>
      <c r="E932" s="438" t="str">
        <f>E922</f>
        <v>BDI (%): 29,99</v>
      </c>
      <c r="F932" s="438"/>
      <c r="G932" s="438"/>
      <c r="H932" s="439">
        <f>(H930+I930+H931)*K932</f>
        <v>3.79115759942</v>
      </c>
      <c r="I932" s="439"/>
      <c r="J932" s="134"/>
      <c r="K932" s="324">
        <v>0.2999</v>
      </c>
      <c r="L932" s="191">
        <f t="shared" si="19"/>
        <v>1.4842</v>
      </c>
    </row>
    <row r="933" spans="1:14" s="64" customFormat="1" x14ac:dyDescent="0.2">
      <c r="A933" s="63"/>
      <c r="B933" s="385"/>
      <c r="C933" s="122"/>
      <c r="D933" s="75"/>
      <c r="E933" s="438" t="str">
        <f>E923</f>
        <v>Valor Total c/ Taxas</v>
      </c>
      <c r="F933" s="438"/>
      <c r="G933" s="438"/>
      <c r="H933" s="67"/>
      <c r="I933" s="69">
        <f>(H930+I930+H931+H932)</f>
        <v>16.432563399419998</v>
      </c>
      <c r="J933" s="134"/>
      <c r="K933" s="324">
        <v>0.2999</v>
      </c>
      <c r="L933" s="191">
        <f t="shared" si="19"/>
        <v>1.4842</v>
      </c>
      <c r="M933" s="401">
        <v>16.43</v>
      </c>
      <c r="N933" s="86">
        <f>I933-M933</f>
        <v>2.563399419997836E-3</v>
      </c>
    </row>
    <row r="934" spans="1:14" s="64" customFormat="1" x14ac:dyDescent="0.2">
      <c r="A934" s="63"/>
      <c r="B934" s="385"/>
      <c r="C934" s="122"/>
      <c r="D934" s="75"/>
      <c r="E934" s="382"/>
      <c r="F934" s="382"/>
      <c r="G934" s="382"/>
      <c r="H934" s="67"/>
      <c r="I934" s="69"/>
      <c r="J934" s="134"/>
      <c r="K934" s="324"/>
      <c r="L934" s="191">
        <f t="shared" si="18"/>
        <v>1.4842</v>
      </c>
      <c r="M934" s="401"/>
      <c r="N934" s="86"/>
    </row>
    <row r="935" spans="1:14" s="64" customFormat="1" x14ac:dyDescent="0.2">
      <c r="A935" s="386"/>
      <c r="B935" s="151"/>
      <c r="C935" s="76" t="str">
        <f>orçamento!D111</f>
        <v>Poste circular em fº gº d=100/60mm e h= 12 m)</v>
      </c>
      <c r="D935" s="386" t="s">
        <v>622</v>
      </c>
      <c r="E935" s="67"/>
      <c r="F935" s="327"/>
      <c r="G935" s="71"/>
      <c r="H935" s="67"/>
      <c r="I935" s="67"/>
      <c r="J935" s="134"/>
      <c r="K935" s="324">
        <v>0.2999</v>
      </c>
      <c r="L935" s="191">
        <f t="shared" si="19"/>
        <v>1.4842</v>
      </c>
    </row>
    <row r="936" spans="1:14" s="64" customFormat="1" x14ac:dyDescent="0.2">
      <c r="A936" s="63"/>
      <c r="B936" s="385"/>
      <c r="C936" s="122" t="str">
        <f>C935</f>
        <v>Poste circular em fº gº d=100/60mm e h= 12 m)</v>
      </c>
      <c r="D936" s="75" t="s">
        <v>622</v>
      </c>
      <c r="E936" s="67">
        <f>297.85*N10</f>
        <v>297.85000000000002</v>
      </c>
      <c r="F936" s="327">
        <v>2.69</v>
      </c>
      <c r="G936" s="71">
        <v>4.55</v>
      </c>
      <c r="H936" s="67"/>
      <c r="I936" s="67">
        <f>E936*G936</f>
        <v>1355.2175</v>
      </c>
      <c r="J936" s="134"/>
      <c r="K936" s="324">
        <v>0.2999</v>
      </c>
      <c r="L936" s="191">
        <f t="shared" si="19"/>
        <v>1.4842</v>
      </c>
    </row>
    <row r="937" spans="1:14" s="64" customFormat="1" x14ac:dyDescent="0.2">
      <c r="A937" s="63"/>
      <c r="B937" s="385"/>
      <c r="C937" s="122" t="s">
        <v>258</v>
      </c>
      <c r="D937" s="75" t="s">
        <v>53</v>
      </c>
      <c r="E937" s="132">
        <f>5.21*N10</f>
        <v>5.21</v>
      </c>
      <c r="F937" s="334"/>
      <c r="G937" s="71">
        <v>0.05</v>
      </c>
      <c r="H937" s="67">
        <f>E937*G937</f>
        <v>0.26050000000000001</v>
      </c>
      <c r="I937" s="133"/>
      <c r="J937" s="134"/>
      <c r="K937" s="324">
        <v>0.2999</v>
      </c>
      <c r="L937" s="191">
        <f t="shared" si="19"/>
        <v>1.4842</v>
      </c>
    </row>
    <row r="938" spans="1:14" s="64" customFormat="1" x14ac:dyDescent="0.2">
      <c r="A938" s="63"/>
      <c r="B938" s="385"/>
      <c r="C938" s="122" t="s">
        <v>259</v>
      </c>
      <c r="D938" s="75" t="s">
        <v>53</v>
      </c>
      <c r="E938" s="67">
        <f>3.77*N10</f>
        <v>3.77</v>
      </c>
      <c r="F938" s="334"/>
      <c r="G938" s="71">
        <v>0.05</v>
      </c>
      <c r="H938" s="67">
        <f>E938*G938</f>
        <v>0.1885</v>
      </c>
      <c r="I938" s="133"/>
      <c r="J938" s="134"/>
      <c r="K938" s="324">
        <v>0.2999</v>
      </c>
      <c r="L938" s="191">
        <f t="shared" si="19"/>
        <v>1.4842</v>
      </c>
    </row>
    <row r="939" spans="1:14" s="64" customFormat="1" hidden="1" x14ac:dyDescent="0.2">
      <c r="A939" s="63"/>
      <c r="B939" s="385"/>
      <c r="C939" s="122"/>
      <c r="D939" s="75"/>
      <c r="E939" s="67"/>
      <c r="F939" s="327"/>
      <c r="G939" s="71"/>
      <c r="H939" s="67"/>
      <c r="I939" s="67"/>
      <c r="J939" s="134"/>
      <c r="K939" s="324">
        <v>0.2999</v>
      </c>
      <c r="L939" s="191">
        <f t="shared" si="19"/>
        <v>1.4842</v>
      </c>
    </row>
    <row r="940" spans="1:14" s="64" customFormat="1" x14ac:dyDescent="0.2">
      <c r="A940" s="63"/>
      <c r="B940" s="385"/>
      <c r="C940" s="122"/>
      <c r="D940" s="75"/>
      <c r="E940" s="438" t="str">
        <f>E930</f>
        <v>Custo Direto</v>
      </c>
      <c r="F940" s="438"/>
      <c r="G940" s="438"/>
      <c r="H940" s="69">
        <f>SUM(H936:H938)</f>
        <v>0.44900000000000001</v>
      </c>
      <c r="I940" s="69">
        <f>SUM(I936:I938)</f>
        <v>1355.2175</v>
      </c>
      <c r="J940" s="134"/>
      <c r="K940" s="324">
        <v>0.2999</v>
      </c>
      <c r="L940" s="191">
        <f t="shared" si="19"/>
        <v>1.4842</v>
      </c>
    </row>
    <row r="941" spans="1:14" s="64" customFormat="1" x14ac:dyDescent="0.2">
      <c r="A941" s="63"/>
      <c r="B941" s="385"/>
      <c r="C941" s="122"/>
      <c r="D941" s="75"/>
      <c r="E941" s="438" t="str">
        <f>E931</f>
        <v>LS(%): 148,42</v>
      </c>
      <c r="F941" s="438"/>
      <c r="G941" s="438"/>
      <c r="H941" s="67">
        <f>H940*L941</f>
        <v>0.66640580000000005</v>
      </c>
      <c r="I941" s="131"/>
      <c r="J941" s="134"/>
      <c r="K941" s="324">
        <v>0.2999</v>
      </c>
      <c r="L941" s="191">
        <f t="shared" si="19"/>
        <v>1.4842</v>
      </c>
    </row>
    <row r="942" spans="1:14" s="64" customFormat="1" x14ac:dyDescent="0.2">
      <c r="A942" s="63"/>
      <c r="B942" s="385"/>
      <c r="C942" s="122"/>
      <c r="D942" s="75"/>
      <c r="E942" s="438" t="str">
        <f>E932</f>
        <v>BDI (%): 29,99</v>
      </c>
      <c r="F942" s="438"/>
      <c r="G942" s="438"/>
      <c r="H942" s="439">
        <f>(H940+I940+H941)*K942</f>
        <v>406.76423844941996</v>
      </c>
      <c r="I942" s="439"/>
      <c r="J942" s="134"/>
      <c r="K942" s="324">
        <v>0.2999</v>
      </c>
      <c r="L942" s="191">
        <f t="shared" si="19"/>
        <v>1.4842</v>
      </c>
    </row>
    <row r="943" spans="1:14" s="64" customFormat="1" x14ac:dyDescent="0.2">
      <c r="A943" s="63"/>
      <c r="B943" s="385"/>
      <c r="C943" s="122"/>
      <c r="D943" s="75"/>
      <c r="E943" s="438" t="str">
        <f>E933</f>
        <v>Valor Total c/ Taxas</v>
      </c>
      <c r="F943" s="438"/>
      <c r="G943" s="438"/>
      <c r="H943" s="67"/>
      <c r="I943" s="69">
        <f>(H940+I940+H941+H942)</f>
        <v>1763.0971442494199</v>
      </c>
      <c r="J943" s="134"/>
      <c r="K943" s="324">
        <v>0.2999</v>
      </c>
      <c r="L943" s="191">
        <f t="shared" si="19"/>
        <v>1.4842</v>
      </c>
      <c r="M943" s="401">
        <v>1763.1</v>
      </c>
      <c r="N943" s="86">
        <f>I943-M943</f>
        <v>-2.8557505800108629E-3</v>
      </c>
    </row>
    <row r="944" spans="1:14" s="64" customFormat="1" x14ac:dyDescent="0.2">
      <c r="A944" s="63"/>
      <c r="B944" s="385"/>
      <c r="C944" s="122"/>
      <c r="D944" s="75"/>
      <c r="E944" s="382"/>
      <c r="F944" s="382"/>
      <c r="G944" s="382"/>
      <c r="H944" s="67"/>
      <c r="I944" s="69"/>
      <c r="J944" s="134"/>
      <c r="K944" s="324"/>
      <c r="L944" s="191">
        <f t="shared" si="18"/>
        <v>1.4842</v>
      </c>
      <c r="M944" s="401"/>
      <c r="N944" s="86"/>
    </row>
    <row r="945" spans="1:14" s="64" customFormat="1" x14ac:dyDescent="0.2">
      <c r="A945" s="386"/>
      <c r="B945" s="151"/>
      <c r="C945" s="76" t="str">
        <f>orçamento!D112</f>
        <v>Poste de concreto quad. 10 cm lado c/2,5 metros  de comp.</v>
      </c>
      <c r="D945" s="386" t="s">
        <v>622</v>
      </c>
      <c r="E945" s="67"/>
      <c r="F945" s="327"/>
      <c r="G945" s="71"/>
      <c r="H945" s="67"/>
      <c r="I945" s="67"/>
      <c r="J945" s="134"/>
      <c r="K945" s="324">
        <v>0.2999</v>
      </c>
      <c r="L945" s="191">
        <f t="shared" si="19"/>
        <v>1.4842</v>
      </c>
    </row>
    <row r="946" spans="1:14" s="64" customFormat="1" x14ac:dyDescent="0.2">
      <c r="A946" s="63"/>
      <c r="B946" s="385"/>
      <c r="C946" s="122" t="str">
        <f>C945</f>
        <v>Poste de concreto quad. 10 cm lado c/2,5 metros  de comp.</v>
      </c>
      <c r="D946" s="75" t="s">
        <v>622</v>
      </c>
      <c r="E946" s="67">
        <f>128.921*N10</f>
        <v>128.92099999999999</v>
      </c>
      <c r="F946" s="327">
        <v>2.69</v>
      </c>
      <c r="G946" s="71">
        <v>1.76</v>
      </c>
      <c r="H946" s="67"/>
      <c r="I946" s="67">
        <f>E946*G946</f>
        <v>226.90096</v>
      </c>
      <c r="J946" s="134"/>
      <c r="K946" s="324">
        <v>0.2999</v>
      </c>
      <c r="L946" s="191">
        <f t="shared" si="19"/>
        <v>1.4842</v>
      </c>
    </row>
    <row r="947" spans="1:14" s="64" customFormat="1" x14ac:dyDescent="0.2">
      <c r="A947" s="63"/>
      <c r="B947" s="385"/>
      <c r="C947" s="122" t="s">
        <v>258</v>
      </c>
      <c r="D947" s="75" t="s">
        <v>53</v>
      </c>
      <c r="E947" s="132">
        <f>5.21*N10</f>
        <v>5.21</v>
      </c>
      <c r="F947" s="334"/>
      <c r="G947" s="71">
        <v>0.05</v>
      </c>
      <c r="H947" s="67">
        <f>E947*G947</f>
        <v>0.26050000000000001</v>
      </c>
      <c r="I947" s="133"/>
      <c r="J947" s="134"/>
      <c r="K947" s="324">
        <v>0.2999</v>
      </c>
      <c r="L947" s="191">
        <f t="shared" si="19"/>
        <v>1.4842</v>
      </c>
    </row>
    <row r="948" spans="1:14" s="64" customFormat="1" x14ac:dyDescent="0.2">
      <c r="A948" s="63"/>
      <c r="B948" s="385"/>
      <c r="C948" s="122" t="s">
        <v>259</v>
      </c>
      <c r="D948" s="75" t="s">
        <v>53</v>
      </c>
      <c r="E948" s="67">
        <f>3.77*N10</f>
        <v>3.77</v>
      </c>
      <c r="F948" s="334"/>
      <c r="G948" s="71">
        <v>0.05</v>
      </c>
      <c r="H948" s="67">
        <f>E948*G948</f>
        <v>0.1885</v>
      </c>
      <c r="I948" s="133"/>
      <c r="J948" s="134"/>
      <c r="K948" s="324">
        <v>0.2999</v>
      </c>
      <c r="L948" s="191">
        <f t="shared" si="19"/>
        <v>1.4842</v>
      </c>
    </row>
    <row r="949" spans="1:14" s="64" customFormat="1" hidden="1" x14ac:dyDescent="0.2">
      <c r="A949" s="63"/>
      <c r="B949" s="385"/>
      <c r="C949" s="122"/>
      <c r="D949" s="75"/>
      <c r="E949" s="67"/>
      <c r="F949" s="327"/>
      <c r="G949" s="71"/>
      <c r="H949" s="67"/>
      <c r="I949" s="67"/>
      <c r="J949" s="134"/>
      <c r="K949" s="324">
        <v>0.2999</v>
      </c>
      <c r="L949" s="191">
        <f t="shared" si="19"/>
        <v>1.4842</v>
      </c>
    </row>
    <row r="950" spans="1:14" s="64" customFormat="1" x14ac:dyDescent="0.2">
      <c r="A950" s="63"/>
      <c r="B950" s="385"/>
      <c r="C950" s="122"/>
      <c r="D950" s="75"/>
      <c r="E950" s="438" t="str">
        <f>E940</f>
        <v>Custo Direto</v>
      </c>
      <c r="F950" s="438"/>
      <c r="G950" s="438"/>
      <c r="H950" s="69">
        <f>SUM(H946:H948)</f>
        <v>0.44900000000000001</v>
      </c>
      <c r="I950" s="69">
        <f>SUM(I946:I948)</f>
        <v>226.90096</v>
      </c>
      <c r="J950" s="134"/>
      <c r="K950" s="324">
        <v>0.2999</v>
      </c>
      <c r="L950" s="191">
        <f t="shared" si="19"/>
        <v>1.4842</v>
      </c>
    </row>
    <row r="951" spans="1:14" s="64" customFormat="1" x14ac:dyDescent="0.2">
      <c r="A951" s="63"/>
      <c r="B951" s="385"/>
      <c r="C951" s="122"/>
      <c r="D951" s="75"/>
      <c r="E951" s="438" t="str">
        <f>E941</f>
        <v>LS(%): 148,42</v>
      </c>
      <c r="F951" s="438"/>
      <c r="G951" s="438"/>
      <c r="H951" s="67">
        <f>H950*L951</f>
        <v>0.66640580000000005</v>
      </c>
      <c r="I951" s="131"/>
      <c r="J951" s="134"/>
      <c r="K951" s="324">
        <v>0.2999</v>
      </c>
      <c r="L951" s="191">
        <f t="shared" si="19"/>
        <v>1.4842</v>
      </c>
    </row>
    <row r="952" spans="1:14" s="64" customFormat="1" x14ac:dyDescent="0.2">
      <c r="A952" s="63"/>
      <c r="B952" s="385"/>
      <c r="C952" s="122"/>
      <c r="D952" s="75"/>
      <c r="E952" s="438" t="str">
        <f>E942</f>
        <v>BDI (%): 29,99</v>
      </c>
      <c r="F952" s="438"/>
      <c r="G952" s="438"/>
      <c r="H952" s="439">
        <f>(H950+I950+H951)*K952</f>
        <v>68.382108103420009</v>
      </c>
      <c r="I952" s="439"/>
      <c r="J952" s="134"/>
      <c r="K952" s="324">
        <v>0.2999</v>
      </c>
      <c r="L952" s="191">
        <f t="shared" si="19"/>
        <v>1.4842</v>
      </c>
    </row>
    <row r="953" spans="1:14" s="64" customFormat="1" x14ac:dyDescent="0.2">
      <c r="A953" s="63"/>
      <c r="B953" s="385"/>
      <c r="C953" s="122"/>
      <c r="D953" s="75"/>
      <c r="E953" s="438" t="str">
        <f>E943</f>
        <v>Valor Total c/ Taxas</v>
      </c>
      <c r="F953" s="438"/>
      <c r="G953" s="438"/>
      <c r="H953" s="67"/>
      <c r="I953" s="69">
        <f>(H950+I950+H951+H952)</f>
        <v>296.39847390342004</v>
      </c>
      <c r="J953" s="134"/>
      <c r="K953" s="324">
        <v>0.2999</v>
      </c>
      <c r="L953" s="191">
        <f t="shared" si="19"/>
        <v>1.4842</v>
      </c>
      <c r="M953" s="401">
        <v>296.39999999999998</v>
      </c>
      <c r="N953" s="86">
        <f>I953-M953</f>
        <v>-1.5260965799370751E-3</v>
      </c>
    </row>
    <row r="954" spans="1:14" s="64" customFormat="1" x14ac:dyDescent="0.2">
      <c r="A954" s="63"/>
      <c r="B954" s="385"/>
      <c r="C954" s="122"/>
      <c r="D954" s="75"/>
      <c r="E954" s="382"/>
      <c r="F954" s="382"/>
      <c r="G954" s="382"/>
      <c r="H954" s="67"/>
      <c r="I954" s="69"/>
      <c r="J954" s="134"/>
      <c r="K954" s="324"/>
      <c r="L954" s="191">
        <f t="shared" ref="L954:L1009" si="20">L953</f>
        <v>1.4842</v>
      </c>
      <c r="M954" s="401"/>
      <c r="N954" s="86"/>
    </row>
    <row r="955" spans="1:14" s="64" customFormat="1" ht="25.5" x14ac:dyDescent="0.2">
      <c r="A955" s="386"/>
      <c r="B955" s="151"/>
      <c r="C955" s="76" t="str">
        <f>orçamento!D113</f>
        <v>Projetor circular( ate 200 w) base e-27 completo inclusive lâmpada, conforme projeto</v>
      </c>
      <c r="D955" s="386" t="s">
        <v>622</v>
      </c>
      <c r="E955" s="67"/>
      <c r="F955" s="327"/>
      <c r="G955" s="71"/>
      <c r="H955" s="67"/>
      <c r="I955" s="67"/>
      <c r="J955" s="134"/>
      <c r="K955" s="324">
        <v>0.2999</v>
      </c>
      <c r="L955" s="191">
        <f t="shared" si="19"/>
        <v>1.4842</v>
      </c>
    </row>
    <row r="956" spans="1:14" s="64" customFormat="1" ht="25.5" x14ac:dyDescent="0.2">
      <c r="A956" s="63"/>
      <c r="B956" s="385"/>
      <c r="C956" s="122" t="str">
        <f>C955</f>
        <v>Projetor circular( ate 200 w) base e-27 completo inclusive lâmpada, conforme projeto</v>
      </c>
      <c r="D956" s="75" t="s">
        <v>622</v>
      </c>
      <c r="E956" s="67">
        <f>106.764*N10</f>
        <v>106.764</v>
      </c>
      <c r="F956" s="327">
        <v>2.69</v>
      </c>
      <c r="G956" s="71">
        <v>1.76</v>
      </c>
      <c r="H956" s="67"/>
      <c r="I956" s="67">
        <f>E956*G956</f>
        <v>187.90464</v>
      </c>
      <c r="J956" s="134"/>
      <c r="K956" s="324">
        <v>0.2999</v>
      </c>
      <c r="L956" s="191">
        <f t="shared" si="19"/>
        <v>1.4842</v>
      </c>
    </row>
    <row r="957" spans="1:14" s="64" customFormat="1" x14ac:dyDescent="0.2">
      <c r="A957" s="63"/>
      <c r="B957" s="385"/>
      <c r="C957" s="122" t="s">
        <v>258</v>
      </c>
      <c r="D957" s="75" t="s">
        <v>53</v>
      </c>
      <c r="E957" s="132">
        <f>5.21*N10</f>
        <v>5.21</v>
      </c>
      <c r="F957" s="334"/>
      <c r="G957" s="71">
        <v>0.05</v>
      </c>
      <c r="H957" s="67">
        <f>E957*G957</f>
        <v>0.26050000000000001</v>
      </c>
      <c r="I957" s="133"/>
      <c r="J957" s="134"/>
      <c r="K957" s="324">
        <v>0.2999</v>
      </c>
      <c r="L957" s="191">
        <f t="shared" si="19"/>
        <v>1.4842</v>
      </c>
    </row>
    <row r="958" spans="1:14" s="64" customFormat="1" x14ac:dyDescent="0.2">
      <c r="A958" s="63"/>
      <c r="B958" s="385"/>
      <c r="C958" s="122" t="s">
        <v>259</v>
      </c>
      <c r="D958" s="75" t="s">
        <v>53</v>
      </c>
      <c r="E958" s="67">
        <f>3.77*N10</f>
        <v>3.77</v>
      </c>
      <c r="F958" s="334"/>
      <c r="G958" s="71">
        <v>0.05</v>
      </c>
      <c r="H958" s="67">
        <f>E958*G958</f>
        <v>0.1885</v>
      </c>
      <c r="I958" s="133"/>
      <c r="J958" s="134"/>
      <c r="K958" s="324">
        <v>0.2999</v>
      </c>
      <c r="L958" s="191">
        <f t="shared" si="19"/>
        <v>1.4842</v>
      </c>
    </row>
    <row r="959" spans="1:14" s="64" customFormat="1" hidden="1" x14ac:dyDescent="0.2">
      <c r="A959" s="63"/>
      <c r="B959" s="385"/>
      <c r="C959" s="122"/>
      <c r="D959" s="75"/>
      <c r="E959" s="67"/>
      <c r="F959" s="327"/>
      <c r="G959" s="71"/>
      <c r="H959" s="67"/>
      <c r="I959" s="67"/>
      <c r="J959" s="134"/>
      <c r="K959" s="324">
        <v>0.2999</v>
      </c>
      <c r="L959" s="191">
        <f t="shared" si="19"/>
        <v>1.4842</v>
      </c>
    </row>
    <row r="960" spans="1:14" s="64" customFormat="1" x14ac:dyDescent="0.2">
      <c r="A960" s="63"/>
      <c r="B960" s="385"/>
      <c r="C960" s="122"/>
      <c r="D960" s="75"/>
      <c r="E960" s="438" t="str">
        <f>E950</f>
        <v>Custo Direto</v>
      </c>
      <c r="F960" s="438"/>
      <c r="G960" s="438"/>
      <c r="H960" s="69">
        <f>SUM(H956:H958)</f>
        <v>0.44900000000000001</v>
      </c>
      <c r="I960" s="69">
        <f>SUM(I956:I958)</f>
        <v>187.90464</v>
      </c>
      <c r="J960" s="134"/>
      <c r="K960" s="324">
        <v>0.2999</v>
      </c>
      <c r="L960" s="191">
        <f t="shared" si="19"/>
        <v>1.4842</v>
      </c>
    </row>
    <row r="961" spans="1:14" s="64" customFormat="1" x14ac:dyDescent="0.2">
      <c r="A961" s="63"/>
      <c r="B961" s="385"/>
      <c r="C961" s="122"/>
      <c r="D961" s="75"/>
      <c r="E961" s="438" t="str">
        <f>E951</f>
        <v>LS(%): 148,42</v>
      </c>
      <c r="F961" s="438"/>
      <c r="G961" s="438"/>
      <c r="H961" s="67">
        <f>H960*L961</f>
        <v>0.66640580000000005</v>
      </c>
      <c r="I961" s="131"/>
      <c r="J961" s="134"/>
      <c r="K961" s="324">
        <v>0.2999</v>
      </c>
      <c r="L961" s="191">
        <f t="shared" si="19"/>
        <v>1.4842</v>
      </c>
    </row>
    <row r="962" spans="1:14" s="64" customFormat="1" x14ac:dyDescent="0.2">
      <c r="A962" s="63"/>
      <c r="B962" s="385"/>
      <c r="C962" s="122"/>
      <c r="D962" s="75"/>
      <c r="E962" s="438" t="str">
        <f>E952</f>
        <v>BDI (%): 29,99</v>
      </c>
      <c r="F962" s="438"/>
      <c r="G962" s="438"/>
      <c r="H962" s="439">
        <f>(H960+I960+H961)*K962</f>
        <v>56.687111735420004</v>
      </c>
      <c r="I962" s="439"/>
      <c r="J962" s="134"/>
      <c r="K962" s="324">
        <v>0.2999</v>
      </c>
      <c r="L962" s="191">
        <f t="shared" si="19"/>
        <v>1.4842</v>
      </c>
    </row>
    <row r="963" spans="1:14" s="64" customFormat="1" x14ac:dyDescent="0.2">
      <c r="A963" s="63"/>
      <c r="B963" s="385"/>
      <c r="C963" s="122"/>
      <c r="D963" s="75"/>
      <c r="E963" s="438" t="str">
        <f>E953</f>
        <v>Valor Total c/ Taxas</v>
      </c>
      <c r="F963" s="438"/>
      <c r="G963" s="438"/>
      <c r="H963" s="67"/>
      <c r="I963" s="69">
        <f>(H960+I960+H961+H962)</f>
        <v>245.70715753542004</v>
      </c>
      <c r="J963" s="134"/>
      <c r="K963" s="324">
        <v>0.2999</v>
      </c>
      <c r="L963" s="191">
        <f t="shared" si="19"/>
        <v>1.4842</v>
      </c>
      <c r="M963" s="401">
        <v>245.71</v>
      </c>
      <c r="N963" s="86">
        <f>I963-M963</f>
        <v>-2.842464579970283E-3</v>
      </c>
    </row>
    <row r="964" spans="1:14" s="64" customFormat="1" x14ac:dyDescent="0.2">
      <c r="A964" s="63"/>
      <c r="B964" s="385"/>
      <c r="C964" s="122"/>
      <c r="D964" s="75"/>
      <c r="E964" s="382"/>
      <c r="F964" s="382"/>
      <c r="G964" s="382"/>
      <c r="H964" s="67"/>
      <c r="I964" s="69"/>
      <c r="J964" s="134"/>
      <c r="K964" s="324"/>
      <c r="L964" s="191">
        <f t="shared" si="20"/>
        <v>1.4842</v>
      </c>
      <c r="M964" s="401"/>
      <c r="N964" s="86"/>
    </row>
    <row r="965" spans="1:14" s="64" customFormat="1" ht="25.5" x14ac:dyDescent="0.2">
      <c r="A965" s="386"/>
      <c r="B965" s="151"/>
      <c r="C965" s="76" t="str">
        <f>orçamento!D114</f>
        <v>Projetor retangular c/ porta ( ate 400w) base e40 completo lãmpada, conforme projeto</v>
      </c>
      <c r="D965" s="386" t="s">
        <v>622</v>
      </c>
      <c r="E965" s="67"/>
      <c r="F965" s="327"/>
      <c r="G965" s="71"/>
      <c r="H965" s="67"/>
      <c r="I965" s="67"/>
      <c r="J965" s="134"/>
      <c r="K965" s="324">
        <v>0.2999</v>
      </c>
      <c r="L965" s="191">
        <f t="shared" si="19"/>
        <v>1.4842</v>
      </c>
    </row>
    <row r="966" spans="1:14" s="64" customFormat="1" ht="25.5" x14ac:dyDescent="0.2">
      <c r="A966" s="63"/>
      <c r="B966" s="385"/>
      <c r="C966" s="122" t="str">
        <f>C965</f>
        <v>Projetor retangular c/ porta ( ate 400w) base e40 completo lãmpada, conforme projeto</v>
      </c>
      <c r="D966" s="75" t="s">
        <v>622</v>
      </c>
      <c r="E966" s="67">
        <f>107.314*N10</f>
        <v>107.31399999999999</v>
      </c>
      <c r="F966" s="327">
        <v>2.69</v>
      </c>
      <c r="G966" s="71">
        <v>2.25</v>
      </c>
      <c r="H966" s="67"/>
      <c r="I966" s="67">
        <f>E966*G966</f>
        <v>241.45649999999998</v>
      </c>
      <c r="J966" s="134"/>
      <c r="K966" s="324">
        <v>0.2999</v>
      </c>
      <c r="L966" s="191">
        <f t="shared" si="19"/>
        <v>1.4842</v>
      </c>
    </row>
    <row r="967" spans="1:14" s="64" customFormat="1" x14ac:dyDescent="0.2">
      <c r="A967" s="63"/>
      <c r="B967" s="385"/>
      <c r="C967" s="122" t="s">
        <v>258</v>
      </c>
      <c r="D967" s="75" t="s">
        <v>53</v>
      </c>
      <c r="E967" s="132">
        <f>5.21*N10</f>
        <v>5.21</v>
      </c>
      <c r="F967" s="334"/>
      <c r="G967" s="71">
        <v>0.05</v>
      </c>
      <c r="H967" s="67">
        <f>E967*G967</f>
        <v>0.26050000000000001</v>
      </c>
      <c r="I967" s="133"/>
      <c r="J967" s="134"/>
      <c r="K967" s="324">
        <v>0.2999</v>
      </c>
      <c r="L967" s="191">
        <f t="shared" si="19"/>
        <v>1.4842</v>
      </c>
    </row>
    <row r="968" spans="1:14" s="64" customFormat="1" x14ac:dyDescent="0.2">
      <c r="A968" s="63"/>
      <c r="B968" s="385"/>
      <c r="C968" s="122" t="s">
        <v>259</v>
      </c>
      <c r="D968" s="75" t="s">
        <v>53</v>
      </c>
      <c r="E968" s="67">
        <f>3.77*N10</f>
        <v>3.77</v>
      </c>
      <c r="F968" s="334"/>
      <c r="G968" s="71">
        <v>0.05</v>
      </c>
      <c r="H968" s="67">
        <f>E968*G968</f>
        <v>0.1885</v>
      </c>
      <c r="I968" s="133"/>
      <c r="J968" s="134"/>
      <c r="K968" s="324">
        <v>0.2999</v>
      </c>
      <c r="L968" s="191">
        <f t="shared" si="19"/>
        <v>1.4842</v>
      </c>
    </row>
    <row r="969" spans="1:14" s="64" customFormat="1" hidden="1" x14ac:dyDescent="0.2">
      <c r="A969" s="63"/>
      <c r="B969" s="385"/>
      <c r="C969" s="122"/>
      <c r="D969" s="75"/>
      <c r="E969" s="67"/>
      <c r="F969" s="327"/>
      <c r="G969" s="71"/>
      <c r="H969" s="67"/>
      <c r="I969" s="67"/>
      <c r="J969" s="134"/>
      <c r="K969" s="324">
        <v>0.2999</v>
      </c>
      <c r="L969" s="191">
        <f t="shared" si="19"/>
        <v>1.4842</v>
      </c>
    </row>
    <row r="970" spans="1:14" s="64" customFormat="1" x14ac:dyDescent="0.2">
      <c r="A970" s="63"/>
      <c r="B970" s="385"/>
      <c r="C970" s="122"/>
      <c r="D970" s="75"/>
      <c r="E970" s="438" t="str">
        <f>E960</f>
        <v>Custo Direto</v>
      </c>
      <c r="F970" s="438"/>
      <c r="G970" s="438"/>
      <c r="H970" s="69">
        <f>SUM(H966:H968)</f>
        <v>0.44900000000000001</v>
      </c>
      <c r="I970" s="69">
        <f>SUM(I966:I968)</f>
        <v>241.45649999999998</v>
      </c>
      <c r="J970" s="134"/>
      <c r="K970" s="324">
        <v>0.2999</v>
      </c>
      <c r="L970" s="191">
        <f t="shared" si="19"/>
        <v>1.4842</v>
      </c>
    </row>
    <row r="971" spans="1:14" s="64" customFormat="1" x14ac:dyDescent="0.2">
      <c r="A971" s="63"/>
      <c r="B971" s="385"/>
      <c r="C971" s="122"/>
      <c r="D971" s="75"/>
      <c r="E971" s="438" t="str">
        <f>E961</f>
        <v>LS(%): 148,42</v>
      </c>
      <c r="F971" s="438"/>
      <c r="G971" s="438"/>
      <c r="H971" s="67">
        <f>H970*L971</f>
        <v>0.66640580000000005</v>
      </c>
      <c r="I971" s="131"/>
      <c r="J971" s="134"/>
      <c r="K971" s="324">
        <v>0.2999</v>
      </c>
      <c r="L971" s="191">
        <f t="shared" si="19"/>
        <v>1.4842</v>
      </c>
    </row>
    <row r="972" spans="1:14" s="64" customFormat="1" x14ac:dyDescent="0.2">
      <c r="A972" s="63"/>
      <c r="B972" s="385"/>
      <c r="C972" s="122"/>
      <c r="D972" s="75"/>
      <c r="E972" s="438" t="str">
        <f>E962</f>
        <v>BDI (%): 29,99</v>
      </c>
      <c r="F972" s="438"/>
      <c r="G972" s="438"/>
      <c r="H972" s="439">
        <f>(H970+I970+H971)*K972</f>
        <v>72.747314549419997</v>
      </c>
      <c r="I972" s="439"/>
      <c r="J972" s="134"/>
      <c r="K972" s="324">
        <v>0.2999</v>
      </c>
      <c r="L972" s="191">
        <f t="shared" si="19"/>
        <v>1.4842</v>
      </c>
    </row>
    <row r="973" spans="1:14" s="64" customFormat="1" x14ac:dyDescent="0.2">
      <c r="A973" s="63"/>
      <c r="B973" s="385"/>
      <c r="C973" s="122"/>
      <c r="D973" s="75"/>
      <c r="E973" s="438" t="str">
        <f>E963</f>
        <v>Valor Total c/ Taxas</v>
      </c>
      <c r="F973" s="438"/>
      <c r="G973" s="438"/>
      <c r="H973" s="67"/>
      <c r="I973" s="69">
        <f>(H970+I970+H971+H972)</f>
        <v>315.31922034941999</v>
      </c>
      <c r="J973" s="134"/>
      <c r="K973" s="324">
        <v>0.2999</v>
      </c>
      <c r="L973" s="191">
        <f t="shared" si="19"/>
        <v>1.4842</v>
      </c>
      <c r="M973" s="401">
        <v>315.32</v>
      </c>
      <c r="N973" s="86">
        <f>I973-M973</f>
        <v>-7.7965058000017962E-4</v>
      </c>
    </row>
    <row r="974" spans="1:14" s="64" customFormat="1" x14ac:dyDescent="0.2">
      <c r="A974" s="63"/>
      <c r="B974" s="385"/>
      <c r="C974" s="122"/>
      <c r="D974" s="75"/>
      <c r="E974" s="382"/>
      <c r="F974" s="382"/>
      <c r="G974" s="382"/>
      <c r="H974" s="67"/>
      <c r="I974" s="69"/>
      <c r="J974" s="134"/>
      <c r="K974" s="324"/>
      <c r="L974" s="191">
        <f t="shared" si="20"/>
        <v>1.4842</v>
      </c>
      <c r="M974" s="401"/>
      <c r="N974" s="86"/>
    </row>
    <row r="975" spans="1:14" s="64" customFormat="1" x14ac:dyDescent="0.2">
      <c r="A975" s="386"/>
      <c r="B975" s="151"/>
      <c r="C975" s="76" t="str">
        <f>orçamento!D115</f>
        <v xml:space="preserve">Quadro de distribuição cb 12e - 100a </v>
      </c>
      <c r="D975" s="386" t="s">
        <v>622</v>
      </c>
      <c r="E975" s="67"/>
      <c r="F975" s="327"/>
      <c r="G975" s="71"/>
      <c r="H975" s="67"/>
      <c r="I975" s="67"/>
      <c r="J975" s="134"/>
      <c r="K975" s="324">
        <v>0.2999</v>
      </c>
      <c r="L975" s="191">
        <f t="shared" si="19"/>
        <v>1.4842</v>
      </c>
    </row>
    <row r="976" spans="1:14" s="64" customFormat="1" x14ac:dyDescent="0.2">
      <c r="A976" s="63"/>
      <c r="B976" s="385"/>
      <c r="C976" s="122" t="str">
        <f>C975</f>
        <v xml:space="preserve">Quadro de distribuição cb 12e - 100a </v>
      </c>
      <c r="D976" s="75" t="s">
        <v>622</v>
      </c>
      <c r="E976" s="67">
        <f>100.99*N10</f>
        <v>100.99</v>
      </c>
      <c r="F976" s="327">
        <v>2.69</v>
      </c>
      <c r="G976" s="71">
        <v>2.25</v>
      </c>
      <c r="H976" s="67"/>
      <c r="I976" s="67">
        <f>E976*G976</f>
        <v>227.22749999999999</v>
      </c>
      <c r="J976" s="134"/>
      <c r="K976" s="324">
        <v>0.2999</v>
      </c>
      <c r="L976" s="191">
        <f t="shared" si="19"/>
        <v>1.4842</v>
      </c>
    </row>
    <row r="977" spans="1:14" s="64" customFormat="1" x14ac:dyDescent="0.2">
      <c r="A977" s="63"/>
      <c r="B977" s="385"/>
      <c r="C977" s="122" t="s">
        <v>258</v>
      </c>
      <c r="D977" s="75" t="s">
        <v>53</v>
      </c>
      <c r="E977" s="132">
        <f>5.21*N10</f>
        <v>5.21</v>
      </c>
      <c r="F977" s="334"/>
      <c r="G977" s="71">
        <v>0.05</v>
      </c>
      <c r="H977" s="67">
        <f>E977*G977</f>
        <v>0.26050000000000001</v>
      </c>
      <c r="I977" s="133"/>
      <c r="J977" s="134"/>
      <c r="K977" s="324">
        <v>0.2999</v>
      </c>
      <c r="L977" s="191">
        <f t="shared" si="19"/>
        <v>1.4842</v>
      </c>
    </row>
    <row r="978" spans="1:14" s="64" customFormat="1" x14ac:dyDescent="0.2">
      <c r="A978" s="63"/>
      <c r="B978" s="385"/>
      <c r="C978" s="122" t="s">
        <v>259</v>
      </c>
      <c r="D978" s="75" t="s">
        <v>53</v>
      </c>
      <c r="E978" s="67">
        <f>3.77*N10</f>
        <v>3.77</v>
      </c>
      <c r="F978" s="334"/>
      <c r="G978" s="71">
        <v>0.05</v>
      </c>
      <c r="H978" s="67">
        <f>E978*G978</f>
        <v>0.1885</v>
      </c>
      <c r="I978" s="133"/>
      <c r="J978" s="134"/>
      <c r="K978" s="324">
        <v>0.2999</v>
      </c>
      <c r="L978" s="191">
        <f t="shared" si="19"/>
        <v>1.4842</v>
      </c>
    </row>
    <row r="979" spans="1:14" s="64" customFormat="1" hidden="1" x14ac:dyDescent="0.2">
      <c r="A979" s="63"/>
      <c r="B979" s="385"/>
      <c r="C979" s="122"/>
      <c r="D979" s="75"/>
      <c r="E979" s="67"/>
      <c r="F979" s="327"/>
      <c r="G979" s="71"/>
      <c r="H979" s="67"/>
      <c r="I979" s="67"/>
      <c r="J979" s="134"/>
      <c r="K979" s="324">
        <v>0.2999</v>
      </c>
      <c r="L979" s="191">
        <f t="shared" si="19"/>
        <v>1.4842</v>
      </c>
    </row>
    <row r="980" spans="1:14" s="64" customFormat="1" x14ac:dyDescent="0.2">
      <c r="A980" s="63"/>
      <c r="B980" s="385"/>
      <c r="C980" s="122"/>
      <c r="D980" s="75"/>
      <c r="E980" s="438" t="str">
        <f>E970</f>
        <v>Custo Direto</v>
      </c>
      <c r="F980" s="438"/>
      <c r="G980" s="438"/>
      <c r="H980" s="69">
        <f>SUM(H976:H978)</f>
        <v>0.44900000000000001</v>
      </c>
      <c r="I980" s="69">
        <f>SUM(I976:I978)</f>
        <v>227.22749999999999</v>
      </c>
      <c r="J980" s="134"/>
      <c r="K980" s="324">
        <v>0.2999</v>
      </c>
      <c r="L980" s="191">
        <f t="shared" si="19"/>
        <v>1.4842</v>
      </c>
    </row>
    <row r="981" spans="1:14" s="64" customFormat="1" x14ac:dyDescent="0.2">
      <c r="A981" s="63"/>
      <c r="B981" s="385"/>
      <c r="C981" s="122"/>
      <c r="D981" s="75"/>
      <c r="E981" s="438" t="str">
        <f>E971</f>
        <v>LS(%): 148,42</v>
      </c>
      <c r="F981" s="438"/>
      <c r="G981" s="438"/>
      <c r="H981" s="67">
        <f>H980*L981</f>
        <v>0.66640580000000005</v>
      </c>
      <c r="I981" s="131"/>
      <c r="J981" s="134"/>
      <c r="K981" s="324">
        <v>0.2999</v>
      </c>
      <c r="L981" s="191">
        <f t="shared" si="19"/>
        <v>1.4842</v>
      </c>
    </row>
    <row r="982" spans="1:14" s="64" customFormat="1" x14ac:dyDescent="0.2">
      <c r="A982" s="63"/>
      <c r="B982" s="385"/>
      <c r="C982" s="122"/>
      <c r="D982" s="75"/>
      <c r="E982" s="438" t="str">
        <f>E972</f>
        <v>BDI (%): 29,99</v>
      </c>
      <c r="F982" s="438"/>
      <c r="G982" s="438"/>
      <c r="H982" s="439">
        <f>(H980+I980+H981)*K982</f>
        <v>68.48003744942001</v>
      </c>
      <c r="I982" s="439"/>
      <c r="J982" s="134"/>
      <c r="K982" s="324">
        <v>0.2999</v>
      </c>
      <c r="L982" s="191">
        <f t="shared" si="19"/>
        <v>1.4842</v>
      </c>
    </row>
    <row r="983" spans="1:14" s="64" customFormat="1" x14ac:dyDescent="0.2">
      <c r="A983" s="63"/>
      <c r="B983" s="385"/>
      <c r="C983" s="122"/>
      <c r="D983" s="75"/>
      <c r="E983" s="438" t="str">
        <f>E973</f>
        <v>Valor Total c/ Taxas</v>
      </c>
      <c r="F983" s="438"/>
      <c r="G983" s="438"/>
      <c r="H983" s="67"/>
      <c r="I983" s="69">
        <f>(H980+I980+H981+H982)</f>
        <v>296.82294324942001</v>
      </c>
      <c r="J983" s="134"/>
      <c r="K983" s="324">
        <v>0.2999</v>
      </c>
      <c r="L983" s="191">
        <f t="shared" si="19"/>
        <v>1.4842</v>
      </c>
      <c r="M983" s="401">
        <v>296.82</v>
      </c>
      <c r="N983" s="86">
        <f>I983-M983</f>
        <v>2.9432494200136716E-3</v>
      </c>
    </row>
    <row r="984" spans="1:14" s="64" customFormat="1" x14ac:dyDescent="0.2">
      <c r="A984" s="63"/>
      <c r="B984" s="385"/>
      <c r="C984" s="122"/>
      <c r="D984" s="75"/>
      <c r="E984" s="382"/>
      <c r="F984" s="382"/>
      <c r="G984" s="382"/>
      <c r="H984" s="67"/>
      <c r="I984" s="69"/>
      <c r="J984" s="134"/>
      <c r="K984" s="324"/>
      <c r="L984" s="191">
        <f t="shared" si="20"/>
        <v>1.4842</v>
      </c>
      <c r="M984" s="401"/>
      <c r="N984" s="86"/>
    </row>
    <row r="985" spans="1:14" s="64" customFormat="1" x14ac:dyDescent="0.2">
      <c r="A985" s="386"/>
      <c r="B985" s="151"/>
      <c r="C985" s="76" t="str">
        <f>orçamento!D116</f>
        <v>Quadro de distribuição cb 12e - 150a</v>
      </c>
      <c r="D985" s="386" t="s">
        <v>622</v>
      </c>
      <c r="E985" s="67"/>
      <c r="F985" s="327"/>
      <c r="G985" s="71"/>
      <c r="H985" s="67"/>
      <c r="I985" s="67"/>
      <c r="J985" s="134"/>
      <c r="K985" s="324">
        <v>0.2999</v>
      </c>
      <c r="L985" s="191">
        <f t="shared" si="19"/>
        <v>1.4842</v>
      </c>
    </row>
    <row r="986" spans="1:14" s="64" customFormat="1" x14ac:dyDescent="0.2">
      <c r="A986" s="63"/>
      <c r="B986" s="385"/>
      <c r="C986" s="122" t="str">
        <f>C985</f>
        <v>Quadro de distribuição cb 12e - 150a</v>
      </c>
      <c r="D986" s="75" t="s">
        <v>622</v>
      </c>
      <c r="E986" s="67">
        <v>126.71599999999999</v>
      </c>
      <c r="F986" s="327">
        <v>2.69</v>
      </c>
      <c r="G986" s="71">
        <v>2.25</v>
      </c>
      <c r="H986" s="67"/>
      <c r="I986" s="67">
        <f>E986*G986</f>
        <v>285.11099999999999</v>
      </c>
      <c r="J986" s="134"/>
      <c r="K986" s="324">
        <v>0.2999</v>
      </c>
      <c r="L986" s="191">
        <f t="shared" si="19"/>
        <v>1.4842</v>
      </c>
    </row>
    <row r="987" spans="1:14" s="64" customFormat="1" x14ac:dyDescent="0.2">
      <c r="A987" s="63"/>
      <c r="B987" s="385"/>
      <c r="C987" s="122" t="s">
        <v>258</v>
      </c>
      <c r="D987" s="75" t="s">
        <v>53</v>
      </c>
      <c r="E987" s="132">
        <f>5.21*N10</f>
        <v>5.21</v>
      </c>
      <c r="F987" s="334"/>
      <c r="G987" s="71">
        <v>0.05</v>
      </c>
      <c r="H987" s="67">
        <f>E987*G987</f>
        <v>0.26050000000000001</v>
      </c>
      <c r="I987" s="133"/>
      <c r="J987" s="134"/>
      <c r="K987" s="324">
        <v>0.2999</v>
      </c>
      <c r="L987" s="191">
        <f t="shared" si="19"/>
        <v>1.4842</v>
      </c>
    </row>
    <row r="988" spans="1:14" s="64" customFormat="1" x14ac:dyDescent="0.2">
      <c r="A988" s="63"/>
      <c r="B988" s="385"/>
      <c r="C988" s="122" t="s">
        <v>259</v>
      </c>
      <c r="D988" s="75" t="s">
        <v>53</v>
      </c>
      <c r="E988" s="67">
        <f>3.77*N10</f>
        <v>3.77</v>
      </c>
      <c r="F988" s="334"/>
      <c r="G988" s="71">
        <v>0.05</v>
      </c>
      <c r="H988" s="67">
        <f>E988*G988</f>
        <v>0.1885</v>
      </c>
      <c r="I988" s="133"/>
      <c r="J988" s="134"/>
      <c r="K988" s="324">
        <v>0.2999</v>
      </c>
      <c r="L988" s="191">
        <f t="shared" si="19"/>
        <v>1.4842</v>
      </c>
    </row>
    <row r="989" spans="1:14" s="64" customFormat="1" hidden="1" x14ac:dyDescent="0.2">
      <c r="A989" s="63"/>
      <c r="B989" s="385"/>
      <c r="C989" s="122"/>
      <c r="D989" s="75"/>
      <c r="E989" s="67"/>
      <c r="F989" s="327"/>
      <c r="G989" s="71"/>
      <c r="H989" s="67"/>
      <c r="I989" s="67"/>
      <c r="J989" s="134"/>
      <c r="K989" s="324">
        <v>0.2999</v>
      </c>
      <c r="L989" s="191">
        <f t="shared" ref="L989:L993" si="21">L988</f>
        <v>1.4842</v>
      </c>
    </row>
    <row r="990" spans="1:14" s="64" customFormat="1" x14ac:dyDescent="0.2">
      <c r="A990" s="63"/>
      <c r="B990" s="385"/>
      <c r="C990" s="122"/>
      <c r="D990" s="75"/>
      <c r="E990" s="438" t="str">
        <f>E980</f>
        <v>Custo Direto</v>
      </c>
      <c r="F990" s="438"/>
      <c r="G990" s="438"/>
      <c r="H990" s="69">
        <f>SUM(H986:H988)</f>
        <v>0.44900000000000001</v>
      </c>
      <c r="I990" s="69">
        <f>SUM(I986:I988)</f>
        <v>285.11099999999999</v>
      </c>
      <c r="J990" s="134"/>
      <c r="K990" s="324">
        <v>0.2999</v>
      </c>
      <c r="L990" s="191">
        <f t="shared" si="21"/>
        <v>1.4842</v>
      </c>
    </row>
    <row r="991" spans="1:14" s="64" customFormat="1" x14ac:dyDescent="0.2">
      <c r="A991" s="63"/>
      <c r="B991" s="385"/>
      <c r="C991" s="122"/>
      <c r="D991" s="75"/>
      <c r="E991" s="438" t="str">
        <f>E981</f>
        <v>LS(%): 148,42</v>
      </c>
      <c r="F991" s="438"/>
      <c r="G991" s="438"/>
      <c r="H991" s="67">
        <f>H990*L991</f>
        <v>0.66640580000000005</v>
      </c>
      <c r="I991" s="131"/>
      <c r="J991" s="134"/>
      <c r="K991" s="324">
        <v>0.2999</v>
      </c>
      <c r="L991" s="191">
        <f t="shared" si="21"/>
        <v>1.4842</v>
      </c>
    </row>
    <row r="992" spans="1:14" s="64" customFormat="1" x14ac:dyDescent="0.2">
      <c r="A992" s="63"/>
      <c r="B992" s="385"/>
      <c r="C992" s="122"/>
      <c r="D992" s="75"/>
      <c r="E992" s="438" t="str">
        <f>E982</f>
        <v>BDI (%): 29,99</v>
      </c>
      <c r="F992" s="438"/>
      <c r="G992" s="438"/>
      <c r="H992" s="439">
        <f>(H990+I990+H991)*K992</f>
        <v>85.839299099420003</v>
      </c>
      <c r="I992" s="439"/>
      <c r="J992" s="134"/>
      <c r="K992" s="324">
        <v>0.2999</v>
      </c>
      <c r="L992" s="191">
        <f t="shared" si="21"/>
        <v>1.4842</v>
      </c>
    </row>
    <row r="993" spans="1:14" s="64" customFormat="1" x14ac:dyDescent="0.2">
      <c r="A993" s="63"/>
      <c r="B993" s="385"/>
      <c r="C993" s="122"/>
      <c r="D993" s="75"/>
      <c r="E993" s="438" t="str">
        <f>E983</f>
        <v>Valor Total c/ Taxas</v>
      </c>
      <c r="F993" s="438"/>
      <c r="G993" s="438"/>
      <c r="H993" s="67"/>
      <c r="I993" s="69">
        <f>(H990+I990+H991+H992)</f>
        <v>372.06570489941998</v>
      </c>
      <c r="J993" s="134"/>
      <c r="K993" s="324">
        <v>0.2999</v>
      </c>
      <c r="L993" s="191">
        <f t="shared" si="21"/>
        <v>1.4842</v>
      </c>
      <c r="M993" s="401">
        <v>372.07</v>
      </c>
      <c r="N993" s="86">
        <f>I993-M993</f>
        <v>-4.295100580009148E-3</v>
      </c>
    </row>
    <row r="994" spans="1:14" s="64" customFormat="1" x14ac:dyDescent="0.2">
      <c r="A994" s="63"/>
      <c r="B994" s="385"/>
      <c r="C994" s="122"/>
      <c r="D994" s="75"/>
      <c r="E994" s="382"/>
      <c r="F994" s="382"/>
      <c r="G994" s="382"/>
      <c r="H994" s="67"/>
      <c r="I994" s="69"/>
      <c r="J994" s="134"/>
      <c r="K994" s="324"/>
      <c r="L994" s="191">
        <f t="shared" si="20"/>
        <v>1.4842</v>
      </c>
      <c r="M994" s="401"/>
      <c r="N994" s="86"/>
    </row>
    <row r="995" spans="1:14" s="64" customFormat="1" x14ac:dyDescent="0.2">
      <c r="A995" s="386"/>
      <c r="B995" s="151"/>
      <c r="C995" s="76" t="str">
        <f>orçamento!D117</f>
        <v>Quadro de distribuição cb 18e - 150a</v>
      </c>
      <c r="D995" s="386" t="s">
        <v>622</v>
      </c>
      <c r="E995" s="67"/>
      <c r="F995" s="327"/>
      <c r="G995" s="71"/>
      <c r="H995" s="67"/>
      <c r="I995" s="67"/>
      <c r="J995" s="134"/>
      <c r="K995" s="324">
        <v>0.2999</v>
      </c>
      <c r="L995" s="191">
        <f t="shared" si="20"/>
        <v>1.4842</v>
      </c>
    </row>
    <row r="996" spans="1:14" s="64" customFormat="1" x14ac:dyDescent="0.2">
      <c r="A996" s="63"/>
      <c r="B996" s="385"/>
      <c r="C996" s="122" t="str">
        <f>C995</f>
        <v>Quadro de distribuição cb 18e - 150a</v>
      </c>
      <c r="D996" s="75" t="s">
        <v>622</v>
      </c>
      <c r="E996" s="67">
        <f>126.377*N10</f>
        <v>126.377</v>
      </c>
      <c r="F996" s="327">
        <v>2.69</v>
      </c>
      <c r="G996" s="71">
        <v>3.09</v>
      </c>
      <c r="H996" s="67"/>
      <c r="I996" s="67">
        <f>E996*G996</f>
        <v>390.50492999999994</v>
      </c>
      <c r="J996" s="134"/>
      <c r="K996" s="324">
        <v>0.2999</v>
      </c>
      <c r="L996" s="191">
        <f t="shared" si="20"/>
        <v>1.4842</v>
      </c>
    </row>
    <row r="997" spans="1:14" s="64" customFormat="1" x14ac:dyDescent="0.2">
      <c r="A997" s="63"/>
      <c r="B997" s="385"/>
      <c r="C997" s="122" t="s">
        <v>258</v>
      </c>
      <c r="D997" s="75" t="s">
        <v>53</v>
      </c>
      <c r="E997" s="132">
        <f>5.21*N10</f>
        <v>5.21</v>
      </c>
      <c r="F997" s="334"/>
      <c r="G997" s="71">
        <v>0.05</v>
      </c>
      <c r="H997" s="67">
        <f>E997*G997</f>
        <v>0.26050000000000001</v>
      </c>
      <c r="I997" s="133"/>
      <c r="J997" s="134"/>
      <c r="K997" s="324">
        <v>0.2999</v>
      </c>
      <c r="L997" s="191">
        <f t="shared" si="20"/>
        <v>1.4842</v>
      </c>
    </row>
    <row r="998" spans="1:14" s="64" customFormat="1" x14ac:dyDescent="0.2">
      <c r="A998" s="63"/>
      <c r="B998" s="385"/>
      <c r="C998" s="122" t="s">
        <v>259</v>
      </c>
      <c r="D998" s="75" t="s">
        <v>53</v>
      </c>
      <c r="E998" s="67">
        <f>3.77*N10</f>
        <v>3.77</v>
      </c>
      <c r="F998" s="334"/>
      <c r="G998" s="71">
        <v>0.05</v>
      </c>
      <c r="H998" s="67">
        <f>E998*G998</f>
        <v>0.1885</v>
      </c>
      <c r="I998" s="133"/>
      <c r="J998" s="134"/>
      <c r="K998" s="324">
        <v>0.2999</v>
      </c>
      <c r="L998" s="191">
        <f t="shared" si="20"/>
        <v>1.4842</v>
      </c>
    </row>
    <row r="999" spans="1:14" s="64" customFormat="1" hidden="1" x14ac:dyDescent="0.2">
      <c r="A999" s="63"/>
      <c r="B999" s="385"/>
      <c r="C999" s="122"/>
      <c r="D999" s="75"/>
      <c r="E999" s="67"/>
      <c r="F999" s="327"/>
      <c r="G999" s="71"/>
      <c r="H999" s="67"/>
      <c r="I999" s="67"/>
      <c r="J999" s="134"/>
      <c r="K999" s="324">
        <v>0.2999</v>
      </c>
      <c r="L999" s="191">
        <f t="shared" si="20"/>
        <v>1.4842</v>
      </c>
    </row>
    <row r="1000" spans="1:14" s="64" customFormat="1" x14ac:dyDescent="0.2">
      <c r="A1000" s="63"/>
      <c r="B1000" s="385"/>
      <c r="C1000" s="122"/>
      <c r="D1000" s="75"/>
      <c r="E1000" s="438" t="str">
        <f>E990</f>
        <v>Custo Direto</v>
      </c>
      <c r="F1000" s="438"/>
      <c r="G1000" s="438"/>
      <c r="H1000" s="69">
        <f>SUM(H996:H998)</f>
        <v>0.44900000000000001</v>
      </c>
      <c r="I1000" s="69">
        <f>SUM(I996:I998)</f>
        <v>390.50492999999994</v>
      </c>
      <c r="J1000" s="134"/>
      <c r="K1000" s="324">
        <v>0.2999</v>
      </c>
      <c r="L1000" s="191">
        <f t="shared" si="20"/>
        <v>1.4842</v>
      </c>
    </row>
    <row r="1001" spans="1:14" s="64" customFormat="1" x14ac:dyDescent="0.2">
      <c r="A1001" s="63"/>
      <c r="B1001" s="385"/>
      <c r="C1001" s="122"/>
      <c r="D1001" s="75"/>
      <c r="E1001" s="438" t="str">
        <f>E991</f>
        <v>LS(%): 148,42</v>
      </c>
      <c r="F1001" s="438"/>
      <c r="G1001" s="438"/>
      <c r="H1001" s="67">
        <f>H1000*L1001</f>
        <v>0.66640580000000005</v>
      </c>
      <c r="I1001" s="131"/>
      <c r="J1001" s="134"/>
      <c r="K1001" s="324">
        <v>0.2999</v>
      </c>
      <c r="L1001" s="191">
        <f t="shared" si="20"/>
        <v>1.4842</v>
      </c>
    </row>
    <row r="1002" spans="1:14" s="64" customFormat="1" x14ac:dyDescent="0.2">
      <c r="A1002" s="63"/>
      <c r="B1002" s="385"/>
      <c r="C1002" s="122"/>
      <c r="D1002" s="75"/>
      <c r="E1002" s="438" t="str">
        <f>E992</f>
        <v>BDI (%): 29,99</v>
      </c>
      <c r="F1002" s="438"/>
      <c r="G1002" s="438"/>
      <c r="H1002" s="439">
        <f>(H1000+I1000+H1001)*K1002</f>
        <v>117.44693870641999</v>
      </c>
      <c r="I1002" s="439"/>
      <c r="J1002" s="134"/>
      <c r="K1002" s="324">
        <v>0.2999</v>
      </c>
      <c r="L1002" s="191">
        <f t="shared" si="20"/>
        <v>1.4842</v>
      </c>
    </row>
    <row r="1003" spans="1:14" s="64" customFormat="1" x14ac:dyDescent="0.2">
      <c r="A1003" s="63"/>
      <c r="B1003" s="385"/>
      <c r="C1003" s="122"/>
      <c r="D1003" s="75"/>
      <c r="E1003" s="438" t="str">
        <f>E993</f>
        <v>Valor Total c/ Taxas</v>
      </c>
      <c r="F1003" s="438"/>
      <c r="G1003" s="438"/>
      <c r="H1003" s="67"/>
      <c r="I1003" s="69">
        <f>(H1000+I1000+H1001+H1002)</f>
        <v>509.06727450641995</v>
      </c>
      <c r="J1003" s="134"/>
      <c r="K1003" s="324">
        <v>0.2999</v>
      </c>
      <c r="L1003" s="191">
        <f t="shared" si="20"/>
        <v>1.4842</v>
      </c>
      <c r="M1003" s="401">
        <v>509.07</v>
      </c>
      <c r="N1003" s="86">
        <f>I1003-M1003</f>
        <v>-2.7254935800442581E-3</v>
      </c>
    </row>
    <row r="1004" spans="1:14" s="64" customFormat="1" x14ac:dyDescent="0.2">
      <c r="A1004" s="63"/>
      <c r="B1004" s="385"/>
      <c r="C1004" s="122"/>
      <c r="D1004" s="75"/>
      <c r="E1004" s="382"/>
      <c r="F1004" s="382"/>
      <c r="G1004" s="382"/>
      <c r="H1004" s="67"/>
      <c r="I1004" s="69"/>
      <c r="J1004" s="134"/>
      <c r="K1004" s="324"/>
      <c r="L1004" s="191">
        <f t="shared" si="20"/>
        <v>1.4842</v>
      </c>
      <c r="M1004" s="401"/>
      <c r="N1004" s="86"/>
    </row>
    <row r="1005" spans="1:14" s="64" customFormat="1" x14ac:dyDescent="0.2">
      <c r="A1005" s="386"/>
      <c r="B1005" s="151"/>
      <c r="C1005" s="76" t="str">
        <f>orçamento!D118</f>
        <v>Quadro de distribuição cb 50e - 225a</v>
      </c>
      <c r="D1005" s="386" t="s">
        <v>622</v>
      </c>
      <c r="E1005" s="67"/>
      <c r="F1005" s="327"/>
      <c r="G1005" s="71"/>
      <c r="H1005" s="67"/>
      <c r="I1005" s="67"/>
      <c r="J1005" s="134"/>
      <c r="K1005" s="324">
        <v>0.2999</v>
      </c>
      <c r="L1005" s="191">
        <f t="shared" si="20"/>
        <v>1.4842</v>
      </c>
    </row>
    <row r="1006" spans="1:14" s="64" customFormat="1" x14ac:dyDescent="0.2">
      <c r="A1006" s="63"/>
      <c r="B1006" s="385"/>
      <c r="C1006" s="122" t="str">
        <f>C1005</f>
        <v>Quadro de distribuição cb 50e - 225a</v>
      </c>
      <c r="D1006" s="75" t="s">
        <v>622</v>
      </c>
      <c r="E1006" s="67">
        <f>154.63*N10</f>
        <v>154.63</v>
      </c>
      <c r="F1006" s="327">
        <v>2.69</v>
      </c>
      <c r="G1006" s="71">
        <v>3.3</v>
      </c>
      <c r="H1006" s="67"/>
      <c r="I1006" s="67">
        <f>E1006*G1006</f>
        <v>510.27899999999994</v>
      </c>
      <c r="J1006" s="134"/>
      <c r="K1006" s="324">
        <v>0.2999</v>
      </c>
      <c r="L1006" s="191">
        <f t="shared" si="20"/>
        <v>1.4842</v>
      </c>
    </row>
    <row r="1007" spans="1:14" s="64" customFormat="1" x14ac:dyDescent="0.2">
      <c r="A1007" s="63"/>
      <c r="B1007" s="385"/>
      <c r="C1007" s="122" t="s">
        <v>258</v>
      </c>
      <c r="D1007" s="75" t="s">
        <v>53</v>
      </c>
      <c r="E1007" s="132">
        <f>5.21*N10</f>
        <v>5.21</v>
      </c>
      <c r="F1007" s="334"/>
      <c r="G1007" s="71">
        <v>1.1000000000000001</v>
      </c>
      <c r="H1007" s="67">
        <f>E1007*G1007</f>
        <v>5.7310000000000008</v>
      </c>
      <c r="I1007" s="133"/>
      <c r="J1007" s="134"/>
      <c r="K1007" s="324">
        <v>0.2999</v>
      </c>
      <c r="L1007" s="191">
        <f t="shared" si="20"/>
        <v>1.4842</v>
      </c>
    </row>
    <row r="1008" spans="1:14" s="64" customFormat="1" x14ac:dyDescent="0.2">
      <c r="A1008" s="63"/>
      <c r="B1008" s="385"/>
      <c r="C1008" s="122" t="s">
        <v>259</v>
      </c>
      <c r="D1008" s="75" t="s">
        <v>53</v>
      </c>
      <c r="E1008" s="67">
        <f>3.77*N10</f>
        <v>3.77</v>
      </c>
      <c r="F1008" s="334"/>
      <c r="G1008" s="71">
        <v>1.1000000000000001</v>
      </c>
      <c r="H1008" s="67">
        <f>E1008*G1008</f>
        <v>4.1470000000000002</v>
      </c>
      <c r="I1008" s="133"/>
      <c r="J1008" s="134"/>
      <c r="K1008" s="324">
        <v>0.2999</v>
      </c>
      <c r="L1008" s="191">
        <f t="shared" si="20"/>
        <v>1.4842</v>
      </c>
    </row>
    <row r="1009" spans="1:14" s="64" customFormat="1" hidden="1" x14ac:dyDescent="0.2">
      <c r="A1009" s="63"/>
      <c r="B1009" s="385"/>
      <c r="C1009" s="122"/>
      <c r="D1009" s="75"/>
      <c r="E1009" s="67"/>
      <c r="F1009" s="327"/>
      <c r="G1009" s="71"/>
      <c r="H1009" s="67"/>
      <c r="I1009" s="67"/>
      <c r="J1009" s="134"/>
      <c r="K1009" s="324">
        <v>0.2999</v>
      </c>
      <c r="L1009" s="191">
        <f t="shared" si="20"/>
        <v>1.4842</v>
      </c>
    </row>
    <row r="1010" spans="1:14" s="64" customFormat="1" x14ac:dyDescent="0.2">
      <c r="A1010" s="63"/>
      <c r="B1010" s="385"/>
      <c r="C1010" s="122"/>
      <c r="D1010" s="75"/>
      <c r="E1010" s="438" t="str">
        <f>E1000</f>
        <v>Custo Direto</v>
      </c>
      <c r="F1010" s="438"/>
      <c r="G1010" s="438"/>
      <c r="H1010" s="69">
        <f>SUM(H1006:H1008)</f>
        <v>9.8780000000000001</v>
      </c>
      <c r="I1010" s="69">
        <f>SUM(I1006:I1008)</f>
        <v>510.27899999999994</v>
      </c>
      <c r="J1010" s="134"/>
      <c r="K1010" s="324">
        <v>0.2999</v>
      </c>
      <c r="L1010" s="191">
        <f t="shared" ref="L1010:L1013" si="22">L1009</f>
        <v>1.4842</v>
      </c>
    </row>
    <row r="1011" spans="1:14" s="64" customFormat="1" x14ac:dyDescent="0.2">
      <c r="A1011" s="63"/>
      <c r="B1011" s="385"/>
      <c r="C1011" s="122"/>
      <c r="D1011" s="75"/>
      <c r="E1011" s="438" t="str">
        <f>E1001</f>
        <v>LS(%): 148,42</v>
      </c>
      <c r="F1011" s="438"/>
      <c r="G1011" s="438"/>
      <c r="H1011" s="67">
        <f>H1010*L1011</f>
        <v>14.660927599999999</v>
      </c>
      <c r="I1011" s="131"/>
      <c r="J1011" s="134"/>
      <c r="K1011" s="324">
        <v>0.2999</v>
      </c>
      <c r="L1011" s="191">
        <f t="shared" si="22"/>
        <v>1.4842</v>
      </c>
    </row>
    <row r="1012" spans="1:14" s="64" customFormat="1" x14ac:dyDescent="0.2">
      <c r="A1012" s="63"/>
      <c r="B1012" s="385"/>
      <c r="C1012" s="122"/>
      <c r="D1012" s="75"/>
      <c r="E1012" s="438" t="str">
        <f>E1002</f>
        <v>BDI (%): 29,99</v>
      </c>
      <c r="F1012" s="438"/>
      <c r="G1012" s="438"/>
      <c r="H1012" s="439">
        <f>(H1010+I1010+H1011)*K1012</f>
        <v>160.39189648723999</v>
      </c>
      <c r="I1012" s="439"/>
      <c r="J1012" s="134"/>
      <c r="K1012" s="324">
        <v>0.2999</v>
      </c>
      <c r="L1012" s="191">
        <f t="shared" si="22"/>
        <v>1.4842</v>
      </c>
    </row>
    <row r="1013" spans="1:14" s="64" customFormat="1" x14ac:dyDescent="0.2">
      <c r="A1013" s="63"/>
      <c r="B1013" s="385"/>
      <c r="C1013" s="122"/>
      <c r="D1013" s="75"/>
      <c r="E1013" s="438" t="str">
        <f>E1003</f>
        <v>Valor Total c/ Taxas</v>
      </c>
      <c r="F1013" s="438"/>
      <c r="G1013" s="438"/>
      <c r="H1013" s="67"/>
      <c r="I1013" s="69">
        <f>(H1010+I1010+H1011+H1012)</f>
        <v>695.20982408723989</v>
      </c>
      <c r="J1013" s="134"/>
      <c r="K1013" s="324">
        <v>0.2999</v>
      </c>
      <c r="L1013" s="191">
        <f t="shared" si="22"/>
        <v>1.4842</v>
      </c>
      <c r="M1013" s="401">
        <v>695.21</v>
      </c>
      <c r="N1013" s="86">
        <f>I1013-M1013</f>
        <v>-1.7591276014172763E-4</v>
      </c>
    </row>
    <row r="1014" spans="1:14" s="64" customFormat="1" x14ac:dyDescent="0.2">
      <c r="A1014" s="63"/>
      <c r="B1014" s="385"/>
      <c r="C1014" s="122"/>
      <c r="D1014" s="75"/>
      <c r="E1014" s="382"/>
      <c r="F1014" s="382"/>
      <c r="G1014" s="382"/>
      <c r="H1014" s="67"/>
      <c r="I1014" s="69"/>
      <c r="J1014" s="134"/>
      <c r="K1014" s="324"/>
      <c r="L1014" s="191">
        <f t="shared" ref="L1014:L1075" si="23">L1013</f>
        <v>1.4842</v>
      </c>
      <c r="M1014" s="401"/>
      <c r="N1014" s="86"/>
    </row>
    <row r="1015" spans="1:14" s="64" customFormat="1" x14ac:dyDescent="0.2">
      <c r="A1015" s="386"/>
      <c r="B1015" s="151"/>
      <c r="C1015" s="76" t="str">
        <f>orçamento!D119</f>
        <v>Rack de telecomunicações fechado em acrilico 19'' 12u's</v>
      </c>
      <c r="D1015" s="386" t="s">
        <v>622</v>
      </c>
      <c r="E1015" s="67"/>
      <c r="F1015" s="327"/>
      <c r="G1015" s="71"/>
      <c r="H1015" s="67"/>
      <c r="I1015" s="67"/>
      <c r="J1015" s="134"/>
      <c r="K1015" s="324">
        <v>0.2999</v>
      </c>
      <c r="L1015" s="191">
        <f t="shared" si="23"/>
        <v>1.4842</v>
      </c>
    </row>
    <row r="1016" spans="1:14" s="64" customFormat="1" x14ac:dyDescent="0.2">
      <c r="A1016" s="63"/>
      <c r="B1016" s="385"/>
      <c r="C1016" s="122" t="str">
        <f>C1015</f>
        <v>Rack de telecomunicações fechado em acrilico 19'' 12u's</v>
      </c>
      <c r="D1016" s="75" t="s">
        <v>622</v>
      </c>
      <c r="E1016" s="67">
        <f>154.95*N10</f>
        <v>154.94999999999999</v>
      </c>
      <c r="F1016" s="327">
        <v>2.69</v>
      </c>
      <c r="G1016" s="71">
        <v>3.55</v>
      </c>
      <c r="H1016" s="67"/>
      <c r="I1016" s="67">
        <f>E1016*G1016</f>
        <v>550.07249999999988</v>
      </c>
      <c r="J1016" s="134"/>
      <c r="K1016" s="324">
        <v>0.2999</v>
      </c>
      <c r="L1016" s="191">
        <f t="shared" si="23"/>
        <v>1.4842</v>
      </c>
    </row>
    <row r="1017" spans="1:14" s="64" customFormat="1" x14ac:dyDescent="0.2">
      <c r="A1017" s="63"/>
      <c r="B1017" s="385"/>
      <c r="C1017" s="122" t="s">
        <v>258</v>
      </c>
      <c r="D1017" s="75" t="s">
        <v>53</v>
      </c>
      <c r="E1017" s="132">
        <f>5.21*N10</f>
        <v>5.21</v>
      </c>
      <c r="F1017" s="334"/>
      <c r="G1017" s="71">
        <v>1.2</v>
      </c>
      <c r="H1017" s="67">
        <f>E1017*G1017</f>
        <v>6.2519999999999998</v>
      </c>
      <c r="I1017" s="133"/>
      <c r="J1017" s="134"/>
      <c r="K1017" s="324">
        <v>0.2999</v>
      </c>
      <c r="L1017" s="191">
        <f t="shared" si="23"/>
        <v>1.4842</v>
      </c>
    </row>
    <row r="1018" spans="1:14" s="64" customFormat="1" x14ac:dyDescent="0.2">
      <c r="A1018" s="63"/>
      <c r="B1018" s="385"/>
      <c r="C1018" s="122" t="s">
        <v>259</v>
      </c>
      <c r="D1018" s="75" t="s">
        <v>53</v>
      </c>
      <c r="E1018" s="67">
        <f>3.77*N10</f>
        <v>3.77</v>
      </c>
      <c r="F1018" s="334"/>
      <c r="G1018" s="71">
        <v>1.2</v>
      </c>
      <c r="H1018" s="67">
        <f>E1018*G1018</f>
        <v>4.524</v>
      </c>
      <c r="I1018" s="133"/>
      <c r="J1018" s="134"/>
      <c r="K1018" s="324">
        <v>0.2999</v>
      </c>
      <c r="L1018" s="191">
        <f t="shared" si="23"/>
        <v>1.4842</v>
      </c>
    </row>
    <row r="1019" spans="1:14" s="64" customFormat="1" hidden="1" x14ac:dyDescent="0.2">
      <c r="A1019" s="63"/>
      <c r="B1019" s="385"/>
      <c r="C1019" s="122"/>
      <c r="D1019" s="75"/>
      <c r="E1019" s="67"/>
      <c r="F1019" s="327"/>
      <c r="G1019" s="71"/>
      <c r="H1019" s="67"/>
      <c r="I1019" s="67"/>
      <c r="J1019" s="134"/>
      <c r="K1019" s="324">
        <v>0.2999</v>
      </c>
      <c r="L1019" s="191">
        <f t="shared" si="23"/>
        <v>1.4842</v>
      </c>
    </row>
    <row r="1020" spans="1:14" s="64" customFormat="1" x14ac:dyDescent="0.2">
      <c r="A1020" s="63"/>
      <c r="B1020" s="385"/>
      <c r="C1020" s="122"/>
      <c r="D1020" s="75"/>
      <c r="E1020" s="438" t="str">
        <f>E1010</f>
        <v>Custo Direto</v>
      </c>
      <c r="F1020" s="438"/>
      <c r="G1020" s="438"/>
      <c r="H1020" s="69">
        <f>SUM(H1016:H1018)</f>
        <v>10.776</v>
      </c>
      <c r="I1020" s="69">
        <f>SUM(I1016:I1018)</f>
        <v>550.07249999999988</v>
      </c>
      <c r="J1020" s="134"/>
      <c r="K1020" s="324">
        <v>0.2999</v>
      </c>
      <c r="L1020" s="191">
        <f t="shared" si="23"/>
        <v>1.4842</v>
      </c>
    </row>
    <row r="1021" spans="1:14" s="64" customFormat="1" x14ac:dyDescent="0.2">
      <c r="A1021" s="63"/>
      <c r="B1021" s="385"/>
      <c r="C1021" s="122"/>
      <c r="D1021" s="75"/>
      <c r="E1021" s="438" t="str">
        <f>E1011</f>
        <v>LS(%): 148,42</v>
      </c>
      <c r="F1021" s="438"/>
      <c r="G1021" s="438"/>
      <c r="H1021" s="67">
        <f>H1020*L1021</f>
        <v>15.993739199999998</v>
      </c>
      <c r="I1021" s="131"/>
      <c r="J1021" s="134"/>
      <c r="K1021" s="324">
        <v>0.2999</v>
      </c>
      <c r="L1021" s="191">
        <f t="shared" si="23"/>
        <v>1.4842</v>
      </c>
    </row>
    <row r="1022" spans="1:14" s="64" customFormat="1" x14ac:dyDescent="0.2">
      <c r="A1022" s="63"/>
      <c r="B1022" s="385"/>
      <c r="C1022" s="122"/>
      <c r="D1022" s="75"/>
      <c r="E1022" s="438" t="str">
        <f>E1012</f>
        <v>BDI (%): 29,99</v>
      </c>
      <c r="F1022" s="438"/>
      <c r="G1022" s="438"/>
      <c r="H1022" s="439">
        <f>(H1020+I1020+H1021)*K1022</f>
        <v>172.99498753607998</v>
      </c>
      <c r="I1022" s="439"/>
      <c r="J1022" s="134"/>
      <c r="K1022" s="324">
        <v>0.2999</v>
      </c>
      <c r="L1022" s="191">
        <f t="shared" si="23"/>
        <v>1.4842</v>
      </c>
    </row>
    <row r="1023" spans="1:14" s="64" customFormat="1" x14ac:dyDescent="0.2">
      <c r="A1023" s="63"/>
      <c r="B1023" s="385"/>
      <c r="C1023" s="122"/>
      <c r="D1023" s="75"/>
      <c r="E1023" s="438" t="str">
        <f>E1013</f>
        <v>Valor Total c/ Taxas</v>
      </c>
      <c r="F1023" s="438"/>
      <c r="G1023" s="438"/>
      <c r="H1023" s="67"/>
      <c r="I1023" s="69">
        <f>(H1020+I1020+H1021+H1022)</f>
        <v>749.83722673607986</v>
      </c>
      <c r="J1023" s="134"/>
      <c r="K1023" s="324">
        <v>0.2999</v>
      </c>
      <c r="L1023" s="191">
        <f t="shared" si="23"/>
        <v>1.4842</v>
      </c>
      <c r="M1023" s="401">
        <v>749.84</v>
      </c>
      <c r="N1023" s="86">
        <f>I1023-M1023</f>
        <v>-2.7732639201758502E-3</v>
      </c>
    </row>
    <row r="1024" spans="1:14" s="64" customFormat="1" x14ac:dyDescent="0.2">
      <c r="A1024" s="63"/>
      <c r="B1024" s="385"/>
      <c r="C1024" s="122"/>
      <c r="D1024" s="75"/>
      <c r="E1024" s="382"/>
      <c r="F1024" s="382"/>
      <c r="G1024" s="382"/>
      <c r="H1024" s="67"/>
      <c r="I1024" s="69"/>
      <c r="J1024" s="134"/>
      <c r="K1024" s="324"/>
      <c r="L1024" s="191">
        <f t="shared" si="23"/>
        <v>1.4842</v>
      </c>
      <c r="M1024" s="401"/>
      <c r="N1024" s="86"/>
    </row>
    <row r="1025" spans="1:14" s="64" customFormat="1" x14ac:dyDescent="0.2">
      <c r="A1025" s="386"/>
      <c r="B1025" s="151"/>
      <c r="C1025" s="76" t="str">
        <f>orçamento!D120</f>
        <v>Rack de telecomunicações fechado em acrilico 19'' 40u's</v>
      </c>
      <c r="D1025" s="386" t="s">
        <v>622</v>
      </c>
      <c r="E1025" s="67"/>
      <c r="F1025" s="327"/>
      <c r="G1025" s="71"/>
      <c r="H1025" s="67"/>
      <c r="I1025" s="67"/>
      <c r="J1025" s="134"/>
      <c r="K1025" s="324">
        <v>0.2999</v>
      </c>
      <c r="L1025" s="191">
        <f t="shared" si="23"/>
        <v>1.4842</v>
      </c>
    </row>
    <row r="1026" spans="1:14" s="64" customFormat="1" x14ac:dyDescent="0.2">
      <c r="A1026" s="63"/>
      <c r="B1026" s="385"/>
      <c r="C1026" s="122" t="str">
        <f>C1025</f>
        <v>Rack de telecomunicações fechado em acrilico 19'' 40u's</v>
      </c>
      <c r="D1026" s="75" t="s">
        <v>622</v>
      </c>
      <c r="E1026" s="67">
        <f>559.893*N10</f>
        <v>559.89300000000003</v>
      </c>
      <c r="F1026" s="327">
        <v>2.69</v>
      </c>
      <c r="G1026" s="71">
        <v>3.55</v>
      </c>
      <c r="H1026" s="67"/>
      <c r="I1026" s="67">
        <f>E1026*G1026</f>
        <v>1987.62015</v>
      </c>
      <c r="J1026" s="134"/>
      <c r="K1026" s="324">
        <v>0.2999</v>
      </c>
      <c r="L1026" s="191">
        <f t="shared" si="23"/>
        <v>1.4842</v>
      </c>
    </row>
    <row r="1027" spans="1:14" s="64" customFormat="1" x14ac:dyDescent="0.2">
      <c r="A1027" s="63"/>
      <c r="B1027" s="385"/>
      <c r="C1027" s="122" t="s">
        <v>258</v>
      </c>
      <c r="D1027" s="75" t="s">
        <v>53</v>
      </c>
      <c r="E1027" s="132">
        <f>5.21*N10</f>
        <v>5.21</v>
      </c>
      <c r="F1027" s="334"/>
      <c r="G1027" s="71">
        <v>1.2</v>
      </c>
      <c r="H1027" s="67">
        <f>E1027*G1027</f>
        <v>6.2519999999999998</v>
      </c>
      <c r="I1027" s="133"/>
      <c r="J1027" s="134"/>
      <c r="K1027" s="324">
        <v>0.2999</v>
      </c>
      <c r="L1027" s="191">
        <f t="shared" si="23"/>
        <v>1.4842</v>
      </c>
    </row>
    <row r="1028" spans="1:14" s="64" customFormat="1" x14ac:dyDescent="0.2">
      <c r="A1028" s="63"/>
      <c r="B1028" s="385"/>
      <c r="C1028" s="122" t="s">
        <v>259</v>
      </c>
      <c r="D1028" s="75" t="s">
        <v>53</v>
      </c>
      <c r="E1028" s="67">
        <f>3.77*N10</f>
        <v>3.77</v>
      </c>
      <c r="F1028" s="334"/>
      <c r="G1028" s="71">
        <v>1.2</v>
      </c>
      <c r="H1028" s="67">
        <f>E1028*G1028</f>
        <v>4.524</v>
      </c>
      <c r="I1028" s="133"/>
      <c r="J1028" s="134"/>
      <c r="K1028" s="324">
        <v>0.2999</v>
      </c>
      <c r="L1028" s="191">
        <f t="shared" si="23"/>
        <v>1.4842</v>
      </c>
    </row>
    <row r="1029" spans="1:14" s="64" customFormat="1" hidden="1" x14ac:dyDescent="0.2">
      <c r="A1029" s="63"/>
      <c r="B1029" s="385"/>
      <c r="C1029" s="122"/>
      <c r="D1029" s="75"/>
      <c r="E1029" s="67"/>
      <c r="F1029" s="327"/>
      <c r="G1029" s="71"/>
      <c r="H1029" s="67"/>
      <c r="I1029" s="67"/>
      <c r="J1029" s="134"/>
      <c r="K1029" s="324">
        <v>0.2999</v>
      </c>
      <c r="L1029" s="191">
        <f t="shared" si="23"/>
        <v>1.4842</v>
      </c>
    </row>
    <row r="1030" spans="1:14" s="64" customFormat="1" x14ac:dyDescent="0.2">
      <c r="A1030" s="63"/>
      <c r="B1030" s="385"/>
      <c r="C1030" s="122"/>
      <c r="D1030" s="75"/>
      <c r="E1030" s="438" t="str">
        <f>E1020</f>
        <v>Custo Direto</v>
      </c>
      <c r="F1030" s="438"/>
      <c r="G1030" s="438"/>
      <c r="H1030" s="69">
        <f>SUM(H1026:H1028)</f>
        <v>10.776</v>
      </c>
      <c r="I1030" s="69">
        <f>SUM(I1026:I1028)</f>
        <v>1987.62015</v>
      </c>
      <c r="J1030" s="134"/>
      <c r="K1030" s="324">
        <v>0.2999</v>
      </c>
      <c r="L1030" s="191">
        <f t="shared" si="23"/>
        <v>1.4842</v>
      </c>
    </row>
    <row r="1031" spans="1:14" s="64" customFormat="1" x14ac:dyDescent="0.2">
      <c r="A1031" s="63"/>
      <c r="B1031" s="385"/>
      <c r="C1031" s="122"/>
      <c r="D1031" s="75"/>
      <c r="E1031" s="438" t="str">
        <f>E1021</f>
        <v>LS(%): 148,42</v>
      </c>
      <c r="F1031" s="438"/>
      <c r="G1031" s="438"/>
      <c r="H1031" s="67">
        <f>H1030*L1031</f>
        <v>15.993739199999998</v>
      </c>
      <c r="I1031" s="131"/>
      <c r="J1031" s="134"/>
      <c r="K1031" s="324">
        <v>0.2999</v>
      </c>
      <c r="L1031" s="191">
        <f t="shared" si="23"/>
        <v>1.4842</v>
      </c>
    </row>
    <row r="1032" spans="1:14" s="64" customFormat="1" x14ac:dyDescent="0.2">
      <c r="A1032" s="63"/>
      <c r="B1032" s="385"/>
      <c r="C1032" s="122"/>
      <c r="D1032" s="75"/>
      <c r="E1032" s="438" t="str">
        <f>E1022</f>
        <v>BDI (%): 29,99</v>
      </c>
      <c r="F1032" s="438"/>
      <c r="G1032" s="438"/>
      <c r="H1032" s="439">
        <f>(H1030+I1030+H1031)*K1032</f>
        <v>604.11552777108</v>
      </c>
      <c r="I1032" s="439"/>
      <c r="J1032" s="134"/>
      <c r="K1032" s="324">
        <v>0.2999</v>
      </c>
      <c r="L1032" s="191">
        <f t="shared" si="23"/>
        <v>1.4842</v>
      </c>
    </row>
    <row r="1033" spans="1:14" s="64" customFormat="1" x14ac:dyDescent="0.2">
      <c r="A1033" s="63"/>
      <c r="B1033" s="385"/>
      <c r="C1033" s="122"/>
      <c r="D1033" s="75"/>
      <c r="E1033" s="438" t="str">
        <f>E1023</f>
        <v>Valor Total c/ Taxas</v>
      </c>
      <c r="F1033" s="438"/>
      <c r="G1033" s="438"/>
      <c r="H1033" s="67"/>
      <c r="I1033" s="69">
        <f>(H1030+I1030+H1031+H1032)</f>
        <v>2618.5054169710802</v>
      </c>
      <c r="J1033" s="134"/>
      <c r="K1033" s="324">
        <v>0.2999</v>
      </c>
      <c r="L1033" s="191">
        <f t="shared" si="23"/>
        <v>1.4842</v>
      </c>
      <c r="M1033" s="401">
        <v>2618.5100000000002</v>
      </c>
      <c r="N1033" s="86">
        <f>I1033-M1033</f>
        <v>-4.5830289200239349E-3</v>
      </c>
    </row>
    <row r="1034" spans="1:14" s="64" customFormat="1" x14ac:dyDescent="0.2">
      <c r="A1034" s="63"/>
      <c r="B1034" s="385"/>
      <c r="C1034" s="122"/>
      <c r="D1034" s="75"/>
      <c r="E1034" s="382"/>
      <c r="F1034" s="382"/>
      <c r="G1034" s="382"/>
      <c r="H1034" s="67"/>
      <c r="I1034" s="69"/>
      <c r="J1034" s="134"/>
      <c r="K1034" s="324"/>
      <c r="L1034" s="191">
        <f t="shared" si="23"/>
        <v>1.4842</v>
      </c>
      <c r="M1034" s="401"/>
      <c r="N1034" s="86"/>
    </row>
    <row r="1035" spans="1:14" s="64" customFormat="1" x14ac:dyDescent="0.2">
      <c r="A1035" s="386"/>
      <c r="B1035" s="151"/>
      <c r="C1035" s="76" t="str">
        <f>orçamento!D121</f>
        <v>Régua com 8 tomadas</v>
      </c>
      <c r="D1035" s="386" t="s">
        <v>622</v>
      </c>
      <c r="E1035" s="67"/>
      <c r="F1035" s="327"/>
      <c r="G1035" s="71"/>
      <c r="H1035" s="67"/>
      <c r="I1035" s="67"/>
      <c r="J1035" s="134"/>
      <c r="K1035" s="324">
        <v>0.2999</v>
      </c>
      <c r="L1035" s="191">
        <f t="shared" si="23"/>
        <v>1.4842</v>
      </c>
    </row>
    <row r="1036" spans="1:14" s="64" customFormat="1" x14ac:dyDescent="0.2">
      <c r="A1036" s="63"/>
      <c r="B1036" s="385"/>
      <c r="C1036" s="122" t="str">
        <f>C1035</f>
        <v>Régua com 8 tomadas</v>
      </c>
      <c r="D1036" s="75" t="s">
        <v>622</v>
      </c>
      <c r="E1036" s="67">
        <f>44.1*N10</f>
        <v>44.1</v>
      </c>
      <c r="F1036" s="327">
        <v>2.69</v>
      </c>
      <c r="G1036" s="71">
        <v>1.2</v>
      </c>
      <c r="H1036" s="67"/>
      <c r="I1036" s="67">
        <f>E1036*G1036</f>
        <v>52.92</v>
      </c>
      <c r="J1036" s="134"/>
      <c r="K1036" s="324">
        <v>0.2999</v>
      </c>
      <c r="L1036" s="191">
        <f t="shared" si="23"/>
        <v>1.4842</v>
      </c>
    </row>
    <row r="1037" spans="1:14" s="64" customFormat="1" x14ac:dyDescent="0.2">
      <c r="A1037" s="63"/>
      <c r="B1037" s="385"/>
      <c r="C1037" s="122" t="s">
        <v>258</v>
      </c>
      <c r="D1037" s="75" t="s">
        <v>53</v>
      </c>
      <c r="E1037" s="132">
        <f>5.21*N10</f>
        <v>5.21</v>
      </c>
      <c r="F1037" s="334"/>
      <c r="G1037" s="71">
        <v>0.09</v>
      </c>
      <c r="H1037" s="67">
        <f>E1037*G1037</f>
        <v>0.46889999999999998</v>
      </c>
      <c r="I1037" s="133"/>
      <c r="J1037" s="134"/>
      <c r="K1037" s="324">
        <v>0.2999</v>
      </c>
      <c r="L1037" s="191">
        <f t="shared" si="23"/>
        <v>1.4842</v>
      </c>
    </row>
    <row r="1038" spans="1:14" s="64" customFormat="1" x14ac:dyDescent="0.2">
      <c r="A1038" s="63"/>
      <c r="B1038" s="385"/>
      <c r="C1038" s="122" t="s">
        <v>259</v>
      </c>
      <c r="D1038" s="75" t="s">
        <v>53</v>
      </c>
      <c r="E1038" s="67">
        <f>3.77*N10</f>
        <v>3.77</v>
      </c>
      <c r="F1038" s="334"/>
      <c r="G1038" s="71">
        <v>0.09</v>
      </c>
      <c r="H1038" s="67">
        <f>E1038*G1038</f>
        <v>0.33929999999999999</v>
      </c>
      <c r="I1038" s="133"/>
      <c r="J1038" s="134"/>
      <c r="K1038" s="324">
        <v>0.2999</v>
      </c>
      <c r="L1038" s="191">
        <f t="shared" si="23"/>
        <v>1.4842</v>
      </c>
    </row>
    <row r="1039" spans="1:14" s="64" customFormat="1" hidden="1" x14ac:dyDescent="0.2">
      <c r="A1039" s="63"/>
      <c r="B1039" s="385"/>
      <c r="C1039" s="122"/>
      <c r="D1039" s="75"/>
      <c r="E1039" s="67"/>
      <c r="F1039" s="327"/>
      <c r="G1039" s="71"/>
      <c r="H1039" s="67"/>
      <c r="I1039" s="67"/>
      <c r="J1039" s="134"/>
      <c r="K1039" s="324">
        <v>0.2999</v>
      </c>
      <c r="L1039" s="191">
        <f t="shared" si="23"/>
        <v>1.4842</v>
      </c>
    </row>
    <row r="1040" spans="1:14" s="64" customFormat="1" x14ac:dyDescent="0.2">
      <c r="A1040" s="63"/>
      <c r="B1040" s="385"/>
      <c r="C1040" s="122"/>
      <c r="D1040" s="75"/>
      <c r="E1040" s="438" t="str">
        <f>E1030</f>
        <v>Custo Direto</v>
      </c>
      <c r="F1040" s="438"/>
      <c r="G1040" s="438"/>
      <c r="H1040" s="69">
        <f>SUM(H1036:H1038)</f>
        <v>0.80820000000000003</v>
      </c>
      <c r="I1040" s="69">
        <f>SUM(I1036:I1038)</f>
        <v>52.92</v>
      </c>
      <c r="J1040" s="134"/>
      <c r="K1040" s="324">
        <v>0.2999</v>
      </c>
      <c r="L1040" s="191">
        <f t="shared" si="23"/>
        <v>1.4842</v>
      </c>
    </row>
    <row r="1041" spans="1:14" s="64" customFormat="1" x14ac:dyDescent="0.2">
      <c r="A1041" s="63"/>
      <c r="B1041" s="385"/>
      <c r="C1041" s="122"/>
      <c r="D1041" s="75"/>
      <c r="E1041" s="438" t="str">
        <f>E1031</f>
        <v>LS(%): 148,42</v>
      </c>
      <c r="F1041" s="438"/>
      <c r="G1041" s="438"/>
      <c r="H1041" s="67">
        <f>H1040*L1041</f>
        <v>1.19953044</v>
      </c>
      <c r="I1041" s="131"/>
      <c r="J1041" s="134"/>
      <c r="K1041" s="324">
        <v>0.2999</v>
      </c>
      <c r="L1041" s="191">
        <f t="shared" si="23"/>
        <v>1.4842</v>
      </c>
    </row>
    <row r="1042" spans="1:14" s="64" customFormat="1" x14ac:dyDescent="0.2">
      <c r="A1042" s="63"/>
      <c r="B1042" s="385"/>
      <c r="C1042" s="122"/>
      <c r="D1042" s="75"/>
      <c r="E1042" s="438" t="str">
        <f>E1032</f>
        <v>BDI (%): 29,99</v>
      </c>
      <c r="F1042" s="438"/>
      <c r="G1042" s="438"/>
      <c r="H1042" s="439">
        <f>(H1040+I1040+H1041)*K1042</f>
        <v>16.472826358955999</v>
      </c>
      <c r="I1042" s="439"/>
      <c r="J1042" s="134"/>
      <c r="K1042" s="324">
        <v>0.2999</v>
      </c>
      <c r="L1042" s="191">
        <f t="shared" si="23"/>
        <v>1.4842</v>
      </c>
    </row>
    <row r="1043" spans="1:14" s="64" customFormat="1" x14ac:dyDescent="0.2">
      <c r="A1043" s="63"/>
      <c r="B1043" s="385"/>
      <c r="C1043" s="122"/>
      <c r="D1043" s="75"/>
      <c r="E1043" s="438" t="str">
        <f>E1033</f>
        <v>Valor Total c/ Taxas</v>
      </c>
      <c r="F1043" s="438"/>
      <c r="G1043" s="438"/>
      <c r="H1043" s="67"/>
      <c r="I1043" s="69">
        <f>(H1040+I1040+H1041+H1042)</f>
        <v>71.400556798955989</v>
      </c>
      <c r="J1043" s="134"/>
      <c r="K1043" s="324">
        <v>0.2999</v>
      </c>
      <c r="L1043" s="191">
        <f t="shared" si="23"/>
        <v>1.4842</v>
      </c>
      <c r="M1043" s="401">
        <v>71.400000000000006</v>
      </c>
      <c r="N1043" s="86">
        <f>I1043-M1043</f>
        <v>5.5679895598359508E-4</v>
      </c>
    </row>
    <row r="1044" spans="1:14" s="64" customFormat="1" x14ac:dyDescent="0.2">
      <c r="A1044" s="63"/>
      <c r="B1044" s="385"/>
      <c r="C1044" s="122"/>
      <c r="D1044" s="75"/>
      <c r="E1044" s="382"/>
      <c r="F1044" s="382"/>
      <c r="G1044" s="382"/>
      <c r="H1044" s="67"/>
      <c r="I1044" s="69"/>
      <c r="J1044" s="134"/>
      <c r="K1044" s="324"/>
      <c r="L1044" s="191">
        <f t="shared" si="23"/>
        <v>1.4842</v>
      </c>
      <c r="M1044" s="401"/>
      <c r="N1044" s="86"/>
    </row>
    <row r="1045" spans="1:14" s="64" customFormat="1" x14ac:dyDescent="0.2">
      <c r="A1045" s="386"/>
      <c r="B1045" s="151"/>
      <c r="C1045" s="76" t="str">
        <f>orçamento!D122</f>
        <v xml:space="preserve">Rele Foto elétrico com base </v>
      </c>
      <c r="D1045" s="386" t="s">
        <v>622</v>
      </c>
      <c r="E1045" s="67"/>
      <c r="F1045" s="327"/>
      <c r="G1045" s="71"/>
      <c r="H1045" s="67"/>
      <c r="I1045" s="67"/>
      <c r="J1045" s="134"/>
      <c r="K1045" s="324">
        <v>0.2999</v>
      </c>
      <c r="L1045" s="191">
        <f t="shared" si="23"/>
        <v>1.4842</v>
      </c>
    </row>
    <row r="1046" spans="1:14" s="64" customFormat="1" x14ac:dyDescent="0.2">
      <c r="A1046" s="63"/>
      <c r="B1046" s="385"/>
      <c r="C1046" s="122" t="str">
        <f>C1045</f>
        <v xml:space="preserve">Rele Foto elétrico com base </v>
      </c>
      <c r="D1046" s="75" t="s">
        <v>622</v>
      </c>
      <c r="E1046" s="67">
        <f>34.79*N10</f>
        <v>34.79</v>
      </c>
      <c r="F1046" s="327">
        <v>2.69</v>
      </c>
      <c r="G1046" s="71">
        <v>1</v>
      </c>
      <c r="H1046" s="67"/>
      <c r="I1046" s="67">
        <f>E1046*G1046</f>
        <v>34.79</v>
      </c>
      <c r="J1046" s="134"/>
      <c r="K1046" s="324">
        <v>0.2999</v>
      </c>
      <c r="L1046" s="191">
        <f t="shared" si="23"/>
        <v>1.4842</v>
      </c>
    </row>
    <row r="1047" spans="1:14" s="64" customFormat="1" x14ac:dyDescent="0.2">
      <c r="A1047" s="63"/>
      <c r="B1047" s="385"/>
      <c r="C1047" s="122" t="s">
        <v>258</v>
      </c>
      <c r="D1047" s="75" t="s">
        <v>53</v>
      </c>
      <c r="E1047" s="132">
        <f>5.21*N10</f>
        <v>5.21</v>
      </c>
      <c r="F1047" s="334"/>
      <c r="G1047" s="71">
        <v>0.09</v>
      </c>
      <c r="H1047" s="67">
        <f>E1047*G1047</f>
        <v>0.46889999999999998</v>
      </c>
      <c r="I1047" s="133"/>
      <c r="J1047" s="134"/>
      <c r="K1047" s="324">
        <v>0.2999</v>
      </c>
      <c r="L1047" s="191">
        <f t="shared" si="23"/>
        <v>1.4842</v>
      </c>
    </row>
    <row r="1048" spans="1:14" s="64" customFormat="1" x14ac:dyDescent="0.2">
      <c r="A1048" s="63"/>
      <c r="B1048" s="385"/>
      <c r="C1048" s="122" t="s">
        <v>259</v>
      </c>
      <c r="D1048" s="75" t="s">
        <v>53</v>
      </c>
      <c r="E1048" s="67">
        <f>3.77*N10</f>
        <v>3.77</v>
      </c>
      <c r="F1048" s="334"/>
      <c r="G1048" s="71">
        <v>0.09</v>
      </c>
      <c r="H1048" s="67">
        <f>E1048*G1048</f>
        <v>0.33929999999999999</v>
      </c>
      <c r="I1048" s="133"/>
      <c r="J1048" s="134"/>
      <c r="K1048" s="324">
        <v>0.2999</v>
      </c>
      <c r="L1048" s="191">
        <f t="shared" si="23"/>
        <v>1.4842</v>
      </c>
    </row>
    <row r="1049" spans="1:14" s="64" customFormat="1" hidden="1" x14ac:dyDescent="0.2">
      <c r="A1049" s="63"/>
      <c r="B1049" s="385"/>
      <c r="C1049" s="122"/>
      <c r="D1049" s="75"/>
      <c r="E1049" s="67"/>
      <c r="F1049" s="327"/>
      <c r="G1049" s="71"/>
      <c r="H1049" s="67"/>
      <c r="I1049" s="67"/>
      <c r="J1049" s="134"/>
      <c r="K1049" s="324">
        <v>0.2999</v>
      </c>
      <c r="L1049" s="191">
        <f t="shared" si="23"/>
        <v>1.4842</v>
      </c>
    </row>
    <row r="1050" spans="1:14" s="64" customFormat="1" x14ac:dyDescent="0.2">
      <c r="A1050" s="63"/>
      <c r="B1050" s="385"/>
      <c r="C1050" s="122"/>
      <c r="D1050" s="75"/>
      <c r="E1050" s="438" t="str">
        <f>E1040</f>
        <v>Custo Direto</v>
      </c>
      <c r="F1050" s="438"/>
      <c r="G1050" s="438"/>
      <c r="H1050" s="69">
        <f>SUM(H1046:H1048)</f>
        <v>0.80820000000000003</v>
      </c>
      <c r="I1050" s="69">
        <f>SUM(I1046:I1048)</f>
        <v>34.79</v>
      </c>
      <c r="J1050" s="134"/>
      <c r="K1050" s="324">
        <v>0.2999</v>
      </c>
      <c r="L1050" s="191">
        <f t="shared" si="23"/>
        <v>1.4842</v>
      </c>
    </row>
    <row r="1051" spans="1:14" s="64" customFormat="1" x14ac:dyDescent="0.2">
      <c r="A1051" s="63"/>
      <c r="B1051" s="385"/>
      <c r="C1051" s="122"/>
      <c r="D1051" s="75"/>
      <c r="E1051" s="438" t="str">
        <f>E1041</f>
        <v>LS(%): 148,42</v>
      </c>
      <c r="F1051" s="438"/>
      <c r="G1051" s="438"/>
      <c r="H1051" s="67">
        <f>H1050*L1051</f>
        <v>1.19953044</v>
      </c>
      <c r="I1051" s="131"/>
      <c r="J1051" s="134"/>
      <c r="K1051" s="324">
        <v>0.2999</v>
      </c>
      <c r="L1051" s="191">
        <f t="shared" si="23"/>
        <v>1.4842</v>
      </c>
    </row>
    <row r="1052" spans="1:14" s="64" customFormat="1" x14ac:dyDescent="0.2">
      <c r="A1052" s="63"/>
      <c r="B1052" s="385"/>
      <c r="C1052" s="122"/>
      <c r="D1052" s="75"/>
      <c r="E1052" s="438" t="str">
        <f>E1042</f>
        <v>BDI (%): 29,99</v>
      </c>
      <c r="F1052" s="438"/>
      <c r="G1052" s="438"/>
      <c r="H1052" s="439">
        <f>(H1050+I1050+H1051)*K1052</f>
        <v>11.035639358955999</v>
      </c>
      <c r="I1052" s="439"/>
      <c r="J1052" s="134"/>
      <c r="K1052" s="324">
        <v>0.2999</v>
      </c>
      <c r="L1052" s="191">
        <f t="shared" si="23"/>
        <v>1.4842</v>
      </c>
    </row>
    <row r="1053" spans="1:14" s="64" customFormat="1" x14ac:dyDescent="0.2">
      <c r="A1053" s="63"/>
      <c r="B1053" s="385"/>
      <c r="C1053" s="122"/>
      <c r="D1053" s="75"/>
      <c r="E1053" s="438" t="str">
        <f>E1043</f>
        <v>Valor Total c/ Taxas</v>
      </c>
      <c r="F1053" s="438"/>
      <c r="G1053" s="438"/>
      <c r="H1053" s="67"/>
      <c r="I1053" s="69">
        <f>(H1050+I1050+H1051+H1052)</f>
        <v>47.833369798955992</v>
      </c>
      <c r="J1053" s="134"/>
      <c r="K1053" s="324">
        <v>0.2999</v>
      </c>
      <c r="L1053" s="191">
        <f t="shared" si="23"/>
        <v>1.4842</v>
      </c>
      <c r="M1053" s="401">
        <v>47.83</v>
      </c>
      <c r="N1053" s="86">
        <f>I1053-M1053</f>
        <v>3.3697989559939856E-3</v>
      </c>
    </row>
    <row r="1054" spans="1:14" s="64" customFormat="1" x14ac:dyDescent="0.2">
      <c r="A1054" s="63"/>
      <c r="B1054" s="385"/>
      <c r="C1054" s="122"/>
      <c r="D1054" s="75"/>
      <c r="E1054" s="382"/>
      <c r="F1054" s="382"/>
      <c r="G1054" s="382"/>
      <c r="H1054" s="67"/>
      <c r="I1054" s="69"/>
      <c r="J1054" s="134"/>
      <c r="K1054" s="324"/>
      <c r="L1054" s="191">
        <f t="shared" si="23"/>
        <v>1.4842</v>
      </c>
      <c r="M1054" s="401"/>
      <c r="N1054" s="86"/>
    </row>
    <row r="1055" spans="1:14" s="64" customFormat="1" x14ac:dyDescent="0.2">
      <c r="A1055" s="386"/>
      <c r="B1055" s="151"/>
      <c r="C1055" s="76" t="str">
        <f>orçamento!D123</f>
        <v>Switch 24 portas 10/100mbps</v>
      </c>
      <c r="D1055" s="386" t="s">
        <v>622</v>
      </c>
      <c r="E1055" s="67"/>
      <c r="F1055" s="327"/>
      <c r="G1055" s="71"/>
      <c r="H1055" s="67"/>
      <c r="I1055" s="67"/>
      <c r="J1055" s="134"/>
      <c r="K1055" s="324">
        <v>0.2999</v>
      </c>
      <c r="L1055" s="191">
        <f t="shared" si="23"/>
        <v>1.4842</v>
      </c>
    </row>
    <row r="1056" spans="1:14" s="64" customFormat="1" x14ac:dyDescent="0.2">
      <c r="A1056" s="63"/>
      <c r="B1056" s="385"/>
      <c r="C1056" s="122" t="str">
        <f>C1055</f>
        <v>Switch 24 portas 10/100mbps</v>
      </c>
      <c r="D1056" s="75" t="s">
        <v>622</v>
      </c>
      <c r="E1056" s="67">
        <f>154.134*N10</f>
        <v>154.13399999999999</v>
      </c>
      <c r="F1056" s="327">
        <v>2.69</v>
      </c>
      <c r="G1056" s="71">
        <v>3.5</v>
      </c>
      <c r="H1056" s="67"/>
      <c r="I1056" s="67">
        <f>E1056*G1056</f>
        <v>539.46899999999994</v>
      </c>
      <c r="J1056" s="134"/>
      <c r="K1056" s="324">
        <v>0.2999</v>
      </c>
      <c r="L1056" s="191">
        <f t="shared" si="23"/>
        <v>1.4842</v>
      </c>
    </row>
    <row r="1057" spans="1:14" s="64" customFormat="1" x14ac:dyDescent="0.2">
      <c r="A1057" s="63"/>
      <c r="B1057" s="385"/>
      <c r="C1057" s="122" t="s">
        <v>258</v>
      </c>
      <c r="D1057" s="75" t="s">
        <v>53</v>
      </c>
      <c r="E1057" s="132">
        <f>5.21*N10</f>
        <v>5.21</v>
      </c>
      <c r="F1057" s="334"/>
      <c r="G1057" s="71">
        <v>0.09</v>
      </c>
      <c r="H1057" s="67">
        <f>E1057*G1057</f>
        <v>0.46889999999999998</v>
      </c>
      <c r="I1057" s="133"/>
      <c r="J1057" s="134"/>
      <c r="K1057" s="324">
        <v>0.2999</v>
      </c>
      <c r="L1057" s="191">
        <f t="shared" si="23"/>
        <v>1.4842</v>
      </c>
    </row>
    <row r="1058" spans="1:14" s="64" customFormat="1" x14ac:dyDescent="0.2">
      <c r="A1058" s="63"/>
      <c r="B1058" s="385"/>
      <c r="C1058" s="122" t="s">
        <v>259</v>
      </c>
      <c r="D1058" s="75" t="s">
        <v>53</v>
      </c>
      <c r="E1058" s="67">
        <f>3.77*N10</f>
        <v>3.77</v>
      </c>
      <c r="F1058" s="334"/>
      <c r="G1058" s="71">
        <v>0.09</v>
      </c>
      <c r="H1058" s="67">
        <f>E1058*G1058</f>
        <v>0.33929999999999999</v>
      </c>
      <c r="I1058" s="133"/>
      <c r="J1058" s="134"/>
      <c r="K1058" s="324">
        <v>0.2999</v>
      </c>
      <c r="L1058" s="191">
        <f t="shared" si="23"/>
        <v>1.4842</v>
      </c>
    </row>
    <row r="1059" spans="1:14" s="64" customFormat="1" hidden="1" x14ac:dyDescent="0.2">
      <c r="A1059" s="63"/>
      <c r="B1059" s="385"/>
      <c r="C1059" s="122"/>
      <c r="D1059" s="75"/>
      <c r="E1059" s="67"/>
      <c r="F1059" s="327"/>
      <c r="G1059" s="71"/>
      <c r="H1059" s="67"/>
      <c r="I1059" s="67"/>
      <c r="J1059" s="134"/>
      <c r="K1059" s="324">
        <v>0.2999</v>
      </c>
      <c r="L1059" s="191">
        <f t="shared" si="23"/>
        <v>1.4842</v>
      </c>
    </row>
    <row r="1060" spans="1:14" s="64" customFormat="1" x14ac:dyDescent="0.2">
      <c r="A1060" s="63"/>
      <c r="B1060" s="385"/>
      <c r="C1060" s="122"/>
      <c r="D1060" s="75"/>
      <c r="E1060" s="438" t="str">
        <f>E1050</f>
        <v>Custo Direto</v>
      </c>
      <c r="F1060" s="438"/>
      <c r="G1060" s="438"/>
      <c r="H1060" s="69">
        <f>SUM(H1056:H1058)</f>
        <v>0.80820000000000003</v>
      </c>
      <c r="I1060" s="69">
        <f>SUM(I1056:I1058)</f>
        <v>539.46899999999994</v>
      </c>
      <c r="J1060" s="134"/>
      <c r="K1060" s="324">
        <v>0.2999</v>
      </c>
      <c r="L1060" s="191">
        <f t="shared" si="23"/>
        <v>1.4842</v>
      </c>
    </row>
    <row r="1061" spans="1:14" s="64" customFormat="1" x14ac:dyDescent="0.2">
      <c r="A1061" s="63"/>
      <c r="B1061" s="385"/>
      <c r="C1061" s="122"/>
      <c r="D1061" s="75"/>
      <c r="E1061" s="438" t="str">
        <f>E1051</f>
        <v>LS(%): 148,42</v>
      </c>
      <c r="F1061" s="438"/>
      <c r="G1061" s="438"/>
      <c r="H1061" s="67">
        <f>H1060*L1061</f>
        <v>1.19953044</v>
      </c>
      <c r="I1061" s="131"/>
      <c r="J1061" s="134"/>
      <c r="K1061" s="324">
        <v>0.2999</v>
      </c>
      <c r="L1061" s="191">
        <f t="shared" si="23"/>
        <v>1.4842</v>
      </c>
    </row>
    <row r="1062" spans="1:14" s="64" customFormat="1" x14ac:dyDescent="0.2">
      <c r="A1062" s="63"/>
      <c r="B1062" s="385"/>
      <c r="C1062" s="122"/>
      <c r="D1062" s="75"/>
      <c r="E1062" s="438" t="str">
        <f>E1052</f>
        <v>BDI (%): 29,99</v>
      </c>
      <c r="F1062" s="438"/>
      <c r="G1062" s="438"/>
      <c r="H1062" s="439">
        <f>(H1060+I1060+H1061)*K1062</f>
        <v>162.388871458956</v>
      </c>
      <c r="I1062" s="439"/>
      <c r="J1062" s="134"/>
      <c r="K1062" s="324">
        <v>0.2999</v>
      </c>
      <c r="L1062" s="191">
        <f t="shared" si="23"/>
        <v>1.4842</v>
      </c>
    </row>
    <row r="1063" spans="1:14" s="64" customFormat="1" x14ac:dyDescent="0.2">
      <c r="A1063" s="63"/>
      <c r="B1063" s="385"/>
      <c r="C1063" s="122"/>
      <c r="D1063" s="75"/>
      <c r="E1063" s="438" t="str">
        <f>E1053</f>
        <v>Valor Total c/ Taxas</v>
      </c>
      <c r="F1063" s="438"/>
      <c r="G1063" s="438"/>
      <c r="H1063" s="67"/>
      <c r="I1063" s="69">
        <f>(H1060+I1060+H1061+H1062)</f>
        <v>703.86560189895602</v>
      </c>
      <c r="J1063" s="134"/>
      <c r="K1063" s="324">
        <v>0.2999</v>
      </c>
      <c r="L1063" s="191">
        <f t="shared" si="23"/>
        <v>1.4842</v>
      </c>
      <c r="M1063" s="401">
        <v>703.87</v>
      </c>
      <c r="N1063" s="86">
        <f>I1063-M1063</f>
        <v>-4.3981010439892998E-3</v>
      </c>
    </row>
    <row r="1064" spans="1:14" s="64" customFormat="1" x14ac:dyDescent="0.2">
      <c r="A1064" s="63"/>
      <c r="B1064" s="385"/>
      <c r="C1064" s="122"/>
      <c r="D1064" s="75"/>
      <c r="E1064" s="382"/>
      <c r="F1064" s="382"/>
      <c r="G1064" s="382"/>
      <c r="H1064" s="67"/>
      <c r="I1064" s="69"/>
      <c r="J1064" s="134"/>
      <c r="K1064" s="324"/>
      <c r="L1064" s="191">
        <f t="shared" si="23"/>
        <v>1.4842</v>
      </c>
      <c r="M1064" s="401"/>
      <c r="N1064" s="86"/>
    </row>
    <row r="1065" spans="1:14" s="64" customFormat="1" x14ac:dyDescent="0.2">
      <c r="A1065" s="386"/>
      <c r="B1065" s="151"/>
      <c r="C1065" s="76" t="str">
        <f>orçamento!D124</f>
        <v>Tampa cega condulete PVC 1''</v>
      </c>
      <c r="D1065" s="386" t="s">
        <v>622</v>
      </c>
      <c r="E1065" s="67"/>
      <c r="F1065" s="327"/>
      <c r="G1065" s="71"/>
      <c r="H1065" s="67"/>
      <c r="I1065" s="67"/>
      <c r="J1065" s="134"/>
      <c r="K1065" s="324">
        <v>0.2999</v>
      </c>
      <c r="L1065" s="191">
        <f t="shared" si="23"/>
        <v>1.4842</v>
      </c>
    </row>
    <row r="1066" spans="1:14" s="64" customFormat="1" x14ac:dyDescent="0.2">
      <c r="A1066" s="63"/>
      <c r="B1066" s="385"/>
      <c r="C1066" s="122" t="str">
        <f>C1065</f>
        <v>Tampa cega condulete PVC 1''</v>
      </c>
      <c r="D1066" s="75" t="s">
        <v>622</v>
      </c>
      <c r="E1066" s="67">
        <f>0.99*N10</f>
        <v>0.99</v>
      </c>
      <c r="F1066" s="327">
        <v>2.69</v>
      </c>
      <c r="G1066" s="71">
        <v>1</v>
      </c>
      <c r="H1066" s="67"/>
      <c r="I1066" s="67">
        <f>E1066*G1066</f>
        <v>0.99</v>
      </c>
      <c r="J1066" s="134"/>
      <c r="K1066" s="324">
        <v>0.2999</v>
      </c>
      <c r="L1066" s="191">
        <f t="shared" si="23"/>
        <v>1.4842</v>
      </c>
    </row>
    <row r="1067" spans="1:14" s="64" customFormat="1" x14ac:dyDescent="0.2">
      <c r="A1067" s="63"/>
      <c r="B1067" s="385"/>
      <c r="C1067" s="122" t="s">
        <v>258</v>
      </c>
      <c r="D1067" s="75" t="s">
        <v>53</v>
      </c>
      <c r="E1067" s="132">
        <f>5.21*N10</f>
        <v>5.21</v>
      </c>
      <c r="F1067" s="334"/>
      <c r="G1067" s="71">
        <v>0.09</v>
      </c>
      <c r="H1067" s="67">
        <f>E1067*G1067</f>
        <v>0.46889999999999998</v>
      </c>
      <c r="I1067" s="133"/>
      <c r="J1067" s="134"/>
      <c r="K1067" s="324">
        <v>0.2999</v>
      </c>
      <c r="L1067" s="191">
        <f t="shared" si="23"/>
        <v>1.4842</v>
      </c>
    </row>
    <row r="1068" spans="1:14" s="64" customFormat="1" x14ac:dyDescent="0.2">
      <c r="A1068" s="63"/>
      <c r="B1068" s="385"/>
      <c r="C1068" s="122" t="s">
        <v>259</v>
      </c>
      <c r="D1068" s="75" t="s">
        <v>53</v>
      </c>
      <c r="E1068" s="67">
        <f>3.77*N10</f>
        <v>3.77</v>
      </c>
      <c r="F1068" s="334"/>
      <c r="G1068" s="71">
        <v>0.09</v>
      </c>
      <c r="H1068" s="67">
        <f>E1068*G1068</f>
        <v>0.33929999999999999</v>
      </c>
      <c r="I1068" s="133"/>
      <c r="J1068" s="134"/>
      <c r="K1068" s="324">
        <v>0.2999</v>
      </c>
      <c r="L1068" s="191">
        <f t="shared" si="23"/>
        <v>1.4842</v>
      </c>
    </row>
    <row r="1069" spans="1:14" s="64" customFormat="1" hidden="1" x14ac:dyDescent="0.2">
      <c r="A1069" s="63"/>
      <c r="B1069" s="385"/>
      <c r="C1069" s="122"/>
      <c r="D1069" s="75"/>
      <c r="E1069" s="67"/>
      <c r="F1069" s="327"/>
      <c r="G1069" s="71"/>
      <c r="H1069" s="67"/>
      <c r="I1069" s="67"/>
      <c r="J1069" s="134"/>
      <c r="K1069" s="324">
        <v>0.2999</v>
      </c>
      <c r="L1069" s="191">
        <f t="shared" si="23"/>
        <v>1.4842</v>
      </c>
    </row>
    <row r="1070" spans="1:14" s="64" customFormat="1" x14ac:dyDescent="0.2">
      <c r="A1070" s="63"/>
      <c r="B1070" s="385"/>
      <c r="C1070" s="122"/>
      <c r="D1070" s="75"/>
      <c r="E1070" s="438" t="str">
        <f>E1060</f>
        <v>Custo Direto</v>
      </c>
      <c r="F1070" s="438"/>
      <c r="G1070" s="438"/>
      <c r="H1070" s="69">
        <f>SUM(H1066:H1068)</f>
        <v>0.80820000000000003</v>
      </c>
      <c r="I1070" s="69">
        <f>SUM(I1066:I1068)</f>
        <v>0.99</v>
      </c>
      <c r="J1070" s="134"/>
      <c r="K1070" s="324">
        <v>0.2999</v>
      </c>
      <c r="L1070" s="191">
        <f t="shared" si="23"/>
        <v>1.4842</v>
      </c>
    </row>
    <row r="1071" spans="1:14" s="64" customFormat="1" x14ac:dyDescent="0.2">
      <c r="A1071" s="63"/>
      <c r="B1071" s="385"/>
      <c r="C1071" s="122"/>
      <c r="D1071" s="75"/>
      <c r="E1071" s="438" t="str">
        <f>E1061</f>
        <v>LS(%): 148,42</v>
      </c>
      <c r="F1071" s="438"/>
      <c r="G1071" s="438"/>
      <c r="H1071" s="67">
        <f>H1070*L1071</f>
        <v>1.19953044</v>
      </c>
      <c r="I1071" s="131"/>
      <c r="J1071" s="134"/>
      <c r="K1071" s="324">
        <v>0.2999</v>
      </c>
      <c r="L1071" s="191">
        <f t="shared" si="23"/>
        <v>1.4842</v>
      </c>
    </row>
    <row r="1072" spans="1:14" s="64" customFormat="1" x14ac:dyDescent="0.2">
      <c r="A1072" s="63"/>
      <c r="B1072" s="385"/>
      <c r="C1072" s="122"/>
      <c r="D1072" s="75"/>
      <c r="E1072" s="438" t="str">
        <f>E1062</f>
        <v>BDI (%): 29,99</v>
      </c>
      <c r="F1072" s="438"/>
      <c r="G1072" s="438"/>
      <c r="H1072" s="439">
        <f>(H1070+I1070+H1071)*K1072</f>
        <v>0.89901935895599994</v>
      </c>
      <c r="I1072" s="439"/>
      <c r="J1072" s="134"/>
      <c r="K1072" s="324">
        <v>0.2999</v>
      </c>
      <c r="L1072" s="191">
        <f t="shared" si="23"/>
        <v>1.4842</v>
      </c>
    </row>
    <row r="1073" spans="1:14" s="64" customFormat="1" x14ac:dyDescent="0.2">
      <c r="A1073" s="63"/>
      <c r="B1073" s="385"/>
      <c r="C1073" s="122"/>
      <c r="D1073" s="75"/>
      <c r="E1073" s="438" t="str">
        <f>E1063</f>
        <v>Valor Total c/ Taxas</v>
      </c>
      <c r="F1073" s="438"/>
      <c r="G1073" s="438"/>
      <c r="H1073" s="67"/>
      <c r="I1073" s="69">
        <f>(H1070+I1070+H1071+H1072)</f>
        <v>3.8967497989559998</v>
      </c>
      <c r="J1073" s="134"/>
      <c r="K1073" s="324">
        <v>0.2999</v>
      </c>
      <c r="L1073" s="191">
        <f t="shared" si="23"/>
        <v>1.4842</v>
      </c>
      <c r="M1073" s="401">
        <v>3.9</v>
      </c>
      <c r="N1073" s="86">
        <f>I1073-M1073</f>
        <v>-3.2502010440000895E-3</v>
      </c>
    </row>
    <row r="1074" spans="1:14" s="64" customFormat="1" x14ac:dyDescent="0.2">
      <c r="A1074" s="63"/>
      <c r="B1074" s="385"/>
      <c r="C1074" s="122"/>
      <c r="D1074" s="75"/>
      <c r="E1074" s="382"/>
      <c r="F1074" s="382"/>
      <c r="G1074" s="382"/>
      <c r="H1074" s="67"/>
      <c r="I1074" s="69"/>
      <c r="J1074" s="134"/>
      <c r="K1074" s="324"/>
      <c r="L1074" s="191">
        <f t="shared" ref="L1074:L1184" si="24">L1073</f>
        <v>1.4842</v>
      </c>
      <c r="M1074" s="401"/>
      <c r="N1074" s="86"/>
    </row>
    <row r="1075" spans="1:14" s="64" customFormat="1" x14ac:dyDescent="0.2">
      <c r="A1075" s="386"/>
      <c r="B1075" s="151"/>
      <c r="C1075" s="76" t="str">
        <f>orçamento!D125</f>
        <v>Tampa cega Petrolet 1''</v>
      </c>
      <c r="D1075" s="386" t="s">
        <v>622</v>
      </c>
      <c r="E1075" s="67"/>
      <c r="F1075" s="327"/>
      <c r="G1075" s="71"/>
      <c r="H1075" s="67"/>
      <c r="I1075" s="67"/>
      <c r="J1075" s="134"/>
      <c r="K1075" s="324">
        <v>0.2999</v>
      </c>
      <c r="L1075" s="191">
        <f t="shared" si="23"/>
        <v>1.4842</v>
      </c>
    </row>
    <row r="1076" spans="1:14" s="64" customFormat="1" x14ac:dyDescent="0.2">
      <c r="A1076" s="63"/>
      <c r="B1076" s="385"/>
      <c r="C1076" s="122" t="str">
        <f>C1075</f>
        <v>Tampa cega Petrolet 1''</v>
      </c>
      <c r="D1076" s="75" t="s">
        <v>622</v>
      </c>
      <c r="E1076" s="67">
        <f>2.26*N10</f>
        <v>2.2599999999999998</v>
      </c>
      <c r="F1076" s="327">
        <v>2.69</v>
      </c>
      <c r="G1076" s="71">
        <v>1.1000000000000001</v>
      </c>
      <c r="H1076" s="67"/>
      <c r="I1076" s="67">
        <f>E1076*G1076</f>
        <v>2.4859999999999998</v>
      </c>
      <c r="J1076" s="134"/>
      <c r="K1076" s="324">
        <v>0.2999</v>
      </c>
      <c r="L1076" s="191">
        <f t="shared" ref="L1076:L1083" si="25">L1075</f>
        <v>1.4842</v>
      </c>
    </row>
    <row r="1077" spans="1:14" s="64" customFormat="1" x14ac:dyDescent="0.2">
      <c r="A1077" s="63"/>
      <c r="B1077" s="385"/>
      <c r="C1077" s="122" t="s">
        <v>258</v>
      </c>
      <c r="D1077" s="75" t="s">
        <v>53</v>
      </c>
      <c r="E1077" s="132">
        <f>5.21*N10</f>
        <v>5.21</v>
      </c>
      <c r="F1077" s="334"/>
      <c r="G1077" s="71">
        <v>0.08</v>
      </c>
      <c r="H1077" s="67">
        <f>E1077*G1077</f>
        <v>0.4168</v>
      </c>
      <c r="I1077" s="133"/>
      <c r="J1077" s="134"/>
      <c r="K1077" s="324">
        <v>0.2999</v>
      </c>
      <c r="L1077" s="191">
        <f t="shared" si="25"/>
        <v>1.4842</v>
      </c>
    </row>
    <row r="1078" spans="1:14" s="64" customFormat="1" x14ac:dyDescent="0.2">
      <c r="A1078" s="63"/>
      <c r="B1078" s="385"/>
      <c r="C1078" s="122" t="s">
        <v>259</v>
      </c>
      <c r="D1078" s="75" t="s">
        <v>53</v>
      </c>
      <c r="E1078" s="67">
        <f>3.77*N10</f>
        <v>3.77</v>
      </c>
      <c r="F1078" s="334"/>
      <c r="G1078" s="71">
        <v>0.08</v>
      </c>
      <c r="H1078" s="67">
        <f>E1078*G1078</f>
        <v>0.30160000000000003</v>
      </c>
      <c r="I1078" s="133"/>
      <c r="J1078" s="134"/>
      <c r="K1078" s="324">
        <v>0.2999</v>
      </c>
      <c r="L1078" s="191">
        <f t="shared" si="25"/>
        <v>1.4842</v>
      </c>
    </row>
    <row r="1079" spans="1:14" s="64" customFormat="1" hidden="1" x14ac:dyDescent="0.2">
      <c r="A1079" s="63"/>
      <c r="B1079" s="385"/>
      <c r="C1079" s="122"/>
      <c r="D1079" s="75"/>
      <c r="E1079" s="67"/>
      <c r="F1079" s="327"/>
      <c r="G1079" s="71"/>
      <c r="H1079" s="67"/>
      <c r="I1079" s="67"/>
      <c r="J1079" s="134"/>
      <c r="K1079" s="324">
        <v>0.2999</v>
      </c>
      <c r="L1079" s="191">
        <f t="shared" si="25"/>
        <v>1.4842</v>
      </c>
    </row>
    <row r="1080" spans="1:14" s="64" customFormat="1" x14ac:dyDescent="0.2">
      <c r="A1080" s="63"/>
      <c r="B1080" s="385"/>
      <c r="C1080" s="122"/>
      <c r="D1080" s="75"/>
      <c r="E1080" s="438" t="str">
        <f>E1070</f>
        <v>Custo Direto</v>
      </c>
      <c r="F1080" s="438"/>
      <c r="G1080" s="438"/>
      <c r="H1080" s="69">
        <f>SUM(H1076:H1078)</f>
        <v>0.71840000000000004</v>
      </c>
      <c r="I1080" s="69">
        <f>SUM(I1076:I1078)</f>
        <v>2.4859999999999998</v>
      </c>
      <c r="J1080" s="134"/>
      <c r="K1080" s="324">
        <v>0.2999</v>
      </c>
      <c r="L1080" s="191">
        <f t="shared" si="25"/>
        <v>1.4842</v>
      </c>
    </row>
    <row r="1081" spans="1:14" s="64" customFormat="1" x14ac:dyDescent="0.2">
      <c r="A1081" s="63"/>
      <c r="B1081" s="385"/>
      <c r="C1081" s="122"/>
      <c r="D1081" s="75"/>
      <c r="E1081" s="438" t="str">
        <f>E1071</f>
        <v>LS(%): 148,42</v>
      </c>
      <c r="F1081" s="438"/>
      <c r="G1081" s="438"/>
      <c r="H1081" s="67">
        <f>H1080*L1081</f>
        <v>1.0662492800000001</v>
      </c>
      <c r="I1081" s="131"/>
      <c r="J1081" s="134"/>
      <c r="K1081" s="324">
        <v>0.2999</v>
      </c>
      <c r="L1081" s="191">
        <f t="shared" si="25"/>
        <v>1.4842</v>
      </c>
    </row>
    <row r="1082" spans="1:14" s="64" customFormat="1" x14ac:dyDescent="0.2">
      <c r="A1082" s="63"/>
      <c r="B1082" s="385"/>
      <c r="C1082" s="122"/>
      <c r="D1082" s="75"/>
      <c r="E1082" s="438" t="str">
        <f>E1072</f>
        <v>BDI (%): 29,99</v>
      </c>
      <c r="F1082" s="438"/>
      <c r="G1082" s="438"/>
      <c r="H1082" s="439">
        <f>(H1080+I1080+H1081)*K1082</f>
        <v>1.2807677190719999</v>
      </c>
      <c r="I1082" s="439"/>
      <c r="J1082" s="134"/>
      <c r="K1082" s="324">
        <v>0.2999</v>
      </c>
      <c r="L1082" s="191">
        <f t="shared" si="25"/>
        <v>1.4842</v>
      </c>
    </row>
    <row r="1083" spans="1:14" s="64" customFormat="1" x14ac:dyDescent="0.2">
      <c r="A1083" s="63"/>
      <c r="B1083" s="385"/>
      <c r="C1083" s="122"/>
      <c r="D1083" s="75"/>
      <c r="E1083" s="438" t="str">
        <f>E1073</f>
        <v>Valor Total c/ Taxas</v>
      </c>
      <c r="F1083" s="438"/>
      <c r="G1083" s="438"/>
      <c r="H1083" s="67"/>
      <c r="I1083" s="69">
        <f>(H1080+I1080+H1081+H1082)</f>
        <v>5.5514169990719999</v>
      </c>
      <c r="J1083" s="134"/>
      <c r="K1083" s="324">
        <v>0.2999</v>
      </c>
      <c r="L1083" s="191">
        <f t="shared" si="25"/>
        <v>1.4842</v>
      </c>
      <c r="M1083" s="401">
        <v>5.5</v>
      </c>
      <c r="N1083" s="86">
        <f>I1083-M1083</f>
        <v>5.1416999071999925E-2</v>
      </c>
    </row>
    <row r="1084" spans="1:14" s="64" customFormat="1" x14ac:dyDescent="0.2">
      <c r="A1084" s="63"/>
      <c r="B1084" s="385"/>
      <c r="C1084" s="122"/>
      <c r="D1084" s="75"/>
      <c r="E1084" s="382"/>
      <c r="F1084" s="382"/>
      <c r="G1084" s="382"/>
      <c r="H1084" s="67"/>
      <c r="I1084" s="69"/>
      <c r="J1084" s="134"/>
      <c r="K1084" s="324"/>
      <c r="L1084" s="191">
        <f t="shared" si="24"/>
        <v>1.4842</v>
      </c>
      <c r="M1084" s="401"/>
      <c r="N1084" s="86"/>
    </row>
    <row r="1085" spans="1:14" s="64" customFormat="1" x14ac:dyDescent="0.2">
      <c r="A1085" s="386"/>
      <c r="B1085" s="151"/>
      <c r="C1085" s="76" t="str">
        <f>orçamento!D126</f>
        <v xml:space="preserve">Tampa concreto e=5 cm p/cx. Passagem </v>
      </c>
      <c r="D1085" s="386" t="s">
        <v>622</v>
      </c>
      <c r="E1085" s="67"/>
      <c r="F1085" s="327"/>
      <c r="G1085" s="71"/>
      <c r="H1085" s="67"/>
      <c r="I1085" s="67"/>
      <c r="J1085" s="134"/>
      <c r="K1085" s="324">
        <v>0.2999</v>
      </c>
      <c r="L1085" s="191">
        <f t="shared" si="24"/>
        <v>1.4842</v>
      </c>
    </row>
    <row r="1086" spans="1:14" s="64" customFormat="1" x14ac:dyDescent="0.2">
      <c r="A1086" s="63"/>
      <c r="B1086" s="385"/>
      <c r="C1086" s="122" t="str">
        <f t="shared" ref="C1086" si="26">C1085</f>
        <v xml:space="preserve">Tampa concreto e=5 cm p/cx. Passagem </v>
      </c>
      <c r="D1086" s="75" t="s">
        <v>622</v>
      </c>
      <c r="E1086" s="67">
        <f>14.901*N10</f>
        <v>14.901</v>
      </c>
      <c r="F1086" s="327">
        <v>2.69</v>
      </c>
      <c r="G1086" s="71">
        <v>3.4</v>
      </c>
      <c r="H1086" s="67"/>
      <c r="I1086" s="67">
        <f t="shared" ref="I1086" si="27">E1086*G1086</f>
        <v>50.663399999999996</v>
      </c>
      <c r="J1086" s="134"/>
      <c r="K1086" s="324">
        <v>0.2999</v>
      </c>
      <c r="L1086" s="191">
        <f t="shared" si="24"/>
        <v>1.4842</v>
      </c>
    </row>
    <row r="1087" spans="1:14" s="64" customFormat="1" x14ac:dyDescent="0.2">
      <c r="A1087" s="63"/>
      <c r="B1087" s="385"/>
      <c r="C1087" s="122" t="s">
        <v>258</v>
      </c>
      <c r="D1087" s="75" t="s">
        <v>53</v>
      </c>
      <c r="E1087" s="132">
        <f>5.21*N10</f>
        <v>5.21</v>
      </c>
      <c r="F1087" s="334"/>
      <c r="G1087" s="71">
        <v>0.09</v>
      </c>
      <c r="H1087" s="67">
        <f t="shared" ref="H1087:H1088" si="28">E1087*G1087</f>
        <v>0.46889999999999998</v>
      </c>
      <c r="I1087" s="133"/>
      <c r="J1087" s="134"/>
      <c r="K1087" s="324">
        <v>0.2999</v>
      </c>
      <c r="L1087" s="191">
        <f t="shared" si="24"/>
        <v>1.4842</v>
      </c>
    </row>
    <row r="1088" spans="1:14" s="64" customFormat="1" x14ac:dyDescent="0.2">
      <c r="A1088" s="63"/>
      <c r="B1088" s="385"/>
      <c r="C1088" s="122" t="s">
        <v>259</v>
      </c>
      <c r="D1088" s="75" t="s">
        <v>53</v>
      </c>
      <c r="E1088" s="67">
        <f>3.77*N10</f>
        <v>3.77</v>
      </c>
      <c r="F1088" s="334"/>
      <c r="G1088" s="71">
        <v>0.09</v>
      </c>
      <c r="H1088" s="67">
        <f t="shared" si="28"/>
        <v>0.33929999999999999</v>
      </c>
      <c r="I1088" s="133"/>
      <c r="J1088" s="134"/>
      <c r="K1088" s="324">
        <v>0.2999</v>
      </c>
      <c r="L1088" s="191">
        <f t="shared" si="24"/>
        <v>1.4842</v>
      </c>
    </row>
    <row r="1089" spans="1:14" s="64" customFormat="1" hidden="1" x14ac:dyDescent="0.2">
      <c r="A1089" s="63"/>
      <c r="B1089" s="385"/>
      <c r="C1089" s="122"/>
      <c r="D1089" s="75"/>
      <c r="E1089" s="67"/>
      <c r="F1089" s="327"/>
      <c r="G1089" s="71"/>
      <c r="H1089" s="67"/>
      <c r="I1089" s="67"/>
      <c r="J1089" s="134"/>
      <c r="K1089" s="324">
        <v>0.2999</v>
      </c>
      <c r="L1089" s="191">
        <f t="shared" si="24"/>
        <v>1.4842</v>
      </c>
    </row>
    <row r="1090" spans="1:14" s="64" customFormat="1" x14ac:dyDescent="0.2">
      <c r="A1090" s="63"/>
      <c r="B1090" s="385"/>
      <c r="C1090" s="122"/>
      <c r="D1090" s="75"/>
      <c r="E1090" s="438" t="str">
        <f t="shared" ref="E1090:E1093" si="29">E1080</f>
        <v>Custo Direto</v>
      </c>
      <c r="F1090" s="438"/>
      <c r="G1090" s="438"/>
      <c r="H1090" s="69">
        <f t="shared" ref="H1090:I1090" si="30">SUM(H1086:H1088)</f>
        <v>0.80820000000000003</v>
      </c>
      <c r="I1090" s="69">
        <f t="shared" si="30"/>
        <v>50.663399999999996</v>
      </c>
      <c r="J1090" s="134"/>
      <c r="K1090" s="324">
        <v>0.2999</v>
      </c>
      <c r="L1090" s="191">
        <f t="shared" si="24"/>
        <v>1.4842</v>
      </c>
    </row>
    <row r="1091" spans="1:14" s="64" customFormat="1" x14ac:dyDescent="0.2">
      <c r="A1091" s="63"/>
      <c r="B1091" s="385"/>
      <c r="C1091" s="122"/>
      <c r="D1091" s="75"/>
      <c r="E1091" s="438" t="str">
        <f t="shared" si="29"/>
        <v>LS(%): 148,42</v>
      </c>
      <c r="F1091" s="438"/>
      <c r="G1091" s="438"/>
      <c r="H1091" s="67">
        <f t="shared" ref="H1091" si="31">H1090*L1091</f>
        <v>1.19953044</v>
      </c>
      <c r="I1091" s="131"/>
      <c r="J1091" s="134"/>
      <c r="K1091" s="324">
        <v>0.2999</v>
      </c>
      <c r="L1091" s="191">
        <f t="shared" si="24"/>
        <v>1.4842</v>
      </c>
    </row>
    <row r="1092" spans="1:14" s="64" customFormat="1" x14ac:dyDescent="0.2">
      <c r="A1092" s="63"/>
      <c r="B1092" s="385"/>
      <c r="C1092" s="122"/>
      <c r="D1092" s="75"/>
      <c r="E1092" s="438" t="str">
        <f t="shared" si="29"/>
        <v>BDI (%): 29,99</v>
      </c>
      <c r="F1092" s="438"/>
      <c r="G1092" s="438"/>
      <c r="H1092" s="439">
        <f t="shared" ref="H1092" si="32">(H1090+I1090+H1091)*K1092</f>
        <v>15.796072018955998</v>
      </c>
      <c r="I1092" s="439"/>
      <c r="J1092" s="134"/>
      <c r="K1092" s="324">
        <v>0.2999</v>
      </c>
      <c r="L1092" s="191">
        <f t="shared" si="24"/>
        <v>1.4842</v>
      </c>
    </row>
    <row r="1093" spans="1:14" s="64" customFormat="1" x14ac:dyDescent="0.2">
      <c r="A1093" s="63"/>
      <c r="B1093" s="385"/>
      <c r="C1093" s="122"/>
      <c r="D1093" s="75"/>
      <c r="E1093" s="438" t="str">
        <f t="shared" si="29"/>
        <v>Valor Total c/ Taxas</v>
      </c>
      <c r="F1093" s="438"/>
      <c r="G1093" s="438"/>
      <c r="H1093" s="67"/>
      <c r="I1093" s="69">
        <f t="shared" ref="I1093" si="33">(H1090+I1090+H1091+H1092)</f>
        <v>68.467202458955995</v>
      </c>
      <c r="J1093" s="134"/>
      <c r="K1093" s="324">
        <v>0.2999</v>
      </c>
      <c r="L1093" s="191">
        <f t="shared" si="24"/>
        <v>1.4842</v>
      </c>
      <c r="M1093" s="401">
        <v>68.47</v>
      </c>
      <c r="N1093" s="86">
        <f t="shared" ref="N1093" si="34">I1093-M1093</f>
        <v>-2.7975410440035375E-3</v>
      </c>
    </row>
    <row r="1094" spans="1:14" s="64" customFormat="1" x14ac:dyDescent="0.2">
      <c r="A1094" s="63"/>
      <c r="B1094" s="385"/>
      <c r="C1094" s="122"/>
      <c r="D1094" s="75"/>
      <c r="E1094" s="382"/>
      <c r="F1094" s="382"/>
      <c r="G1094" s="382"/>
      <c r="H1094" s="67"/>
      <c r="I1094" s="69"/>
      <c r="J1094" s="134"/>
      <c r="K1094" s="324"/>
      <c r="L1094" s="191"/>
      <c r="M1094" s="401"/>
      <c r="N1094" s="86"/>
    </row>
    <row r="1095" spans="1:14" s="64" customFormat="1" x14ac:dyDescent="0.2">
      <c r="A1095" s="386"/>
      <c r="B1095" s="151"/>
      <c r="C1095" s="76" t="str">
        <f>orçamento!D127</f>
        <v>Tampa de ferro fundido R1 com base</v>
      </c>
      <c r="D1095" s="386" t="s">
        <v>622</v>
      </c>
      <c r="E1095" s="67"/>
      <c r="F1095" s="327"/>
      <c r="G1095" s="71"/>
      <c r="H1095" s="67"/>
      <c r="I1095" s="67"/>
      <c r="J1095" s="134"/>
      <c r="K1095" s="324">
        <v>0.2999</v>
      </c>
      <c r="L1095" s="191">
        <f>L1093</f>
        <v>1.4842</v>
      </c>
    </row>
    <row r="1096" spans="1:14" s="64" customFormat="1" x14ac:dyDescent="0.2">
      <c r="A1096" s="63"/>
      <c r="B1096" s="385"/>
      <c r="C1096" s="122" t="str">
        <f t="shared" ref="C1096" si="35">C1095</f>
        <v>Tampa de ferro fundido R1 com base</v>
      </c>
      <c r="D1096" s="75" t="s">
        <v>622</v>
      </c>
      <c r="E1096" s="67">
        <f>59.975*N10</f>
        <v>59.975000000000001</v>
      </c>
      <c r="F1096" s="327">
        <v>2.69</v>
      </c>
      <c r="G1096" s="71">
        <v>4</v>
      </c>
      <c r="H1096" s="67"/>
      <c r="I1096" s="67">
        <f t="shared" ref="I1096" si="36">E1096*G1096</f>
        <v>239.9</v>
      </c>
      <c r="J1096" s="134"/>
      <c r="K1096" s="324">
        <v>0.2999</v>
      </c>
      <c r="L1096" s="191">
        <f t="shared" si="24"/>
        <v>1.4842</v>
      </c>
    </row>
    <row r="1097" spans="1:14" s="64" customFormat="1" x14ac:dyDescent="0.2">
      <c r="A1097" s="63"/>
      <c r="B1097" s="385"/>
      <c r="C1097" s="122" t="s">
        <v>258</v>
      </c>
      <c r="D1097" s="75" t="s">
        <v>53</v>
      </c>
      <c r="E1097" s="132">
        <f>5.21*N10</f>
        <v>5.21</v>
      </c>
      <c r="F1097" s="334"/>
      <c r="G1097" s="71">
        <v>0.09</v>
      </c>
      <c r="H1097" s="67">
        <f t="shared" ref="H1097:H1098" si="37">E1097*G1097</f>
        <v>0.46889999999999998</v>
      </c>
      <c r="I1097" s="133"/>
      <c r="J1097" s="134"/>
      <c r="K1097" s="324">
        <v>0.2999</v>
      </c>
      <c r="L1097" s="191">
        <f t="shared" si="24"/>
        <v>1.4842</v>
      </c>
    </row>
    <row r="1098" spans="1:14" s="64" customFormat="1" x14ac:dyDescent="0.2">
      <c r="A1098" s="63"/>
      <c r="B1098" s="385"/>
      <c r="C1098" s="122" t="s">
        <v>259</v>
      </c>
      <c r="D1098" s="75" t="s">
        <v>53</v>
      </c>
      <c r="E1098" s="67">
        <f>3.77*N10</f>
        <v>3.77</v>
      </c>
      <c r="F1098" s="334"/>
      <c r="G1098" s="71">
        <v>0.09</v>
      </c>
      <c r="H1098" s="67">
        <f t="shared" si="37"/>
        <v>0.33929999999999999</v>
      </c>
      <c r="I1098" s="133"/>
      <c r="J1098" s="134"/>
      <c r="K1098" s="324">
        <v>0.2999</v>
      </c>
      <c r="L1098" s="191">
        <f t="shared" si="24"/>
        <v>1.4842</v>
      </c>
    </row>
    <row r="1099" spans="1:14" s="64" customFormat="1" hidden="1" x14ac:dyDescent="0.2">
      <c r="A1099" s="63"/>
      <c r="B1099" s="385"/>
      <c r="C1099" s="122"/>
      <c r="D1099" s="75"/>
      <c r="E1099" s="67"/>
      <c r="F1099" s="327"/>
      <c r="G1099" s="71"/>
      <c r="H1099" s="67"/>
      <c r="I1099" s="67"/>
      <c r="J1099" s="134"/>
      <c r="K1099" s="324">
        <v>0.2999</v>
      </c>
      <c r="L1099" s="191">
        <f t="shared" si="24"/>
        <v>1.4842</v>
      </c>
    </row>
    <row r="1100" spans="1:14" s="64" customFormat="1" x14ac:dyDescent="0.2">
      <c r="A1100" s="63"/>
      <c r="B1100" s="385"/>
      <c r="C1100" s="122"/>
      <c r="D1100" s="75"/>
      <c r="E1100" s="438" t="str">
        <f>E1090</f>
        <v>Custo Direto</v>
      </c>
      <c r="F1100" s="438"/>
      <c r="G1100" s="438"/>
      <c r="H1100" s="69">
        <f t="shared" ref="H1100:I1100" si="38">SUM(H1096:H1098)</f>
        <v>0.80820000000000003</v>
      </c>
      <c r="I1100" s="69">
        <f t="shared" si="38"/>
        <v>239.9</v>
      </c>
      <c r="J1100" s="134"/>
      <c r="K1100" s="324">
        <v>0.2999</v>
      </c>
      <c r="L1100" s="191">
        <f t="shared" si="24"/>
        <v>1.4842</v>
      </c>
    </row>
    <row r="1101" spans="1:14" s="64" customFormat="1" x14ac:dyDescent="0.2">
      <c r="A1101" s="63"/>
      <c r="B1101" s="385"/>
      <c r="C1101" s="122"/>
      <c r="D1101" s="75"/>
      <c r="E1101" s="438" t="str">
        <f>E1091</f>
        <v>LS(%): 148,42</v>
      </c>
      <c r="F1101" s="438"/>
      <c r="G1101" s="438"/>
      <c r="H1101" s="67">
        <f t="shared" ref="H1101" si="39">H1100*L1101</f>
        <v>1.19953044</v>
      </c>
      <c r="I1101" s="131"/>
      <c r="J1101" s="134"/>
      <c r="K1101" s="324">
        <v>0.2999</v>
      </c>
      <c r="L1101" s="191">
        <f t="shared" si="24"/>
        <v>1.4842</v>
      </c>
    </row>
    <row r="1102" spans="1:14" s="64" customFormat="1" x14ac:dyDescent="0.2">
      <c r="A1102" s="63"/>
      <c r="B1102" s="385"/>
      <c r="C1102" s="122"/>
      <c r="D1102" s="75"/>
      <c r="E1102" s="438" t="str">
        <f>E1092</f>
        <v>BDI (%): 29,99</v>
      </c>
      <c r="F1102" s="438"/>
      <c r="G1102" s="438"/>
      <c r="H1102" s="439">
        <f t="shared" ref="H1102" si="40">(H1100+I1100+H1101)*K1102</f>
        <v>72.548128358955992</v>
      </c>
      <c r="I1102" s="439"/>
      <c r="J1102" s="134"/>
      <c r="K1102" s="324">
        <v>0.2999</v>
      </c>
      <c r="L1102" s="191">
        <f t="shared" si="24"/>
        <v>1.4842</v>
      </c>
    </row>
    <row r="1103" spans="1:14" s="64" customFormat="1" x14ac:dyDescent="0.2">
      <c r="A1103" s="63"/>
      <c r="B1103" s="385"/>
      <c r="C1103" s="122"/>
      <c r="D1103" s="75"/>
      <c r="E1103" s="438" t="str">
        <f>E1093</f>
        <v>Valor Total c/ Taxas</v>
      </c>
      <c r="F1103" s="438"/>
      <c r="G1103" s="438"/>
      <c r="H1103" s="67"/>
      <c r="I1103" s="69">
        <f t="shared" ref="I1103" si="41">(H1100+I1100+H1101+H1102)</f>
        <v>314.455858798956</v>
      </c>
      <c r="J1103" s="134"/>
      <c r="K1103" s="324">
        <v>0.2999</v>
      </c>
      <c r="L1103" s="191">
        <f t="shared" si="24"/>
        <v>1.4842</v>
      </c>
      <c r="M1103" s="401">
        <v>314.45999999999998</v>
      </c>
      <c r="N1103" s="86">
        <f t="shared" ref="N1103" si="42">I1103-M1103</f>
        <v>-4.1412010439785263E-3</v>
      </c>
    </row>
    <row r="1104" spans="1:14" s="64" customFormat="1" x14ac:dyDescent="0.2">
      <c r="A1104" s="63"/>
      <c r="B1104" s="385"/>
      <c r="C1104" s="122"/>
      <c r="D1104" s="75"/>
      <c r="E1104" s="382"/>
      <c r="F1104" s="382"/>
      <c r="G1104" s="382"/>
      <c r="H1104" s="67"/>
      <c r="I1104" s="69"/>
      <c r="J1104" s="134"/>
      <c r="K1104" s="324"/>
      <c r="L1104" s="191">
        <f t="shared" si="24"/>
        <v>1.4842</v>
      </c>
      <c r="M1104" s="401"/>
      <c r="N1104" s="86"/>
    </row>
    <row r="1105" spans="1:14" s="64" customFormat="1" x14ac:dyDescent="0.2">
      <c r="A1105" s="386"/>
      <c r="B1105" s="151"/>
      <c r="C1105" s="76" t="str">
        <f>orçamento!D128</f>
        <v>Tampa de  PVC 4'' x 2'' com furo central</v>
      </c>
      <c r="D1105" s="386" t="s">
        <v>622</v>
      </c>
      <c r="E1105" s="67"/>
      <c r="F1105" s="327"/>
      <c r="G1105" s="71"/>
      <c r="H1105" s="67"/>
      <c r="I1105" s="67"/>
      <c r="J1105" s="134"/>
      <c r="K1105" s="324">
        <v>0.2999</v>
      </c>
      <c r="L1105" s="191">
        <f>L1103</f>
        <v>1.4842</v>
      </c>
    </row>
    <row r="1106" spans="1:14" s="64" customFormat="1" x14ac:dyDescent="0.2">
      <c r="A1106" s="63"/>
      <c r="B1106" s="385"/>
      <c r="C1106" s="122" t="str">
        <f t="shared" ref="C1106" si="43">C1105</f>
        <v>Tampa de  PVC 4'' x 2'' com furo central</v>
      </c>
      <c r="D1106" s="75" t="s">
        <v>622</v>
      </c>
      <c r="E1106" s="67">
        <f>3.174*N10</f>
        <v>3.1739999999999999</v>
      </c>
      <c r="F1106" s="327">
        <v>2.69</v>
      </c>
      <c r="G1106" s="71">
        <v>1.2</v>
      </c>
      <c r="H1106" s="67"/>
      <c r="I1106" s="67">
        <f t="shared" ref="I1106" si="44">E1106*G1106</f>
        <v>3.8087999999999997</v>
      </c>
      <c r="J1106" s="134"/>
      <c r="K1106" s="324">
        <v>0.2999</v>
      </c>
      <c r="L1106" s="191">
        <f t="shared" si="24"/>
        <v>1.4842</v>
      </c>
    </row>
    <row r="1107" spans="1:14" s="64" customFormat="1" x14ac:dyDescent="0.2">
      <c r="A1107" s="63"/>
      <c r="B1107" s="385"/>
      <c r="C1107" s="122" t="s">
        <v>258</v>
      </c>
      <c r="D1107" s="75" t="s">
        <v>53</v>
      </c>
      <c r="E1107" s="132">
        <f>5.21*N10</f>
        <v>5.21</v>
      </c>
      <c r="F1107" s="334"/>
      <c r="G1107" s="71">
        <v>0.05</v>
      </c>
      <c r="H1107" s="67">
        <f t="shared" ref="H1107:H1108" si="45">E1107*G1107</f>
        <v>0.26050000000000001</v>
      </c>
      <c r="I1107" s="133"/>
      <c r="J1107" s="134"/>
      <c r="K1107" s="324">
        <v>0.2999</v>
      </c>
      <c r="L1107" s="191">
        <f t="shared" si="24"/>
        <v>1.4842</v>
      </c>
    </row>
    <row r="1108" spans="1:14" s="64" customFormat="1" x14ac:dyDescent="0.2">
      <c r="A1108" s="63"/>
      <c r="B1108" s="385"/>
      <c r="C1108" s="122" t="s">
        <v>259</v>
      </c>
      <c r="D1108" s="75" t="s">
        <v>53</v>
      </c>
      <c r="E1108" s="67">
        <f>3.77*N10</f>
        <v>3.77</v>
      </c>
      <c r="F1108" s="334"/>
      <c r="G1108" s="71">
        <v>0.05</v>
      </c>
      <c r="H1108" s="67">
        <f t="shared" si="45"/>
        <v>0.1885</v>
      </c>
      <c r="I1108" s="133"/>
      <c r="J1108" s="134"/>
      <c r="K1108" s="324">
        <v>0.2999</v>
      </c>
      <c r="L1108" s="191">
        <f t="shared" si="24"/>
        <v>1.4842</v>
      </c>
    </row>
    <row r="1109" spans="1:14" s="64" customFormat="1" hidden="1" x14ac:dyDescent="0.2">
      <c r="A1109" s="63"/>
      <c r="B1109" s="385"/>
      <c r="C1109" s="122"/>
      <c r="D1109" s="75"/>
      <c r="E1109" s="67"/>
      <c r="F1109" s="327"/>
      <c r="G1109" s="71"/>
      <c r="H1109" s="67"/>
      <c r="I1109" s="67"/>
      <c r="J1109" s="134"/>
      <c r="K1109" s="324">
        <v>0.2999</v>
      </c>
      <c r="L1109" s="191">
        <f t="shared" si="24"/>
        <v>1.4842</v>
      </c>
    </row>
    <row r="1110" spans="1:14" s="64" customFormat="1" x14ac:dyDescent="0.2">
      <c r="A1110" s="63"/>
      <c r="B1110" s="385"/>
      <c r="C1110" s="122"/>
      <c r="D1110" s="75"/>
      <c r="E1110" s="438" t="str">
        <f>E1100</f>
        <v>Custo Direto</v>
      </c>
      <c r="F1110" s="438"/>
      <c r="G1110" s="438"/>
      <c r="H1110" s="69">
        <f t="shared" ref="H1110:I1110" si="46">SUM(H1106:H1108)</f>
        <v>0.44900000000000001</v>
      </c>
      <c r="I1110" s="69">
        <f t="shared" si="46"/>
        <v>3.8087999999999997</v>
      </c>
      <c r="J1110" s="134"/>
      <c r="K1110" s="324">
        <v>0.2999</v>
      </c>
      <c r="L1110" s="191">
        <f t="shared" si="24"/>
        <v>1.4842</v>
      </c>
    </row>
    <row r="1111" spans="1:14" s="64" customFormat="1" x14ac:dyDescent="0.2">
      <c r="A1111" s="63"/>
      <c r="B1111" s="385"/>
      <c r="C1111" s="122"/>
      <c r="D1111" s="75"/>
      <c r="E1111" s="438" t="str">
        <f>E1101</f>
        <v>LS(%): 148,42</v>
      </c>
      <c r="F1111" s="438"/>
      <c r="G1111" s="438"/>
      <c r="H1111" s="67">
        <f t="shared" ref="H1111" si="47">H1110*L1111</f>
        <v>0.66640580000000005</v>
      </c>
      <c r="I1111" s="131"/>
      <c r="J1111" s="134"/>
      <c r="K1111" s="324">
        <v>0.2999</v>
      </c>
      <c r="L1111" s="191">
        <f t="shared" si="24"/>
        <v>1.4842</v>
      </c>
    </row>
    <row r="1112" spans="1:14" s="64" customFormat="1" x14ac:dyDescent="0.2">
      <c r="A1112" s="63"/>
      <c r="B1112" s="385"/>
      <c r="C1112" s="122"/>
      <c r="D1112" s="75"/>
      <c r="E1112" s="438" t="str">
        <f>E1102</f>
        <v>BDI (%): 29,99</v>
      </c>
      <c r="F1112" s="438"/>
      <c r="G1112" s="438"/>
      <c r="H1112" s="439">
        <f t="shared" ref="H1112" si="48">(H1110+I1110+H1111)*K1112</f>
        <v>1.4767693194199998</v>
      </c>
      <c r="I1112" s="439"/>
      <c r="J1112" s="134"/>
      <c r="K1112" s="324">
        <v>0.2999</v>
      </c>
      <c r="L1112" s="191">
        <f t="shared" si="24"/>
        <v>1.4842</v>
      </c>
    </row>
    <row r="1113" spans="1:14" s="64" customFormat="1" x14ac:dyDescent="0.2">
      <c r="A1113" s="63"/>
      <c r="B1113" s="385"/>
      <c r="C1113" s="122"/>
      <c r="D1113" s="75"/>
      <c r="E1113" s="438" t="str">
        <f>E1103</f>
        <v>Valor Total c/ Taxas</v>
      </c>
      <c r="F1113" s="438"/>
      <c r="G1113" s="438"/>
      <c r="H1113" s="67"/>
      <c r="I1113" s="69">
        <f t="shared" ref="I1113" si="49">(H1110+I1110+H1111+H1112)</f>
        <v>6.4009751194199991</v>
      </c>
      <c r="J1113" s="134"/>
      <c r="K1113" s="324">
        <v>0.2999</v>
      </c>
      <c r="L1113" s="191">
        <f t="shared" si="24"/>
        <v>1.4842</v>
      </c>
      <c r="M1113" s="401">
        <v>6.4</v>
      </c>
      <c r="N1113" s="86">
        <f t="shared" ref="N1113" si="50">I1113-M1113</f>
        <v>9.7511941999872676E-4</v>
      </c>
    </row>
    <row r="1114" spans="1:14" s="64" customFormat="1" x14ac:dyDescent="0.2">
      <c r="A1114" s="63"/>
      <c r="B1114" s="385"/>
      <c r="C1114" s="122"/>
      <c r="D1114" s="75"/>
      <c r="E1114" s="438"/>
      <c r="F1114" s="438"/>
      <c r="G1114" s="438"/>
      <c r="H1114" s="67"/>
      <c r="I1114" s="69"/>
      <c r="J1114" s="134"/>
      <c r="K1114" s="324"/>
      <c r="L1114" s="191">
        <f t="shared" si="24"/>
        <v>1.4842</v>
      </c>
      <c r="M1114" s="401"/>
      <c r="N1114" s="86"/>
    </row>
    <row r="1115" spans="1:14" s="64" customFormat="1" x14ac:dyDescent="0.2">
      <c r="A1115" s="386"/>
      <c r="B1115" s="151"/>
      <c r="C1115" s="76" t="str">
        <f>orçamento!D129</f>
        <v>Tampa de  PVC 4'' x 2'' x 2'' com furo central</v>
      </c>
      <c r="D1115" s="386" t="s">
        <v>622</v>
      </c>
      <c r="E1115" s="67"/>
      <c r="F1115" s="327"/>
      <c r="G1115" s="71"/>
      <c r="H1115" s="67"/>
      <c r="I1115" s="67"/>
      <c r="J1115" s="134"/>
      <c r="K1115" s="324">
        <v>0.2999</v>
      </c>
      <c r="L1115" s="191">
        <f>L1113</f>
        <v>1.4842</v>
      </c>
    </row>
    <row r="1116" spans="1:14" s="64" customFormat="1" x14ac:dyDescent="0.2">
      <c r="A1116" s="63"/>
      <c r="B1116" s="385"/>
      <c r="C1116" s="122" t="str">
        <f t="shared" ref="C1116" si="51">C1115</f>
        <v>Tampa de  PVC 4'' x 2'' x 2'' com furo central</v>
      </c>
      <c r="D1116" s="75" t="s">
        <v>622</v>
      </c>
      <c r="E1116" s="67">
        <f>3.174*N10</f>
        <v>3.1739999999999999</v>
      </c>
      <c r="F1116" s="327">
        <v>2.69</v>
      </c>
      <c r="G1116" s="71">
        <v>1.2</v>
      </c>
      <c r="H1116" s="67"/>
      <c r="I1116" s="67">
        <f t="shared" ref="I1116" si="52">E1116*G1116</f>
        <v>3.8087999999999997</v>
      </c>
      <c r="J1116" s="134"/>
      <c r="K1116" s="324">
        <v>0.2999</v>
      </c>
      <c r="L1116" s="191">
        <f t="shared" si="24"/>
        <v>1.4842</v>
      </c>
    </row>
    <row r="1117" spans="1:14" s="64" customFormat="1" x14ac:dyDescent="0.2">
      <c r="A1117" s="63"/>
      <c r="B1117" s="385"/>
      <c r="C1117" s="122" t="s">
        <v>258</v>
      </c>
      <c r="D1117" s="75" t="s">
        <v>53</v>
      </c>
      <c r="E1117" s="132">
        <f>5.21*N10</f>
        <v>5.21</v>
      </c>
      <c r="F1117" s="334"/>
      <c r="G1117" s="71">
        <v>0.05</v>
      </c>
      <c r="H1117" s="67">
        <f t="shared" ref="H1117:H1118" si="53">E1117*G1117</f>
        <v>0.26050000000000001</v>
      </c>
      <c r="I1117" s="133"/>
      <c r="J1117" s="134"/>
      <c r="K1117" s="324">
        <v>0.2999</v>
      </c>
      <c r="L1117" s="191">
        <f t="shared" si="24"/>
        <v>1.4842</v>
      </c>
    </row>
    <row r="1118" spans="1:14" s="64" customFormat="1" x14ac:dyDescent="0.2">
      <c r="A1118" s="63"/>
      <c r="B1118" s="385"/>
      <c r="C1118" s="122" t="s">
        <v>259</v>
      </c>
      <c r="D1118" s="75" t="s">
        <v>53</v>
      </c>
      <c r="E1118" s="67">
        <f>3.77*N10</f>
        <v>3.77</v>
      </c>
      <c r="F1118" s="334"/>
      <c r="G1118" s="71">
        <v>0.05</v>
      </c>
      <c r="H1118" s="67">
        <f t="shared" si="53"/>
        <v>0.1885</v>
      </c>
      <c r="I1118" s="133"/>
      <c r="J1118" s="134"/>
      <c r="K1118" s="324">
        <v>0.2999</v>
      </c>
      <c r="L1118" s="191">
        <f t="shared" si="24"/>
        <v>1.4842</v>
      </c>
    </row>
    <row r="1119" spans="1:14" s="64" customFormat="1" hidden="1" x14ac:dyDescent="0.2">
      <c r="A1119" s="63"/>
      <c r="B1119" s="385"/>
      <c r="C1119" s="122"/>
      <c r="D1119" s="75"/>
      <c r="E1119" s="67"/>
      <c r="F1119" s="327"/>
      <c r="G1119" s="71"/>
      <c r="H1119" s="67"/>
      <c r="I1119" s="67"/>
      <c r="J1119" s="134"/>
      <c r="K1119" s="324">
        <v>0.2999</v>
      </c>
      <c r="L1119" s="191">
        <f t="shared" si="24"/>
        <v>1.4842</v>
      </c>
    </row>
    <row r="1120" spans="1:14" s="64" customFormat="1" x14ac:dyDescent="0.2">
      <c r="A1120" s="63"/>
      <c r="B1120" s="385"/>
      <c r="C1120" s="122"/>
      <c r="D1120" s="75"/>
      <c r="E1120" s="438" t="str">
        <f>E1110</f>
        <v>Custo Direto</v>
      </c>
      <c r="F1120" s="438"/>
      <c r="G1120" s="438"/>
      <c r="H1120" s="69">
        <f t="shared" ref="H1120:I1120" si="54">SUM(H1116:H1118)</f>
        <v>0.44900000000000001</v>
      </c>
      <c r="I1120" s="69">
        <f t="shared" si="54"/>
        <v>3.8087999999999997</v>
      </c>
      <c r="J1120" s="134"/>
      <c r="K1120" s="324">
        <v>0.2999</v>
      </c>
      <c r="L1120" s="191">
        <f t="shared" si="24"/>
        <v>1.4842</v>
      </c>
    </row>
    <row r="1121" spans="1:14" s="64" customFormat="1" x14ac:dyDescent="0.2">
      <c r="A1121" s="63"/>
      <c r="B1121" s="385"/>
      <c r="C1121" s="122"/>
      <c r="D1121" s="75"/>
      <c r="E1121" s="438" t="str">
        <f>E1111</f>
        <v>LS(%): 148,42</v>
      </c>
      <c r="F1121" s="438"/>
      <c r="G1121" s="438"/>
      <c r="H1121" s="67">
        <f t="shared" ref="H1121" si="55">H1120*L1121</f>
        <v>0.66640580000000005</v>
      </c>
      <c r="I1121" s="131"/>
      <c r="J1121" s="134"/>
      <c r="K1121" s="324">
        <v>0.2999</v>
      </c>
      <c r="L1121" s="191">
        <f t="shared" si="24"/>
        <v>1.4842</v>
      </c>
    </row>
    <row r="1122" spans="1:14" s="64" customFormat="1" x14ac:dyDescent="0.2">
      <c r="A1122" s="63"/>
      <c r="B1122" s="385"/>
      <c r="C1122" s="122"/>
      <c r="D1122" s="75"/>
      <c r="E1122" s="438" t="str">
        <f>E1112</f>
        <v>BDI (%): 29,99</v>
      </c>
      <c r="F1122" s="438"/>
      <c r="G1122" s="438"/>
      <c r="H1122" s="439">
        <f t="shared" ref="H1122" si="56">(H1120+I1120+H1121)*K1122</f>
        <v>1.4767693194199998</v>
      </c>
      <c r="I1122" s="439"/>
      <c r="J1122" s="134"/>
      <c r="K1122" s="324">
        <v>0.2999</v>
      </c>
      <c r="L1122" s="191">
        <f t="shared" si="24"/>
        <v>1.4842</v>
      </c>
    </row>
    <row r="1123" spans="1:14" s="64" customFormat="1" x14ac:dyDescent="0.2">
      <c r="A1123" s="63"/>
      <c r="B1123" s="385"/>
      <c r="C1123" s="122"/>
      <c r="D1123" s="75"/>
      <c r="E1123" s="438" t="str">
        <f>E1113</f>
        <v>Valor Total c/ Taxas</v>
      </c>
      <c r="F1123" s="438"/>
      <c r="G1123" s="438"/>
      <c r="H1123" s="67"/>
      <c r="I1123" s="69">
        <f t="shared" ref="I1123" si="57">(H1120+I1120+H1121+H1122)</f>
        <v>6.4009751194199991</v>
      </c>
      <c r="J1123" s="134"/>
      <c r="K1123" s="324">
        <v>0.2999</v>
      </c>
      <c r="L1123" s="191">
        <f t="shared" si="24"/>
        <v>1.4842</v>
      </c>
      <c r="M1123" s="401">
        <v>6.4</v>
      </c>
      <c r="N1123" s="86">
        <f t="shared" ref="N1123" si="58">I1123-M1123</f>
        <v>9.7511941999872676E-4</v>
      </c>
    </row>
    <row r="1124" spans="1:14" s="64" customFormat="1" x14ac:dyDescent="0.2">
      <c r="A1124" s="63"/>
      <c r="B1124" s="385"/>
      <c r="C1124" s="122"/>
      <c r="D1124" s="75"/>
      <c r="E1124" s="382"/>
      <c r="F1124" s="382"/>
      <c r="G1124" s="382"/>
      <c r="H1124" s="67"/>
      <c r="I1124" s="69"/>
      <c r="J1124" s="134"/>
      <c r="K1124" s="324"/>
      <c r="L1124" s="191"/>
      <c r="M1124" s="401"/>
      <c r="N1124" s="86"/>
    </row>
    <row r="1125" spans="1:14" s="64" customFormat="1" x14ac:dyDescent="0.2">
      <c r="A1125" s="386"/>
      <c r="B1125" s="151"/>
      <c r="C1125" s="76" t="str">
        <f>orçamento!D130</f>
        <v>Tomada de 2 pólos mais terra</v>
      </c>
      <c r="D1125" s="386" t="s">
        <v>622</v>
      </c>
      <c r="E1125" s="67"/>
      <c r="F1125" s="327"/>
      <c r="G1125" s="71"/>
      <c r="H1125" s="67"/>
      <c r="I1125" s="67"/>
      <c r="J1125" s="134"/>
      <c r="K1125" s="324">
        <v>0.2999</v>
      </c>
      <c r="L1125" s="191">
        <f>L1123</f>
        <v>1.4842</v>
      </c>
    </row>
    <row r="1126" spans="1:14" s="64" customFormat="1" x14ac:dyDescent="0.2">
      <c r="A1126" s="63"/>
      <c r="B1126" s="385"/>
      <c r="C1126" s="122" t="str">
        <f t="shared" ref="C1126" si="59">C1125</f>
        <v>Tomada de 2 pólos mais terra</v>
      </c>
      <c r="D1126" s="75" t="s">
        <v>622</v>
      </c>
      <c r="E1126" s="67">
        <f>7.1*N10</f>
        <v>7.1</v>
      </c>
      <c r="F1126" s="327">
        <v>2.69</v>
      </c>
      <c r="G1126" s="71">
        <v>1.2</v>
      </c>
      <c r="H1126" s="67"/>
      <c r="I1126" s="67">
        <f t="shared" ref="I1126" si="60">E1126*G1126</f>
        <v>8.52</v>
      </c>
      <c r="J1126" s="134"/>
      <c r="K1126" s="324">
        <v>0.2999</v>
      </c>
      <c r="L1126" s="191">
        <f t="shared" si="24"/>
        <v>1.4842</v>
      </c>
    </row>
    <row r="1127" spans="1:14" s="64" customFormat="1" x14ac:dyDescent="0.2">
      <c r="A1127" s="63"/>
      <c r="B1127" s="385"/>
      <c r="C1127" s="122" t="s">
        <v>258</v>
      </c>
      <c r="D1127" s="75" t="s">
        <v>53</v>
      </c>
      <c r="E1127" s="132">
        <f>5.21*N10</f>
        <v>5.21</v>
      </c>
      <c r="F1127" s="334"/>
      <c r="G1127" s="71">
        <v>0.05</v>
      </c>
      <c r="H1127" s="67">
        <f t="shared" ref="H1127:H1128" si="61">E1127*G1127</f>
        <v>0.26050000000000001</v>
      </c>
      <c r="I1127" s="133"/>
      <c r="J1127" s="134"/>
      <c r="K1127" s="324">
        <v>0.2999</v>
      </c>
      <c r="L1127" s="191">
        <f t="shared" si="24"/>
        <v>1.4842</v>
      </c>
    </row>
    <row r="1128" spans="1:14" s="64" customFormat="1" x14ac:dyDescent="0.2">
      <c r="A1128" s="63"/>
      <c r="B1128" s="385"/>
      <c r="C1128" s="122" t="s">
        <v>259</v>
      </c>
      <c r="D1128" s="75" t="s">
        <v>53</v>
      </c>
      <c r="E1128" s="67">
        <f>3.77*N10</f>
        <v>3.77</v>
      </c>
      <c r="F1128" s="334"/>
      <c r="G1128" s="71">
        <v>0.05</v>
      </c>
      <c r="H1128" s="67">
        <f t="shared" si="61"/>
        <v>0.1885</v>
      </c>
      <c r="I1128" s="133"/>
      <c r="J1128" s="134"/>
      <c r="K1128" s="324">
        <v>0.2999</v>
      </c>
      <c r="L1128" s="191">
        <f t="shared" si="24"/>
        <v>1.4842</v>
      </c>
    </row>
    <row r="1129" spans="1:14" s="64" customFormat="1" hidden="1" x14ac:dyDescent="0.2">
      <c r="A1129" s="63"/>
      <c r="B1129" s="385"/>
      <c r="C1129" s="122"/>
      <c r="D1129" s="75"/>
      <c r="E1129" s="67"/>
      <c r="F1129" s="327"/>
      <c r="G1129" s="71"/>
      <c r="H1129" s="67"/>
      <c r="I1129" s="67"/>
      <c r="J1129" s="134"/>
      <c r="K1129" s="324">
        <v>0.2999</v>
      </c>
      <c r="L1129" s="191">
        <f t="shared" si="24"/>
        <v>1.4842</v>
      </c>
    </row>
    <row r="1130" spans="1:14" s="64" customFormat="1" x14ac:dyDescent="0.2">
      <c r="A1130" s="63"/>
      <c r="B1130" s="385"/>
      <c r="C1130" s="122"/>
      <c r="D1130" s="75"/>
      <c r="E1130" s="438" t="str">
        <f>E1120</f>
        <v>Custo Direto</v>
      </c>
      <c r="F1130" s="438"/>
      <c r="G1130" s="438"/>
      <c r="H1130" s="69">
        <f t="shared" ref="H1130:I1130" si="62">SUM(H1126:H1128)</f>
        <v>0.44900000000000001</v>
      </c>
      <c r="I1130" s="69">
        <f t="shared" si="62"/>
        <v>8.52</v>
      </c>
      <c r="J1130" s="134"/>
      <c r="K1130" s="324">
        <v>0.2999</v>
      </c>
      <c r="L1130" s="191">
        <f t="shared" si="24"/>
        <v>1.4842</v>
      </c>
    </row>
    <row r="1131" spans="1:14" s="64" customFormat="1" x14ac:dyDescent="0.2">
      <c r="A1131" s="63"/>
      <c r="B1131" s="385"/>
      <c r="C1131" s="122"/>
      <c r="D1131" s="75"/>
      <c r="E1131" s="438" t="str">
        <f>E1121</f>
        <v>LS(%): 148,42</v>
      </c>
      <c r="F1131" s="438"/>
      <c r="G1131" s="438"/>
      <c r="H1131" s="67">
        <f t="shared" ref="H1131" si="63">H1130*L1131</f>
        <v>0.66640580000000005</v>
      </c>
      <c r="I1131" s="131"/>
      <c r="J1131" s="134"/>
      <c r="K1131" s="324">
        <v>0.2999</v>
      </c>
      <c r="L1131" s="191">
        <f t="shared" si="24"/>
        <v>1.4842</v>
      </c>
    </row>
    <row r="1132" spans="1:14" s="64" customFormat="1" x14ac:dyDescent="0.2">
      <c r="A1132" s="63"/>
      <c r="B1132" s="385"/>
      <c r="C1132" s="122"/>
      <c r="D1132" s="75"/>
      <c r="E1132" s="438" t="str">
        <f>E1122</f>
        <v>BDI (%): 29,99</v>
      </c>
      <c r="F1132" s="438"/>
      <c r="G1132" s="438"/>
      <c r="H1132" s="439">
        <f t="shared" ref="H1132" si="64">(H1130+I1130+H1131)*K1132</f>
        <v>2.8896581994199999</v>
      </c>
      <c r="I1132" s="439"/>
      <c r="J1132" s="134"/>
      <c r="K1132" s="324">
        <v>0.2999</v>
      </c>
      <c r="L1132" s="191">
        <f t="shared" si="24"/>
        <v>1.4842</v>
      </c>
    </row>
    <row r="1133" spans="1:14" s="64" customFormat="1" x14ac:dyDescent="0.2">
      <c r="A1133" s="63"/>
      <c r="B1133" s="385"/>
      <c r="C1133" s="122"/>
      <c r="D1133" s="75"/>
      <c r="E1133" s="438" t="str">
        <f>E1123</f>
        <v>Valor Total c/ Taxas</v>
      </c>
      <c r="F1133" s="438"/>
      <c r="G1133" s="438"/>
      <c r="H1133" s="67"/>
      <c r="I1133" s="69">
        <f t="shared" ref="I1133" si="65">(H1130+I1130+H1131+H1132)</f>
        <v>12.525063999419999</v>
      </c>
      <c r="J1133" s="134"/>
      <c r="K1133" s="324">
        <v>0.2999</v>
      </c>
      <c r="L1133" s="191">
        <f t="shared" si="24"/>
        <v>1.4842</v>
      </c>
      <c r="M1133" s="401">
        <v>12.53</v>
      </c>
      <c r="N1133" s="86">
        <f t="shared" ref="N1133" si="66">I1133-M1133</f>
        <v>-4.9360005800007656E-3</v>
      </c>
    </row>
    <row r="1134" spans="1:14" s="64" customFormat="1" x14ac:dyDescent="0.2">
      <c r="A1134" s="63"/>
      <c r="B1134" s="385"/>
      <c r="C1134" s="122"/>
      <c r="D1134" s="75"/>
      <c r="E1134" s="382"/>
      <c r="F1134" s="382"/>
      <c r="G1134" s="382"/>
      <c r="H1134" s="67"/>
      <c r="I1134" s="69"/>
      <c r="J1134" s="134"/>
      <c r="K1134" s="324"/>
      <c r="L1134" s="191"/>
      <c r="M1134" s="401"/>
      <c r="N1134" s="86"/>
    </row>
    <row r="1135" spans="1:14" s="64" customFormat="1" x14ac:dyDescent="0.2">
      <c r="A1135" s="386"/>
      <c r="B1135" s="151"/>
      <c r="C1135" s="76" t="str">
        <f>orçamento!D131</f>
        <v>Tomada de 3 pólos mais terra</v>
      </c>
      <c r="D1135" s="386" t="s">
        <v>622</v>
      </c>
      <c r="E1135" s="67"/>
      <c r="F1135" s="327"/>
      <c r="G1135" s="71"/>
      <c r="H1135" s="67"/>
      <c r="I1135" s="67"/>
      <c r="J1135" s="134"/>
      <c r="K1135" s="324">
        <v>0.2999</v>
      </c>
      <c r="L1135" s="191">
        <f>L1133</f>
        <v>1.4842</v>
      </c>
    </row>
    <row r="1136" spans="1:14" s="64" customFormat="1" x14ac:dyDescent="0.2">
      <c r="A1136" s="63"/>
      <c r="B1136" s="385"/>
      <c r="C1136" s="122" t="str">
        <f t="shared" ref="C1136" si="67">C1135</f>
        <v>Tomada de 3 pólos mais terra</v>
      </c>
      <c r="D1136" s="75" t="s">
        <v>622</v>
      </c>
      <c r="E1136" s="67">
        <f>20.04*N10</f>
        <v>20.04</v>
      </c>
      <c r="F1136" s="327">
        <v>2.69</v>
      </c>
      <c r="G1136" s="71">
        <v>1.2</v>
      </c>
      <c r="H1136" s="67"/>
      <c r="I1136" s="67">
        <f t="shared" ref="I1136" si="68">E1136*G1136</f>
        <v>24.047999999999998</v>
      </c>
      <c r="J1136" s="134"/>
      <c r="K1136" s="324">
        <v>0.2999</v>
      </c>
      <c r="L1136" s="191">
        <f t="shared" si="24"/>
        <v>1.4842</v>
      </c>
    </row>
    <row r="1137" spans="1:14" s="64" customFormat="1" x14ac:dyDescent="0.2">
      <c r="A1137" s="63"/>
      <c r="B1137" s="385"/>
      <c r="C1137" s="122" t="s">
        <v>258</v>
      </c>
      <c r="D1137" s="75" t="s">
        <v>53</v>
      </c>
      <c r="E1137" s="132">
        <f>5.21*N10</f>
        <v>5.21</v>
      </c>
      <c r="F1137" s="334"/>
      <c r="G1137" s="71">
        <v>0.05</v>
      </c>
      <c r="H1137" s="67">
        <f t="shared" ref="H1137:H1138" si="69">E1137*G1137</f>
        <v>0.26050000000000001</v>
      </c>
      <c r="I1137" s="133"/>
      <c r="J1137" s="134"/>
      <c r="K1137" s="324">
        <v>0.2999</v>
      </c>
      <c r="L1137" s="191">
        <f t="shared" si="24"/>
        <v>1.4842</v>
      </c>
    </row>
    <row r="1138" spans="1:14" s="64" customFormat="1" x14ac:dyDescent="0.2">
      <c r="A1138" s="63"/>
      <c r="B1138" s="385"/>
      <c r="C1138" s="122" t="s">
        <v>259</v>
      </c>
      <c r="D1138" s="75" t="s">
        <v>53</v>
      </c>
      <c r="E1138" s="67">
        <f>3.77*N10</f>
        <v>3.77</v>
      </c>
      <c r="F1138" s="334"/>
      <c r="G1138" s="71">
        <v>0.05</v>
      </c>
      <c r="H1138" s="67">
        <f t="shared" si="69"/>
        <v>0.1885</v>
      </c>
      <c r="I1138" s="133"/>
      <c r="J1138" s="134"/>
      <c r="K1138" s="324">
        <v>0.2999</v>
      </c>
      <c r="L1138" s="191">
        <f t="shared" si="24"/>
        <v>1.4842</v>
      </c>
    </row>
    <row r="1139" spans="1:14" s="64" customFormat="1" hidden="1" x14ac:dyDescent="0.2">
      <c r="A1139" s="63"/>
      <c r="B1139" s="385"/>
      <c r="C1139" s="122"/>
      <c r="D1139" s="75"/>
      <c r="E1139" s="67"/>
      <c r="F1139" s="327"/>
      <c r="G1139" s="71"/>
      <c r="H1139" s="67"/>
      <c r="I1139" s="67"/>
      <c r="J1139" s="134"/>
      <c r="K1139" s="324">
        <v>0.2999</v>
      </c>
      <c r="L1139" s="191">
        <f t="shared" si="24"/>
        <v>1.4842</v>
      </c>
    </row>
    <row r="1140" spans="1:14" s="64" customFormat="1" x14ac:dyDescent="0.2">
      <c r="A1140" s="63"/>
      <c r="B1140" s="385"/>
      <c r="C1140" s="122"/>
      <c r="D1140" s="75"/>
      <c r="E1140" s="438" t="str">
        <f>E1130</f>
        <v>Custo Direto</v>
      </c>
      <c r="F1140" s="438"/>
      <c r="G1140" s="438"/>
      <c r="H1140" s="69">
        <f t="shared" ref="H1140:I1140" si="70">SUM(H1136:H1138)</f>
        <v>0.44900000000000001</v>
      </c>
      <c r="I1140" s="69">
        <f t="shared" si="70"/>
        <v>24.047999999999998</v>
      </c>
      <c r="J1140" s="134"/>
      <c r="K1140" s="324">
        <v>0.2999</v>
      </c>
      <c r="L1140" s="191">
        <f t="shared" si="24"/>
        <v>1.4842</v>
      </c>
    </row>
    <row r="1141" spans="1:14" s="64" customFormat="1" x14ac:dyDescent="0.2">
      <c r="A1141" s="63"/>
      <c r="B1141" s="385"/>
      <c r="C1141" s="122"/>
      <c r="D1141" s="75"/>
      <c r="E1141" s="438" t="str">
        <f>E1131</f>
        <v>LS(%): 148,42</v>
      </c>
      <c r="F1141" s="438"/>
      <c r="G1141" s="438"/>
      <c r="H1141" s="67">
        <f t="shared" ref="H1141" si="71">H1140*L1141</f>
        <v>0.66640580000000005</v>
      </c>
      <c r="I1141" s="131"/>
      <c r="J1141" s="134"/>
      <c r="K1141" s="324">
        <v>0.2999</v>
      </c>
      <c r="L1141" s="191">
        <f t="shared" si="24"/>
        <v>1.4842</v>
      </c>
    </row>
    <row r="1142" spans="1:14" s="64" customFormat="1" x14ac:dyDescent="0.2">
      <c r="A1142" s="63"/>
      <c r="B1142" s="385"/>
      <c r="C1142" s="122"/>
      <c r="D1142" s="75"/>
      <c r="E1142" s="438" t="str">
        <f>E1132</f>
        <v>BDI (%): 29,99</v>
      </c>
      <c r="F1142" s="438"/>
      <c r="G1142" s="438"/>
      <c r="H1142" s="439">
        <f t="shared" ref="H1142" si="72">(H1140+I1140+H1141)*K1142</f>
        <v>7.54650539942</v>
      </c>
      <c r="I1142" s="439"/>
      <c r="J1142" s="134"/>
      <c r="K1142" s="324">
        <v>0.2999</v>
      </c>
      <c r="L1142" s="191">
        <f t="shared" si="24"/>
        <v>1.4842</v>
      </c>
    </row>
    <row r="1143" spans="1:14" s="64" customFormat="1" x14ac:dyDescent="0.2">
      <c r="A1143" s="63"/>
      <c r="B1143" s="385"/>
      <c r="C1143" s="122"/>
      <c r="D1143" s="75"/>
      <c r="E1143" s="438" t="str">
        <f>E1133</f>
        <v>Valor Total c/ Taxas</v>
      </c>
      <c r="F1143" s="438"/>
      <c r="G1143" s="438"/>
      <c r="H1143" s="67"/>
      <c r="I1143" s="69">
        <f t="shared" ref="I1143" si="73">(H1140+I1140+H1141+H1142)</f>
        <v>32.709911199419999</v>
      </c>
      <c r="J1143" s="134"/>
      <c r="K1143" s="324">
        <v>0.2999</v>
      </c>
      <c r="L1143" s="191">
        <f t="shared" si="24"/>
        <v>1.4842</v>
      </c>
      <c r="M1143" s="401">
        <v>32.71</v>
      </c>
      <c r="N1143" s="86">
        <f t="shared" ref="N1143" si="74">I1143-M1143</f>
        <v>-8.8800580002157403E-5</v>
      </c>
    </row>
    <row r="1144" spans="1:14" s="64" customFormat="1" x14ac:dyDescent="0.2">
      <c r="A1144" s="63"/>
      <c r="B1144" s="385"/>
      <c r="C1144" s="122"/>
      <c r="D1144" s="75"/>
      <c r="E1144" s="382"/>
      <c r="F1144" s="382"/>
      <c r="G1144" s="382"/>
      <c r="H1144" s="67"/>
      <c r="I1144" s="69"/>
      <c r="J1144" s="134"/>
      <c r="K1144" s="324"/>
      <c r="L1144" s="191">
        <f t="shared" si="24"/>
        <v>1.4842</v>
      </c>
      <c r="M1144" s="401"/>
      <c r="N1144" s="86"/>
    </row>
    <row r="1145" spans="1:14" s="64" customFormat="1" x14ac:dyDescent="0.2">
      <c r="A1145" s="386"/>
      <c r="B1145" s="151"/>
      <c r="C1145" s="76" t="str">
        <f>orçamento!D132</f>
        <v>Tomada lógica RJ-45 tipo Keystone Jack, cat. 5e</v>
      </c>
      <c r="D1145" s="386" t="s">
        <v>622</v>
      </c>
      <c r="E1145" s="67"/>
      <c r="F1145" s="327"/>
      <c r="G1145" s="71"/>
      <c r="H1145" s="67"/>
      <c r="I1145" s="67"/>
      <c r="J1145" s="134"/>
      <c r="K1145" s="324">
        <v>0.2999</v>
      </c>
      <c r="L1145" s="191">
        <f>L1143</f>
        <v>1.4842</v>
      </c>
    </row>
    <row r="1146" spans="1:14" s="64" customFormat="1" x14ac:dyDescent="0.2">
      <c r="A1146" s="63"/>
      <c r="B1146" s="385"/>
      <c r="C1146" s="122" t="str">
        <f t="shared" ref="C1146" si="75">C1145</f>
        <v>Tomada lógica RJ-45 tipo Keystone Jack, cat. 5e</v>
      </c>
      <c r="D1146" s="75" t="s">
        <v>622</v>
      </c>
      <c r="E1146" s="67">
        <f>15.646*N10</f>
        <v>15.646000000000001</v>
      </c>
      <c r="F1146" s="327">
        <v>2.69</v>
      </c>
      <c r="G1146" s="71">
        <v>1.2</v>
      </c>
      <c r="H1146" s="67"/>
      <c r="I1146" s="67">
        <f t="shared" ref="I1146" si="76">E1146*G1146</f>
        <v>18.775200000000002</v>
      </c>
      <c r="J1146" s="134"/>
      <c r="K1146" s="324">
        <v>0.2999</v>
      </c>
      <c r="L1146" s="191">
        <f t="shared" si="24"/>
        <v>1.4842</v>
      </c>
    </row>
    <row r="1147" spans="1:14" s="64" customFormat="1" x14ac:dyDescent="0.2">
      <c r="A1147" s="63"/>
      <c r="B1147" s="385"/>
      <c r="C1147" s="122" t="s">
        <v>258</v>
      </c>
      <c r="D1147" s="75" t="s">
        <v>53</v>
      </c>
      <c r="E1147" s="132">
        <f>5.21*N10</f>
        <v>5.21</v>
      </c>
      <c r="F1147" s="334"/>
      <c r="G1147" s="71">
        <v>0.05</v>
      </c>
      <c r="H1147" s="67">
        <f t="shared" ref="H1147:H1148" si="77">E1147*G1147</f>
        <v>0.26050000000000001</v>
      </c>
      <c r="I1147" s="133"/>
      <c r="J1147" s="134"/>
      <c r="K1147" s="324">
        <v>0.2999</v>
      </c>
      <c r="L1147" s="191">
        <f t="shared" si="24"/>
        <v>1.4842</v>
      </c>
    </row>
    <row r="1148" spans="1:14" s="64" customFormat="1" x14ac:dyDescent="0.2">
      <c r="A1148" s="63"/>
      <c r="B1148" s="385"/>
      <c r="C1148" s="122" t="s">
        <v>259</v>
      </c>
      <c r="D1148" s="75" t="s">
        <v>53</v>
      </c>
      <c r="E1148" s="67">
        <f>3.77*N10</f>
        <v>3.77</v>
      </c>
      <c r="F1148" s="334"/>
      <c r="G1148" s="71">
        <v>0.05</v>
      </c>
      <c r="H1148" s="67">
        <f t="shared" si="77"/>
        <v>0.1885</v>
      </c>
      <c r="I1148" s="133"/>
      <c r="J1148" s="134"/>
      <c r="K1148" s="324">
        <v>0.2999</v>
      </c>
      <c r="L1148" s="191">
        <f t="shared" si="24"/>
        <v>1.4842</v>
      </c>
    </row>
    <row r="1149" spans="1:14" s="64" customFormat="1" hidden="1" x14ac:dyDescent="0.2">
      <c r="A1149" s="63"/>
      <c r="B1149" s="385"/>
      <c r="C1149" s="122"/>
      <c r="D1149" s="75"/>
      <c r="E1149" s="67"/>
      <c r="F1149" s="327"/>
      <c r="G1149" s="71"/>
      <c r="H1149" s="67"/>
      <c r="I1149" s="67"/>
      <c r="J1149" s="134"/>
      <c r="K1149" s="324">
        <v>0.2999</v>
      </c>
      <c r="L1149" s="191">
        <f t="shared" si="24"/>
        <v>1.4842</v>
      </c>
    </row>
    <row r="1150" spans="1:14" s="64" customFormat="1" x14ac:dyDescent="0.2">
      <c r="A1150" s="63"/>
      <c r="B1150" s="385"/>
      <c r="C1150" s="122"/>
      <c r="D1150" s="75"/>
      <c r="E1150" s="438" t="str">
        <f>E1140</f>
        <v>Custo Direto</v>
      </c>
      <c r="F1150" s="438"/>
      <c r="G1150" s="438"/>
      <c r="H1150" s="69">
        <f t="shared" ref="H1150:I1150" si="78">SUM(H1146:H1148)</f>
        <v>0.44900000000000001</v>
      </c>
      <c r="I1150" s="69">
        <f t="shared" si="78"/>
        <v>18.775200000000002</v>
      </c>
      <c r="J1150" s="134"/>
      <c r="K1150" s="324">
        <v>0.2999</v>
      </c>
      <c r="L1150" s="191">
        <f t="shared" si="24"/>
        <v>1.4842</v>
      </c>
    </row>
    <row r="1151" spans="1:14" s="64" customFormat="1" x14ac:dyDescent="0.2">
      <c r="A1151" s="63"/>
      <c r="B1151" s="385"/>
      <c r="C1151" s="122"/>
      <c r="D1151" s="75"/>
      <c r="E1151" s="438" t="str">
        <f>E1141</f>
        <v>LS(%): 148,42</v>
      </c>
      <c r="F1151" s="438"/>
      <c r="G1151" s="438"/>
      <c r="H1151" s="67">
        <f t="shared" ref="H1151" si="79">H1150*L1151</f>
        <v>0.66640580000000005</v>
      </c>
      <c r="I1151" s="131"/>
      <c r="J1151" s="134"/>
      <c r="K1151" s="324">
        <v>0.2999</v>
      </c>
      <c r="L1151" s="191">
        <f t="shared" si="24"/>
        <v>1.4842</v>
      </c>
    </row>
    <row r="1152" spans="1:14" s="64" customFormat="1" x14ac:dyDescent="0.2">
      <c r="A1152" s="63"/>
      <c r="B1152" s="385"/>
      <c r="C1152" s="122"/>
      <c r="D1152" s="75"/>
      <c r="E1152" s="438" t="str">
        <f>E1142</f>
        <v>BDI (%): 29,99</v>
      </c>
      <c r="F1152" s="438"/>
      <c r="G1152" s="438"/>
      <c r="H1152" s="439">
        <f t="shared" ref="H1152" si="80">(H1150+I1150+H1151)*K1152</f>
        <v>5.9651926794200012</v>
      </c>
      <c r="I1152" s="439"/>
      <c r="J1152" s="134"/>
      <c r="K1152" s="324">
        <v>0.2999</v>
      </c>
      <c r="L1152" s="191">
        <f t="shared" si="24"/>
        <v>1.4842</v>
      </c>
    </row>
    <row r="1153" spans="1:14" s="64" customFormat="1" x14ac:dyDescent="0.2">
      <c r="A1153" s="63"/>
      <c r="B1153" s="385"/>
      <c r="C1153" s="122"/>
      <c r="D1153" s="75"/>
      <c r="E1153" s="438" t="str">
        <f>E1143</f>
        <v>Valor Total c/ Taxas</v>
      </c>
      <c r="F1153" s="438"/>
      <c r="G1153" s="438"/>
      <c r="H1153" s="67"/>
      <c r="I1153" s="69">
        <f t="shared" ref="I1153" si="81">(H1150+I1150+H1151+H1152)</f>
        <v>25.855798479420002</v>
      </c>
      <c r="J1153" s="134"/>
      <c r="K1153" s="324">
        <v>0.2999</v>
      </c>
      <c r="L1153" s="191">
        <f t="shared" si="24"/>
        <v>1.4842</v>
      </c>
      <c r="M1153" s="401">
        <v>25.86</v>
      </c>
      <c r="N1153" s="86">
        <f t="shared" ref="N1153" si="82">I1153-M1153</f>
        <v>-4.201520579997009E-3</v>
      </c>
    </row>
    <row r="1154" spans="1:14" s="64" customFormat="1" x14ac:dyDescent="0.2">
      <c r="A1154" s="63"/>
      <c r="B1154" s="385"/>
      <c r="C1154" s="122"/>
      <c r="D1154" s="75"/>
      <c r="E1154" s="382"/>
      <c r="F1154" s="382"/>
      <c r="G1154" s="382"/>
      <c r="H1154" s="67"/>
      <c r="I1154" s="69"/>
      <c r="J1154" s="134"/>
      <c r="K1154" s="324"/>
      <c r="L1154" s="191">
        <f t="shared" si="24"/>
        <v>1.4842</v>
      </c>
      <c r="M1154" s="401"/>
      <c r="N1154" s="86"/>
    </row>
    <row r="1155" spans="1:14" s="64" customFormat="1" x14ac:dyDescent="0.2">
      <c r="A1155" s="386"/>
      <c r="B1155" s="151"/>
      <c r="C1155" s="76" t="str">
        <f>orçamento!D133</f>
        <v>Tomada universal</v>
      </c>
      <c r="D1155" s="386" t="s">
        <v>622</v>
      </c>
      <c r="E1155" s="67"/>
      <c r="F1155" s="327"/>
      <c r="G1155" s="71"/>
      <c r="H1155" s="67"/>
      <c r="I1155" s="67"/>
      <c r="J1155" s="134"/>
      <c r="K1155" s="324">
        <v>0.2999</v>
      </c>
      <c r="L1155" s="191">
        <f>L1153</f>
        <v>1.4842</v>
      </c>
    </row>
    <row r="1156" spans="1:14" s="64" customFormat="1" x14ac:dyDescent="0.2">
      <c r="A1156" s="63"/>
      <c r="B1156" s="385"/>
      <c r="C1156" s="122" t="str">
        <f t="shared" ref="C1156" si="83">C1155</f>
        <v>Tomada universal</v>
      </c>
      <c r="D1156" s="75" t="s">
        <v>622</v>
      </c>
      <c r="E1156" s="67">
        <f>7.1*N10</f>
        <v>7.1</v>
      </c>
      <c r="F1156" s="327">
        <v>2.69</v>
      </c>
      <c r="G1156" s="71">
        <v>1.2</v>
      </c>
      <c r="H1156" s="67"/>
      <c r="I1156" s="67">
        <f t="shared" ref="I1156" si="84">E1156*G1156</f>
        <v>8.52</v>
      </c>
      <c r="J1156" s="134"/>
      <c r="K1156" s="324">
        <v>0.2999</v>
      </c>
      <c r="L1156" s="191">
        <f t="shared" si="24"/>
        <v>1.4842</v>
      </c>
    </row>
    <row r="1157" spans="1:14" s="64" customFormat="1" x14ac:dyDescent="0.2">
      <c r="A1157" s="63"/>
      <c r="B1157" s="385"/>
      <c r="C1157" s="122" t="s">
        <v>258</v>
      </c>
      <c r="D1157" s="75" t="s">
        <v>53</v>
      </c>
      <c r="E1157" s="132">
        <f>5.21*N10</f>
        <v>5.21</v>
      </c>
      <c r="F1157" s="334"/>
      <c r="G1157" s="71">
        <v>0.05</v>
      </c>
      <c r="H1157" s="67">
        <f t="shared" ref="H1157:H1158" si="85">E1157*G1157</f>
        <v>0.26050000000000001</v>
      </c>
      <c r="I1157" s="133"/>
      <c r="J1157" s="134"/>
      <c r="K1157" s="324">
        <v>0.2999</v>
      </c>
      <c r="L1157" s="191">
        <f t="shared" si="24"/>
        <v>1.4842</v>
      </c>
    </row>
    <row r="1158" spans="1:14" s="64" customFormat="1" x14ac:dyDescent="0.2">
      <c r="A1158" s="63"/>
      <c r="B1158" s="385"/>
      <c r="C1158" s="122" t="s">
        <v>259</v>
      </c>
      <c r="D1158" s="75" t="s">
        <v>53</v>
      </c>
      <c r="E1158" s="67">
        <f>3.77*N10</f>
        <v>3.77</v>
      </c>
      <c r="F1158" s="334"/>
      <c r="G1158" s="71">
        <v>0.05</v>
      </c>
      <c r="H1158" s="67">
        <f t="shared" si="85"/>
        <v>0.1885</v>
      </c>
      <c r="I1158" s="133"/>
      <c r="J1158" s="134"/>
      <c r="K1158" s="324">
        <v>0.2999</v>
      </c>
      <c r="L1158" s="191">
        <f t="shared" si="24"/>
        <v>1.4842</v>
      </c>
    </row>
    <row r="1159" spans="1:14" s="64" customFormat="1" hidden="1" x14ac:dyDescent="0.2">
      <c r="A1159" s="63"/>
      <c r="B1159" s="385"/>
      <c r="C1159" s="122"/>
      <c r="D1159" s="75"/>
      <c r="E1159" s="67"/>
      <c r="F1159" s="327"/>
      <c r="G1159" s="71"/>
      <c r="H1159" s="67"/>
      <c r="I1159" s="67"/>
      <c r="J1159" s="134"/>
      <c r="K1159" s="324">
        <v>0.2999</v>
      </c>
      <c r="L1159" s="191">
        <f t="shared" si="24"/>
        <v>1.4842</v>
      </c>
    </row>
    <row r="1160" spans="1:14" s="64" customFormat="1" x14ac:dyDescent="0.2">
      <c r="A1160" s="63"/>
      <c r="B1160" s="385"/>
      <c r="C1160" s="122"/>
      <c r="D1160" s="75"/>
      <c r="E1160" s="438" t="str">
        <f>E1150</f>
        <v>Custo Direto</v>
      </c>
      <c r="F1160" s="438"/>
      <c r="G1160" s="438"/>
      <c r="H1160" s="69">
        <f t="shared" ref="H1160:I1160" si="86">SUM(H1156:H1158)</f>
        <v>0.44900000000000001</v>
      </c>
      <c r="I1160" s="69">
        <f t="shared" si="86"/>
        <v>8.52</v>
      </c>
      <c r="J1160" s="134"/>
      <c r="K1160" s="324">
        <v>0.2999</v>
      </c>
      <c r="L1160" s="191">
        <f t="shared" si="24"/>
        <v>1.4842</v>
      </c>
    </row>
    <row r="1161" spans="1:14" s="64" customFormat="1" x14ac:dyDescent="0.2">
      <c r="A1161" s="63"/>
      <c r="B1161" s="385"/>
      <c r="C1161" s="122"/>
      <c r="D1161" s="75"/>
      <c r="E1161" s="438" t="str">
        <f>E1151</f>
        <v>LS(%): 148,42</v>
      </c>
      <c r="F1161" s="438"/>
      <c r="G1161" s="438"/>
      <c r="H1161" s="67">
        <f t="shared" ref="H1161" si="87">H1160*L1161</f>
        <v>0.66640580000000005</v>
      </c>
      <c r="I1161" s="131"/>
      <c r="J1161" s="134"/>
      <c r="K1161" s="324">
        <v>0.2999</v>
      </c>
      <c r="L1161" s="191">
        <f t="shared" si="24"/>
        <v>1.4842</v>
      </c>
    </row>
    <row r="1162" spans="1:14" s="64" customFormat="1" x14ac:dyDescent="0.2">
      <c r="A1162" s="63"/>
      <c r="B1162" s="385"/>
      <c r="C1162" s="122"/>
      <c r="D1162" s="75"/>
      <c r="E1162" s="438" t="str">
        <f>E1152</f>
        <v>BDI (%): 29,99</v>
      </c>
      <c r="F1162" s="438"/>
      <c r="G1162" s="438"/>
      <c r="H1162" s="439">
        <f t="shared" ref="H1162" si="88">(H1160+I1160+H1161)*K1162</f>
        <v>2.8896581994199999</v>
      </c>
      <c r="I1162" s="439"/>
      <c r="J1162" s="134"/>
      <c r="K1162" s="324">
        <v>0.2999</v>
      </c>
      <c r="L1162" s="191">
        <f t="shared" si="24"/>
        <v>1.4842</v>
      </c>
    </row>
    <row r="1163" spans="1:14" s="64" customFormat="1" x14ac:dyDescent="0.2">
      <c r="A1163" s="63"/>
      <c r="B1163" s="385"/>
      <c r="C1163" s="122"/>
      <c r="D1163" s="75"/>
      <c r="E1163" s="438" t="str">
        <f>E1153</f>
        <v>Valor Total c/ Taxas</v>
      </c>
      <c r="F1163" s="438"/>
      <c r="G1163" s="438"/>
      <c r="H1163" s="67"/>
      <c r="I1163" s="69">
        <f t="shared" ref="I1163" si="89">(H1160+I1160+H1161+H1162)</f>
        <v>12.525063999419999</v>
      </c>
      <c r="J1163" s="134"/>
      <c r="K1163" s="324">
        <v>0.2999</v>
      </c>
      <c r="L1163" s="191">
        <f t="shared" si="24"/>
        <v>1.4842</v>
      </c>
      <c r="M1163" s="401">
        <v>12.53</v>
      </c>
      <c r="N1163" s="86">
        <f t="shared" ref="N1163" si="90">I1163-M1163</f>
        <v>-4.9360005800007656E-3</v>
      </c>
    </row>
    <row r="1164" spans="1:14" s="64" customFormat="1" x14ac:dyDescent="0.2">
      <c r="A1164" s="63"/>
      <c r="B1164" s="385"/>
      <c r="C1164" s="122"/>
      <c r="D1164" s="75"/>
      <c r="E1164" s="382"/>
      <c r="F1164" s="382"/>
      <c r="G1164" s="382"/>
      <c r="H1164" s="67"/>
      <c r="I1164" s="69"/>
      <c r="J1164" s="134"/>
      <c r="K1164" s="324"/>
      <c r="L1164" s="191">
        <f t="shared" si="24"/>
        <v>1.4842</v>
      </c>
      <c r="M1164" s="401"/>
      <c r="N1164" s="86"/>
    </row>
    <row r="1165" spans="1:14" s="64" customFormat="1" x14ac:dyDescent="0.2">
      <c r="A1165" s="386"/>
      <c r="B1165" s="151"/>
      <c r="C1165" s="76" t="str">
        <f>orçamento!D134</f>
        <v>Ventilador para rack</v>
      </c>
      <c r="D1165" s="386" t="s">
        <v>622</v>
      </c>
      <c r="E1165" s="67"/>
      <c r="F1165" s="327"/>
      <c r="G1165" s="71"/>
      <c r="H1165" s="67"/>
      <c r="I1165" s="67"/>
      <c r="J1165" s="134"/>
      <c r="K1165" s="324">
        <v>0.2999</v>
      </c>
      <c r="L1165" s="191">
        <f>L1163</f>
        <v>1.4842</v>
      </c>
    </row>
    <row r="1166" spans="1:14" s="64" customFormat="1" x14ac:dyDescent="0.2">
      <c r="A1166" s="63"/>
      <c r="B1166" s="385"/>
      <c r="C1166" s="122" t="str">
        <f t="shared" ref="C1166" si="91">C1165</f>
        <v>Ventilador para rack</v>
      </c>
      <c r="D1166" s="75" t="s">
        <v>622</v>
      </c>
      <c r="E1166" s="67">
        <f>39.458*N10</f>
        <v>39.457999999999998</v>
      </c>
      <c r="F1166" s="327">
        <v>2.69</v>
      </c>
      <c r="G1166" s="71">
        <v>3.33</v>
      </c>
      <c r="H1166" s="67"/>
      <c r="I1166" s="67">
        <f t="shared" ref="I1166" si="92">E1166*G1166</f>
        <v>131.39514</v>
      </c>
      <c r="J1166" s="134"/>
      <c r="K1166" s="324">
        <v>0.2999</v>
      </c>
      <c r="L1166" s="191">
        <f t="shared" si="24"/>
        <v>1.4842</v>
      </c>
    </row>
    <row r="1167" spans="1:14" s="64" customFormat="1" x14ac:dyDescent="0.2">
      <c r="A1167" s="63"/>
      <c r="B1167" s="385"/>
      <c r="C1167" s="122" t="s">
        <v>258</v>
      </c>
      <c r="D1167" s="75" t="s">
        <v>53</v>
      </c>
      <c r="E1167" s="132">
        <f>5.21*N10</f>
        <v>5.21</v>
      </c>
      <c r="F1167" s="334"/>
      <c r="G1167" s="71">
        <v>0.05</v>
      </c>
      <c r="H1167" s="67">
        <f t="shared" ref="H1167:H1168" si="93">E1167*G1167</f>
        <v>0.26050000000000001</v>
      </c>
      <c r="I1167" s="133"/>
      <c r="J1167" s="134"/>
      <c r="K1167" s="324">
        <v>0.2999</v>
      </c>
      <c r="L1167" s="191">
        <f t="shared" si="24"/>
        <v>1.4842</v>
      </c>
    </row>
    <row r="1168" spans="1:14" s="64" customFormat="1" x14ac:dyDescent="0.2">
      <c r="A1168" s="63"/>
      <c r="B1168" s="385"/>
      <c r="C1168" s="122" t="s">
        <v>259</v>
      </c>
      <c r="D1168" s="75" t="s">
        <v>53</v>
      </c>
      <c r="E1168" s="67">
        <f>3.77*N10</f>
        <v>3.77</v>
      </c>
      <c r="F1168" s="334"/>
      <c r="G1168" s="71">
        <v>0.05</v>
      </c>
      <c r="H1168" s="67">
        <f t="shared" si="93"/>
        <v>0.1885</v>
      </c>
      <c r="I1168" s="133"/>
      <c r="J1168" s="134"/>
      <c r="K1168" s="324">
        <v>0.2999</v>
      </c>
      <c r="L1168" s="191">
        <f t="shared" si="24"/>
        <v>1.4842</v>
      </c>
    </row>
    <row r="1169" spans="1:14" s="64" customFormat="1" hidden="1" x14ac:dyDescent="0.2">
      <c r="A1169" s="63"/>
      <c r="B1169" s="385"/>
      <c r="C1169" s="122"/>
      <c r="D1169" s="75"/>
      <c r="E1169" s="67"/>
      <c r="F1169" s="327"/>
      <c r="G1169" s="71"/>
      <c r="H1169" s="67"/>
      <c r="I1169" s="67"/>
      <c r="J1169" s="134"/>
      <c r="K1169" s="324">
        <v>0.2999</v>
      </c>
      <c r="L1169" s="191">
        <f t="shared" si="24"/>
        <v>1.4842</v>
      </c>
    </row>
    <row r="1170" spans="1:14" s="64" customFormat="1" x14ac:dyDescent="0.2">
      <c r="A1170" s="63"/>
      <c r="B1170" s="385"/>
      <c r="C1170" s="122"/>
      <c r="D1170" s="75"/>
      <c r="E1170" s="438" t="str">
        <f>E1160</f>
        <v>Custo Direto</v>
      </c>
      <c r="F1170" s="438"/>
      <c r="G1170" s="438"/>
      <c r="H1170" s="69">
        <f t="shared" ref="H1170:I1170" si="94">SUM(H1166:H1168)</f>
        <v>0.44900000000000001</v>
      </c>
      <c r="I1170" s="69">
        <f t="shared" si="94"/>
        <v>131.39514</v>
      </c>
      <c r="J1170" s="134"/>
      <c r="K1170" s="324">
        <v>0.2999</v>
      </c>
      <c r="L1170" s="191">
        <f t="shared" si="24"/>
        <v>1.4842</v>
      </c>
    </row>
    <row r="1171" spans="1:14" s="64" customFormat="1" x14ac:dyDescent="0.2">
      <c r="A1171" s="63"/>
      <c r="B1171" s="385"/>
      <c r="C1171" s="122"/>
      <c r="D1171" s="75"/>
      <c r="E1171" s="438" t="str">
        <f>E1161</f>
        <v>LS(%): 148,42</v>
      </c>
      <c r="F1171" s="438"/>
      <c r="G1171" s="438"/>
      <c r="H1171" s="67">
        <f t="shared" ref="H1171" si="95">H1170*L1171</f>
        <v>0.66640580000000005</v>
      </c>
      <c r="I1171" s="131"/>
      <c r="J1171" s="134"/>
      <c r="K1171" s="324">
        <v>0.2999</v>
      </c>
      <c r="L1171" s="191">
        <f t="shared" si="24"/>
        <v>1.4842</v>
      </c>
    </row>
    <row r="1172" spans="1:14" s="64" customFormat="1" x14ac:dyDescent="0.2">
      <c r="A1172" s="63"/>
      <c r="B1172" s="385"/>
      <c r="C1172" s="122"/>
      <c r="D1172" s="75"/>
      <c r="E1172" s="438" t="str">
        <f>E1162</f>
        <v>BDI (%): 29,99</v>
      </c>
      <c r="F1172" s="438"/>
      <c r="G1172" s="438"/>
      <c r="H1172" s="439">
        <f t="shared" ref="H1172" si="96">(H1170+I1170+H1171)*K1172</f>
        <v>39.739912685420002</v>
      </c>
      <c r="I1172" s="439"/>
      <c r="J1172" s="134"/>
      <c r="K1172" s="324">
        <v>0.2999</v>
      </c>
      <c r="L1172" s="191">
        <f t="shared" si="24"/>
        <v>1.4842</v>
      </c>
    </row>
    <row r="1173" spans="1:14" s="64" customFormat="1" x14ac:dyDescent="0.2">
      <c r="A1173" s="63"/>
      <c r="B1173" s="385"/>
      <c r="C1173" s="122"/>
      <c r="D1173" s="75"/>
      <c r="E1173" s="438" t="str">
        <f>E1163</f>
        <v>Valor Total c/ Taxas</v>
      </c>
      <c r="F1173" s="438"/>
      <c r="G1173" s="438"/>
      <c r="H1173" s="67"/>
      <c r="I1173" s="69">
        <f t="shared" ref="I1173" si="97">(H1170+I1170+H1171+H1172)</f>
        <v>172.25045848542001</v>
      </c>
      <c r="J1173" s="134"/>
      <c r="K1173" s="324">
        <v>0.2999</v>
      </c>
      <c r="L1173" s="191">
        <f t="shared" si="24"/>
        <v>1.4842</v>
      </c>
      <c r="M1173" s="401">
        <v>172.25</v>
      </c>
      <c r="N1173" s="86">
        <f t="shared" ref="N1173" si="98">I1173-M1173</f>
        <v>4.5848542001181158E-4</v>
      </c>
    </row>
    <row r="1174" spans="1:14" s="64" customFormat="1" x14ac:dyDescent="0.2">
      <c r="A1174" s="63"/>
      <c r="B1174" s="385"/>
      <c r="C1174" s="122"/>
      <c r="D1174" s="75"/>
      <c r="E1174" s="382"/>
      <c r="F1174" s="382"/>
      <c r="G1174" s="382"/>
      <c r="H1174" s="67"/>
      <c r="I1174" s="69"/>
      <c r="J1174" s="134"/>
      <c r="K1174" s="324"/>
      <c r="L1174" s="191"/>
      <c r="M1174" s="401"/>
      <c r="N1174" s="86"/>
    </row>
    <row r="1175" spans="1:14" s="64" customFormat="1" x14ac:dyDescent="0.2">
      <c r="A1175" s="386"/>
      <c r="B1175" s="151"/>
      <c r="C1175" s="76" t="str">
        <f>orçamento!D137</f>
        <v>CAIXA DE INSPEÇÃO  DE ATERRAMENTO 250x250x250mm</v>
      </c>
      <c r="D1175" s="386" t="s">
        <v>622</v>
      </c>
      <c r="E1175" s="67"/>
      <c r="F1175" s="327"/>
      <c r="G1175" s="71"/>
      <c r="H1175" s="67"/>
      <c r="I1175" s="67"/>
      <c r="J1175" s="134"/>
      <c r="K1175" s="324">
        <v>0.2999</v>
      </c>
      <c r="L1175" s="191">
        <f>L1173</f>
        <v>1.4842</v>
      </c>
    </row>
    <row r="1176" spans="1:14" s="64" customFormat="1" x14ac:dyDescent="0.2">
      <c r="A1176" s="63"/>
      <c r="B1176" s="385"/>
      <c r="C1176" s="122" t="str">
        <f t="shared" ref="C1176" si="99">C1175</f>
        <v>CAIXA DE INSPEÇÃO  DE ATERRAMENTO 250x250x250mm</v>
      </c>
      <c r="D1176" s="75" t="s">
        <v>622</v>
      </c>
      <c r="E1176" s="67">
        <f>43.803*N10</f>
        <v>43.802999999999997</v>
      </c>
      <c r="F1176" s="327">
        <v>2.69</v>
      </c>
      <c r="G1176" s="71">
        <v>2</v>
      </c>
      <c r="H1176" s="67"/>
      <c r="I1176" s="67">
        <f t="shared" ref="I1176" si="100">E1176*G1176</f>
        <v>87.605999999999995</v>
      </c>
      <c r="J1176" s="134"/>
      <c r="K1176" s="324">
        <v>0.2999</v>
      </c>
      <c r="L1176" s="191">
        <f t="shared" si="24"/>
        <v>1.4842</v>
      </c>
    </row>
    <row r="1177" spans="1:14" s="64" customFormat="1" x14ac:dyDescent="0.2">
      <c r="A1177" s="63"/>
      <c r="B1177" s="385"/>
      <c r="C1177" s="122" t="s">
        <v>695</v>
      </c>
      <c r="D1177" s="75" t="s">
        <v>53</v>
      </c>
      <c r="E1177" s="132">
        <f>5.21*N10</f>
        <v>5.21</v>
      </c>
      <c r="F1177" s="327"/>
      <c r="G1177" s="71">
        <v>0.05</v>
      </c>
      <c r="H1177" s="67">
        <f t="shared" ref="H1177:H1179" si="101">E1177*G1177</f>
        <v>0.26050000000000001</v>
      </c>
      <c r="I1177" s="67"/>
      <c r="J1177" s="134"/>
      <c r="K1177" s="324">
        <v>0.2999</v>
      </c>
      <c r="L1177" s="191">
        <f t="shared" si="24"/>
        <v>1.4842</v>
      </c>
    </row>
    <row r="1178" spans="1:14" s="64" customFormat="1" x14ac:dyDescent="0.2">
      <c r="A1178" s="63"/>
      <c r="B1178" s="385"/>
      <c r="C1178" s="122" t="s">
        <v>258</v>
      </c>
      <c r="D1178" s="75" t="s">
        <v>53</v>
      </c>
      <c r="E1178" s="132">
        <f>5.21*N10</f>
        <v>5.21</v>
      </c>
      <c r="F1178" s="334"/>
      <c r="G1178" s="71">
        <v>0.05</v>
      </c>
      <c r="H1178" s="67">
        <f t="shared" si="101"/>
        <v>0.26050000000000001</v>
      </c>
      <c r="I1178" s="133"/>
      <c r="J1178" s="134"/>
      <c r="K1178" s="324">
        <v>0.2999</v>
      </c>
      <c r="L1178" s="191">
        <f t="shared" si="24"/>
        <v>1.4842</v>
      </c>
    </row>
    <row r="1179" spans="1:14" s="64" customFormat="1" x14ac:dyDescent="0.2">
      <c r="A1179" s="63"/>
      <c r="B1179" s="385"/>
      <c r="C1179" s="122" t="s">
        <v>259</v>
      </c>
      <c r="D1179" s="75" t="s">
        <v>53</v>
      </c>
      <c r="E1179" s="67">
        <f>3.77*N10</f>
        <v>3.77</v>
      </c>
      <c r="F1179" s="334"/>
      <c r="G1179" s="71">
        <v>0.05</v>
      </c>
      <c r="H1179" s="67">
        <f t="shared" si="101"/>
        <v>0.1885</v>
      </c>
      <c r="I1179" s="133"/>
      <c r="J1179" s="134"/>
      <c r="K1179" s="324">
        <v>0.2999</v>
      </c>
      <c r="L1179" s="191">
        <f t="shared" si="24"/>
        <v>1.4842</v>
      </c>
    </row>
    <row r="1180" spans="1:14" s="64" customFormat="1" hidden="1" x14ac:dyDescent="0.2">
      <c r="A1180" s="63"/>
      <c r="B1180" s="385"/>
      <c r="C1180" s="122"/>
      <c r="D1180" s="75"/>
      <c r="E1180" s="67"/>
      <c r="F1180" s="327"/>
      <c r="G1180" s="71"/>
      <c r="H1180" s="67"/>
      <c r="I1180" s="67"/>
      <c r="J1180" s="134"/>
      <c r="K1180" s="324">
        <v>0.2999</v>
      </c>
      <c r="L1180" s="191">
        <f t="shared" si="24"/>
        <v>1.4842</v>
      </c>
    </row>
    <row r="1181" spans="1:14" s="64" customFormat="1" x14ac:dyDescent="0.2">
      <c r="A1181" s="63"/>
      <c r="B1181" s="385"/>
      <c r="C1181" s="122"/>
      <c r="D1181" s="75"/>
      <c r="E1181" s="438" t="str">
        <f>E1170</f>
        <v>Custo Direto</v>
      </c>
      <c r="F1181" s="438"/>
      <c r="G1181" s="438"/>
      <c r="H1181" s="69">
        <f t="shared" ref="H1181:I1181" si="102">SUM(H1176:H1179)</f>
        <v>0.70950000000000002</v>
      </c>
      <c r="I1181" s="69">
        <f t="shared" si="102"/>
        <v>87.605999999999995</v>
      </c>
      <c r="J1181" s="134"/>
      <c r="K1181" s="324">
        <v>0.2999</v>
      </c>
      <c r="L1181" s="191">
        <f t="shared" si="24"/>
        <v>1.4842</v>
      </c>
    </row>
    <row r="1182" spans="1:14" s="64" customFormat="1" x14ac:dyDescent="0.2">
      <c r="A1182" s="63"/>
      <c r="B1182" s="385"/>
      <c r="C1182" s="122"/>
      <c r="D1182" s="75"/>
      <c r="E1182" s="438" t="str">
        <f>E1171</f>
        <v>LS(%): 148,42</v>
      </c>
      <c r="F1182" s="438"/>
      <c r="G1182" s="438"/>
      <c r="H1182" s="67">
        <f t="shared" ref="H1182" si="103">H1181*L1182</f>
        <v>1.0530398999999999</v>
      </c>
      <c r="I1182" s="131"/>
      <c r="J1182" s="134"/>
      <c r="K1182" s="324">
        <v>0.2999</v>
      </c>
      <c r="L1182" s="191">
        <f t="shared" si="24"/>
        <v>1.4842</v>
      </c>
    </row>
    <row r="1183" spans="1:14" s="64" customFormat="1" x14ac:dyDescent="0.2">
      <c r="A1183" s="63"/>
      <c r="B1183" s="385"/>
      <c r="C1183" s="122"/>
      <c r="D1183" s="75"/>
      <c r="E1183" s="438" t="str">
        <f>E1172</f>
        <v>BDI (%): 29,99</v>
      </c>
      <c r="F1183" s="438"/>
      <c r="G1183" s="438"/>
      <c r="H1183" s="439">
        <f t="shared" ref="H1183" si="104">(H1181+I1181+H1182)*K1183</f>
        <v>26.801625116010001</v>
      </c>
      <c r="I1183" s="439"/>
      <c r="J1183" s="134"/>
      <c r="K1183" s="324">
        <v>0.2999</v>
      </c>
      <c r="L1183" s="191">
        <f t="shared" si="24"/>
        <v>1.4842</v>
      </c>
    </row>
    <row r="1184" spans="1:14" s="64" customFormat="1" x14ac:dyDescent="0.2">
      <c r="A1184" s="63"/>
      <c r="B1184" s="385"/>
      <c r="C1184" s="122"/>
      <c r="D1184" s="75"/>
      <c r="E1184" s="438" t="str">
        <f>E1173</f>
        <v>Valor Total c/ Taxas</v>
      </c>
      <c r="F1184" s="438"/>
      <c r="G1184" s="438"/>
      <c r="H1184" s="67"/>
      <c r="I1184" s="69">
        <f t="shared" ref="I1184" si="105">(H1181+I1181+H1182+H1183)</f>
        <v>116.17016501601</v>
      </c>
      <c r="J1184" s="134"/>
      <c r="K1184" s="324">
        <v>0.2999</v>
      </c>
      <c r="L1184" s="191">
        <f t="shared" si="24"/>
        <v>1.4842</v>
      </c>
      <c r="M1184" s="401">
        <v>116.17</v>
      </c>
      <c r="N1184" s="86">
        <f t="shared" ref="N1184" si="106">I1184-M1184</f>
        <v>1.650160100012954E-4</v>
      </c>
    </row>
    <row r="1185" spans="1:14" s="64" customFormat="1" x14ac:dyDescent="0.2">
      <c r="A1185" s="63"/>
      <c r="B1185" s="396"/>
      <c r="C1185" s="122"/>
      <c r="D1185" s="75"/>
      <c r="E1185" s="395"/>
      <c r="F1185" s="395"/>
      <c r="G1185" s="395"/>
      <c r="H1185" s="67"/>
      <c r="I1185" s="69"/>
      <c r="J1185" s="134"/>
      <c r="K1185" s="324">
        <v>0.2999</v>
      </c>
      <c r="L1185" s="191"/>
      <c r="M1185" s="401"/>
      <c r="N1185" s="86"/>
    </row>
    <row r="1186" spans="1:14" s="64" customFormat="1" x14ac:dyDescent="0.2">
      <c r="A1186" s="386"/>
      <c r="B1186" s="151"/>
      <c r="C1186" s="76" t="str">
        <f>orçamento!D138</f>
        <v>Caixa de passagem em alvenaria 500x500x800mm</v>
      </c>
      <c r="D1186" s="386" t="s">
        <v>622</v>
      </c>
      <c r="E1186" s="67"/>
      <c r="F1186" s="327"/>
      <c r="G1186" s="71"/>
      <c r="H1186" s="67"/>
      <c r="I1186" s="67"/>
      <c r="J1186" s="134"/>
      <c r="K1186" s="324">
        <v>0.2999</v>
      </c>
      <c r="L1186" s="191">
        <f>L1184</f>
        <v>1.4842</v>
      </c>
    </row>
    <row r="1187" spans="1:14" s="64" customFormat="1" x14ac:dyDescent="0.2">
      <c r="A1187" s="63"/>
      <c r="B1187" s="385"/>
      <c r="C1187" s="122" t="str">
        <f t="shared" ref="C1187" si="107">C1186</f>
        <v>Caixa de passagem em alvenaria 500x500x800mm</v>
      </c>
      <c r="D1187" s="75" t="s">
        <v>622</v>
      </c>
      <c r="E1187" s="67">
        <f>79.353*N10</f>
        <v>79.352999999999994</v>
      </c>
      <c r="F1187" s="327">
        <v>2.69</v>
      </c>
      <c r="G1187" s="71">
        <v>3.4</v>
      </c>
      <c r="H1187" s="67"/>
      <c r="I1187" s="67">
        <f t="shared" ref="I1187" si="108">E1187*G1187</f>
        <v>269.80019999999996</v>
      </c>
      <c r="J1187" s="134"/>
      <c r="K1187" s="324">
        <v>0.2999</v>
      </c>
      <c r="L1187" s="191">
        <f>L1186</f>
        <v>1.4842</v>
      </c>
    </row>
    <row r="1188" spans="1:14" s="64" customFormat="1" x14ac:dyDescent="0.2">
      <c r="A1188" s="63"/>
      <c r="B1188" s="385"/>
      <c r="C1188" s="122" t="s">
        <v>695</v>
      </c>
      <c r="D1188" s="75" t="s">
        <v>53</v>
      </c>
      <c r="E1188" s="132">
        <f>5.21*N10</f>
        <v>5.21</v>
      </c>
      <c r="F1188" s="327"/>
      <c r="G1188" s="71">
        <v>0.8</v>
      </c>
      <c r="H1188" s="67">
        <f t="shared" ref="H1188:H1190" si="109">E1188*G1188</f>
        <v>4.1680000000000001</v>
      </c>
      <c r="I1188" s="67"/>
      <c r="J1188" s="134"/>
      <c r="K1188" s="324">
        <v>0.2999</v>
      </c>
      <c r="L1188" s="191">
        <f>L1187</f>
        <v>1.4842</v>
      </c>
    </row>
    <row r="1189" spans="1:14" s="64" customFormat="1" x14ac:dyDescent="0.2">
      <c r="A1189" s="63"/>
      <c r="B1189" s="385"/>
      <c r="C1189" s="122" t="s">
        <v>258</v>
      </c>
      <c r="D1189" s="75" t="s">
        <v>53</v>
      </c>
      <c r="E1189" s="132">
        <f>5.21*N10</f>
        <v>5.21</v>
      </c>
      <c r="F1189" s="334"/>
      <c r="G1189" s="71">
        <v>0.8</v>
      </c>
      <c r="H1189" s="67">
        <f t="shared" si="109"/>
        <v>4.1680000000000001</v>
      </c>
      <c r="I1189" s="133"/>
      <c r="J1189" s="134"/>
      <c r="K1189" s="324">
        <v>0.2999</v>
      </c>
      <c r="L1189" s="191">
        <f>L1188</f>
        <v>1.4842</v>
      </c>
    </row>
    <row r="1190" spans="1:14" s="64" customFormat="1" x14ac:dyDescent="0.2">
      <c r="A1190" s="63"/>
      <c r="B1190" s="385"/>
      <c r="C1190" s="122" t="s">
        <v>259</v>
      </c>
      <c r="D1190" s="75" t="s">
        <v>53</v>
      </c>
      <c r="E1190" s="67">
        <f>3.77*N10</f>
        <v>3.77</v>
      </c>
      <c r="F1190" s="334"/>
      <c r="G1190" s="71">
        <v>0.8</v>
      </c>
      <c r="H1190" s="67">
        <f t="shared" si="109"/>
        <v>3.016</v>
      </c>
      <c r="I1190" s="133"/>
      <c r="J1190" s="134"/>
      <c r="K1190" s="324">
        <v>0.2999</v>
      </c>
      <c r="L1190" s="191">
        <f>L1189</f>
        <v>1.4842</v>
      </c>
    </row>
    <row r="1191" spans="1:14" s="64" customFormat="1" hidden="1" x14ac:dyDescent="0.2">
      <c r="A1191" s="63"/>
      <c r="B1191" s="385"/>
      <c r="C1191" s="122"/>
      <c r="D1191" s="75"/>
      <c r="E1191" s="67"/>
      <c r="F1191" s="327"/>
      <c r="G1191" s="71"/>
      <c r="H1191" s="67"/>
      <c r="I1191" s="67"/>
      <c r="J1191" s="134"/>
      <c r="K1191" s="324">
        <v>0.2999</v>
      </c>
      <c r="L1191" s="191">
        <f>L1190</f>
        <v>1.4842</v>
      </c>
    </row>
    <row r="1192" spans="1:14" s="64" customFormat="1" x14ac:dyDescent="0.2">
      <c r="A1192" s="63"/>
      <c r="B1192" s="385"/>
      <c r="C1192" s="122"/>
      <c r="D1192" s="75"/>
      <c r="E1192" s="438" t="str">
        <f>E1181</f>
        <v>Custo Direto</v>
      </c>
      <c r="F1192" s="438"/>
      <c r="G1192" s="438"/>
      <c r="H1192" s="69">
        <f t="shared" ref="H1192:I1192" si="110">SUM(H1187:H1190)</f>
        <v>11.352</v>
      </c>
      <c r="I1192" s="69">
        <f t="shared" si="110"/>
        <v>269.80019999999996</v>
      </c>
      <c r="J1192" s="134"/>
      <c r="K1192" s="324">
        <v>0.2999</v>
      </c>
      <c r="L1192" s="191">
        <f>L1191</f>
        <v>1.4842</v>
      </c>
    </row>
    <row r="1193" spans="1:14" s="64" customFormat="1" x14ac:dyDescent="0.2">
      <c r="A1193" s="63"/>
      <c r="B1193" s="385"/>
      <c r="C1193" s="122"/>
      <c r="D1193" s="75"/>
      <c r="E1193" s="438" t="str">
        <f>E1182</f>
        <v>LS(%): 148,42</v>
      </c>
      <c r="F1193" s="438"/>
      <c r="G1193" s="438"/>
      <c r="H1193" s="67">
        <f t="shared" ref="H1193" si="111">H1192*L1193</f>
        <v>16.848638399999999</v>
      </c>
      <c r="I1193" s="131"/>
      <c r="J1193" s="134"/>
      <c r="K1193" s="324">
        <v>0.2999</v>
      </c>
      <c r="L1193" s="191">
        <f>L1192</f>
        <v>1.4842</v>
      </c>
    </row>
    <row r="1194" spans="1:14" s="64" customFormat="1" x14ac:dyDescent="0.2">
      <c r="A1194" s="63"/>
      <c r="B1194" s="385"/>
      <c r="C1194" s="122"/>
      <c r="D1194" s="75"/>
      <c r="E1194" s="438" t="str">
        <f>E1183</f>
        <v>BDI (%): 29,99</v>
      </c>
      <c r="F1194" s="438"/>
      <c r="G1194" s="438"/>
      <c r="H1194" s="439">
        <f t="shared" ref="H1194" si="112">(H1192+I1192+H1193)*K1194</f>
        <v>89.370451436159968</v>
      </c>
      <c r="I1194" s="439"/>
      <c r="J1194" s="134"/>
      <c r="K1194" s="324">
        <v>0.2999</v>
      </c>
      <c r="L1194" s="191">
        <f>L1193</f>
        <v>1.4842</v>
      </c>
    </row>
    <row r="1195" spans="1:14" s="64" customFormat="1" x14ac:dyDescent="0.2">
      <c r="A1195" s="63"/>
      <c r="B1195" s="385"/>
      <c r="C1195" s="122"/>
      <c r="D1195" s="75"/>
      <c r="E1195" s="438" t="str">
        <f>E1184</f>
        <v>Valor Total c/ Taxas</v>
      </c>
      <c r="F1195" s="438"/>
      <c r="G1195" s="438"/>
      <c r="H1195" s="67"/>
      <c r="I1195" s="69">
        <f t="shared" ref="I1195" si="113">(H1192+I1192+H1193+H1194)</f>
        <v>387.37128983615986</v>
      </c>
      <c r="J1195" s="134"/>
      <c r="K1195" s="324">
        <v>0.2999</v>
      </c>
      <c r="L1195" s="191">
        <f>L1194</f>
        <v>1.4842</v>
      </c>
      <c r="M1195" s="401">
        <v>387.37</v>
      </c>
      <c r="N1195" s="86">
        <f t="shared" ref="N1195" si="114">I1195-M1195</f>
        <v>1.2898361598558949E-3</v>
      </c>
    </row>
    <row r="1196" spans="1:14" s="64" customFormat="1" x14ac:dyDescent="0.2">
      <c r="A1196" s="63"/>
      <c r="B1196" s="385"/>
      <c r="C1196" s="122"/>
      <c r="D1196" s="75"/>
      <c r="E1196" s="382"/>
      <c r="F1196" s="382"/>
      <c r="G1196" s="382"/>
      <c r="H1196" s="67"/>
      <c r="I1196" s="69"/>
      <c r="J1196" s="134"/>
      <c r="K1196" s="324">
        <v>0.2999</v>
      </c>
      <c r="L1196" s="191">
        <f>L1195</f>
        <v>1.4842</v>
      </c>
      <c r="M1196" s="401"/>
      <c r="N1196" s="86"/>
    </row>
    <row r="1197" spans="1:14" s="64" customFormat="1" x14ac:dyDescent="0.2">
      <c r="A1197" s="386"/>
      <c r="B1197" s="151"/>
      <c r="C1197" s="76" t="str">
        <f>orçamento!D139</f>
        <v>Caixa para medidor trifásico padrão concessionaria local</v>
      </c>
      <c r="D1197" s="386" t="s">
        <v>622</v>
      </c>
      <c r="E1197" s="67"/>
      <c r="F1197" s="327"/>
      <c r="G1197" s="71"/>
      <c r="H1197" s="67"/>
      <c r="I1197" s="67"/>
      <c r="J1197" s="134"/>
      <c r="K1197" s="324">
        <v>0.2999</v>
      </c>
      <c r="L1197" s="191">
        <f>L1195</f>
        <v>1.4842</v>
      </c>
    </row>
    <row r="1198" spans="1:14" s="525" customFormat="1" x14ac:dyDescent="0.2">
      <c r="A1198" s="515"/>
      <c r="B1198" s="516"/>
      <c r="C1198" s="517" t="str">
        <f t="shared" ref="C1198" si="115">C1197</f>
        <v>Caixa para medidor trifásico padrão concessionaria local</v>
      </c>
      <c r="D1198" s="518" t="s">
        <v>622</v>
      </c>
      <c r="E1198" s="519">
        <v>89.352999999999994</v>
      </c>
      <c r="F1198" s="520">
        <v>2.69</v>
      </c>
      <c r="G1198" s="521">
        <v>3.4</v>
      </c>
      <c r="H1198" s="519"/>
      <c r="I1198" s="519">
        <f t="shared" ref="I1198" si="116">E1198*G1198</f>
        <v>303.80019999999996</v>
      </c>
      <c r="J1198" s="522"/>
      <c r="K1198" s="523">
        <v>0.2999</v>
      </c>
      <c r="L1198" s="524">
        <f>L1197</f>
        <v>1.4842</v>
      </c>
    </row>
    <row r="1199" spans="1:14" s="64" customFormat="1" x14ac:dyDescent="0.2">
      <c r="A1199" s="63"/>
      <c r="B1199" s="385"/>
      <c r="C1199" s="122" t="s">
        <v>695</v>
      </c>
      <c r="D1199" s="75" t="s">
        <v>53</v>
      </c>
      <c r="E1199" s="132">
        <f>5.21</f>
        <v>5.21</v>
      </c>
      <c r="F1199" s="327"/>
      <c r="G1199" s="71">
        <v>0.8</v>
      </c>
      <c r="H1199" s="67">
        <f t="shared" ref="H1199:H1201" si="117">E1199*G1199</f>
        <v>4.1680000000000001</v>
      </c>
      <c r="I1199" s="67"/>
      <c r="J1199" s="134"/>
      <c r="K1199" s="324">
        <v>0.2999</v>
      </c>
      <c r="L1199" s="191">
        <f>L1198</f>
        <v>1.4842</v>
      </c>
    </row>
    <row r="1200" spans="1:14" s="64" customFormat="1" x14ac:dyDescent="0.2">
      <c r="A1200" s="63"/>
      <c r="B1200" s="385"/>
      <c r="C1200" s="122" t="s">
        <v>258</v>
      </c>
      <c r="D1200" s="75" t="s">
        <v>53</v>
      </c>
      <c r="E1200" s="132">
        <f>5.21</f>
        <v>5.21</v>
      </c>
      <c r="F1200" s="334"/>
      <c r="G1200" s="71">
        <v>0.8</v>
      </c>
      <c r="H1200" s="67">
        <f t="shared" si="117"/>
        <v>4.1680000000000001</v>
      </c>
      <c r="I1200" s="133"/>
      <c r="J1200" s="134"/>
      <c r="K1200" s="324">
        <v>0.2999</v>
      </c>
      <c r="L1200" s="191">
        <f>L1199</f>
        <v>1.4842</v>
      </c>
    </row>
    <row r="1201" spans="1:14" s="64" customFormat="1" x14ac:dyDescent="0.2">
      <c r="A1201" s="63"/>
      <c r="B1201" s="385"/>
      <c r="C1201" s="122" t="s">
        <v>259</v>
      </c>
      <c r="D1201" s="75" t="s">
        <v>53</v>
      </c>
      <c r="E1201" s="67">
        <f>3.77</f>
        <v>3.77</v>
      </c>
      <c r="F1201" s="334"/>
      <c r="G1201" s="71">
        <v>0.8</v>
      </c>
      <c r="H1201" s="67">
        <f t="shared" si="117"/>
        <v>3.016</v>
      </c>
      <c r="I1201" s="133"/>
      <c r="J1201" s="134"/>
      <c r="K1201" s="324">
        <v>0.2999</v>
      </c>
      <c r="L1201" s="191">
        <f>L1200</f>
        <v>1.4842</v>
      </c>
    </row>
    <row r="1202" spans="1:14" s="64" customFormat="1" hidden="1" x14ac:dyDescent="0.2">
      <c r="A1202" s="63"/>
      <c r="B1202" s="385"/>
      <c r="C1202" s="122"/>
      <c r="D1202" s="75"/>
      <c r="E1202" s="67"/>
      <c r="F1202" s="327"/>
      <c r="G1202" s="71"/>
      <c r="H1202" s="67"/>
      <c r="I1202" s="67"/>
      <c r="J1202" s="134"/>
      <c r="K1202" s="324">
        <v>0.2999</v>
      </c>
      <c r="L1202" s="191">
        <f>L1201</f>
        <v>1.4842</v>
      </c>
    </row>
    <row r="1203" spans="1:14" s="64" customFormat="1" x14ac:dyDescent="0.2">
      <c r="A1203" s="63"/>
      <c r="B1203" s="385"/>
      <c r="C1203" s="122"/>
      <c r="D1203" s="75"/>
      <c r="E1203" s="438" t="str">
        <f>E1192</f>
        <v>Custo Direto</v>
      </c>
      <c r="F1203" s="438"/>
      <c r="G1203" s="438"/>
      <c r="H1203" s="69">
        <f t="shared" ref="H1203:I1203" si="118">SUM(H1198:H1201)</f>
        <v>11.352</v>
      </c>
      <c r="I1203" s="69">
        <f t="shared" si="118"/>
        <v>303.80019999999996</v>
      </c>
      <c r="J1203" s="134"/>
      <c r="K1203" s="324">
        <v>0.2999</v>
      </c>
      <c r="L1203" s="191">
        <f>L1202</f>
        <v>1.4842</v>
      </c>
    </row>
    <row r="1204" spans="1:14" s="64" customFormat="1" x14ac:dyDescent="0.2">
      <c r="A1204" s="63"/>
      <c r="B1204" s="385"/>
      <c r="C1204" s="122"/>
      <c r="D1204" s="75"/>
      <c r="E1204" s="438" t="str">
        <f>E1193</f>
        <v>LS(%): 148,42</v>
      </c>
      <c r="F1204" s="438"/>
      <c r="G1204" s="438"/>
      <c r="H1204" s="67">
        <f t="shared" ref="H1204" si="119">H1203*L1204</f>
        <v>16.848638399999999</v>
      </c>
      <c r="I1204" s="131"/>
      <c r="J1204" s="134"/>
      <c r="K1204" s="324">
        <v>0.2999</v>
      </c>
      <c r="L1204" s="191">
        <f t="shared" ref="L1204:L1260" si="120">L1203</f>
        <v>1.4842</v>
      </c>
    </row>
    <row r="1205" spans="1:14" s="64" customFormat="1" x14ac:dyDescent="0.2">
      <c r="A1205" s="63"/>
      <c r="B1205" s="385"/>
      <c r="C1205" s="122"/>
      <c r="D1205" s="75"/>
      <c r="E1205" s="438" t="str">
        <f>E1194</f>
        <v>BDI (%): 29,99</v>
      </c>
      <c r="F1205" s="438"/>
      <c r="G1205" s="438"/>
      <c r="H1205" s="439">
        <f t="shared" ref="H1205" si="121">(H1203+I1203+H1204)*K1205</f>
        <v>99.567051436159971</v>
      </c>
      <c r="I1205" s="439"/>
      <c r="J1205" s="134"/>
      <c r="K1205" s="324">
        <v>0.2999</v>
      </c>
      <c r="L1205" s="191">
        <f t="shared" si="120"/>
        <v>1.4842</v>
      </c>
    </row>
    <row r="1206" spans="1:14" s="64" customFormat="1" x14ac:dyDescent="0.2">
      <c r="A1206" s="63"/>
      <c r="B1206" s="385"/>
      <c r="C1206" s="122"/>
      <c r="D1206" s="75"/>
      <c r="E1206" s="438" t="str">
        <f>E1195</f>
        <v>Valor Total c/ Taxas</v>
      </c>
      <c r="F1206" s="438"/>
      <c r="G1206" s="438"/>
      <c r="H1206" s="67"/>
      <c r="I1206" s="69">
        <f>560.53*N10</f>
        <v>560.53</v>
      </c>
      <c r="J1206" s="134"/>
      <c r="K1206" s="324">
        <v>0.2999</v>
      </c>
      <c r="L1206" s="191">
        <f t="shared" si="120"/>
        <v>1.4842</v>
      </c>
      <c r="M1206" s="401">
        <v>387.37</v>
      </c>
      <c r="N1206" s="86">
        <f t="shared" ref="N1206" si="122">I1206-M1206</f>
        <v>173.15999999999997</v>
      </c>
    </row>
    <row r="1207" spans="1:14" s="64" customFormat="1" x14ac:dyDescent="0.2">
      <c r="A1207" s="63"/>
      <c r="B1207" s="385"/>
      <c r="C1207" s="122"/>
      <c r="D1207" s="75"/>
      <c r="E1207" s="438"/>
      <c r="F1207" s="438"/>
      <c r="G1207" s="438"/>
      <c r="H1207" s="439"/>
      <c r="I1207" s="439"/>
      <c r="J1207" s="134"/>
      <c r="K1207" s="324">
        <v>0.2999</v>
      </c>
      <c r="L1207" s="191">
        <f t="shared" si="120"/>
        <v>1.4842</v>
      </c>
    </row>
    <row r="1208" spans="1:14" s="64" customFormat="1" x14ac:dyDescent="0.2">
      <c r="A1208" s="386"/>
      <c r="B1208" s="151"/>
      <c r="C1208" s="76" t="str">
        <f>orçamento!D140</f>
        <v>Chave fusível, 15 kV, 100a</v>
      </c>
      <c r="D1208" s="386" t="s">
        <v>622</v>
      </c>
      <c r="E1208" s="67"/>
      <c r="F1208" s="327"/>
      <c r="G1208" s="71"/>
      <c r="H1208" s="67"/>
      <c r="I1208" s="67"/>
      <c r="J1208" s="134"/>
      <c r="K1208" s="324">
        <v>0.2999</v>
      </c>
      <c r="L1208" s="191">
        <f t="shared" si="120"/>
        <v>1.4842</v>
      </c>
    </row>
    <row r="1209" spans="1:14" s="64" customFormat="1" x14ac:dyDescent="0.2">
      <c r="A1209" s="63"/>
      <c r="B1209" s="385"/>
      <c r="C1209" s="122" t="str">
        <f t="shared" ref="C1209" si="123">C1208</f>
        <v>Chave fusível, 15 kV, 100a</v>
      </c>
      <c r="D1209" s="75" t="s">
        <v>622</v>
      </c>
      <c r="E1209" s="67">
        <v>65</v>
      </c>
      <c r="F1209" s="327">
        <v>2.69</v>
      </c>
      <c r="G1209" s="71">
        <v>3.4</v>
      </c>
      <c r="H1209" s="67"/>
      <c r="I1209" s="67">
        <f t="shared" ref="I1209" si="124">E1209*G1209</f>
        <v>221</v>
      </c>
      <c r="J1209" s="134"/>
      <c r="K1209" s="324">
        <v>0.2999</v>
      </c>
      <c r="L1209" s="191">
        <f t="shared" si="120"/>
        <v>1.4842</v>
      </c>
    </row>
    <row r="1210" spans="1:14" s="64" customFormat="1" x14ac:dyDescent="0.2">
      <c r="A1210" s="63"/>
      <c r="B1210" s="385"/>
      <c r="C1210" s="122" t="s">
        <v>258</v>
      </c>
      <c r="D1210" s="75" t="s">
        <v>53</v>
      </c>
      <c r="E1210" s="132">
        <f>5.21</f>
        <v>5.21</v>
      </c>
      <c r="F1210" s="334"/>
      <c r="G1210" s="71">
        <v>0.8</v>
      </c>
      <c r="H1210" s="67">
        <f t="shared" ref="H1210:H1211" si="125">E1210*G1210</f>
        <v>4.1680000000000001</v>
      </c>
      <c r="I1210" s="133"/>
      <c r="J1210" s="134"/>
      <c r="K1210" s="324">
        <v>0.2999</v>
      </c>
      <c r="L1210" s="191">
        <f t="shared" si="120"/>
        <v>1.4842</v>
      </c>
    </row>
    <row r="1211" spans="1:14" s="64" customFormat="1" x14ac:dyDescent="0.2">
      <c r="A1211" s="63"/>
      <c r="B1211" s="385"/>
      <c r="C1211" s="122" t="s">
        <v>259</v>
      </c>
      <c r="D1211" s="75" t="s">
        <v>53</v>
      </c>
      <c r="E1211" s="67">
        <f>3.77</f>
        <v>3.77</v>
      </c>
      <c r="F1211" s="334"/>
      <c r="G1211" s="71">
        <v>0.8</v>
      </c>
      <c r="H1211" s="67">
        <f t="shared" si="125"/>
        <v>3.016</v>
      </c>
      <c r="I1211" s="133"/>
      <c r="J1211" s="134"/>
      <c r="K1211" s="324">
        <v>0.2999</v>
      </c>
      <c r="L1211" s="191">
        <f t="shared" si="120"/>
        <v>1.4842</v>
      </c>
    </row>
    <row r="1212" spans="1:14" s="64" customFormat="1" hidden="1" x14ac:dyDescent="0.2">
      <c r="A1212" s="63"/>
      <c r="B1212" s="385"/>
      <c r="C1212" s="122"/>
      <c r="D1212" s="75"/>
      <c r="E1212" s="67"/>
      <c r="F1212" s="327"/>
      <c r="G1212" s="71"/>
      <c r="H1212" s="67"/>
      <c r="I1212" s="67"/>
      <c r="J1212" s="134"/>
      <c r="K1212" s="324">
        <v>0.2999</v>
      </c>
      <c r="L1212" s="191">
        <f t="shared" si="120"/>
        <v>1.4842</v>
      </c>
    </row>
    <row r="1213" spans="1:14" s="64" customFormat="1" x14ac:dyDescent="0.2">
      <c r="A1213" s="63"/>
      <c r="B1213" s="385"/>
      <c r="C1213" s="122"/>
      <c r="D1213" s="75"/>
      <c r="E1213" s="438" t="str">
        <f>E1203</f>
        <v>Custo Direto</v>
      </c>
      <c r="F1213" s="438"/>
      <c r="G1213" s="438"/>
      <c r="H1213" s="69">
        <f>SUM(H1209:H1211)</f>
        <v>7.1840000000000002</v>
      </c>
      <c r="I1213" s="69">
        <f>SUM(I1209:I1211)</f>
        <v>221</v>
      </c>
      <c r="J1213" s="134"/>
      <c r="K1213" s="324">
        <v>0.2999</v>
      </c>
      <c r="L1213" s="191">
        <f t="shared" si="120"/>
        <v>1.4842</v>
      </c>
    </row>
    <row r="1214" spans="1:14" s="64" customFormat="1" x14ac:dyDescent="0.2">
      <c r="A1214" s="63"/>
      <c r="B1214" s="385"/>
      <c r="C1214" s="122"/>
      <c r="D1214" s="75"/>
      <c r="E1214" s="438" t="str">
        <f>E1204</f>
        <v>LS(%): 148,42</v>
      </c>
      <c r="F1214" s="438"/>
      <c r="G1214" s="438"/>
      <c r="H1214" s="67">
        <f t="shared" ref="H1214" si="126">H1213*L1214</f>
        <v>10.662492800000001</v>
      </c>
      <c r="I1214" s="131"/>
      <c r="J1214" s="134"/>
      <c r="K1214" s="324">
        <v>0.2999</v>
      </c>
      <c r="L1214" s="191">
        <f t="shared" si="120"/>
        <v>1.4842</v>
      </c>
    </row>
    <row r="1215" spans="1:14" s="64" customFormat="1" x14ac:dyDescent="0.2">
      <c r="A1215" s="63"/>
      <c r="B1215" s="385"/>
      <c r="C1215" s="122"/>
      <c r="D1215" s="75"/>
      <c r="E1215" s="438" t="str">
        <f>E1205</f>
        <v>BDI (%): 29,99</v>
      </c>
      <c r="F1215" s="438"/>
      <c r="G1215" s="438"/>
      <c r="H1215" s="439">
        <f t="shared" ref="H1215" si="127">(H1213+I1213+H1214)*K1215</f>
        <v>71.630063190719994</v>
      </c>
      <c r="I1215" s="439"/>
      <c r="J1215" s="134"/>
      <c r="K1215" s="324">
        <v>0.2999</v>
      </c>
      <c r="L1215" s="191">
        <f t="shared" si="120"/>
        <v>1.4842</v>
      </c>
    </row>
    <row r="1216" spans="1:14" s="64" customFormat="1" x14ac:dyDescent="0.2">
      <c r="A1216" s="63"/>
      <c r="B1216" s="385"/>
      <c r="C1216" s="122"/>
      <c r="D1216" s="75"/>
      <c r="E1216" s="438" t="str">
        <f>E1206</f>
        <v>Valor Total c/ Taxas</v>
      </c>
      <c r="F1216" s="438"/>
      <c r="G1216" s="438"/>
      <c r="H1216" s="67"/>
      <c r="I1216" s="69">
        <f>377.07*N10</f>
        <v>377.07</v>
      </c>
      <c r="J1216" s="134"/>
      <c r="K1216" s="324">
        <v>0.2999</v>
      </c>
      <c r="L1216" s="191">
        <f t="shared" si="120"/>
        <v>1.4842</v>
      </c>
      <c r="M1216" s="401">
        <v>387.37</v>
      </c>
      <c r="N1216" s="86">
        <f t="shared" ref="N1216" si="128">I1216-M1216</f>
        <v>-10.300000000000011</v>
      </c>
    </row>
    <row r="1217" spans="1:14" s="64" customFormat="1" ht="15" hidden="1" customHeight="1" x14ac:dyDescent="0.2">
      <c r="A1217" s="63"/>
      <c r="B1217" s="385"/>
      <c r="C1217" s="122"/>
      <c r="D1217" s="75"/>
      <c r="E1217" s="67"/>
      <c r="F1217" s="327"/>
      <c r="G1217" s="71"/>
      <c r="H1217" s="67"/>
      <c r="I1217" s="67"/>
      <c r="J1217" s="134"/>
      <c r="K1217" s="324">
        <v>0.2999</v>
      </c>
      <c r="L1217" s="191">
        <f t="shared" si="120"/>
        <v>1.4842</v>
      </c>
    </row>
    <row r="1218" spans="1:14" s="64" customFormat="1" x14ac:dyDescent="0.2">
      <c r="A1218" s="63"/>
      <c r="B1218" s="385"/>
      <c r="C1218" s="122"/>
      <c r="D1218" s="75"/>
      <c r="E1218" s="438"/>
      <c r="F1218" s="438"/>
      <c r="G1218" s="438"/>
      <c r="H1218" s="69"/>
      <c r="I1218" s="69"/>
      <c r="J1218" s="134"/>
      <c r="K1218" s="324">
        <v>0.2999</v>
      </c>
      <c r="L1218" s="191">
        <f t="shared" si="120"/>
        <v>1.4842</v>
      </c>
    </row>
    <row r="1219" spans="1:14" s="64" customFormat="1" x14ac:dyDescent="0.2">
      <c r="A1219" s="386"/>
      <c r="B1219" s="151"/>
      <c r="C1219" s="76" t="str">
        <f>orçamento!D141</f>
        <v>Cruzeta de concreto armado 1900mm</v>
      </c>
      <c r="D1219" s="386" t="s">
        <v>622</v>
      </c>
      <c r="E1219" s="67"/>
      <c r="F1219" s="327"/>
      <c r="G1219" s="71"/>
      <c r="H1219" s="67"/>
      <c r="I1219" s="67"/>
      <c r="J1219" s="134"/>
      <c r="K1219" s="324">
        <v>0.2999</v>
      </c>
      <c r="L1219" s="191">
        <f t="shared" si="120"/>
        <v>1.4842</v>
      </c>
    </row>
    <row r="1220" spans="1:14" s="64" customFormat="1" x14ac:dyDescent="0.2">
      <c r="A1220" s="63"/>
      <c r="B1220" s="385"/>
      <c r="C1220" s="122" t="str">
        <f t="shared" ref="C1220" si="129">C1219</f>
        <v>Cruzeta de concreto armado 1900mm</v>
      </c>
      <c r="D1220" s="75" t="s">
        <v>622</v>
      </c>
      <c r="E1220" s="67">
        <v>30</v>
      </c>
      <c r="F1220" s="327">
        <v>2.69</v>
      </c>
      <c r="G1220" s="71">
        <v>3.4</v>
      </c>
      <c r="H1220" s="67"/>
      <c r="I1220" s="67">
        <f t="shared" ref="I1220" si="130">E1220*G1220</f>
        <v>102</v>
      </c>
      <c r="J1220" s="134"/>
      <c r="K1220" s="324">
        <v>0.2999</v>
      </c>
      <c r="L1220" s="191">
        <f t="shared" si="120"/>
        <v>1.4842</v>
      </c>
    </row>
    <row r="1221" spans="1:14" s="64" customFormat="1" x14ac:dyDescent="0.2">
      <c r="A1221" s="63"/>
      <c r="B1221" s="385"/>
      <c r="C1221" s="122" t="s">
        <v>695</v>
      </c>
      <c r="D1221" s="75" t="s">
        <v>53</v>
      </c>
      <c r="E1221" s="132">
        <f>5.21</f>
        <v>5.21</v>
      </c>
      <c r="F1221" s="327"/>
      <c r="G1221" s="71">
        <v>0.8</v>
      </c>
      <c r="H1221" s="67">
        <f t="shared" ref="H1221:H1223" si="131">E1221*G1221</f>
        <v>4.1680000000000001</v>
      </c>
      <c r="I1221" s="67"/>
      <c r="J1221" s="134"/>
      <c r="K1221" s="324">
        <v>0.2999</v>
      </c>
      <c r="L1221" s="191">
        <f t="shared" si="120"/>
        <v>1.4842</v>
      </c>
    </row>
    <row r="1222" spans="1:14" s="64" customFormat="1" x14ac:dyDescent="0.2">
      <c r="A1222" s="63"/>
      <c r="B1222" s="385"/>
      <c r="C1222" s="122" t="s">
        <v>258</v>
      </c>
      <c r="D1222" s="75" t="s">
        <v>53</v>
      </c>
      <c r="E1222" s="132">
        <f>5.21</f>
        <v>5.21</v>
      </c>
      <c r="F1222" s="334"/>
      <c r="G1222" s="71">
        <v>0.8</v>
      </c>
      <c r="H1222" s="67">
        <f t="shared" si="131"/>
        <v>4.1680000000000001</v>
      </c>
      <c r="I1222" s="133"/>
      <c r="J1222" s="134"/>
      <c r="K1222" s="324">
        <v>0.2999</v>
      </c>
      <c r="L1222" s="191">
        <f t="shared" si="120"/>
        <v>1.4842</v>
      </c>
    </row>
    <row r="1223" spans="1:14" s="64" customFormat="1" x14ac:dyDescent="0.2">
      <c r="A1223" s="63"/>
      <c r="B1223" s="385"/>
      <c r="C1223" s="122" t="s">
        <v>259</v>
      </c>
      <c r="D1223" s="75" t="s">
        <v>53</v>
      </c>
      <c r="E1223" s="67">
        <f>3.77</f>
        <v>3.77</v>
      </c>
      <c r="F1223" s="334"/>
      <c r="G1223" s="71">
        <v>0.8</v>
      </c>
      <c r="H1223" s="67">
        <f t="shared" si="131"/>
        <v>3.016</v>
      </c>
      <c r="I1223" s="133"/>
      <c r="J1223" s="134"/>
      <c r="K1223" s="324">
        <v>0.2999</v>
      </c>
      <c r="L1223" s="191">
        <f t="shared" si="120"/>
        <v>1.4842</v>
      </c>
    </row>
    <row r="1224" spans="1:14" s="64" customFormat="1" hidden="1" x14ac:dyDescent="0.2">
      <c r="A1224" s="63"/>
      <c r="B1224" s="385"/>
      <c r="C1224" s="122"/>
      <c r="D1224" s="75"/>
      <c r="E1224" s="67"/>
      <c r="F1224" s="327"/>
      <c r="G1224" s="71"/>
      <c r="H1224" s="67"/>
      <c r="I1224" s="67"/>
      <c r="J1224" s="134"/>
      <c r="K1224" s="324">
        <v>0.2999</v>
      </c>
      <c r="L1224" s="191">
        <f t="shared" si="120"/>
        <v>1.4842</v>
      </c>
    </row>
    <row r="1225" spans="1:14" s="64" customFormat="1" x14ac:dyDescent="0.2">
      <c r="A1225" s="63"/>
      <c r="B1225" s="385"/>
      <c r="C1225" s="122"/>
      <c r="D1225" s="75"/>
      <c r="E1225" s="438" t="str">
        <f>E1213</f>
        <v>Custo Direto</v>
      </c>
      <c r="F1225" s="438"/>
      <c r="G1225" s="438"/>
      <c r="H1225" s="69">
        <f t="shared" ref="H1225:I1225" si="132">SUM(H1220:H1223)</f>
        <v>11.352</v>
      </c>
      <c r="I1225" s="69">
        <f t="shared" si="132"/>
        <v>102</v>
      </c>
      <c r="J1225" s="134"/>
      <c r="K1225" s="324">
        <v>0.2999</v>
      </c>
      <c r="L1225" s="191">
        <f t="shared" si="120"/>
        <v>1.4842</v>
      </c>
    </row>
    <row r="1226" spans="1:14" s="64" customFormat="1" x14ac:dyDescent="0.2">
      <c r="A1226" s="63"/>
      <c r="B1226" s="385"/>
      <c r="C1226" s="122"/>
      <c r="D1226" s="75"/>
      <c r="E1226" s="438" t="str">
        <f>E1214</f>
        <v>LS(%): 148,42</v>
      </c>
      <c r="F1226" s="438"/>
      <c r="G1226" s="438"/>
      <c r="H1226" s="67">
        <f t="shared" ref="H1226" si="133">H1225*L1226</f>
        <v>16.848638399999999</v>
      </c>
      <c r="I1226" s="131"/>
      <c r="J1226" s="134"/>
      <c r="K1226" s="324">
        <v>0.2999</v>
      </c>
      <c r="L1226" s="191">
        <f t="shared" si="120"/>
        <v>1.4842</v>
      </c>
    </row>
    <row r="1227" spans="1:14" s="64" customFormat="1" x14ac:dyDescent="0.2">
      <c r="A1227" s="63"/>
      <c r="B1227" s="385"/>
      <c r="C1227" s="122"/>
      <c r="D1227" s="75"/>
      <c r="E1227" s="438" t="str">
        <f>E1215</f>
        <v>BDI (%): 29,99</v>
      </c>
      <c r="F1227" s="438"/>
      <c r="G1227" s="438"/>
      <c r="H1227" s="439">
        <f t="shared" ref="H1227" si="134">(H1225+I1225+H1226)*K1227</f>
        <v>39.047171456160001</v>
      </c>
      <c r="I1227" s="439"/>
      <c r="J1227" s="134"/>
      <c r="K1227" s="324">
        <v>0.2999</v>
      </c>
      <c r="L1227" s="191">
        <f t="shared" si="120"/>
        <v>1.4842</v>
      </c>
    </row>
    <row r="1228" spans="1:14" s="64" customFormat="1" x14ac:dyDescent="0.2">
      <c r="A1228" s="63"/>
      <c r="B1228" s="385"/>
      <c r="C1228" s="122"/>
      <c r="D1228" s="75"/>
      <c r="E1228" s="438" t="str">
        <f>E1216</f>
        <v>Valor Total c/ Taxas</v>
      </c>
      <c r="F1228" s="438"/>
      <c r="G1228" s="438"/>
      <c r="H1228" s="67"/>
      <c r="I1228" s="69">
        <f>154.99*N10</f>
        <v>154.99</v>
      </c>
      <c r="J1228" s="134"/>
      <c r="K1228" s="324">
        <v>0.2999</v>
      </c>
      <c r="L1228" s="191">
        <f t="shared" si="120"/>
        <v>1.4842</v>
      </c>
      <c r="M1228" s="401">
        <v>387.37</v>
      </c>
      <c r="N1228" s="86">
        <f t="shared" ref="N1228" si="135">I1228-M1228</f>
        <v>-232.38</v>
      </c>
    </row>
    <row r="1229" spans="1:14" s="64" customFormat="1" x14ac:dyDescent="0.2">
      <c r="A1229" s="63"/>
      <c r="B1229" s="152"/>
      <c r="C1229" s="122"/>
      <c r="D1229" s="75"/>
      <c r="E1229" s="438"/>
      <c r="F1229" s="438"/>
      <c r="G1229" s="438"/>
      <c r="H1229" s="67"/>
      <c r="I1229" s="131"/>
      <c r="J1229" s="134"/>
      <c r="K1229" s="324">
        <v>0.2999</v>
      </c>
      <c r="L1229" s="191">
        <f t="shared" si="120"/>
        <v>1.4842</v>
      </c>
    </row>
    <row r="1230" spans="1:14" s="64" customFormat="1" x14ac:dyDescent="0.2">
      <c r="A1230" s="386"/>
      <c r="B1230" s="151"/>
      <c r="C1230" s="76" t="str">
        <f>orçamento!D142</f>
        <v>Curva de 90 graus de pvc rigido diam. 4''</v>
      </c>
      <c r="D1230" s="386" t="s">
        <v>622</v>
      </c>
      <c r="E1230" s="67"/>
      <c r="F1230" s="327"/>
      <c r="G1230" s="71"/>
      <c r="H1230" s="67"/>
      <c r="I1230" s="67"/>
      <c r="J1230" s="134"/>
      <c r="K1230" s="324">
        <v>0.2999</v>
      </c>
      <c r="L1230" s="191">
        <f t="shared" si="120"/>
        <v>1.4842</v>
      </c>
    </row>
    <row r="1231" spans="1:14" s="64" customFormat="1" x14ac:dyDescent="0.2">
      <c r="A1231" s="63"/>
      <c r="B1231" s="385"/>
      <c r="C1231" s="122" t="str">
        <f t="shared" ref="C1231" si="136">C1230</f>
        <v>Curva de 90 graus de pvc rigido diam. 4''</v>
      </c>
      <c r="D1231" s="75" t="s">
        <v>622</v>
      </c>
      <c r="E1231" s="67">
        <v>10</v>
      </c>
      <c r="F1231" s="327">
        <v>2.69</v>
      </c>
      <c r="G1231" s="71">
        <v>3.4</v>
      </c>
      <c r="H1231" s="67"/>
      <c r="I1231" s="67">
        <f t="shared" ref="I1231" si="137">E1231*G1231</f>
        <v>34</v>
      </c>
      <c r="J1231" s="134"/>
      <c r="K1231" s="324">
        <v>0.2999</v>
      </c>
      <c r="L1231" s="191">
        <f t="shared" si="120"/>
        <v>1.4842</v>
      </c>
    </row>
    <row r="1232" spans="1:14" s="64" customFormat="1" x14ac:dyDescent="0.2">
      <c r="A1232" s="63"/>
      <c r="B1232" s="385"/>
      <c r="C1232" s="122" t="s">
        <v>695</v>
      </c>
      <c r="D1232" s="75" t="s">
        <v>53</v>
      </c>
      <c r="E1232" s="132">
        <f>5.21</f>
        <v>5.21</v>
      </c>
      <c r="F1232" s="327"/>
      <c r="G1232" s="71">
        <v>0.8</v>
      </c>
      <c r="H1232" s="67">
        <f t="shared" ref="H1232:H1234" si="138">E1232*G1232</f>
        <v>4.1680000000000001</v>
      </c>
      <c r="I1232" s="67"/>
      <c r="J1232" s="134"/>
      <c r="K1232" s="324">
        <v>0.2999</v>
      </c>
      <c r="L1232" s="191">
        <f t="shared" si="120"/>
        <v>1.4842</v>
      </c>
    </row>
    <row r="1233" spans="1:14" s="64" customFormat="1" x14ac:dyDescent="0.2">
      <c r="A1233" s="63"/>
      <c r="B1233" s="385"/>
      <c r="C1233" s="122" t="s">
        <v>258</v>
      </c>
      <c r="D1233" s="75" t="s">
        <v>53</v>
      </c>
      <c r="E1233" s="132">
        <f>5.21</f>
        <v>5.21</v>
      </c>
      <c r="F1233" s="334"/>
      <c r="G1233" s="71">
        <v>0.8</v>
      </c>
      <c r="H1233" s="67">
        <f t="shared" si="138"/>
        <v>4.1680000000000001</v>
      </c>
      <c r="I1233" s="133"/>
      <c r="J1233" s="134"/>
      <c r="K1233" s="324">
        <v>0.2999</v>
      </c>
      <c r="L1233" s="191">
        <f t="shared" si="120"/>
        <v>1.4842</v>
      </c>
    </row>
    <row r="1234" spans="1:14" s="64" customFormat="1" x14ac:dyDescent="0.2">
      <c r="A1234" s="63"/>
      <c r="B1234" s="385"/>
      <c r="C1234" s="122" t="s">
        <v>259</v>
      </c>
      <c r="D1234" s="75" t="s">
        <v>53</v>
      </c>
      <c r="E1234" s="67">
        <f>3.77</f>
        <v>3.77</v>
      </c>
      <c r="F1234" s="334"/>
      <c r="G1234" s="71">
        <v>0.8</v>
      </c>
      <c r="H1234" s="67">
        <f t="shared" si="138"/>
        <v>3.016</v>
      </c>
      <c r="I1234" s="133"/>
      <c r="J1234" s="134"/>
      <c r="K1234" s="324">
        <v>0.2999</v>
      </c>
      <c r="L1234" s="191">
        <f t="shared" si="120"/>
        <v>1.4842</v>
      </c>
    </row>
    <row r="1235" spans="1:14" s="64" customFormat="1" hidden="1" x14ac:dyDescent="0.2">
      <c r="A1235" s="63"/>
      <c r="B1235" s="385"/>
      <c r="C1235" s="122"/>
      <c r="D1235" s="75"/>
      <c r="E1235" s="67"/>
      <c r="F1235" s="327"/>
      <c r="G1235" s="71"/>
      <c r="H1235" s="67"/>
      <c r="I1235" s="67"/>
      <c r="J1235" s="134"/>
      <c r="K1235" s="324">
        <v>0.2999</v>
      </c>
      <c r="L1235" s="191">
        <f t="shared" si="120"/>
        <v>1.4842</v>
      </c>
    </row>
    <row r="1236" spans="1:14" s="64" customFormat="1" x14ac:dyDescent="0.2">
      <c r="A1236" s="63"/>
      <c r="B1236" s="385"/>
      <c r="C1236" s="122"/>
      <c r="D1236" s="75"/>
      <c r="E1236" s="438" t="str">
        <f>E1225</f>
        <v>Custo Direto</v>
      </c>
      <c r="F1236" s="438"/>
      <c r="G1236" s="438"/>
      <c r="H1236" s="69">
        <f t="shared" ref="H1236:I1236" si="139">SUM(H1231:H1234)</f>
        <v>11.352</v>
      </c>
      <c r="I1236" s="69">
        <f t="shared" si="139"/>
        <v>34</v>
      </c>
      <c r="J1236" s="134"/>
      <c r="K1236" s="324">
        <v>0.2999</v>
      </c>
      <c r="L1236" s="191">
        <f t="shared" si="120"/>
        <v>1.4842</v>
      </c>
    </row>
    <row r="1237" spans="1:14" s="64" customFormat="1" x14ac:dyDescent="0.2">
      <c r="A1237" s="63"/>
      <c r="B1237" s="385"/>
      <c r="C1237" s="122"/>
      <c r="D1237" s="75"/>
      <c r="E1237" s="438" t="str">
        <f>E1226</f>
        <v>LS(%): 148,42</v>
      </c>
      <c r="F1237" s="438"/>
      <c r="G1237" s="438"/>
      <c r="H1237" s="67">
        <f t="shared" ref="H1237" si="140">H1236*L1237</f>
        <v>16.848638399999999</v>
      </c>
      <c r="I1237" s="131"/>
      <c r="J1237" s="134"/>
      <c r="K1237" s="324">
        <v>0.2999</v>
      </c>
      <c r="L1237" s="191">
        <f t="shared" si="120"/>
        <v>1.4842</v>
      </c>
    </row>
    <row r="1238" spans="1:14" s="64" customFormat="1" x14ac:dyDescent="0.2">
      <c r="A1238" s="63"/>
      <c r="B1238" s="385"/>
      <c r="C1238" s="122"/>
      <c r="D1238" s="75"/>
      <c r="E1238" s="438" t="str">
        <f>E1227</f>
        <v>BDI (%): 29,99</v>
      </c>
      <c r="F1238" s="438"/>
      <c r="G1238" s="438"/>
      <c r="H1238" s="439">
        <f t="shared" ref="H1238" si="141">(H1236+I1236+H1237)*K1238</f>
        <v>18.653971456160001</v>
      </c>
      <c r="I1238" s="439"/>
      <c r="J1238" s="134"/>
      <c r="K1238" s="324">
        <v>0.2999</v>
      </c>
      <c r="L1238" s="191">
        <f t="shared" si="120"/>
        <v>1.4842</v>
      </c>
    </row>
    <row r="1239" spans="1:14" s="64" customFormat="1" x14ac:dyDescent="0.2">
      <c r="A1239" s="63"/>
      <c r="B1239" s="385"/>
      <c r="C1239" s="122"/>
      <c r="D1239" s="75"/>
      <c r="E1239" s="438" t="str">
        <f>E1228</f>
        <v>Valor Total c/ Taxas</v>
      </c>
      <c r="F1239" s="438"/>
      <c r="G1239" s="438"/>
      <c r="H1239" s="67"/>
      <c r="I1239" s="69">
        <f>79.39*N10</f>
        <v>79.39</v>
      </c>
      <c r="J1239" s="134"/>
      <c r="K1239" s="324">
        <v>0.2999</v>
      </c>
      <c r="L1239" s="191">
        <f t="shared" si="120"/>
        <v>1.4842</v>
      </c>
      <c r="M1239" s="401">
        <v>387.37</v>
      </c>
      <c r="N1239" s="86">
        <f t="shared" ref="N1239" si="142">I1239-M1239</f>
        <v>-307.98</v>
      </c>
    </row>
    <row r="1240" spans="1:14" s="64" customFormat="1" x14ac:dyDescent="0.2">
      <c r="A1240" s="63"/>
      <c r="B1240" s="152"/>
      <c r="C1240" s="122"/>
      <c r="D1240" s="75"/>
      <c r="E1240" s="438"/>
      <c r="F1240" s="438"/>
      <c r="G1240" s="438"/>
      <c r="H1240" s="439"/>
      <c r="I1240" s="439"/>
      <c r="J1240" s="134"/>
      <c r="K1240" s="324">
        <v>0.2999</v>
      </c>
      <c r="L1240" s="191">
        <f t="shared" si="120"/>
        <v>1.4842</v>
      </c>
    </row>
    <row r="1241" spans="1:14" s="64" customFormat="1" x14ac:dyDescent="0.2">
      <c r="A1241" s="397"/>
      <c r="B1241" s="151" t="s">
        <v>187</v>
      </c>
      <c r="C1241" s="76" t="str">
        <f>orçamento!D143</f>
        <v>Disjuntor termomagnético tripolar 200a</v>
      </c>
      <c r="D1241" s="397" t="s">
        <v>622</v>
      </c>
      <c r="E1241" s="67"/>
      <c r="F1241" s="327"/>
      <c r="G1241" s="71"/>
      <c r="H1241" s="67"/>
      <c r="I1241" s="67"/>
      <c r="J1241" s="134"/>
      <c r="K1241" s="324">
        <v>0.2999</v>
      </c>
      <c r="L1241" s="191">
        <f t="shared" ref="L1241:L1250" si="143">L1240</f>
        <v>1.4842</v>
      </c>
    </row>
    <row r="1242" spans="1:14" s="64" customFormat="1" x14ac:dyDescent="0.2">
      <c r="A1242" s="63"/>
      <c r="B1242" s="396"/>
      <c r="C1242" s="122" t="str">
        <f t="shared" ref="C1242" si="144">C1241</f>
        <v>Disjuntor termomagnético tripolar 200a</v>
      </c>
      <c r="D1242" s="75" t="s">
        <v>622</v>
      </c>
      <c r="E1242" s="67">
        <v>10</v>
      </c>
      <c r="F1242" s="327">
        <v>2.69</v>
      </c>
      <c r="G1242" s="71">
        <v>3.4</v>
      </c>
      <c r="H1242" s="67"/>
      <c r="I1242" s="67">
        <f t="shared" ref="I1242" si="145">E1242*G1242</f>
        <v>34</v>
      </c>
      <c r="J1242" s="134"/>
      <c r="K1242" s="324">
        <v>0.2999</v>
      </c>
      <c r="L1242" s="191">
        <f t="shared" si="143"/>
        <v>1.4842</v>
      </c>
    </row>
    <row r="1243" spans="1:14" s="64" customFormat="1" x14ac:dyDescent="0.2">
      <c r="A1243" s="63"/>
      <c r="B1243" s="396"/>
      <c r="C1243" s="122" t="s">
        <v>258</v>
      </c>
      <c r="D1243" s="75" t="s">
        <v>53</v>
      </c>
      <c r="E1243" s="132">
        <f>5.21</f>
        <v>5.21</v>
      </c>
      <c r="F1243" s="334"/>
      <c r="G1243" s="71">
        <v>0.8</v>
      </c>
      <c r="H1243" s="67">
        <f t="shared" ref="H1243:H1244" si="146">E1243*G1243</f>
        <v>4.1680000000000001</v>
      </c>
      <c r="I1243" s="133"/>
      <c r="J1243" s="134"/>
      <c r="K1243" s="324">
        <v>0.2999</v>
      </c>
      <c r="L1243" s="191">
        <f t="shared" si="143"/>
        <v>1.4842</v>
      </c>
    </row>
    <row r="1244" spans="1:14" s="64" customFormat="1" x14ac:dyDescent="0.2">
      <c r="A1244" s="63"/>
      <c r="B1244" s="396"/>
      <c r="C1244" s="122" t="s">
        <v>259</v>
      </c>
      <c r="D1244" s="75" t="s">
        <v>53</v>
      </c>
      <c r="E1244" s="67">
        <f>3.77</f>
        <v>3.77</v>
      </c>
      <c r="F1244" s="334"/>
      <c r="G1244" s="71">
        <v>0.8</v>
      </c>
      <c r="H1244" s="67">
        <f t="shared" si="146"/>
        <v>3.016</v>
      </c>
      <c r="I1244" s="133"/>
      <c r="J1244" s="134"/>
      <c r="K1244" s="324">
        <v>0.2999</v>
      </c>
      <c r="L1244" s="191">
        <f t="shared" si="143"/>
        <v>1.4842</v>
      </c>
    </row>
    <row r="1245" spans="1:14" s="64" customFormat="1" hidden="1" x14ac:dyDescent="0.2">
      <c r="A1245" s="63"/>
      <c r="B1245" s="396"/>
      <c r="C1245" s="122"/>
      <c r="D1245" s="75"/>
      <c r="E1245" s="67"/>
      <c r="F1245" s="327"/>
      <c r="G1245" s="71"/>
      <c r="H1245" s="67"/>
      <c r="I1245" s="67"/>
      <c r="J1245" s="134"/>
      <c r="K1245" s="324">
        <v>0.2999</v>
      </c>
      <c r="L1245" s="191">
        <f t="shared" si="143"/>
        <v>1.4842</v>
      </c>
    </row>
    <row r="1246" spans="1:14" s="64" customFormat="1" x14ac:dyDescent="0.2">
      <c r="A1246" s="63"/>
      <c r="B1246" s="396"/>
      <c r="C1246" s="122"/>
      <c r="D1246" s="75"/>
      <c r="E1246" s="438" t="str">
        <f>E1236</f>
        <v>Custo Direto</v>
      </c>
      <c r="F1246" s="438"/>
      <c r="G1246" s="438"/>
      <c r="H1246" s="69">
        <f>SUM(H1242:H1244)</f>
        <v>7.1840000000000002</v>
      </c>
      <c r="I1246" s="69">
        <f>SUM(I1242:I1244)</f>
        <v>34</v>
      </c>
      <c r="J1246" s="134"/>
      <c r="K1246" s="324">
        <v>0.2999</v>
      </c>
      <c r="L1246" s="191">
        <f t="shared" si="143"/>
        <v>1.4842</v>
      </c>
    </row>
    <row r="1247" spans="1:14" s="64" customFormat="1" x14ac:dyDescent="0.2">
      <c r="A1247" s="63"/>
      <c r="B1247" s="396"/>
      <c r="C1247" s="122"/>
      <c r="D1247" s="75"/>
      <c r="E1247" s="438" t="str">
        <f>E1237</f>
        <v>LS(%): 148,42</v>
      </c>
      <c r="F1247" s="438"/>
      <c r="G1247" s="438"/>
      <c r="H1247" s="67">
        <f t="shared" ref="H1247" si="147">H1246*L1247</f>
        <v>10.662492800000001</v>
      </c>
      <c r="I1247" s="131"/>
      <c r="J1247" s="134"/>
      <c r="K1247" s="324">
        <v>0.2999</v>
      </c>
      <c r="L1247" s="191">
        <f t="shared" si="143"/>
        <v>1.4842</v>
      </c>
    </row>
    <row r="1248" spans="1:14" s="64" customFormat="1" x14ac:dyDescent="0.2">
      <c r="A1248" s="63"/>
      <c r="B1248" s="396"/>
      <c r="C1248" s="122"/>
      <c r="D1248" s="75"/>
      <c r="E1248" s="438" t="str">
        <f>E1238</f>
        <v>BDI (%): 29,99</v>
      </c>
      <c r="F1248" s="438"/>
      <c r="G1248" s="438"/>
      <c r="H1248" s="439">
        <f t="shared" ref="H1248" si="148">(H1246+I1246+H1247)*K1248</f>
        <v>15.548763190720001</v>
      </c>
      <c r="I1248" s="439"/>
      <c r="J1248" s="134"/>
      <c r="K1248" s="324">
        <v>0.2999</v>
      </c>
      <c r="L1248" s="191">
        <f t="shared" si="143"/>
        <v>1.4842</v>
      </c>
    </row>
    <row r="1249" spans="1:14" s="64" customFormat="1" x14ac:dyDescent="0.2">
      <c r="A1249" s="63"/>
      <c r="B1249" s="396"/>
      <c r="C1249" s="122"/>
      <c r="D1249" s="75"/>
      <c r="E1249" s="438" t="str">
        <f>E1239</f>
        <v>Valor Total c/ Taxas</v>
      </c>
      <c r="F1249" s="438"/>
      <c r="G1249" s="438"/>
      <c r="H1249" s="67"/>
      <c r="I1249" s="69">
        <f>79.39*N10</f>
        <v>79.39</v>
      </c>
      <c r="J1249" s="134"/>
      <c r="K1249" s="324">
        <v>0.2999</v>
      </c>
      <c r="L1249" s="191">
        <f t="shared" si="143"/>
        <v>1.4842</v>
      </c>
      <c r="M1249" s="401">
        <v>387.37</v>
      </c>
      <c r="N1249" s="86">
        <f t="shared" ref="N1249" si="149">I1249-M1249</f>
        <v>-307.98</v>
      </c>
    </row>
    <row r="1250" spans="1:14" s="64" customFormat="1" x14ac:dyDescent="0.2">
      <c r="A1250" s="63"/>
      <c r="B1250" s="396"/>
      <c r="C1250" s="122"/>
      <c r="D1250" s="75"/>
      <c r="E1250" s="395"/>
      <c r="F1250" s="395"/>
      <c r="G1250" s="395"/>
      <c r="H1250" s="67"/>
      <c r="I1250" s="69"/>
      <c r="J1250" s="134"/>
      <c r="K1250" s="324">
        <v>0.2999</v>
      </c>
      <c r="L1250" s="191">
        <f t="shared" si="143"/>
        <v>1.4842</v>
      </c>
      <c r="M1250" s="401"/>
      <c r="N1250" s="86"/>
    </row>
    <row r="1251" spans="1:14" s="64" customFormat="1" x14ac:dyDescent="0.2">
      <c r="A1251" s="397"/>
      <c r="B1251" s="151" t="s">
        <v>188</v>
      </c>
      <c r="C1251" s="76" t="str">
        <f>orçamento!D144</f>
        <v>Eletroduto de PVC rigido diâmetro 4''</v>
      </c>
      <c r="D1251" s="397" t="s">
        <v>622</v>
      </c>
      <c r="E1251" s="67"/>
      <c r="F1251" s="327"/>
      <c r="G1251" s="71"/>
      <c r="H1251" s="67"/>
      <c r="I1251" s="67"/>
      <c r="J1251" s="134"/>
      <c r="K1251" s="324">
        <v>0.2999</v>
      </c>
      <c r="L1251" s="191">
        <f t="shared" si="120"/>
        <v>1.4842</v>
      </c>
    </row>
    <row r="1252" spans="1:14" s="64" customFormat="1" x14ac:dyDescent="0.2">
      <c r="A1252" s="63"/>
      <c r="B1252" s="396"/>
      <c r="C1252" s="122" t="str">
        <f t="shared" ref="C1252" si="150">C1251</f>
        <v>Eletroduto de PVC rigido diâmetro 4''</v>
      </c>
      <c r="D1252" s="75" t="s">
        <v>622</v>
      </c>
      <c r="E1252" s="67">
        <v>10</v>
      </c>
      <c r="F1252" s="327">
        <v>2.69</v>
      </c>
      <c r="G1252" s="71">
        <v>3.4</v>
      </c>
      <c r="H1252" s="67"/>
      <c r="I1252" s="67">
        <f t="shared" ref="I1252" si="151">E1252*G1252</f>
        <v>34</v>
      </c>
      <c r="J1252" s="134"/>
      <c r="K1252" s="324">
        <v>0.2999</v>
      </c>
      <c r="L1252" s="191">
        <f t="shared" si="120"/>
        <v>1.4842</v>
      </c>
    </row>
    <row r="1253" spans="1:14" s="64" customFormat="1" x14ac:dyDescent="0.2">
      <c r="A1253" s="63"/>
      <c r="B1253" s="396"/>
      <c r="C1253" s="122" t="s">
        <v>258</v>
      </c>
      <c r="D1253" s="75" t="s">
        <v>53</v>
      </c>
      <c r="E1253" s="132">
        <f>5.21</f>
        <v>5.21</v>
      </c>
      <c r="F1253" s="334"/>
      <c r="G1253" s="71">
        <v>0.8</v>
      </c>
      <c r="H1253" s="67">
        <f t="shared" ref="H1253:H1254" si="152">E1253*G1253</f>
        <v>4.1680000000000001</v>
      </c>
      <c r="I1253" s="133"/>
      <c r="J1253" s="134"/>
      <c r="K1253" s="324">
        <v>0.2999</v>
      </c>
      <c r="L1253" s="191">
        <f t="shared" si="120"/>
        <v>1.4842</v>
      </c>
    </row>
    <row r="1254" spans="1:14" s="64" customFormat="1" x14ac:dyDescent="0.2">
      <c r="A1254" s="63"/>
      <c r="B1254" s="396"/>
      <c r="C1254" s="122" t="s">
        <v>259</v>
      </c>
      <c r="D1254" s="75" t="s">
        <v>53</v>
      </c>
      <c r="E1254" s="67">
        <f>3.77</f>
        <v>3.77</v>
      </c>
      <c r="F1254" s="334"/>
      <c r="G1254" s="71">
        <v>0.8</v>
      </c>
      <c r="H1254" s="67">
        <f t="shared" si="152"/>
        <v>3.016</v>
      </c>
      <c r="I1254" s="133"/>
      <c r="J1254" s="134"/>
      <c r="K1254" s="324">
        <v>0.2999</v>
      </c>
      <c r="L1254" s="191">
        <f t="shared" si="120"/>
        <v>1.4842</v>
      </c>
    </row>
    <row r="1255" spans="1:14" s="64" customFormat="1" hidden="1" x14ac:dyDescent="0.2">
      <c r="A1255" s="63"/>
      <c r="B1255" s="396"/>
      <c r="C1255" s="122"/>
      <c r="D1255" s="75"/>
      <c r="E1255" s="67"/>
      <c r="F1255" s="327"/>
      <c r="G1255" s="71"/>
      <c r="H1255" s="67"/>
      <c r="I1255" s="67"/>
      <c r="J1255" s="134"/>
      <c r="K1255" s="324">
        <v>0.2999</v>
      </c>
      <c r="L1255" s="191">
        <f t="shared" si="120"/>
        <v>1.4842</v>
      </c>
    </row>
    <row r="1256" spans="1:14" s="64" customFormat="1" x14ac:dyDescent="0.2">
      <c r="A1256" s="63"/>
      <c r="B1256" s="396"/>
      <c r="C1256" s="122"/>
      <c r="D1256" s="75"/>
      <c r="E1256" s="438" t="str">
        <f>E1246</f>
        <v>Custo Direto</v>
      </c>
      <c r="F1256" s="438"/>
      <c r="G1256" s="438"/>
      <c r="H1256" s="69">
        <f>SUM(H1252:H1254)</f>
        <v>7.1840000000000002</v>
      </c>
      <c r="I1256" s="69">
        <f>SUM(I1252:I1254)</f>
        <v>34</v>
      </c>
      <c r="J1256" s="134"/>
      <c r="K1256" s="324">
        <v>0.2999</v>
      </c>
      <c r="L1256" s="191">
        <f t="shared" si="120"/>
        <v>1.4842</v>
      </c>
    </row>
    <row r="1257" spans="1:14" s="64" customFormat="1" x14ac:dyDescent="0.2">
      <c r="A1257" s="63"/>
      <c r="B1257" s="396"/>
      <c r="C1257" s="122"/>
      <c r="D1257" s="75"/>
      <c r="E1257" s="438" t="str">
        <f>E1247</f>
        <v>LS(%): 148,42</v>
      </c>
      <c r="F1257" s="438"/>
      <c r="G1257" s="438"/>
      <c r="H1257" s="67">
        <f t="shared" ref="H1257" si="153">H1256*L1257</f>
        <v>10.662492800000001</v>
      </c>
      <c r="I1257" s="131"/>
      <c r="J1257" s="134"/>
      <c r="K1257" s="324">
        <v>0.2999</v>
      </c>
      <c r="L1257" s="191">
        <f t="shared" si="120"/>
        <v>1.4842</v>
      </c>
    </row>
    <row r="1258" spans="1:14" s="64" customFormat="1" x14ac:dyDescent="0.2">
      <c r="A1258" s="63"/>
      <c r="B1258" s="396"/>
      <c r="C1258" s="122"/>
      <c r="D1258" s="75"/>
      <c r="E1258" s="438" t="str">
        <f>E1248</f>
        <v>BDI (%): 29,99</v>
      </c>
      <c r="F1258" s="438"/>
      <c r="G1258" s="438"/>
      <c r="H1258" s="439">
        <f t="shared" ref="H1258" si="154">(H1256+I1256+H1257)*K1258</f>
        <v>15.548763190720001</v>
      </c>
      <c r="I1258" s="439"/>
      <c r="J1258" s="134"/>
      <c r="K1258" s="324">
        <v>0.2999</v>
      </c>
      <c r="L1258" s="191">
        <f t="shared" si="120"/>
        <v>1.4842</v>
      </c>
    </row>
    <row r="1259" spans="1:14" s="64" customFormat="1" x14ac:dyDescent="0.2">
      <c r="A1259" s="63"/>
      <c r="B1259" s="396"/>
      <c r="C1259" s="122"/>
      <c r="D1259" s="75"/>
      <c r="E1259" s="438" t="str">
        <f>E1249</f>
        <v>Valor Total c/ Taxas</v>
      </c>
      <c r="F1259" s="438"/>
      <c r="G1259" s="438"/>
      <c r="H1259" s="67"/>
      <c r="I1259" s="69">
        <f>79.39*N10</f>
        <v>79.39</v>
      </c>
      <c r="J1259" s="134"/>
      <c r="K1259" s="324">
        <v>0.2999</v>
      </c>
      <c r="L1259" s="191">
        <f t="shared" si="120"/>
        <v>1.4842</v>
      </c>
      <c r="M1259" s="401">
        <v>387.37</v>
      </c>
      <c r="N1259" s="86">
        <f t="shared" ref="N1259" si="155">I1259-M1259</f>
        <v>-307.98</v>
      </c>
    </row>
    <row r="1260" spans="1:14" s="64" customFormat="1" x14ac:dyDescent="0.2">
      <c r="A1260" s="63"/>
      <c r="B1260" s="396"/>
      <c r="C1260" s="122"/>
      <c r="D1260" s="75"/>
      <c r="E1260" s="395"/>
      <c r="F1260" s="395"/>
      <c r="G1260" s="395"/>
      <c r="H1260" s="67"/>
      <c r="I1260" s="69"/>
      <c r="J1260" s="134"/>
      <c r="K1260" s="324">
        <v>0.2999</v>
      </c>
      <c r="L1260" s="191">
        <f t="shared" si="120"/>
        <v>1.4842</v>
      </c>
      <c r="M1260" s="401"/>
      <c r="N1260" s="86"/>
    </row>
    <row r="1261" spans="1:14" s="64" customFormat="1" x14ac:dyDescent="0.2">
      <c r="A1261" s="397"/>
      <c r="B1261" s="151" t="s">
        <v>122</v>
      </c>
      <c r="C1261" s="76" t="str">
        <f>orçamento!D145</f>
        <v xml:space="preserve">Elo fusivel 6k </v>
      </c>
      <c r="D1261" s="397" t="s">
        <v>622</v>
      </c>
      <c r="E1261" s="67"/>
      <c r="F1261" s="327"/>
      <c r="G1261" s="71"/>
      <c r="H1261" s="67"/>
      <c r="I1261" s="67"/>
      <c r="J1261" s="134"/>
      <c r="K1261" s="324">
        <v>0.2999</v>
      </c>
      <c r="L1261" s="191">
        <f t="shared" ref="L1261:L1269" si="156">L1260</f>
        <v>1.4842</v>
      </c>
    </row>
    <row r="1262" spans="1:14" s="64" customFormat="1" x14ac:dyDescent="0.2">
      <c r="A1262" s="63"/>
      <c r="B1262" s="396"/>
      <c r="C1262" s="122" t="str">
        <f t="shared" ref="C1262" si="157">C1261</f>
        <v xml:space="preserve">Elo fusivel 6k </v>
      </c>
      <c r="D1262" s="75" t="s">
        <v>622</v>
      </c>
      <c r="E1262" s="67">
        <v>10</v>
      </c>
      <c r="F1262" s="327">
        <v>2.69</v>
      </c>
      <c r="G1262" s="71">
        <v>3.4</v>
      </c>
      <c r="H1262" s="67"/>
      <c r="I1262" s="67">
        <f t="shared" ref="I1262" si="158">E1262*G1262</f>
        <v>34</v>
      </c>
      <c r="J1262" s="134"/>
      <c r="K1262" s="324">
        <v>0.2999</v>
      </c>
      <c r="L1262" s="191">
        <f t="shared" si="156"/>
        <v>1.4842</v>
      </c>
    </row>
    <row r="1263" spans="1:14" s="64" customFormat="1" x14ac:dyDescent="0.2">
      <c r="A1263" s="63"/>
      <c r="B1263" s="396"/>
      <c r="C1263" s="122" t="s">
        <v>258</v>
      </c>
      <c r="D1263" s="75" t="s">
        <v>53</v>
      </c>
      <c r="E1263" s="132">
        <f>5.21</f>
        <v>5.21</v>
      </c>
      <c r="F1263" s="334"/>
      <c r="G1263" s="71">
        <v>0.8</v>
      </c>
      <c r="H1263" s="67">
        <f t="shared" ref="H1263:H1264" si="159">E1263*G1263</f>
        <v>4.1680000000000001</v>
      </c>
      <c r="I1263" s="133"/>
      <c r="J1263" s="134"/>
      <c r="K1263" s="324">
        <v>0.2999</v>
      </c>
      <c r="L1263" s="191">
        <f t="shared" si="156"/>
        <v>1.4842</v>
      </c>
    </row>
    <row r="1264" spans="1:14" s="64" customFormat="1" x14ac:dyDescent="0.2">
      <c r="A1264" s="63"/>
      <c r="B1264" s="396"/>
      <c r="C1264" s="122" t="s">
        <v>259</v>
      </c>
      <c r="D1264" s="75" t="s">
        <v>53</v>
      </c>
      <c r="E1264" s="67">
        <f>3.77</f>
        <v>3.77</v>
      </c>
      <c r="F1264" s="334"/>
      <c r="G1264" s="71">
        <v>0.8</v>
      </c>
      <c r="H1264" s="67">
        <f t="shared" si="159"/>
        <v>3.016</v>
      </c>
      <c r="I1264" s="133"/>
      <c r="J1264" s="134"/>
      <c r="K1264" s="324">
        <v>0.2999</v>
      </c>
      <c r="L1264" s="191">
        <f t="shared" si="156"/>
        <v>1.4842</v>
      </c>
    </row>
    <row r="1265" spans="1:14" s="64" customFormat="1" hidden="1" x14ac:dyDescent="0.2">
      <c r="A1265" s="63"/>
      <c r="B1265" s="396"/>
      <c r="C1265" s="122"/>
      <c r="D1265" s="75"/>
      <c r="E1265" s="67"/>
      <c r="F1265" s="327"/>
      <c r="G1265" s="71"/>
      <c r="H1265" s="67"/>
      <c r="I1265" s="67"/>
      <c r="J1265" s="134"/>
      <c r="K1265" s="324">
        <v>0.2999</v>
      </c>
      <c r="L1265" s="191">
        <f t="shared" si="156"/>
        <v>1.4842</v>
      </c>
    </row>
    <row r="1266" spans="1:14" s="64" customFormat="1" x14ac:dyDescent="0.2">
      <c r="A1266" s="63"/>
      <c r="B1266" s="396"/>
      <c r="C1266" s="122"/>
      <c r="D1266" s="75"/>
      <c r="E1266" s="438" t="str">
        <f>E1256</f>
        <v>Custo Direto</v>
      </c>
      <c r="F1266" s="438"/>
      <c r="G1266" s="438"/>
      <c r="H1266" s="69">
        <f>SUM(H1262:H1264)</f>
        <v>7.1840000000000002</v>
      </c>
      <c r="I1266" s="69">
        <f>SUM(I1262:I1264)</f>
        <v>34</v>
      </c>
      <c r="J1266" s="134"/>
      <c r="K1266" s="324">
        <v>0.2999</v>
      </c>
      <c r="L1266" s="191">
        <f t="shared" si="156"/>
        <v>1.4842</v>
      </c>
    </row>
    <row r="1267" spans="1:14" s="64" customFormat="1" x14ac:dyDescent="0.2">
      <c r="A1267" s="63"/>
      <c r="B1267" s="396"/>
      <c r="C1267" s="122"/>
      <c r="D1267" s="75"/>
      <c r="E1267" s="438" t="str">
        <f>E1257</f>
        <v>LS(%): 148,42</v>
      </c>
      <c r="F1267" s="438"/>
      <c r="G1267" s="438"/>
      <c r="H1267" s="67">
        <f t="shared" ref="H1267" si="160">H1266*L1267</f>
        <v>10.662492800000001</v>
      </c>
      <c r="I1267" s="131"/>
      <c r="J1267" s="134"/>
      <c r="K1267" s="324">
        <v>0.2999</v>
      </c>
      <c r="L1267" s="191">
        <f t="shared" si="156"/>
        <v>1.4842</v>
      </c>
    </row>
    <row r="1268" spans="1:14" s="64" customFormat="1" x14ac:dyDescent="0.2">
      <c r="A1268" s="63"/>
      <c r="B1268" s="396"/>
      <c r="C1268" s="122"/>
      <c r="D1268" s="75"/>
      <c r="E1268" s="438" t="str">
        <f>E1258</f>
        <v>BDI (%): 29,99</v>
      </c>
      <c r="F1268" s="438"/>
      <c r="G1268" s="438"/>
      <c r="H1268" s="439">
        <f t="shared" ref="H1268" si="161">(H1266+I1266+H1267)*K1268</f>
        <v>15.548763190720001</v>
      </c>
      <c r="I1268" s="439"/>
      <c r="J1268" s="134"/>
      <c r="K1268" s="324">
        <v>0.2999</v>
      </c>
      <c r="L1268" s="191">
        <f t="shared" si="156"/>
        <v>1.4842</v>
      </c>
    </row>
    <row r="1269" spans="1:14" s="64" customFormat="1" x14ac:dyDescent="0.2">
      <c r="A1269" s="63"/>
      <c r="B1269" s="396"/>
      <c r="C1269" s="122"/>
      <c r="D1269" s="75"/>
      <c r="E1269" s="438" t="str">
        <f>E1259</f>
        <v>Valor Total c/ Taxas</v>
      </c>
      <c r="F1269" s="438"/>
      <c r="G1269" s="438"/>
      <c r="H1269" s="67"/>
      <c r="I1269" s="69">
        <f>79.39*N32</f>
        <v>0</v>
      </c>
      <c r="J1269" s="134"/>
      <c r="K1269" s="324">
        <v>0.2999</v>
      </c>
      <c r="L1269" s="191">
        <f t="shared" si="156"/>
        <v>1.4842</v>
      </c>
      <c r="M1269" s="401">
        <v>387.37</v>
      </c>
      <c r="N1269" s="86">
        <f t="shared" ref="N1269" si="162">I1269-M1269</f>
        <v>-387.37</v>
      </c>
    </row>
    <row r="1270" spans="1:14" s="64" customFormat="1" x14ac:dyDescent="0.2">
      <c r="A1270" s="63"/>
      <c r="B1270" s="396"/>
      <c r="C1270" s="122"/>
      <c r="D1270" s="75"/>
      <c r="E1270" s="395"/>
      <c r="F1270" s="395"/>
      <c r="G1270" s="395"/>
      <c r="H1270" s="67"/>
      <c r="I1270" s="69"/>
      <c r="J1270" s="134"/>
      <c r="K1270" s="324">
        <v>0.2999</v>
      </c>
      <c r="L1270" s="191">
        <f t="shared" ref="L1270:L1327" si="163">L1269</f>
        <v>1.4842</v>
      </c>
      <c r="M1270" s="401"/>
      <c r="N1270" s="86"/>
    </row>
    <row r="1271" spans="1:14" s="64" customFormat="1" x14ac:dyDescent="0.2">
      <c r="A1271" s="397"/>
      <c r="B1271" s="151" t="s">
        <v>123</v>
      </c>
      <c r="C1271" s="76" t="str">
        <f>orçamento!D146</f>
        <v>Isolador polietileno de ancoragem</v>
      </c>
      <c r="D1271" s="397" t="s">
        <v>622</v>
      </c>
      <c r="E1271" s="67"/>
      <c r="F1271" s="327"/>
      <c r="G1271" s="71"/>
      <c r="H1271" s="67"/>
      <c r="I1271" s="67"/>
      <c r="J1271" s="134"/>
      <c r="K1271" s="324">
        <v>0.2999</v>
      </c>
      <c r="L1271" s="191">
        <f t="shared" si="163"/>
        <v>1.4842</v>
      </c>
    </row>
    <row r="1272" spans="1:14" s="64" customFormat="1" x14ac:dyDescent="0.2">
      <c r="A1272" s="63"/>
      <c r="B1272" s="396"/>
      <c r="C1272" s="122" t="str">
        <f t="shared" ref="C1272" si="164">C1271</f>
        <v>Isolador polietileno de ancoragem</v>
      </c>
      <c r="D1272" s="75" t="s">
        <v>622</v>
      </c>
      <c r="E1272" s="67">
        <v>10</v>
      </c>
      <c r="F1272" s="327">
        <v>2.69</v>
      </c>
      <c r="G1272" s="71">
        <v>3.4</v>
      </c>
      <c r="H1272" s="67"/>
      <c r="I1272" s="67">
        <f t="shared" ref="I1272" si="165">E1272*G1272</f>
        <v>34</v>
      </c>
      <c r="J1272" s="134"/>
      <c r="K1272" s="324">
        <v>0.2999</v>
      </c>
      <c r="L1272" s="191">
        <f t="shared" si="163"/>
        <v>1.4842</v>
      </c>
    </row>
    <row r="1273" spans="1:14" s="64" customFormat="1" x14ac:dyDescent="0.2">
      <c r="A1273" s="63"/>
      <c r="B1273" s="396"/>
      <c r="C1273" s="122" t="s">
        <v>258</v>
      </c>
      <c r="D1273" s="75" t="s">
        <v>53</v>
      </c>
      <c r="E1273" s="132">
        <f>5.21</f>
        <v>5.21</v>
      </c>
      <c r="F1273" s="334"/>
      <c r="G1273" s="71">
        <v>0.8</v>
      </c>
      <c r="H1273" s="67">
        <f t="shared" ref="H1273:H1274" si="166">E1273*G1273</f>
        <v>4.1680000000000001</v>
      </c>
      <c r="I1273" s="133"/>
      <c r="J1273" s="134"/>
      <c r="K1273" s="324">
        <v>0.2999</v>
      </c>
      <c r="L1273" s="191">
        <f t="shared" si="163"/>
        <v>1.4842</v>
      </c>
    </row>
    <row r="1274" spans="1:14" s="64" customFormat="1" x14ac:dyDescent="0.2">
      <c r="A1274" s="63"/>
      <c r="B1274" s="396"/>
      <c r="C1274" s="122" t="s">
        <v>259</v>
      </c>
      <c r="D1274" s="75" t="s">
        <v>53</v>
      </c>
      <c r="E1274" s="67">
        <f>3.77</f>
        <v>3.77</v>
      </c>
      <c r="F1274" s="334"/>
      <c r="G1274" s="71">
        <v>0.8</v>
      </c>
      <c r="H1274" s="67">
        <f t="shared" si="166"/>
        <v>3.016</v>
      </c>
      <c r="I1274" s="133"/>
      <c r="J1274" s="134"/>
      <c r="K1274" s="324">
        <v>0.2999</v>
      </c>
      <c r="L1274" s="191">
        <f t="shared" si="163"/>
        <v>1.4842</v>
      </c>
    </row>
    <row r="1275" spans="1:14" s="64" customFormat="1" hidden="1" x14ac:dyDescent="0.2">
      <c r="A1275" s="63"/>
      <c r="B1275" s="396"/>
      <c r="C1275" s="122"/>
      <c r="D1275" s="75"/>
      <c r="E1275" s="67"/>
      <c r="F1275" s="327"/>
      <c r="G1275" s="71"/>
      <c r="H1275" s="67"/>
      <c r="I1275" s="67"/>
      <c r="J1275" s="134"/>
      <c r="K1275" s="324">
        <v>0.2999</v>
      </c>
      <c r="L1275" s="191">
        <f t="shared" si="163"/>
        <v>1.4842</v>
      </c>
    </row>
    <row r="1276" spans="1:14" s="64" customFormat="1" x14ac:dyDescent="0.2">
      <c r="A1276" s="63"/>
      <c r="B1276" s="396"/>
      <c r="C1276" s="122"/>
      <c r="D1276" s="75"/>
      <c r="E1276" s="438" t="str">
        <f>E1266</f>
        <v>Custo Direto</v>
      </c>
      <c r="F1276" s="438"/>
      <c r="G1276" s="438"/>
      <c r="H1276" s="69">
        <f>SUM(H1272:H1274)</f>
        <v>7.1840000000000002</v>
      </c>
      <c r="I1276" s="69">
        <f>SUM(I1272:I1274)</f>
        <v>34</v>
      </c>
      <c r="J1276" s="134"/>
      <c r="K1276" s="324">
        <v>0.2999</v>
      </c>
      <c r="L1276" s="191">
        <f t="shared" si="163"/>
        <v>1.4842</v>
      </c>
    </row>
    <row r="1277" spans="1:14" s="64" customFormat="1" x14ac:dyDescent="0.2">
      <c r="A1277" s="63"/>
      <c r="B1277" s="396"/>
      <c r="C1277" s="122"/>
      <c r="D1277" s="75"/>
      <c r="E1277" s="438" t="str">
        <f>E1267</f>
        <v>LS(%): 148,42</v>
      </c>
      <c r="F1277" s="438"/>
      <c r="G1277" s="438"/>
      <c r="H1277" s="67">
        <f t="shared" ref="H1277" si="167">H1276*L1277</f>
        <v>10.662492800000001</v>
      </c>
      <c r="I1277" s="131"/>
      <c r="J1277" s="134"/>
      <c r="K1277" s="324">
        <v>0.2999</v>
      </c>
      <c r="L1277" s="191">
        <f t="shared" si="163"/>
        <v>1.4842</v>
      </c>
    </row>
    <row r="1278" spans="1:14" s="64" customFormat="1" x14ac:dyDescent="0.2">
      <c r="A1278" s="63"/>
      <c r="B1278" s="396"/>
      <c r="C1278" s="122"/>
      <c r="D1278" s="75"/>
      <c r="E1278" s="438" t="str">
        <f>E1268</f>
        <v>BDI (%): 29,99</v>
      </c>
      <c r="F1278" s="438"/>
      <c r="G1278" s="438"/>
      <c r="H1278" s="439">
        <f t="shared" ref="H1278" si="168">(H1276+I1276+H1277)*K1278</f>
        <v>15.548763190720001</v>
      </c>
      <c r="I1278" s="439"/>
      <c r="J1278" s="134"/>
      <c r="K1278" s="324">
        <v>0.2999</v>
      </c>
      <c r="L1278" s="191">
        <f t="shared" si="163"/>
        <v>1.4842</v>
      </c>
    </row>
    <row r="1279" spans="1:14" s="64" customFormat="1" x14ac:dyDescent="0.2">
      <c r="A1279" s="63"/>
      <c r="B1279" s="396"/>
      <c r="C1279" s="122"/>
      <c r="D1279" s="75"/>
      <c r="E1279" s="438" t="str">
        <f>E1269</f>
        <v>Valor Total c/ Taxas</v>
      </c>
      <c r="F1279" s="438"/>
      <c r="G1279" s="438"/>
      <c r="H1279" s="67"/>
      <c r="I1279" s="69">
        <f>79.39*N43</f>
        <v>0</v>
      </c>
      <c r="J1279" s="134"/>
      <c r="K1279" s="324">
        <v>0.2999</v>
      </c>
      <c r="L1279" s="191">
        <f t="shared" si="163"/>
        <v>1.4842</v>
      </c>
      <c r="M1279" s="401">
        <v>387.37</v>
      </c>
      <c r="N1279" s="86">
        <f t="shared" ref="N1279" si="169">I1279-M1279</f>
        <v>-387.37</v>
      </c>
    </row>
    <row r="1280" spans="1:14" s="64" customFormat="1" x14ac:dyDescent="0.2">
      <c r="A1280" s="63"/>
      <c r="B1280" s="396"/>
      <c r="C1280" s="122"/>
      <c r="D1280" s="75"/>
      <c r="E1280" s="395"/>
      <c r="F1280" s="395"/>
      <c r="G1280" s="395"/>
      <c r="H1280" s="67"/>
      <c r="I1280" s="69"/>
      <c r="J1280" s="134"/>
      <c r="K1280" s="324">
        <v>0.2999</v>
      </c>
      <c r="L1280" s="191">
        <f t="shared" si="163"/>
        <v>1.4842</v>
      </c>
      <c r="M1280" s="401"/>
      <c r="N1280" s="86"/>
    </row>
    <row r="1281" spans="1:14" s="64" customFormat="1" x14ac:dyDescent="0.2">
      <c r="A1281" s="397"/>
      <c r="B1281" s="151" t="s">
        <v>124</v>
      </c>
      <c r="C1281" s="76" t="str">
        <f>orçamento!D147</f>
        <v xml:space="preserve">isolador tipo roldana  de porcelana </v>
      </c>
      <c r="D1281" s="397" t="s">
        <v>622</v>
      </c>
      <c r="E1281" s="67"/>
      <c r="F1281" s="327"/>
      <c r="G1281" s="71"/>
      <c r="H1281" s="67"/>
      <c r="I1281" s="67"/>
      <c r="J1281" s="134"/>
      <c r="K1281" s="324">
        <v>0.2999</v>
      </c>
      <c r="L1281" s="191">
        <f t="shared" ref="L1281:L1289" si="170">L1280</f>
        <v>1.4842</v>
      </c>
    </row>
    <row r="1282" spans="1:14" s="64" customFormat="1" x14ac:dyDescent="0.2">
      <c r="A1282" s="63"/>
      <c r="B1282" s="396"/>
      <c r="C1282" s="122" t="str">
        <f t="shared" ref="C1282" si="171">C1281</f>
        <v xml:space="preserve">isolador tipo roldana  de porcelana </v>
      </c>
      <c r="D1282" s="75" t="s">
        <v>622</v>
      </c>
      <c r="E1282" s="67">
        <v>10</v>
      </c>
      <c r="F1282" s="327">
        <v>2.69</v>
      </c>
      <c r="G1282" s="71">
        <v>3.4</v>
      </c>
      <c r="H1282" s="67"/>
      <c r="I1282" s="67">
        <f t="shared" ref="I1282" si="172">E1282*G1282</f>
        <v>34</v>
      </c>
      <c r="J1282" s="134"/>
      <c r="K1282" s="324">
        <v>0.2999</v>
      </c>
      <c r="L1282" s="191">
        <f t="shared" si="170"/>
        <v>1.4842</v>
      </c>
    </row>
    <row r="1283" spans="1:14" s="64" customFormat="1" x14ac:dyDescent="0.2">
      <c r="A1283" s="63"/>
      <c r="B1283" s="396"/>
      <c r="C1283" s="122" t="s">
        <v>258</v>
      </c>
      <c r="D1283" s="75" t="s">
        <v>53</v>
      </c>
      <c r="E1283" s="132">
        <f>5.21</f>
        <v>5.21</v>
      </c>
      <c r="F1283" s="334"/>
      <c r="G1283" s="71">
        <v>0.8</v>
      </c>
      <c r="H1283" s="67">
        <f t="shared" ref="H1283:H1284" si="173">E1283*G1283</f>
        <v>4.1680000000000001</v>
      </c>
      <c r="I1283" s="133"/>
      <c r="J1283" s="134"/>
      <c r="K1283" s="324">
        <v>0.2999</v>
      </c>
      <c r="L1283" s="191">
        <f t="shared" si="170"/>
        <v>1.4842</v>
      </c>
    </row>
    <row r="1284" spans="1:14" s="64" customFormat="1" x14ac:dyDescent="0.2">
      <c r="A1284" s="63"/>
      <c r="B1284" s="396"/>
      <c r="C1284" s="122" t="s">
        <v>259</v>
      </c>
      <c r="D1284" s="75" t="s">
        <v>53</v>
      </c>
      <c r="E1284" s="67">
        <f>3.77</f>
        <v>3.77</v>
      </c>
      <c r="F1284" s="334"/>
      <c r="G1284" s="71">
        <v>0.8</v>
      </c>
      <c r="H1284" s="67">
        <f t="shared" si="173"/>
        <v>3.016</v>
      </c>
      <c r="I1284" s="133"/>
      <c r="J1284" s="134"/>
      <c r="K1284" s="324">
        <v>0.2999</v>
      </c>
      <c r="L1284" s="191">
        <f t="shared" si="170"/>
        <v>1.4842</v>
      </c>
    </row>
    <row r="1285" spans="1:14" s="64" customFormat="1" hidden="1" x14ac:dyDescent="0.2">
      <c r="A1285" s="63"/>
      <c r="B1285" s="396"/>
      <c r="C1285" s="122"/>
      <c r="D1285" s="75"/>
      <c r="E1285" s="67"/>
      <c r="F1285" s="327"/>
      <c r="G1285" s="71"/>
      <c r="H1285" s="67"/>
      <c r="I1285" s="67"/>
      <c r="J1285" s="134"/>
      <c r="K1285" s="324">
        <v>0.2999</v>
      </c>
      <c r="L1285" s="191">
        <f t="shared" si="170"/>
        <v>1.4842</v>
      </c>
    </row>
    <row r="1286" spans="1:14" s="64" customFormat="1" x14ac:dyDescent="0.2">
      <c r="A1286" s="63"/>
      <c r="B1286" s="396"/>
      <c r="C1286" s="122"/>
      <c r="D1286" s="75"/>
      <c r="E1286" s="438" t="str">
        <f>E1276</f>
        <v>Custo Direto</v>
      </c>
      <c r="F1286" s="438"/>
      <c r="G1286" s="438"/>
      <c r="H1286" s="69">
        <f>SUM(H1282:H1284)</f>
        <v>7.1840000000000002</v>
      </c>
      <c r="I1286" s="69">
        <f>SUM(I1282:I1284)</f>
        <v>34</v>
      </c>
      <c r="J1286" s="134"/>
      <c r="K1286" s="324">
        <v>0.2999</v>
      </c>
      <c r="L1286" s="191">
        <f t="shared" si="170"/>
        <v>1.4842</v>
      </c>
    </row>
    <row r="1287" spans="1:14" s="64" customFormat="1" x14ac:dyDescent="0.2">
      <c r="A1287" s="63"/>
      <c r="B1287" s="396"/>
      <c r="C1287" s="122"/>
      <c r="D1287" s="75"/>
      <c r="E1287" s="438" t="str">
        <f>E1277</f>
        <v>LS(%): 148,42</v>
      </c>
      <c r="F1287" s="438"/>
      <c r="G1287" s="438"/>
      <c r="H1287" s="67">
        <f t="shared" ref="H1287" si="174">H1286*L1287</f>
        <v>10.662492800000001</v>
      </c>
      <c r="I1287" s="131"/>
      <c r="J1287" s="134"/>
      <c r="K1287" s="324">
        <v>0.2999</v>
      </c>
      <c r="L1287" s="191">
        <f t="shared" si="170"/>
        <v>1.4842</v>
      </c>
    </row>
    <row r="1288" spans="1:14" s="64" customFormat="1" x14ac:dyDescent="0.2">
      <c r="A1288" s="63"/>
      <c r="B1288" s="396"/>
      <c r="C1288" s="122"/>
      <c r="D1288" s="75"/>
      <c r="E1288" s="438" t="str">
        <f>E1278</f>
        <v>BDI (%): 29,99</v>
      </c>
      <c r="F1288" s="438"/>
      <c r="G1288" s="438"/>
      <c r="H1288" s="439">
        <f t="shared" ref="H1288" si="175">(H1286+I1286+H1287)*K1288</f>
        <v>15.548763190720001</v>
      </c>
      <c r="I1288" s="439"/>
      <c r="J1288" s="134"/>
      <c r="K1288" s="324">
        <v>0.2999</v>
      </c>
      <c r="L1288" s="191">
        <f t="shared" si="170"/>
        <v>1.4842</v>
      </c>
    </row>
    <row r="1289" spans="1:14" s="64" customFormat="1" x14ac:dyDescent="0.2">
      <c r="A1289" s="63"/>
      <c r="B1289" s="396"/>
      <c r="C1289" s="122"/>
      <c r="D1289" s="75"/>
      <c r="E1289" s="438" t="str">
        <f>E1279</f>
        <v>Valor Total c/ Taxas</v>
      </c>
      <c r="F1289" s="438"/>
      <c r="G1289" s="438"/>
      <c r="H1289" s="67"/>
      <c r="I1289" s="69">
        <f>79.39*N53</f>
        <v>0</v>
      </c>
      <c r="J1289" s="134"/>
      <c r="K1289" s="324">
        <v>0.2999</v>
      </c>
      <c r="L1289" s="191">
        <f t="shared" si="170"/>
        <v>1.4842</v>
      </c>
      <c r="M1289" s="401">
        <v>387.37</v>
      </c>
      <c r="N1289" s="86">
        <f t="shared" ref="N1289" si="176">I1289-M1289</f>
        <v>-387.37</v>
      </c>
    </row>
    <row r="1290" spans="1:14" s="64" customFormat="1" x14ac:dyDescent="0.2">
      <c r="A1290" s="63"/>
      <c r="B1290" s="396"/>
      <c r="C1290" s="122"/>
      <c r="D1290" s="75"/>
      <c r="E1290" s="395"/>
      <c r="F1290" s="395"/>
      <c r="G1290" s="395"/>
      <c r="H1290" s="67"/>
      <c r="I1290" s="69"/>
      <c r="J1290" s="134"/>
      <c r="K1290" s="324">
        <v>0.2999</v>
      </c>
      <c r="L1290" s="191">
        <f t="shared" si="163"/>
        <v>1.4842</v>
      </c>
      <c r="M1290" s="401"/>
      <c r="N1290" s="86"/>
    </row>
    <row r="1291" spans="1:14" s="64" customFormat="1" x14ac:dyDescent="0.2">
      <c r="A1291" s="397"/>
      <c r="B1291" s="151" t="s">
        <v>125</v>
      </c>
      <c r="C1291" s="76" t="str">
        <f>orçamento!D148</f>
        <v xml:space="preserve">isolador, pino 15 kV rosca 25 mm </v>
      </c>
      <c r="D1291" s="397" t="s">
        <v>622</v>
      </c>
      <c r="E1291" s="67"/>
      <c r="F1291" s="327"/>
      <c r="G1291" s="71"/>
      <c r="H1291" s="67"/>
      <c r="I1291" s="67"/>
      <c r="J1291" s="134"/>
      <c r="K1291" s="324">
        <v>0.2999</v>
      </c>
      <c r="L1291" s="191">
        <f t="shared" si="163"/>
        <v>1.4842</v>
      </c>
    </row>
    <row r="1292" spans="1:14" s="64" customFormat="1" x14ac:dyDescent="0.2">
      <c r="A1292" s="63"/>
      <c r="B1292" s="396"/>
      <c r="C1292" s="122" t="str">
        <f t="shared" ref="C1292" si="177">C1291</f>
        <v xml:space="preserve">isolador, pino 15 kV rosca 25 mm </v>
      </c>
      <c r="D1292" s="75" t="s">
        <v>622</v>
      </c>
      <c r="E1292" s="67">
        <v>10</v>
      </c>
      <c r="F1292" s="327">
        <v>2.69</v>
      </c>
      <c r="G1292" s="71">
        <v>3.4</v>
      </c>
      <c r="H1292" s="67"/>
      <c r="I1292" s="67">
        <f t="shared" ref="I1292" si="178">E1292*G1292</f>
        <v>34</v>
      </c>
      <c r="J1292" s="134"/>
      <c r="K1292" s="324">
        <v>0.2999</v>
      </c>
      <c r="L1292" s="191">
        <f t="shared" si="163"/>
        <v>1.4842</v>
      </c>
    </row>
    <row r="1293" spans="1:14" s="64" customFormat="1" x14ac:dyDescent="0.2">
      <c r="A1293" s="63"/>
      <c r="B1293" s="396"/>
      <c r="C1293" s="122" t="s">
        <v>258</v>
      </c>
      <c r="D1293" s="75" t="s">
        <v>53</v>
      </c>
      <c r="E1293" s="132">
        <f>5.21</f>
        <v>5.21</v>
      </c>
      <c r="F1293" s="334"/>
      <c r="G1293" s="71">
        <v>0.8</v>
      </c>
      <c r="H1293" s="67">
        <f t="shared" ref="H1293:H1294" si="179">E1293*G1293</f>
        <v>4.1680000000000001</v>
      </c>
      <c r="I1293" s="133"/>
      <c r="J1293" s="134"/>
      <c r="K1293" s="324">
        <v>0.2999</v>
      </c>
      <c r="L1293" s="191">
        <f t="shared" si="163"/>
        <v>1.4842</v>
      </c>
    </row>
    <row r="1294" spans="1:14" s="64" customFormat="1" x14ac:dyDescent="0.2">
      <c r="A1294" s="63"/>
      <c r="B1294" s="396"/>
      <c r="C1294" s="122" t="s">
        <v>259</v>
      </c>
      <c r="D1294" s="75" t="s">
        <v>53</v>
      </c>
      <c r="E1294" s="67">
        <f>3.77</f>
        <v>3.77</v>
      </c>
      <c r="F1294" s="334"/>
      <c r="G1294" s="71">
        <v>0.8</v>
      </c>
      <c r="H1294" s="67">
        <f t="shared" si="179"/>
        <v>3.016</v>
      </c>
      <c r="I1294" s="133"/>
      <c r="J1294" s="134"/>
      <c r="K1294" s="324">
        <v>0.2999</v>
      </c>
      <c r="L1294" s="191">
        <f t="shared" si="163"/>
        <v>1.4842</v>
      </c>
    </row>
    <row r="1295" spans="1:14" s="64" customFormat="1" hidden="1" x14ac:dyDescent="0.2">
      <c r="A1295" s="63"/>
      <c r="B1295" s="396"/>
      <c r="C1295" s="122"/>
      <c r="D1295" s="75"/>
      <c r="E1295" s="67"/>
      <c r="F1295" s="327"/>
      <c r="G1295" s="71"/>
      <c r="H1295" s="67"/>
      <c r="I1295" s="67"/>
      <c r="J1295" s="134"/>
      <c r="K1295" s="324">
        <v>0.2999</v>
      </c>
      <c r="L1295" s="191">
        <f t="shared" si="163"/>
        <v>1.4842</v>
      </c>
    </row>
    <row r="1296" spans="1:14" s="64" customFormat="1" x14ac:dyDescent="0.2">
      <c r="A1296" s="63"/>
      <c r="B1296" s="396"/>
      <c r="C1296" s="122"/>
      <c r="D1296" s="75"/>
      <c r="E1296" s="438" t="str">
        <f>E1286</f>
        <v>Custo Direto</v>
      </c>
      <c r="F1296" s="438"/>
      <c r="G1296" s="438"/>
      <c r="H1296" s="69">
        <f>SUM(H1292:H1294)</f>
        <v>7.1840000000000002</v>
      </c>
      <c r="I1296" s="69">
        <f>SUM(I1292:I1294)</f>
        <v>34</v>
      </c>
      <c r="J1296" s="134"/>
      <c r="K1296" s="324">
        <v>0.2999</v>
      </c>
      <c r="L1296" s="191">
        <f t="shared" si="163"/>
        <v>1.4842</v>
      </c>
    </row>
    <row r="1297" spans="1:14" s="64" customFormat="1" x14ac:dyDescent="0.2">
      <c r="A1297" s="63"/>
      <c r="B1297" s="396"/>
      <c r="C1297" s="122"/>
      <c r="D1297" s="75"/>
      <c r="E1297" s="438" t="str">
        <f>E1287</f>
        <v>LS(%): 148,42</v>
      </c>
      <c r="F1297" s="438"/>
      <c r="G1297" s="438"/>
      <c r="H1297" s="67">
        <f t="shared" ref="H1297" si="180">H1296*L1297</f>
        <v>10.662492800000001</v>
      </c>
      <c r="I1297" s="131"/>
      <c r="J1297" s="134"/>
      <c r="K1297" s="324">
        <v>0.2999</v>
      </c>
      <c r="L1297" s="191">
        <f t="shared" si="163"/>
        <v>1.4842</v>
      </c>
    </row>
    <row r="1298" spans="1:14" s="64" customFormat="1" x14ac:dyDescent="0.2">
      <c r="A1298" s="63"/>
      <c r="B1298" s="396"/>
      <c r="C1298" s="122"/>
      <c r="D1298" s="75"/>
      <c r="E1298" s="438" t="str">
        <f>E1288</f>
        <v>BDI (%): 29,99</v>
      </c>
      <c r="F1298" s="438"/>
      <c r="G1298" s="438"/>
      <c r="H1298" s="439">
        <f t="shared" ref="H1298" si="181">(H1296+I1296+H1297)*K1298</f>
        <v>15.548763190720001</v>
      </c>
      <c r="I1298" s="439"/>
      <c r="J1298" s="134"/>
      <c r="K1298" s="324">
        <v>0.2999</v>
      </c>
      <c r="L1298" s="191">
        <f t="shared" si="163"/>
        <v>1.4842</v>
      </c>
    </row>
    <row r="1299" spans="1:14" s="64" customFormat="1" x14ac:dyDescent="0.2">
      <c r="A1299" s="63"/>
      <c r="B1299" s="396"/>
      <c r="C1299" s="122"/>
      <c r="D1299" s="75"/>
      <c r="E1299" s="438" t="str">
        <f>E1289</f>
        <v>Valor Total c/ Taxas</v>
      </c>
      <c r="F1299" s="438"/>
      <c r="G1299" s="438"/>
      <c r="H1299" s="67"/>
      <c r="I1299" s="69">
        <f>79.39*N63</f>
        <v>0</v>
      </c>
      <c r="J1299" s="134"/>
      <c r="K1299" s="324">
        <v>0.2999</v>
      </c>
      <c r="L1299" s="191">
        <f t="shared" si="163"/>
        <v>1.4842</v>
      </c>
      <c r="M1299" s="401">
        <v>387.37</v>
      </c>
      <c r="N1299" s="86">
        <f t="shared" ref="N1299" si="182">I1299-M1299</f>
        <v>-387.37</v>
      </c>
    </row>
    <row r="1300" spans="1:14" s="64" customFormat="1" x14ac:dyDescent="0.2">
      <c r="A1300" s="63"/>
      <c r="B1300" s="396"/>
      <c r="C1300" s="122"/>
      <c r="D1300" s="75"/>
      <c r="E1300" s="395"/>
      <c r="F1300" s="395"/>
      <c r="G1300" s="395"/>
      <c r="H1300" s="67"/>
      <c r="I1300" s="69"/>
      <c r="J1300" s="134"/>
      <c r="K1300" s="324">
        <v>0.2999</v>
      </c>
      <c r="L1300" s="191">
        <f t="shared" si="163"/>
        <v>1.4842</v>
      </c>
      <c r="M1300" s="401"/>
      <c r="N1300" s="86"/>
    </row>
    <row r="1301" spans="1:14" s="64" customFormat="1" x14ac:dyDescent="0.2">
      <c r="A1301" s="397"/>
      <c r="B1301" s="151" t="s">
        <v>126</v>
      </c>
      <c r="C1301" s="76" t="str">
        <f>orçamento!D149</f>
        <v>Para raios distribuição, vávula bloco 12 kv, 5 kva</v>
      </c>
      <c r="D1301" s="397" t="s">
        <v>622</v>
      </c>
      <c r="E1301" s="67"/>
      <c r="F1301" s="327"/>
      <c r="G1301" s="71"/>
      <c r="H1301" s="67"/>
      <c r="I1301" s="67"/>
      <c r="J1301" s="134"/>
      <c r="K1301" s="324">
        <v>0.2999</v>
      </c>
      <c r="L1301" s="191">
        <f t="shared" ref="L1301:L1309" si="183">L1300</f>
        <v>1.4842</v>
      </c>
    </row>
    <row r="1302" spans="1:14" s="64" customFormat="1" x14ac:dyDescent="0.2">
      <c r="A1302" s="63"/>
      <c r="B1302" s="396"/>
      <c r="C1302" s="122" t="str">
        <f t="shared" ref="C1302" si="184">C1301</f>
        <v>Para raios distribuição, vávula bloco 12 kv, 5 kva</v>
      </c>
      <c r="D1302" s="75" t="s">
        <v>622</v>
      </c>
      <c r="E1302" s="67">
        <v>10</v>
      </c>
      <c r="F1302" s="327">
        <v>2.69</v>
      </c>
      <c r="G1302" s="71">
        <v>3.4</v>
      </c>
      <c r="H1302" s="67"/>
      <c r="I1302" s="67">
        <f t="shared" ref="I1302" si="185">E1302*G1302</f>
        <v>34</v>
      </c>
      <c r="J1302" s="134"/>
      <c r="K1302" s="324">
        <v>0.2999</v>
      </c>
      <c r="L1302" s="191">
        <f t="shared" si="183"/>
        <v>1.4842</v>
      </c>
    </row>
    <row r="1303" spans="1:14" s="64" customFormat="1" x14ac:dyDescent="0.2">
      <c r="A1303" s="63"/>
      <c r="B1303" s="396"/>
      <c r="C1303" s="122" t="s">
        <v>258</v>
      </c>
      <c r="D1303" s="75" t="s">
        <v>53</v>
      </c>
      <c r="E1303" s="132">
        <f>5.21</f>
        <v>5.21</v>
      </c>
      <c r="F1303" s="334"/>
      <c r="G1303" s="71">
        <v>0.8</v>
      </c>
      <c r="H1303" s="67">
        <f t="shared" ref="H1303:H1304" si="186">E1303*G1303</f>
        <v>4.1680000000000001</v>
      </c>
      <c r="I1303" s="133"/>
      <c r="J1303" s="134"/>
      <c r="K1303" s="324">
        <v>0.2999</v>
      </c>
      <c r="L1303" s="191">
        <f t="shared" si="183"/>
        <v>1.4842</v>
      </c>
    </row>
    <row r="1304" spans="1:14" s="64" customFormat="1" x14ac:dyDescent="0.2">
      <c r="A1304" s="63"/>
      <c r="B1304" s="396"/>
      <c r="C1304" s="122" t="s">
        <v>259</v>
      </c>
      <c r="D1304" s="75" t="s">
        <v>53</v>
      </c>
      <c r="E1304" s="67">
        <f>3.77</f>
        <v>3.77</v>
      </c>
      <c r="F1304" s="334"/>
      <c r="G1304" s="71">
        <v>0.8</v>
      </c>
      <c r="H1304" s="67">
        <f t="shared" si="186"/>
        <v>3.016</v>
      </c>
      <c r="I1304" s="133"/>
      <c r="J1304" s="134"/>
      <c r="K1304" s="324">
        <v>0.2999</v>
      </c>
      <c r="L1304" s="191">
        <f t="shared" si="183"/>
        <v>1.4842</v>
      </c>
    </row>
    <row r="1305" spans="1:14" s="64" customFormat="1" hidden="1" x14ac:dyDescent="0.2">
      <c r="A1305" s="63"/>
      <c r="B1305" s="396"/>
      <c r="C1305" s="122"/>
      <c r="D1305" s="75"/>
      <c r="E1305" s="67"/>
      <c r="F1305" s="327"/>
      <c r="G1305" s="71"/>
      <c r="H1305" s="67"/>
      <c r="I1305" s="67"/>
      <c r="J1305" s="134"/>
      <c r="K1305" s="324">
        <v>0.2999</v>
      </c>
      <c r="L1305" s="191">
        <f t="shared" si="183"/>
        <v>1.4842</v>
      </c>
    </row>
    <row r="1306" spans="1:14" s="64" customFormat="1" x14ac:dyDescent="0.2">
      <c r="A1306" s="63"/>
      <c r="B1306" s="396"/>
      <c r="C1306" s="122"/>
      <c r="D1306" s="75"/>
      <c r="E1306" s="438" t="str">
        <f>E1296</f>
        <v>Custo Direto</v>
      </c>
      <c r="F1306" s="438"/>
      <c r="G1306" s="438"/>
      <c r="H1306" s="69">
        <f>SUM(H1302:H1304)</f>
        <v>7.1840000000000002</v>
      </c>
      <c r="I1306" s="69">
        <f>SUM(I1302:I1304)</f>
        <v>34</v>
      </c>
      <c r="J1306" s="134"/>
      <c r="K1306" s="324">
        <v>0.2999</v>
      </c>
      <c r="L1306" s="191">
        <f t="shared" si="183"/>
        <v>1.4842</v>
      </c>
    </row>
    <row r="1307" spans="1:14" s="64" customFormat="1" x14ac:dyDescent="0.2">
      <c r="A1307" s="63"/>
      <c r="B1307" s="396"/>
      <c r="C1307" s="122"/>
      <c r="D1307" s="75"/>
      <c r="E1307" s="438" t="str">
        <f>E1297</f>
        <v>LS(%): 148,42</v>
      </c>
      <c r="F1307" s="438"/>
      <c r="G1307" s="438"/>
      <c r="H1307" s="67">
        <f t="shared" ref="H1307" si="187">H1306*L1307</f>
        <v>10.662492800000001</v>
      </c>
      <c r="I1307" s="131"/>
      <c r="J1307" s="134"/>
      <c r="K1307" s="324">
        <v>0.2999</v>
      </c>
      <c r="L1307" s="191">
        <f t="shared" si="183"/>
        <v>1.4842</v>
      </c>
    </row>
    <row r="1308" spans="1:14" s="64" customFormat="1" x14ac:dyDescent="0.2">
      <c r="A1308" s="63"/>
      <c r="B1308" s="396"/>
      <c r="C1308" s="122"/>
      <c r="D1308" s="75"/>
      <c r="E1308" s="438" t="str">
        <f>E1298</f>
        <v>BDI (%): 29,99</v>
      </c>
      <c r="F1308" s="438"/>
      <c r="G1308" s="438"/>
      <c r="H1308" s="439">
        <f t="shared" ref="H1308" si="188">(H1306+I1306+H1307)*K1308</f>
        <v>15.548763190720001</v>
      </c>
      <c r="I1308" s="439"/>
      <c r="J1308" s="134"/>
      <c r="K1308" s="324">
        <v>0.2999</v>
      </c>
      <c r="L1308" s="191">
        <f t="shared" si="183"/>
        <v>1.4842</v>
      </c>
    </row>
    <row r="1309" spans="1:14" s="64" customFormat="1" x14ac:dyDescent="0.2">
      <c r="A1309" s="63"/>
      <c r="B1309" s="396"/>
      <c r="C1309" s="122"/>
      <c r="D1309" s="75"/>
      <c r="E1309" s="438" t="str">
        <f>E1299</f>
        <v>Valor Total c/ Taxas</v>
      </c>
      <c r="F1309" s="438"/>
      <c r="G1309" s="438"/>
      <c r="H1309" s="67"/>
      <c r="I1309" s="69">
        <f>79.39*N73</f>
        <v>0</v>
      </c>
      <c r="J1309" s="134"/>
      <c r="K1309" s="324">
        <v>0.2999</v>
      </c>
      <c r="L1309" s="191">
        <f t="shared" si="183"/>
        <v>1.4842</v>
      </c>
      <c r="M1309" s="401">
        <v>387.37</v>
      </c>
      <c r="N1309" s="86">
        <f t="shared" ref="N1309" si="189">I1309-M1309</f>
        <v>-387.37</v>
      </c>
    </row>
    <row r="1310" spans="1:14" s="64" customFormat="1" x14ac:dyDescent="0.2">
      <c r="A1310" s="63"/>
      <c r="B1310" s="396"/>
      <c r="C1310" s="122"/>
      <c r="D1310" s="75"/>
      <c r="E1310" s="395"/>
      <c r="F1310" s="395"/>
      <c r="G1310" s="395"/>
      <c r="H1310" s="67"/>
      <c r="I1310" s="69"/>
      <c r="J1310" s="134"/>
      <c r="K1310" s="324">
        <v>0.2999</v>
      </c>
      <c r="L1310" s="191">
        <f t="shared" si="163"/>
        <v>1.4842</v>
      </c>
      <c r="M1310" s="401"/>
      <c r="N1310" s="86"/>
    </row>
    <row r="1311" spans="1:14" s="64" customFormat="1" x14ac:dyDescent="0.2">
      <c r="A1311" s="397"/>
      <c r="B1311" s="151" t="s">
        <v>128</v>
      </c>
      <c r="C1311" s="76" t="str">
        <f>orçamento!D150</f>
        <v>Poste de Concreto SC 11/400</v>
      </c>
      <c r="D1311" s="397" t="s">
        <v>622</v>
      </c>
      <c r="E1311" s="67"/>
      <c r="F1311" s="327"/>
      <c r="G1311" s="71"/>
      <c r="H1311" s="67"/>
      <c r="I1311" s="67"/>
      <c r="J1311" s="134"/>
      <c r="K1311" s="324">
        <v>0.2999</v>
      </c>
      <c r="L1311" s="191">
        <f t="shared" si="163"/>
        <v>1.4842</v>
      </c>
    </row>
    <row r="1312" spans="1:14" s="64" customFormat="1" x14ac:dyDescent="0.2">
      <c r="A1312" s="63"/>
      <c r="B1312" s="396"/>
      <c r="C1312" s="122" t="str">
        <f t="shared" ref="C1312" si="190">C1311</f>
        <v>Poste de Concreto SC 11/400</v>
      </c>
      <c r="D1312" s="75" t="s">
        <v>622</v>
      </c>
      <c r="E1312" s="67">
        <v>10</v>
      </c>
      <c r="F1312" s="327">
        <v>2.69</v>
      </c>
      <c r="G1312" s="71">
        <v>3.4</v>
      </c>
      <c r="H1312" s="67"/>
      <c r="I1312" s="67">
        <f t="shared" ref="I1312" si="191">E1312*G1312</f>
        <v>34</v>
      </c>
      <c r="J1312" s="134"/>
      <c r="K1312" s="324">
        <v>0.2999</v>
      </c>
      <c r="L1312" s="191">
        <f t="shared" si="163"/>
        <v>1.4842</v>
      </c>
    </row>
    <row r="1313" spans="1:14" s="64" customFormat="1" x14ac:dyDescent="0.2">
      <c r="A1313" s="63"/>
      <c r="B1313" s="396"/>
      <c r="C1313" s="122" t="s">
        <v>258</v>
      </c>
      <c r="D1313" s="75" t="s">
        <v>53</v>
      </c>
      <c r="E1313" s="132">
        <f>5.21</f>
        <v>5.21</v>
      </c>
      <c r="F1313" s="334"/>
      <c r="G1313" s="71">
        <v>0.8</v>
      </c>
      <c r="H1313" s="67">
        <f t="shared" ref="H1313:H1314" si="192">E1313*G1313</f>
        <v>4.1680000000000001</v>
      </c>
      <c r="I1313" s="133"/>
      <c r="J1313" s="134"/>
      <c r="K1313" s="324">
        <v>0.2999</v>
      </c>
      <c r="L1313" s="191">
        <f t="shared" si="163"/>
        <v>1.4842</v>
      </c>
    </row>
    <row r="1314" spans="1:14" s="64" customFormat="1" x14ac:dyDescent="0.2">
      <c r="A1314" s="63"/>
      <c r="B1314" s="396"/>
      <c r="C1314" s="122" t="s">
        <v>259</v>
      </c>
      <c r="D1314" s="75" t="s">
        <v>53</v>
      </c>
      <c r="E1314" s="67">
        <f>3.77</f>
        <v>3.77</v>
      </c>
      <c r="F1314" s="334"/>
      <c r="G1314" s="71">
        <v>0.8</v>
      </c>
      <c r="H1314" s="67">
        <f t="shared" si="192"/>
        <v>3.016</v>
      </c>
      <c r="I1314" s="133"/>
      <c r="J1314" s="134"/>
      <c r="K1314" s="324">
        <v>0.2999</v>
      </c>
      <c r="L1314" s="191">
        <f t="shared" si="163"/>
        <v>1.4842</v>
      </c>
    </row>
    <row r="1315" spans="1:14" s="64" customFormat="1" hidden="1" x14ac:dyDescent="0.2">
      <c r="A1315" s="63"/>
      <c r="B1315" s="396"/>
      <c r="C1315" s="122"/>
      <c r="D1315" s="75"/>
      <c r="E1315" s="67"/>
      <c r="F1315" s="327"/>
      <c r="G1315" s="71"/>
      <c r="H1315" s="67"/>
      <c r="I1315" s="67"/>
      <c r="J1315" s="134"/>
      <c r="K1315" s="324">
        <v>0.2999</v>
      </c>
      <c r="L1315" s="191">
        <f t="shared" si="163"/>
        <v>1.4842</v>
      </c>
    </row>
    <row r="1316" spans="1:14" s="64" customFormat="1" x14ac:dyDescent="0.2">
      <c r="A1316" s="63"/>
      <c r="B1316" s="396"/>
      <c r="C1316" s="122"/>
      <c r="D1316" s="75"/>
      <c r="E1316" s="438" t="str">
        <f>E1306</f>
        <v>Custo Direto</v>
      </c>
      <c r="F1316" s="438"/>
      <c r="G1316" s="438"/>
      <c r="H1316" s="69">
        <f>SUM(H1312:H1314)</f>
        <v>7.1840000000000002</v>
      </c>
      <c r="I1316" s="69">
        <f>SUM(I1312:I1314)</f>
        <v>34</v>
      </c>
      <c r="J1316" s="134"/>
      <c r="K1316" s="324">
        <v>0.2999</v>
      </c>
      <c r="L1316" s="191">
        <f t="shared" si="163"/>
        <v>1.4842</v>
      </c>
    </row>
    <row r="1317" spans="1:14" s="64" customFormat="1" x14ac:dyDescent="0.2">
      <c r="A1317" s="63"/>
      <c r="B1317" s="396"/>
      <c r="C1317" s="122"/>
      <c r="D1317" s="75"/>
      <c r="E1317" s="438" t="str">
        <f>E1307</f>
        <v>LS(%): 148,42</v>
      </c>
      <c r="F1317" s="438"/>
      <c r="G1317" s="438"/>
      <c r="H1317" s="67">
        <f t="shared" ref="H1317" si="193">H1316*L1317</f>
        <v>10.662492800000001</v>
      </c>
      <c r="I1317" s="131"/>
      <c r="J1317" s="134"/>
      <c r="K1317" s="324">
        <v>0.2999</v>
      </c>
      <c r="L1317" s="191">
        <f t="shared" si="163"/>
        <v>1.4842</v>
      </c>
    </row>
    <row r="1318" spans="1:14" s="64" customFormat="1" x14ac:dyDescent="0.2">
      <c r="A1318" s="63"/>
      <c r="B1318" s="396"/>
      <c r="C1318" s="122"/>
      <c r="D1318" s="75"/>
      <c r="E1318" s="438" t="str">
        <f>E1308</f>
        <v>BDI (%): 29,99</v>
      </c>
      <c r="F1318" s="438"/>
      <c r="G1318" s="438"/>
      <c r="H1318" s="439">
        <f t="shared" ref="H1318" si="194">(H1316+I1316+H1317)*K1318</f>
        <v>15.548763190720001</v>
      </c>
      <c r="I1318" s="439"/>
      <c r="J1318" s="134"/>
      <c r="K1318" s="324">
        <v>0.2999</v>
      </c>
      <c r="L1318" s="191">
        <f t="shared" si="163"/>
        <v>1.4842</v>
      </c>
    </row>
    <row r="1319" spans="1:14" s="64" customFormat="1" x14ac:dyDescent="0.2">
      <c r="A1319" s="63"/>
      <c r="B1319" s="396"/>
      <c r="C1319" s="122"/>
      <c r="D1319" s="75"/>
      <c r="E1319" s="438" t="str">
        <f>E1309</f>
        <v>Valor Total c/ Taxas</v>
      </c>
      <c r="F1319" s="438"/>
      <c r="G1319" s="438"/>
      <c r="H1319" s="67"/>
      <c r="I1319" s="69">
        <f>79.39*N83</f>
        <v>0</v>
      </c>
      <c r="J1319" s="134"/>
      <c r="K1319" s="324">
        <v>0.2999</v>
      </c>
      <c r="L1319" s="191">
        <f t="shared" si="163"/>
        <v>1.4842</v>
      </c>
      <c r="M1319" s="401">
        <v>387.37</v>
      </c>
      <c r="N1319" s="86">
        <f t="shared" ref="N1319" si="195">I1319-M1319</f>
        <v>-387.37</v>
      </c>
    </row>
    <row r="1320" spans="1:14" s="64" customFormat="1" x14ac:dyDescent="0.2">
      <c r="A1320" s="63"/>
      <c r="B1320" s="396"/>
      <c r="C1320" s="122"/>
      <c r="D1320" s="75"/>
      <c r="E1320" s="395"/>
      <c r="F1320" s="395"/>
      <c r="G1320" s="395"/>
      <c r="H1320" s="67"/>
      <c r="I1320" s="69"/>
      <c r="J1320" s="134"/>
      <c r="K1320" s="324">
        <v>0.2999</v>
      </c>
      <c r="L1320" s="191">
        <f t="shared" si="163"/>
        <v>1.4842</v>
      </c>
      <c r="M1320" s="401"/>
      <c r="N1320" s="86"/>
    </row>
    <row r="1321" spans="1:14" s="64" customFormat="1" x14ac:dyDescent="0.2">
      <c r="A1321" s="397"/>
      <c r="B1321" s="151" t="s">
        <v>129</v>
      </c>
      <c r="C1321" s="76" t="str">
        <f>orçamento!D151</f>
        <v xml:space="preserve">suporte p/ transformador em poste duplo t </v>
      </c>
      <c r="D1321" s="397" t="s">
        <v>622</v>
      </c>
      <c r="E1321" s="67"/>
      <c r="F1321" s="327"/>
      <c r="G1321" s="71"/>
      <c r="H1321" s="67"/>
      <c r="I1321" s="67"/>
      <c r="J1321" s="134"/>
      <c r="K1321" s="324">
        <v>0.2999</v>
      </c>
      <c r="L1321" s="191">
        <f t="shared" ref="L1321:L1329" si="196">L1320</f>
        <v>1.4842</v>
      </c>
    </row>
    <row r="1322" spans="1:14" s="64" customFormat="1" x14ac:dyDescent="0.2">
      <c r="A1322" s="63"/>
      <c r="B1322" s="396"/>
      <c r="C1322" s="122" t="str">
        <f t="shared" ref="C1322" si="197">C1321</f>
        <v xml:space="preserve">suporte p/ transformador em poste duplo t </v>
      </c>
      <c r="D1322" s="75" t="s">
        <v>622</v>
      </c>
      <c r="E1322" s="67">
        <v>10</v>
      </c>
      <c r="F1322" s="327">
        <v>2.69</v>
      </c>
      <c r="G1322" s="71">
        <v>3.4</v>
      </c>
      <c r="H1322" s="67"/>
      <c r="I1322" s="67">
        <f t="shared" ref="I1322" si="198">E1322*G1322</f>
        <v>34</v>
      </c>
      <c r="J1322" s="134"/>
      <c r="K1322" s="324">
        <v>0.2999</v>
      </c>
      <c r="L1322" s="191">
        <f t="shared" si="196"/>
        <v>1.4842</v>
      </c>
    </row>
    <row r="1323" spans="1:14" s="64" customFormat="1" x14ac:dyDescent="0.2">
      <c r="A1323" s="63"/>
      <c r="B1323" s="396"/>
      <c r="C1323" s="122" t="s">
        <v>258</v>
      </c>
      <c r="D1323" s="75" t="s">
        <v>53</v>
      </c>
      <c r="E1323" s="132">
        <f>5.21</f>
        <v>5.21</v>
      </c>
      <c r="F1323" s="334"/>
      <c r="G1323" s="71">
        <v>0.8</v>
      </c>
      <c r="H1323" s="67">
        <f t="shared" ref="H1323:H1324" si="199">E1323*G1323</f>
        <v>4.1680000000000001</v>
      </c>
      <c r="I1323" s="133"/>
      <c r="J1323" s="134"/>
      <c r="K1323" s="324">
        <v>0.2999</v>
      </c>
      <c r="L1323" s="191">
        <f t="shared" si="196"/>
        <v>1.4842</v>
      </c>
    </row>
    <row r="1324" spans="1:14" s="64" customFormat="1" x14ac:dyDescent="0.2">
      <c r="A1324" s="63"/>
      <c r="B1324" s="396"/>
      <c r="C1324" s="122" t="s">
        <v>259</v>
      </c>
      <c r="D1324" s="75" t="s">
        <v>53</v>
      </c>
      <c r="E1324" s="67">
        <f>3.77</f>
        <v>3.77</v>
      </c>
      <c r="F1324" s="334"/>
      <c r="G1324" s="71">
        <v>0.8</v>
      </c>
      <c r="H1324" s="67">
        <f t="shared" si="199"/>
        <v>3.016</v>
      </c>
      <c r="I1324" s="133"/>
      <c r="J1324" s="134"/>
      <c r="K1324" s="324">
        <v>0.2999</v>
      </c>
      <c r="L1324" s="191">
        <f t="shared" si="196"/>
        <v>1.4842</v>
      </c>
    </row>
    <row r="1325" spans="1:14" s="64" customFormat="1" hidden="1" x14ac:dyDescent="0.2">
      <c r="A1325" s="63"/>
      <c r="B1325" s="396"/>
      <c r="C1325" s="122"/>
      <c r="D1325" s="75"/>
      <c r="E1325" s="67"/>
      <c r="F1325" s="327"/>
      <c r="G1325" s="71"/>
      <c r="H1325" s="67"/>
      <c r="I1325" s="67"/>
      <c r="J1325" s="134"/>
      <c r="K1325" s="324">
        <v>0.2999</v>
      </c>
      <c r="L1325" s="191">
        <f t="shared" si="196"/>
        <v>1.4842</v>
      </c>
    </row>
    <row r="1326" spans="1:14" s="64" customFormat="1" x14ac:dyDescent="0.2">
      <c r="A1326" s="63"/>
      <c r="B1326" s="396"/>
      <c r="C1326" s="122"/>
      <c r="D1326" s="75"/>
      <c r="E1326" s="438" t="str">
        <f>E1316</f>
        <v>Custo Direto</v>
      </c>
      <c r="F1326" s="438"/>
      <c r="G1326" s="438"/>
      <c r="H1326" s="69">
        <f>SUM(H1322:H1324)</f>
        <v>7.1840000000000002</v>
      </c>
      <c r="I1326" s="69">
        <f>SUM(I1322:I1324)</f>
        <v>34</v>
      </c>
      <c r="J1326" s="134"/>
      <c r="K1326" s="324">
        <v>0.2999</v>
      </c>
      <c r="L1326" s="191">
        <f t="shared" si="196"/>
        <v>1.4842</v>
      </c>
    </row>
    <row r="1327" spans="1:14" s="64" customFormat="1" x14ac:dyDescent="0.2">
      <c r="A1327" s="63"/>
      <c r="B1327" s="396"/>
      <c r="C1327" s="122"/>
      <c r="D1327" s="75"/>
      <c r="E1327" s="438" t="str">
        <f>E1317</f>
        <v>LS(%): 148,42</v>
      </c>
      <c r="F1327" s="438"/>
      <c r="G1327" s="438"/>
      <c r="H1327" s="67">
        <f t="shared" ref="H1327" si="200">H1326*L1327</f>
        <v>10.662492800000001</v>
      </c>
      <c r="I1327" s="131"/>
      <c r="J1327" s="134"/>
      <c r="K1327" s="324">
        <v>0.2999</v>
      </c>
      <c r="L1327" s="191">
        <f t="shared" si="196"/>
        <v>1.4842</v>
      </c>
    </row>
    <row r="1328" spans="1:14" s="64" customFormat="1" x14ac:dyDescent="0.2">
      <c r="A1328" s="63"/>
      <c r="B1328" s="396"/>
      <c r="C1328" s="122"/>
      <c r="D1328" s="75"/>
      <c r="E1328" s="438" t="str">
        <f>E1318</f>
        <v>BDI (%): 29,99</v>
      </c>
      <c r="F1328" s="438"/>
      <c r="G1328" s="438"/>
      <c r="H1328" s="439">
        <f t="shared" ref="H1328" si="201">(H1326+I1326+H1327)*K1328</f>
        <v>15.548763190720001</v>
      </c>
      <c r="I1328" s="439"/>
      <c r="J1328" s="134"/>
      <c r="K1328" s="324">
        <v>0.2999</v>
      </c>
      <c r="L1328" s="191">
        <f t="shared" si="196"/>
        <v>1.4842</v>
      </c>
    </row>
    <row r="1329" spans="1:14" s="64" customFormat="1" x14ac:dyDescent="0.2">
      <c r="A1329" s="63"/>
      <c r="B1329" s="396"/>
      <c r="C1329" s="122"/>
      <c r="D1329" s="75"/>
      <c r="E1329" s="438" t="str">
        <f>E1319</f>
        <v>Valor Total c/ Taxas</v>
      </c>
      <c r="F1329" s="438"/>
      <c r="G1329" s="438"/>
      <c r="H1329" s="67"/>
      <c r="I1329" s="69">
        <f>79.39*N93</f>
        <v>0</v>
      </c>
      <c r="J1329" s="134"/>
      <c r="K1329" s="324">
        <v>0.2999</v>
      </c>
      <c r="L1329" s="191">
        <f t="shared" si="196"/>
        <v>1.4842</v>
      </c>
      <c r="M1329" s="401">
        <v>387.37</v>
      </c>
      <c r="N1329" s="86">
        <f t="shared" ref="N1329" si="202">I1329-M1329</f>
        <v>-387.37</v>
      </c>
    </row>
    <row r="1330" spans="1:14" s="64" customFormat="1" x14ac:dyDescent="0.2">
      <c r="A1330" s="63"/>
      <c r="B1330" s="396"/>
      <c r="C1330" s="122"/>
      <c r="D1330" s="75"/>
      <c r="E1330" s="395"/>
      <c r="F1330" s="395"/>
      <c r="G1330" s="395"/>
      <c r="H1330" s="67"/>
      <c r="I1330" s="69"/>
      <c r="J1330" s="134"/>
      <c r="K1330" s="324">
        <v>0.2999</v>
      </c>
      <c r="L1330" s="191">
        <f t="shared" ref="L1328:L1391" si="203">L1329</f>
        <v>1.4842</v>
      </c>
      <c r="M1330" s="401"/>
      <c r="N1330" s="86"/>
    </row>
    <row r="1331" spans="1:14" s="64" customFormat="1" x14ac:dyDescent="0.2">
      <c r="A1331" s="397"/>
      <c r="B1331" s="151" t="s">
        <v>127</v>
      </c>
      <c r="C1331" s="76" t="str">
        <f>orçamento!D152</f>
        <v>Transformador trifasico 112,5 kva</v>
      </c>
      <c r="D1331" s="397" t="s">
        <v>622</v>
      </c>
      <c r="E1331" s="67"/>
      <c r="F1331" s="327"/>
      <c r="G1331" s="71"/>
      <c r="H1331" s="67"/>
      <c r="I1331" s="67"/>
      <c r="J1331" s="134"/>
      <c r="K1331" s="324">
        <v>0.2999</v>
      </c>
      <c r="L1331" s="191">
        <f t="shared" si="203"/>
        <v>1.4842</v>
      </c>
    </row>
    <row r="1332" spans="1:14" s="64" customFormat="1" x14ac:dyDescent="0.2">
      <c r="A1332" s="63"/>
      <c r="B1332" s="396"/>
      <c r="C1332" s="122" t="str">
        <f t="shared" ref="C1332" si="204">C1331</f>
        <v>Transformador trifasico 112,5 kva</v>
      </c>
      <c r="D1332" s="75" t="s">
        <v>622</v>
      </c>
      <c r="E1332" s="67">
        <v>10</v>
      </c>
      <c r="F1332" s="327">
        <v>2.69</v>
      </c>
      <c r="G1332" s="71">
        <v>3.4</v>
      </c>
      <c r="H1332" s="67"/>
      <c r="I1332" s="67">
        <f t="shared" ref="I1332" si="205">E1332*G1332</f>
        <v>34</v>
      </c>
      <c r="J1332" s="134"/>
      <c r="K1332" s="324">
        <v>0.2999</v>
      </c>
      <c r="L1332" s="191">
        <f t="shared" si="203"/>
        <v>1.4842</v>
      </c>
    </row>
    <row r="1333" spans="1:14" s="64" customFormat="1" x14ac:dyDescent="0.2">
      <c r="A1333" s="63"/>
      <c r="B1333" s="396"/>
      <c r="C1333" s="122" t="s">
        <v>258</v>
      </c>
      <c r="D1333" s="75" t="s">
        <v>53</v>
      </c>
      <c r="E1333" s="132">
        <f>5.21</f>
        <v>5.21</v>
      </c>
      <c r="F1333" s="334"/>
      <c r="G1333" s="71">
        <v>0.8</v>
      </c>
      <c r="H1333" s="67">
        <f t="shared" ref="H1333:H1334" si="206">E1333*G1333</f>
        <v>4.1680000000000001</v>
      </c>
      <c r="I1333" s="133"/>
      <c r="J1333" s="134"/>
      <c r="K1333" s="324">
        <v>0.2999</v>
      </c>
      <c r="L1333" s="191">
        <f t="shared" si="203"/>
        <v>1.4842</v>
      </c>
    </row>
    <row r="1334" spans="1:14" s="64" customFormat="1" x14ac:dyDescent="0.2">
      <c r="A1334" s="63"/>
      <c r="B1334" s="396"/>
      <c r="C1334" s="122" t="s">
        <v>259</v>
      </c>
      <c r="D1334" s="75" t="s">
        <v>53</v>
      </c>
      <c r="E1334" s="67">
        <f>3.77</f>
        <v>3.77</v>
      </c>
      <c r="F1334" s="334"/>
      <c r="G1334" s="71">
        <v>0.8</v>
      </c>
      <c r="H1334" s="67">
        <f t="shared" si="206"/>
        <v>3.016</v>
      </c>
      <c r="I1334" s="133"/>
      <c r="J1334" s="134"/>
      <c r="K1334" s="324">
        <v>0.2999</v>
      </c>
      <c r="L1334" s="191">
        <f t="shared" si="203"/>
        <v>1.4842</v>
      </c>
    </row>
    <row r="1335" spans="1:14" s="64" customFormat="1" hidden="1" x14ac:dyDescent="0.2">
      <c r="A1335" s="63"/>
      <c r="B1335" s="396"/>
      <c r="C1335" s="122"/>
      <c r="D1335" s="75"/>
      <c r="E1335" s="67"/>
      <c r="F1335" s="327"/>
      <c r="G1335" s="71"/>
      <c r="H1335" s="67"/>
      <c r="I1335" s="67"/>
      <c r="J1335" s="134"/>
      <c r="K1335" s="324">
        <v>0.2999</v>
      </c>
      <c r="L1335" s="191">
        <f t="shared" si="203"/>
        <v>1.4842</v>
      </c>
    </row>
    <row r="1336" spans="1:14" s="64" customFormat="1" x14ac:dyDescent="0.2">
      <c r="A1336" s="63"/>
      <c r="B1336" s="396"/>
      <c r="C1336" s="122"/>
      <c r="D1336" s="75"/>
      <c r="E1336" s="438" t="str">
        <f>E1326</f>
        <v>Custo Direto</v>
      </c>
      <c r="F1336" s="438"/>
      <c r="G1336" s="438"/>
      <c r="H1336" s="69">
        <f>SUM(H1332:H1334)</f>
        <v>7.1840000000000002</v>
      </c>
      <c r="I1336" s="69">
        <f>SUM(I1332:I1334)</f>
        <v>34</v>
      </c>
      <c r="J1336" s="134"/>
      <c r="K1336" s="324">
        <v>0.2999</v>
      </c>
      <c r="L1336" s="191">
        <f t="shared" si="203"/>
        <v>1.4842</v>
      </c>
    </row>
    <row r="1337" spans="1:14" s="64" customFormat="1" x14ac:dyDescent="0.2">
      <c r="A1337" s="63"/>
      <c r="B1337" s="396"/>
      <c r="C1337" s="122"/>
      <c r="D1337" s="75"/>
      <c r="E1337" s="438" t="str">
        <f>E1327</f>
        <v>LS(%): 148,42</v>
      </c>
      <c r="F1337" s="438"/>
      <c r="G1337" s="438"/>
      <c r="H1337" s="67">
        <f t="shared" ref="H1337" si="207">H1336*L1337</f>
        <v>10.662492800000001</v>
      </c>
      <c r="I1337" s="131"/>
      <c r="J1337" s="134"/>
      <c r="K1337" s="324">
        <v>0.2999</v>
      </c>
      <c r="L1337" s="191">
        <f t="shared" si="203"/>
        <v>1.4842</v>
      </c>
    </row>
    <row r="1338" spans="1:14" s="64" customFormat="1" x14ac:dyDescent="0.2">
      <c r="A1338" s="63"/>
      <c r="B1338" s="396"/>
      <c r="C1338" s="122"/>
      <c r="D1338" s="75"/>
      <c r="E1338" s="438" t="str">
        <f>E1328</f>
        <v>BDI (%): 29,99</v>
      </c>
      <c r="F1338" s="438"/>
      <c r="G1338" s="438"/>
      <c r="H1338" s="439">
        <f t="shared" ref="H1338" si="208">(H1336+I1336+H1337)*K1338</f>
        <v>15.548763190720001</v>
      </c>
      <c r="I1338" s="439"/>
      <c r="J1338" s="134"/>
      <c r="K1338" s="324">
        <v>0.2999</v>
      </c>
      <c r="L1338" s="191">
        <f t="shared" si="203"/>
        <v>1.4842</v>
      </c>
    </row>
    <row r="1339" spans="1:14" s="64" customFormat="1" x14ac:dyDescent="0.2">
      <c r="A1339" s="63"/>
      <c r="B1339" s="396"/>
      <c r="C1339" s="122"/>
      <c r="D1339" s="75"/>
      <c r="E1339" s="438" t="str">
        <f>E1329</f>
        <v>Valor Total c/ Taxas</v>
      </c>
      <c r="F1339" s="438"/>
      <c r="G1339" s="438"/>
      <c r="H1339" s="67"/>
      <c r="I1339" s="69">
        <f>79.39*N103</f>
        <v>0</v>
      </c>
      <c r="J1339" s="134"/>
      <c r="K1339" s="324">
        <v>0.2999</v>
      </c>
      <c r="L1339" s="191">
        <f t="shared" si="203"/>
        <v>1.4842</v>
      </c>
      <c r="M1339" s="401">
        <v>387.37</v>
      </c>
      <c r="N1339" s="86">
        <f t="shared" ref="N1339" si="209">I1339-M1339</f>
        <v>-387.37</v>
      </c>
    </row>
    <row r="1340" spans="1:14" s="64" customFormat="1" x14ac:dyDescent="0.2">
      <c r="A1340" s="63"/>
      <c r="B1340" s="396"/>
      <c r="C1340" s="122"/>
      <c r="D1340" s="75"/>
      <c r="E1340" s="395"/>
      <c r="F1340" s="395"/>
      <c r="G1340" s="395"/>
      <c r="H1340" s="67"/>
      <c r="I1340" s="69"/>
      <c r="J1340" s="134"/>
      <c r="K1340" s="324">
        <v>0.2999</v>
      </c>
      <c r="L1340" s="191">
        <f t="shared" si="203"/>
        <v>1.4842</v>
      </c>
      <c r="M1340" s="401"/>
      <c r="N1340" s="86"/>
    </row>
    <row r="1341" spans="1:14" s="64" customFormat="1" x14ac:dyDescent="0.2">
      <c r="A1341" s="63"/>
      <c r="B1341" s="396"/>
      <c r="C1341" s="122"/>
      <c r="D1341" s="75"/>
      <c r="E1341" s="395"/>
      <c r="F1341" s="395"/>
      <c r="G1341" s="395"/>
      <c r="H1341" s="67"/>
      <c r="I1341" s="69"/>
      <c r="J1341" s="134"/>
      <c r="K1341" s="324">
        <v>0.2999</v>
      </c>
      <c r="L1341" s="191">
        <f t="shared" si="203"/>
        <v>1.4842</v>
      </c>
      <c r="M1341" s="401"/>
      <c r="N1341" s="86"/>
    </row>
    <row r="1342" spans="1:14" s="64" customFormat="1" x14ac:dyDescent="0.2">
      <c r="A1342" s="63"/>
      <c r="B1342" s="396"/>
      <c r="C1342" s="122"/>
      <c r="D1342" s="75"/>
      <c r="E1342" s="395"/>
      <c r="F1342" s="395"/>
      <c r="G1342" s="395"/>
      <c r="H1342" s="67"/>
      <c r="I1342" s="69"/>
      <c r="J1342" s="134"/>
      <c r="K1342" s="324">
        <v>0.2999</v>
      </c>
      <c r="L1342" s="191">
        <f t="shared" si="203"/>
        <v>1.4842</v>
      </c>
      <c r="M1342" s="401"/>
      <c r="N1342" s="86"/>
    </row>
    <row r="1343" spans="1:14" s="64" customFormat="1" x14ac:dyDescent="0.2">
      <c r="A1343" s="63"/>
      <c r="B1343" s="396"/>
      <c r="C1343" s="122"/>
      <c r="D1343" s="75"/>
      <c r="E1343" s="395"/>
      <c r="F1343" s="395"/>
      <c r="G1343" s="395"/>
      <c r="H1343" s="67"/>
      <c r="I1343" s="69"/>
      <c r="J1343" s="134"/>
      <c r="K1343" s="324">
        <v>0.2999</v>
      </c>
      <c r="L1343" s="191">
        <f t="shared" si="203"/>
        <v>1.4842</v>
      </c>
      <c r="M1343" s="401"/>
      <c r="N1343" s="86"/>
    </row>
    <row r="1344" spans="1:14" s="64" customFormat="1" x14ac:dyDescent="0.2">
      <c r="A1344" s="63"/>
      <c r="B1344" s="396"/>
      <c r="C1344" s="122"/>
      <c r="D1344" s="75"/>
      <c r="E1344" s="395"/>
      <c r="F1344" s="395"/>
      <c r="G1344" s="395"/>
      <c r="H1344" s="67"/>
      <c r="I1344" s="69"/>
      <c r="J1344" s="134"/>
      <c r="K1344" s="324">
        <v>0.2999</v>
      </c>
      <c r="L1344" s="191">
        <f t="shared" si="203"/>
        <v>1.4842</v>
      </c>
      <c r="M1344" s="401"/>
      <c r="N1344" s="86"/>
    </row>
    <row r="1345" spans="1:14" s="64" customFormat="1" x14ac:dyDescent="0.2">
      <c r="A1345" s="63"/>
      <c r="B1345" s="396"/>
      <c r="C1345" s="122"/>
      <c r="D1345" s="75"/>
      <c r="E1345" s="395"/>
      <c r="F1345" s="395"/>
      <c r="G1345" s="395"/>
      <c r="H1345" s="67"/>
      <c r="I1345" s="69"/>
      <c r="J1345" s="134"/>
      <c r="K1345" s="324">
        <v>0.2999</v>
      </c>
      <c r="L1345" s="191">
        <f t="shared" si="203"/>
        <v>1.4842</v>
      </c>
      <c r="M1345" s="401"/>
      <c r="N1345" s="86"/>
    </row>
    <row r="1346" spans="1:14" s="64" customFormat="1" x14ac:dyDescent="0.2">
      <c r="A1346" s="63"/>
      <c r="B1346" s="396"/>
      <c r="C1346" s="122"/>
      <c r="D1346" s="75"/>
      <c r="E1346" s="395"/>
      <c r="F1346" s="395"/>
      <c r="G1346" s="395"/>
      <c r="H1346" s="67"/>
      <c r="I1346" s="69"/>
      <c r="J1346" s="134"/>
      <c r="K1346" s="324">
        <v>0.2999</v>
      </c>
      <c r="L1346" s="191">
        <f t="shared" si="203"/>
        <v>1.4842</v>
      </c>
      <c r="M1346" s="401"/>
      <c r="N1346" s="86"/>
    </row>
    <row r="1347" spans="1:14" s="64" customFormat="1" x14ac:dyDescent="0.2">
      <c r="A1347" s="63"/>
      <c r="B1347" s="396"/>
      <c r="C1347" s="122"/>
      <c r="D1347" s="75"/>
      <c r="E1347" s="395"/>
      <c r="F1347" s="395"/>
      <c r="G1347" s="395"/>
      <c r="H1347" s="67"/>
      <c r="I1347" s="69"/>
      <c r="J1347" s="134"/>
      <c r="K1347" s="324">
        <v>0.2999</v>
      </c>
      <c r="L1347" s="191">
        <f t="shared" si="203"/>
        <v>1.4842</v>
      </c>
      <c r="M1347" s="401"/>
      <c r="N1347" s="86"/>
    </row>
    <row r="1348" spans="1:14" s="64" customFormat="1" x14ac:dyDescent="0.2">
      <c r="A1348" s="63"/>
      <c r="B1348" s="396"/>
      <c r="C1348" s="122"/>
      <c r="D1348" s="75"/>
      <c r="E1348" s="395"/>
      <c r="F1348" s="395"/>
      <c r="G1348" s="395"/>
      <c r="H1348" s="67"/>
      <c r="I1348" s="69"/>
      <c r="J1348" s="134"/>
      <c r="K1348" s="324">
        <v>0.2999</v>
      </c>
      <c r="L1348" s="191">
        <f t="shared" si="203"/>
        <v>1.4842</v>
      </c>
      <c r="M1348" s="401"/>
      <c r="N1348" s="86"/>
    </row>
    <row r="1349" spans="1:14" s="64" customFormat="1" x14ac:dyDescent="0.2">
      <c r="A1349" s="63"/>
      <c r="B1349" s="396"/>
      <c r="C1349" s="122"/>
      <c r="D1349" s="75"/>
      <c r="E1349" s="395"/>
      <c r="F1349" s="395"/>
      <c r="G1349" s="395"/>
      <c r="H1349" s="67"/>
      <c r="I1349" s="69"/>
      <c r="J1349" s="134"/>
      <c r="K1349" s="324">
        <v>0.2999</v>
      </c>
      <c r="L1349" s="191">
        <f t="shared" si="203"/>
        <v>1.4842</v>
      </c>
      <c r="M1349" s="401"/>
      <c r="N1349" s="86"/>
    </row>
    <row r="1350" spans="1:14" s="64" customFormat="1" x14ac:dyDescent="0.2">
      <c r="A1350" s="63"/>
      <c r="B1350" s="396"/>
      <c r="C1350" s="122"/>
      <c r="D1350" s="75"/>
      <c r="E1350" s="395"/>
      <c r="F1350" s="395"/>
      <c r="G1350" s="395"/>
      <c r="H1350" s="67"/>
      <c r="I1350" s="69"/>
      <c r="J1350" s="134"/>
      <c r="K1350" s="324">
        <v>0.2999</v>
      </c>
      <c r="L1350" s="191">
        <f t="shared" si="203"/>
        <v>1.4842</v>
      </c>
      <c r="M1350" s="401"/>
      <c r="N1350" s="86"/>
    </row>
    <row r="1351" spans="1:14" s="64" customFormat="1" x14ac:dyDescent="0.2">
      <c r="A1351" s="63"/>
      <c r="B1351" s="396"/>
      <c r="C1351" s="122"/>
      <c r="D1351" s="75"/>
      <c r="E1351" s="395"/>
      <c r="F1351" s="395"/>
      <c r="G1351" s="395"/>
      <c r="H1351" s="67"/>
      <c r="I1351" s="69"/>
      <c r="J1351" s="134"/>
      <c r="K1351" s="324">
        <v>0.2999</v>
      </c>
      <c r="L1351" s="191">
        <f t="shared" si="203"/>
        <v>1.4842</v>
      </c>
      <c r="M1351" s="401"/>
      <c r="N1351" s="86"/>
    </row>
    <row r="1352" spans="1:14" s="64" customFormat="1" x14ac:dyDescent="0.2">
      <c r="A1352" s="63"/>
      <c r="B1352" s="396"/>
      <c r="C1352" s="122"/>
      <c r="D1352" s="75"/>
      <c r="E1352" s="395"/>
      <c r="F1352" s="395"/>
      <c r="G1352" s="395"/>
      <c r="H1352" s="67"/>
      <c r="I1352" s="69"/>
      <c r="J1352" s="134"/>
      <c r="K1352" s="324">
        <v>0.2999</v>
      </c>
      <c r="L1352" s="191">
        <f t="shared" si="203"/>
        <v>1.4842</v>
      </c>
      <c r="M1352" s="401"/>
      <c r="N1352" s="86"/>
    </row>
    <row r="1353" spans="1:14" s="64" customFormat="1" x14ac:dyDescent="0.2">
      <c r="A1353" s="63"/>
      <c r="B1353" s="396"/>
      <c r="C1353" s="122"/>
      <c r="D1353" s="75"/>
      <c r="E1353" s="395"/>
      <c r="F1353" s="395"/>
      <c r="G1353" s="395"/>
      <c r="H1353" s="67"/>
      <c r="I1353" s="69"/>
      <c r="J1353" s="134"/>
      <c r="K1353" s="324">
        <v>0.2999</v>
      </c>
      <c r="L1353" s="191">
        <f t="shared" si="203"/>
        <v>1.4842</v>
      </c>
      <c r="M1353" s="401"/>
      <c r="N1353" s="86"/>
    </row>
    <row r="1354" spans="1:14" s="64" customFormat="1" x14ac:dyDescent="0.2">
      <c r="A1354" s="63"/>
      <c r="B1354" s="396"/>
      <c r="C1354" s="122"/>
      <c r="D1354" s="75"/>
      <c r="E1354" s="395"/>
      <c r="F1354" s="395"/>
      <c r="G1354" s="395"/>
      <c r="H1354" s="67"/>
      <c r="I1354" s="69"/>
      <c r="J1354" s="134"/>
      <c r="K1354" s="324">
        <v>0.2999</v>
      </c>
      <c r="L1354" s="191">
        <f t="shared" si="203"/>
        <v>1.4842</v>
      </c>
      <c r="M1354" s="401"/>
      <c r="N1354" s="86"/>
    </row>
    <row r="1355" spans="1:14" s="64" customFormat="1" x14ac:dyDescent="0.2">
      <c r="A1355" s="63"/>
      <c r="B1355" s="396"/>
      <c r="C1355" s="122"/>
      <c r="D1355" s="75"/>
      <c r="E1355" s="395"/>
      <c r="F1355" s="395"/>
      <c r="G1355" s="395"/>
      <c r="H1355" s="67"/>
      <c r="I1355" s="69"/>
      <c r="J1355" s="134"/>
      <c r="K1355" s="324">
        <v>0.2999</v>
      </c>
      <c r="L1355" s="191">
        <f t="shared" si="203"/>
        <v>1.4842</v>
      </c>
      <c r="M1355" s="401"/>
      <c r="N1355" s="86"/>
    </row>
    <row r="1356" spans="1:14" s="64" customFormat="1" x14ac:dyDescent="0.2">
      <c r="A1356" s="63"/>
      <c r="B1356" s="396"/>
      <c r="C1356" s="122"/>
      <c r="D1356" s="75"/>
      <c r="E1356" s="395"/>
      <c r="F1356" s="395"/>
      <c r="G1356" s="395"/>
      <c r="H1356" s="67"/>
      <c r="I1356" s="69"/>
      <c r="J1356" s="134"/>
      <c r="K1356" s="324">
        <v>0.2999</v>
      </c>
      <c r="L1356" s="191">
        <f t="shared" si="203"/>
        <v>1.4842</v>
      </c>
      <c r="M1356" s="401"/>
      <c r="N1356" s="86"/>
    </row>
    <row r="1357" spans="1:14" s="64" customFormat="1" x14ac:dyDescent="0.2">
      <c r="A1357" s="63"/>
      <c r="B1357" s="396"/>
      <c r="C1357" s="122"/>
      <c r="D1357" s="75"/>
      <c r="E1357" s="395"/>
      <c r="F1357" s="395"/>
      <c r="G1357" s="395"/>
      <c r="H1357" s="67"/>
      <c r="I1357" s="69"/>
      <c r="J1357" s="134"/>
      <c r="K1357" s="324">
        <v>0.2999</v>
      </c>
      <c r="L1357" s="191">
        <f t="shared" si="203"/>
        <v>1.4842</v>
      </c>
      <c r="M1357" s="401"/>
      <c r="N1357" s="86"/>
    </row>
    <row r="1358" spans="1:14" s="64" customFormat="1" x14ac:dyDescent="0.2">
      <c r="A1358" s="63"/>
      <c r="B1358" s="396"/>
      <c r="C1358" s="122"/>
      <c r="D1358" s="75"/>
      <c r="E1358" s="395"/>
      <c r="F1358" s="395"/>
      <c r="G1358" s="395"/>
      <c r="H1358" s="67"/>
      <c r="I1358" s="69"/>
      <c r="J1358" s="134"/>
      <c r="K1358" s="324">
        <v>0.2999</v>
      </c>
      <c r="L1358" s="191">
        <f t="shared" si="203"/>
        <v>1.4842</v>
      </c>
      <c r="M1358" s="401"/>
      <c r="N1358" s="86"/>
    </row>
    <row r="1359" spans="1:14" s="64" customFormat="1" x14ac:dyDescent="0.2">
      <c r="A1359" s="63"/>
      <c r="B1359" s="396"/>
      <c r="C1359" s="122"/>
      <c r="D1359" s="75"/>
      <c r="E1359" s="395"/>
      <c r="F1359" s="395"/>
      <c r="G1359" s="395"/>
      <c r="H1359" s="67"/>
      <c r="I1359" s="69"/>
      <c r="J1359" s="134"/>
      <c r="K1359" s="324">
        <v>0.2999</v>
      </c>
      <c r="L1359" s="191">
        <f t="shared" si="203"/>
        <v>1.4842</v>
      </c>
      <c r="M1359" s="401"/>
      <c r="N1359" s="86"/>
    </row>
    <row r="1360" spans="1:14" s="64" customFormat="1" x14ac:dyDescent="0.2">
      <c r="A1360" s="63"/>
      <c r="B1360" s="396"/>
      <c r="C1360" s="122"/>
      <c r="D1360" s="75"/>
      <c r="E1360" s="395"/>
      <c r="F1360" s="395"/>
      <c r="G1360" s="395"/>
      <c r="H1360" s="67"/>
      <c r="I1360" s="69"/>
      <c r="J1360" s="134"/>
      <c r="K1360" s="324">
        <v>0.2999</v>
      </c>
      <c r="L1360" s="191">
        <f t="shared" si="203"/>
        <v>1.4842</v>
      </c>
      <c r="M1360" s="401"/>
      <c r="N1360" s="86"/>
    </row>
    <row r="1361" spans="1:14" s="64" customFormat="1" x14ac:dyDescent="0.2">
      <c r="A1361" s="63"/>
      <c r="B1361" s="396"/>
      <c r="C1361" s="122"/>
      <c r="D1361" s="75"/>
      <c r="E1361" s="395"/>
      <c r="F1361" s="395"/>
      <c r="G1361" s="395"/>
      <c r="H1361" s="67"/>
      <c r="I1361" s="69"/>
      <c r="J1361" s="134"/>
      <c r="K1361" s="324">
        <v>0.2999</v>
      </c>
      <c r="L1361" s="191">
        <f t="shared" si="203"/>
        <v>1.4842</v>
      </c>
      <c r="M1361" s="401"/>
      <c r="N1361" s="86"/>
    </row>
    <row r="1362" spans="1:14" s="64" customFormat="1" x14ac:dyDescent="0.2">
      <c r="A1362" s="63"/>
      <c r="B1362" s="396"/>
      <c r="C1362" s="122"/>
      <c r="D1362" s="75"/>
      <c r="E1362" s="395"/>
      <c r="F1362" s="395"/>
      <c r="G1362" s="395"/>
      <c r="H1362" s="67"/>
      <c r="I1362" s="69"/>
      <c r="J1362" s="134"/>
      <c r="K1362" s="324">
        <v>0.2999</v>
      </c>
      <c r="L1362" s="191">
        <f t="shared" si="203"/>
        <v>1.4842</v>
      </c>
      <c r="M1362" s="401"/>
      <c r="N1362" s="86"/>
    </row>
    <row r="1363" spans="1:14" s="64" customFormat="1" x14ac:dyDescent="0.2">
      <c r="A1363" s="63"/>
      <c r="B1363" s="396"/>
      <c r="C1363" s="122"/>
      <c r="D1363" s="75"/>
      <c r="E1363" s="395"/>
      <c r="F1363" s="395"/>
      <c r="G1363" s="395"/>
      <c r="H1363" s="67"/>
      <c r="I1363" s="69"/>
      <c r="J1363" s="134"/>
      <c r="K1363" s="324">
        <v>0.2999</v>
      </c>
      <c r="L1363" s="191">
        <f t="shared" si="203"/>
        <v>1.4842</v>
      </c>
      <c r="M1363" s="401"/>
      <c r="N1363" s="86"/>
    </row>
    <row r="1364" spans="1:14" s="64" customFormat="1" x14ac:dyDescent="0.2">
      <c r="A1364" s="63"/>
      <c r="B1364" s="396"/>
      <c r="C1364" s="122"/>
      <c r="D1364" s="75"/>
      <c r="E1364" s="395"/>
      <c r="F1364" s="395"/>
      <c r="G1364" s="395"/>
      <c r="H1364" s="67"/>
      <c r="I1364" s="69"/>
      <c r="J1364" s="134"/>
      <c r="K1364" s="324">
        <v>0.2999</v>
      </c>
      <c r="L1364" s="191">
        <f t="shared" si="203"/>
        <v>1.4842</v>
      </c>
      <c r="M1364" s="401"/>
      <c r="N1364" s="86"/>
    </row>
    <row r="1365" spans="1:14" s="64" customFormat="1" x14ac:dyDescent="0.2">
      <c r="A1365" s="63"/>
      <c r="B1365" s="396"/>
      <c r="C1365" s="122"/>
      <c r="D1365" s="75"/>
      <c r="E1365" s="395"/>
      <c r="F1365" s="395"/>
      <c r="G1365" s="395"/>
      <c r="H1365" s="67"/>
      <c r="I1365" s="69"/>
      <c r="J1365" s="134"/>
      <c r="K1365" s="324">
        <v>0.2999</v>
      </c>
      <c r="L1365" s="191">
        <f t="shared" si="203"/>
        <v>1.4842</v>
      </c>
      <c r="M1365" s="401"/>
      <c r="N1365" s="86"/>
    </row>
    <row r="1366" spans="1:14" s="64" customFormat="1" x14ac:dyDescent="0.2">
      <c r="A1366" s="63"/>
      <c r="B1366" s="396"/>
      <c r="C1366" s="122"/>
      <c r="D1366" s="75"/>
      <c r="E1366" s="395"/>
      <c r="F1366" s="395"/>
      <c r="G1366" s="395"/>
      <c r="H1366" s="67"/>
      <c r="I1366" s="69"/>
      <c r="J1366" s="134"/>
      <c r="K1366" s="324">
        <v>0.2999</v>
      </c>
      <c r="L1366" s="191">
        <f t="shared" si="203"/>
        <v>1.4842</v>
      </c>
      <c r="M1366" s="401"/>
      <c r="N1366" s="86"/>
    </row>
    <row r="1367" spans="1:14" s="64" customFormat="1" x14ac:dyDescent="0.2">
      <c r="A1367" s="63"/>
      <c r="B1367" s="396"/>
      <c r="C1367" s="122"/>
      <c r="D1367" s="75"/>
      <c r="E1367" s="395"/>
      <c r="F1367" s="395"/>
      <c r="G1367" s="395"/>
      <c r="H1367" s="67"/>
      <c r="I1367" s="69"/>
      <c r="J1367" s="134"/>
      <c r="K1367" s="324">
        <v>0.2999</v>
      </c>
      <c r="L1367" s="191">
        <f t="shared" si="203"/>
        <v>1.4842</v>
      </c>
      <c r="M1367" s="401"/>
      <c r="N1367" s="86"/>
    </row>
    <row r="1368" spans="1:14" s="64" customFormat="1" x14ac:dyDescent="0.2">
      <c r="A1368" s="63"/>
      <c r="B1368" s="396"/>
      <c r="C1368" s="122"/>
      <c r="D1368" s="75"/>
      <c r="E1368" s="395"/>
      <c r="F1368" s="395"/>
      <c r="G1368" s="395"/>
      <c r="H1368" s="67"/>
      <c r="I1368" s="69"/>
      <c r="J1368" s="134"/>
      <c r="K1368" s="324">
        <v>0.2999</v>
      </c>
      <c r="L1368" s="191">
        <f t="shared" si="203"/>
        <v>1.4842</v>
      </c>
      <c r="M1368" s="401"/>
      <c r="N1368" s="86"/>
    </row>
    <row r="1369" spans="1:14" s="64" customFormat="1" x14ac:dyDescent="0.2">
      <c r="A1369" s="63"/>
      <c r="B1369" s="396"/>
      <c r="C1369" s="122"/>
      <c r="D1369" s="75"/>
      <c r="E1369" s="395"/>
      <c r="F1369" s="395"/>
      <c r="G1369" s="395"/>
      <c r="H1369" s="67"/>
      <c r="I1369" s="69"/>
      <c r="J1369" s="134"/>
      <c r="K1369" s="324">
        <v>0.2999</v>
      </c>
      <c r="L1369" s="191">
        <f t="shared" si="203"/>
        <v>1.4842</v>
      </c>
      <c r="M1369" s="401"/>
      <c r="N1369" s="86"/>
    </row>
    <row r="1370" spans="1:14" s="64" customFormat="1" x14ac:dyDescent="0.2">
      <c r="A1370" s="63"/>
      <c r="B1370" s="396"/>
      <c r="C1370" s="122"/>
      <c r="D1370" s="75"/>
      <c r="E1370" s="395"/>
      <c r="F1370" s="395"/>
      <c r="G1370" s="395"/>
      <c r="H1370" s="67"/>
      <c r="I1370" s="69"/>
      <c r="J1370" s="134"/>
      <c r="K1370" s="324">
        <v>0.2999</v>
      </c>
      <c r="L1370" s="191">
        <f t="shared" si="203"/>
        <v>1.4842</v>
      </c>
      <c r="M1370" s="401"/>
      <c r="N1370" s="86"/>
    </row>
    <row r="1371" spans="1:14" s="64" customFormat="1" x14ac:dyDescent="0.2">
      <c r="A1371" s="63"/>
      <c r="B1371" s="396"/>
      <c r="C1371" s="122"/>
      <c r="D1371" s="75"/>
      <c r="E1371" s="395"/>
      <c r="F1371" s="395"/>
      <c r="G1371" s="395"/>
      <c r="H1371" s="67"/>
      <c r="I1371" s="69"/>
      <c r="J1371" s="134"/>
      <c r="K1371" s="324">
        <v>0.2999</v>
      </c>
      <c r="L1371" s="191">
        <f t="shared" si="203"/>
        <v>1.4842</v>
      </c>
      <c r="M1371" s="401"/>
      <c r="N1371" s="86"/>
    </row>
    <row r="1372" spans="1:14" s="64" customFormat="1" x14ac:dyDescent="0.2">
      <c r="A1372" s="63"/>
      <c r="B1372" s="396"/>
      <c r="C1372" s="122"/>
      <c r="D1372" s="75"/>
      <c r="E1372" s="395"/>
      <c r="F1372" s="395"/>
      <c r="G1372" s="395"/>
      <c r="H1372" s="67"/>
      <c r="I1372" s="69"/>
      <c r="J1372" s="134"/>
      <c r="K1372" s="324">
        <v>0.2999</v>
      </c>
      <c r="L1372" s="191">
        <f t="shared" si="203"/>
        <v>1.4842</v>
      </c>
      <c r="M1372" s="401"/>
      <c r="N1372" s="86"/>
    </row>
    <row r="1373" spans="1:14" s="64" customFormat="1" x14ac:dyDescent="0.2">
      <c r="A1373" s="63"/>
      <c r="B1373" s="396"/>
      <c r="C1373" s="122"/>
      <c r="D1373" s="75"/>
      <c r="E1373" s="395"/>
      <c r="F1373" s="395"/>
      <c r="G1373" s="395"/>
      <c r="H1373" s="67"/>
      <c r="I1373" s="69"/>
      <c r="J1373" s="134"/>
      <c r="K1373" s="324">
        <v>0.2999</v>
      </c>
      <c r="L1373" s="191">
        <f t="shared" si="203"/>
        <v>1.4842</v>
      </c>
      <c r="M1373" s="401"/>
      <c r="N1373" s="86"/>
    </row>
    <row r="1374" spans="1:14" s="64" customFormat="1" x14ac:dyDescent="0.2">
      <c r="A1374" s="63"/>
      <c r="B1374" s="396"/>
      <c r="C1374" s="122"/>
      <c r="D1374" s="75"/>
      <c r="E1374" s="395"/>
      <c r="F1374" s="395"/>
      <c r="G1374" s="395"/>
      <c r="H1374" s="67"/>
      <c r="I1374" s="69"/>
      <c r="J1374" s="134"/>
      <c r="K1374" s="324">
        <v>0.2999</v>
      </c>
      <c r="L1374" s="191">
        <f t="shared" si="203"/>
        <v>1.4842</v>
      </c>
      <c r="M1374" s="401"/>
      <c r="N1374" s="86"/>
    </row>
    <row r="1375" spans="1:14" s="64" customFormat="1" x14ac:dyDescent="0.2">
      <c r="A1375" s="63"/>
      <c r="B1375" s="396"/>
      <c r="C1375" s="122"/>
      <c r="D1375" s="75"/>
      <c r="E1375" s="395"/>
      <c r="F1375" s="395"/>
      <c r="G1375" s="395"/>
      <c r="H1375" s="67"/>
      <c r="I1375" s="69"/>
      <c r="J1375" s="134"/>
      <c r="K1375" s="324">
        <v>0.2999</v>
      </c>
      <c r="L1375" s="191">
        <f t="shared" si="203"/>
        <v>1.4842</v>
      </c>
      <c r="M1375" s="401"/>
      <c r="N1375" s="86"/>
    </row>
    <row r="1376" spans="1:14" s="64" customFormat="1" x14ac:dyDescent="0.2">
      <c r="A1376" s="63"/>
      <c r="B1376" s="396"/>
      <c r="C1376" s="122"/>
      <c r="D1376" s="75"/>
      <c r="E1376" s="395"/>
      <c r="F1376" s="395"/>
      <c r="G1376" s="395"/>
      <c r="H1376" s="67"/>
      <c r="I1376" s="69"/>
      <c r="J1376" s="134"/>
      <c r="K1376" s="324">
        <v>0.2999</v>
      </c>
      <c r="L1376" s="191">
        <f t="shared" si="203"/>
        <v>1.4842</v>
      </c>
      <c r="M1376" s="401"/>
      <c r="N1376" s="86"/>
    </row>
    <row r="1377" spans="1:14" s="64" customFormat="1" x14ac:dyDescent="0.2">
      <c r="A1377" s="63"/>
      <c r="B1377" s="396"/>
      <c r="C1377" s="122"/>
      <c r="D1377" s="75"/>
      <c r="E1377" s="395"/>
      <c r="F1377" s="395"/>
      <c r="G1377" s="395"/>
      <c r="H1377" s="67"/>
      <c r="I1377" s="69"/>
      <c r="J1377" s="134"/>
      <c r="K1377" s="324">
        <v>0.2999</v>
      </c>
      <c r="L1377" s="191">
        <f t="shared" si="203"/>
        <v>1.4842</v>
      </c>
      <c r="M1377" s="401"/>
      <c r="N1377" s="86"/>
    </row>
    <row r="1378" spans="1:14" s="64" customFormat="1" x14ac:dyDescent="0.2">
      <c r="A1378" s="63"/>
      <c r="B1378" s="396"/>
      <c r="C1378" s="122"/>
      <c r="D1378" s="75"/>
      <c r="E1378" s="395"/>
      <c r="F1378" s="395"/>
      <c r="G1378" s="395"/>
      <c r="H1378" s="67"/>
      <c r="I1378" s="69"/>
      <c r="J1378" s="134"/>
      <c r="K1378" s="324">
        <v>0.2999</v>
      </c>
      <c r="L1378" s="191">
        <f t="shared" si="203"/>
        <v>1.4842</v>
      </c>
      <c r="M1378" s="401"/>
      <c r="N1378" s="86"/>
    </row>
    <row r="1379" spans="1:14" s="64" customFormat="1" x14ac:dyDescent="0.2">
      <c r="A1379" s="63"/>
      <c r="B1379" s="396"/>
      <c r="C1379" s="122"/>
      <c r="D1379" s="75"/>
      <c r="E1379" s="395"/>
      <c r="F1379" s="395"/>
      <c r="G1379" s="395"/>
      <c r="H1379" s="67"/>
      <c r="I1379" s="69"/>
      <c r="J1379" s="134"/>
      <c r="K1379" s="324">
        <v>0.2999</v>
      </c>
      <c r="L1379" s="191">
        <f t="shared" si="203"/>
        <v>1.4842</v>
      </c>
      <c r="M1379" s="401"/>
      <c r="N1379" s="86"/>
    </row>
    <row r="1380" spans="1:14" s="64" customFormat="1" x14ac:dyDescent="0.2">
      <c r="A1380" s="63"/>
      <c r="B1380" s="396"/>
      <c r="C1380" s="122"/>
      <c r="D1380" s="75"/>
      <c r="E1380" s="395"/>
      <c r="F1380" s="395"/>
      <c r="G1380" s="395"/>
      <c r="H1380" s="67"/>
      <c r="I1380" s="69"/>
      <c r="J1380" s="134"/>
      <c r="K1380" s="324">
        <v>0.2999</v>
      </c>
      <c r="L1380" s="191">
        <f t="shared" si="203"/>
        <v>1.4842</v>
      </c>
      <c r="M1380" s="401"/>
      <c r="N1380" s="86"/>
    </row>
    <row r="1381" spans="1:14" s="64" customFormat="1" x14ac:dyDescent="0.2">
      <c r="A1381" s="63"/>
      <c r="B1381" s="396"/>
      <c r="C1381" s="122"/>
      <c r="D1381" s="75"/>
      <c r="E1381" s="395"/>
      <c r="F1381" s="395"/>
      <c r="G1381" s="395"/>
      <c r="H1381" s="67"/>
      <c r="I1381" s="69"/>
      <c r="J1381" s="134"/>
      <c r="K1381" s="324">
        <v>0.2999</v>
      </c>
      <c r="L1381" s="191">
        <f t="shared" si="203"/>
        <v>1.4842</v>
      </c>
      <c r="M1381" s="401"/>
      <c r="N1381" s="86"/>
    </row>
    <row r="1382" spans="1:14" s="64" customFormat="1" x14ac:dyDescent="0.2">
      <c r="A1382" s="63"/>
      <c r="B1382" s="396"/>
      <c r="C1382" s="122"/>
      <c r="D1382" s="75"/>
      <c r="E1382" s="395"/>
      <c r="F1382" s="395"/>
      <c r="G1382" s="395"/>
      <c r="H1382" s="67"/>
      <c r="I1382" s="69"/>
      <c r="J1382" s="134"/>
      <c r="K1382" s="324">
        <v>0.2999</v>
      </c>
      <c r="L1382" s="191">
        <f t="shared" si="203"/>
        <v>1.4842</v>
      </c>
      <c r="M1382" s="401"/>
      <c r="N1382" s="86"/>
    </row>
    <row r="1383" spans="1:14" s="64" customFormat="1" x14ac:dyDescent="0.2">
      <c r="A1383" s="63"/>
      <c r="B1383" s="396"/>
      <c r="C1383" s="122"/>
      <c r="D1383" s="75"/>
      <c r="E1383" s="395"/>
      <c r="F1383" s="395"/>
      <c r="G1383" s="395"/>
      <c r="H1383" s="67"/>
      <c r="I1383" s="69"/>
      <c r="J1383" s="134"/>
      <c r="K1383" s="324">
        <v>0.2999</v>
      </c>
      <c r="L1383" s="191">
        <f t="shared" si="203"/>
        <v>1.4842</v>
      </c>
      <c r="M1383" s="401"/>
      <c r="N1383" s="86"/>
    </row>
    <row r="1384" spans="1:14" s="64" customFormat="1" x14ac:dyDescent="0.2">
      <c r="A1384" s="63"/>
      <c r="B1384" s="396"/>
      <c r="C1384" s="122"/>
      <c r="D1384" s="75"/>
      <c r="E1384" s="395"/>
      <c r="F1384" s="395"/>
      <c r="G1384" s="395"/>
      <c r="H1384" s="67"/>
      <c r="I1384" s="69"/>
      <c r="J1384" s="134"/>
      <c r="K1384" s="324">
        <v>0.2999</v>
      </c>
      <c r="L1384" s="191">
        <f t="shared" si="203"/>
        <v>1.4842</v>
      </c>
      <c r="M1384" s="401"/>
      <c r="N1384" s="86"/>
    </row>
    <row r="1385" spans="1:14" s="64" customFormat="1" x14ac:dyDescent="0.2">
      <c r="A1385" s="63"/>
      <c r="B1385" s="396"/>
      <c r="C1385" s="122"/>
      <c r="D1385" s="75"/>
      <c r="E1385" s="395"/>
      <c r="F1385" s="395"/>
      <c r="G1385" s="395"/>
      <c r="H1385" s="67"/>
      <c r="I1385" s="69"/>
      <c r="J1385" s="134"/>
      <c r="K1385" s="324">
        <v>0.2999</v>
      </c>
      <c r="L1385" s="191">
        <f t="shared" si="203"/>
        <v>1.4842</v>
      </c>
      <c r="M1385" s="401"/>
      <c r="N1385" s="86"/>
    </row>
    <row r="1386" spans="1:14" s="64" customFormat="1" x14ac:dyDescent="0.2">
      <c r="A1386" s="63"/>
      <c r="B1386" s="396"/>
      <c r="C1386" s="122"/>
      <c r="D1386" s="75"/>
      <c r="E1386" s="395"/>
      <c r="F1386" s="395"/>
      <c r="G1386" s="395"/>
      <c r="H1386" s="67"/>
      <c r="I1386" s="69"/>
      <c r="J1386" s="134"/>
      <c r="K1386" s="324">
        <v>0.2999</v>
      </c>
      <c r="L1386" s="191">
        <f t="shared" si="203"/>
        <v>1.4842</v>
      </c>
      <c r="M1386" s="401"/>
      <c r="N1386" s="86"/>
    </row>
    <row r="1387" spans="1:14" s="64" customFormat="1" x14ac:dyDescent="0.2">
      <c r="A1387" s="63"/>
      <c r="B1387" s="396"/>
      <c r="C1387" s="122"/>
      <c r="D1387" s="75"/>
      <c r="E1387" s="395"/>
      <c r="F1387" s="395"/>
      <c r="G1387" s="395"/>
      <c r="H1387" s="67"/>
      <c r="I1387" s="69"/>
      <c r="J1387" s="134"/>
      <c r="K1387" s="324">
        <v>0.2999</v>
      </c>
      <c r="L1387" s="191">
        <f t="shared" si="203"/>
        <v>1.4842</v>
      </c>
      <c r="M1387" s="401"/>
      <c r="N1387" s="86"/>
    </row>
    <row r="1388" spans="1:14" s="64" customFormat="1" x14ac:dyDescent="0.2">
      <c r="A1388" s="63"/>
      <c r="B1388" s="396"/>
      <c r="C1388" s="122"/>
      <c r="D1388" s="75"/>
      <c r="E1388" s="395"/>
      <c r="F1388" s="395"/>
      <c r="G1388" s="395"/>
      <c r="H1388" s="67"/>
      <c r="I1388" s="69"/>
      <c r="J1388" s="134"/>
      <c r="K1388" s="324">
        <v>0.2999</v>
      </c>
      <c r="L1388" s="191">
        <f t="shared" si="203"/>
        <v>1.4842</v>
      </c>
      <c r="M1388" s="401"/>
      <c r="N1388" s="86"/>
    </row>
    <row r="1389" spans="1:14" s="64" customFormat="1" x14ac:dyDescent="0.2">
      <c r="A1389" s="63"/>
      <c r="B1389" s="396"/>
      <c r="C1389" s="122"/>
      <c r="D1389" s="75"/>
      <c r="E1389" s="395"/>
      <c r="F1389" s="395"/>
      <c r="G1389" s="395"/>
      <c r="H1389" s="67"/>
      <c r="I1389" s="69"/>
      <c r="J1389" s="134"/>
      <c r="K1389" s="324">
        <v>0.2999</v>
      </c>
      <c r="L1389" s="191">
        <f t="shared" si="203"/>
        <v>1.4842</v>
      </c>
      <c r="M1389" s="401"/>
      <c r="N1389" s="86"/>
    </row>
    <row r="1390" spans="1:14" s="64" customFormat="1" x14ac:dyDescent="0.2">
      <c r="A1390" s="63"/>
      <c r="B1390" s="396"/>
      <c r="C1390" s="122"/>
      <c r="D1390" s="75"/>
      <c r="E1390" s="395"/>
      <c r="F1390" s="395"/>
      <c r="G1390" s="395"/>
      <c r="H1390" s="67"/>
      <c r="I1390" s="69"/>
      <c r="J1390" s="134"/>
      <c r="K1390" s="324">
        <v>0.2999</v>
      </c>
      <c r="L1390" s="191">
        <f t="shared" si="203"/>
        <v>1.4842</v>
      </c>
      <c r="M1390" s="401"/>
      <c r="N1390" s="86"/>
    </row>
    <row r="1391" spans="1:14" s="64" customFormat="1" x14ac:dyDescent="0.2">
      <c r="A1391" s="63"/>
      <c r="B1391" s="396"/>
      <c r="C1391" s="122"/>
      <c r="D1391" s="75"/>
      <c r="E1391" s="395"/>
      <c r="F1391" s="395"/>
      <c r="G1391" s="395"/>
      <c r="H1391" s="67"/>
      <c r="I1391" s="69"/>
      <c r="J1391" s="134"/>
      <c r="K1391" s="324">
        <v>0.2999</v>
      </c>
      <c r="L1391" s="191">
        <f t="shared" si="203"/>
        <v>1.4842</v>
      </c>
      <c r="M1391" s="401"/>
      <c r="N1391" s="86"/>
    </row>
    <row r="1392" spans="1:14" s="64" customFormat="1" x14ac:dyDescent="0.2">
      <c r="A1392" s="63"/>
      <c r="B1392" s="396"/>
      <c r="C1392" s="122"/>
      <c r="D1392" s="75"/>
      <c r="E1392" s="395"/>
      <c r="F1392" s="395"/>
      <c r="G1392" s="395"/>
      <c r="H1392" s="67"/>
      <c r="I1392" s="69"/>
      <c r="J1392" s="134"/>
      <c r="K1392" s="324">
        <v>0.2999</v>
      </c>
      <c r="L1392" s="191">
        <f t="shared" ref="L1392:L1455" si="210">L1391</f>
        <v>1.4842</v>
      </c>
      <c r="M1392" s="401"/>
      <c r="N1392" s="86"/>
    </row>
    <row r="1393" spans="1:14" s="64" customFormat="1" x14ac:dyDescent="0.2">
      <c r="A1393" s="63"/>
      <c r="B1393" s="396"/>
      <c r="C1393" s="122"/>
      <c r="D1393" s="75"/>
      <c r="E1393" s="395"/>
      <c r="F1393" s="395"/>
      <c r="G1393" s="395"/>
      <c r="H1393" s="67"/>
      <c r="I1393" s="69"/>
      <c r="J1393" s="134"/>
      <c r="K1393" s="324">
        <v>0.2999</v>
      </c>
      <c r="L1393" s="191">
        <f t="shared" si="210"/>
        <v>1.4842</v>
      </c>
      <c r="M1393" s="401"/>
      <c r="N1393" s="86"/>
    </row>
    <row r="1394" spans="1:14" s="64" customFormat="1" x14ac:dyDescent="0.2">
      <c r="A1394" s="63"/>
      <c r="B1394" s="396"/>
      <c r="C1394" s="122"/>
      <c r="D1394" s="75"/>
      <c r="E1394" s="395"/>
      <c r="F1394" s="395"/>
      <c r="G1394" s="395"/>
      <c r="H1394" s="67"/>
      <c r="I1394" s="69"/>
      <c r="J1394" s="134"/>
      <c r="K1394" s="324">
        <v>0.2999</v>
      </c>
      <c r="L1394" s="191">
        <f t="shared" si="210"/>
        <v>1.4842</v>
      </c>
      <c r="M1394" s="401"/>
      <c r="N1394" s="86"/>
    </row>
    <row r="1395" spans="1:14" s="64" customFormat="1" x14ac:dyDescent="0.2">
      <c r="A1395" s="63"/>
      <c r="B1395" s="396"/>
      <c r="C1395" s="122"/>
      <c r="D1395" s="75"/>
      <c r="E1395" s="395"/>
      <c r="F1395" s="395"/>
      <c r="G1395" s="395"/>
      <c r="H1395" s="67"/>
      <c r="I1395" s="69"/>
      <c r="J1395" s="134"/>
      <c r="K1395" s="324">
        <v>0.2999</v>
      </c>
      <c r="L1395" s="191">
        <f t="shared" si="210"/>
        <v>1.4842</v>
      </c>
      <c r="M1395" s="401"/>
      <c r="N1395" s="86"/>
    </row>
    <row r="1396" spans="1:14" s="64" customFormat="1" x14ac:dyDescent="0.2">
      <c r="A1396" s="63"/>
      <c r="B1396" s="396"/>
      <c r="C1396" s="122"/>
      <c r="D1396" s="75"/>
      <c r="E1396" s="395"/>
      <c r="F1396" s="395"/>
      <c r="G1396" s="395"/>
      <c r="H1396" s="67"/>
      <c r="I1396" s="69"/>
      <c r="J1396" s="134"/>
      <c r="K1396" s="324">
        <v>0.2999</v>
      </c>
      <c r="L1396" s="191">
        <f t="shared" si="210"/>
        <v>1.4842</v>
      </c>
      <c r="M1396" s="401"/>
      <c r="N1396" s="86"/>
    </row>
    <row r="1397" spans="1:14" s="64" customFormat="1" x14ac:dyDescent="0.2">
      <c r="A1397" s="63"/>
      <c r="B1397" s="396"/>
      <c r="C1397" s="122"/>
      <c r="D1397" s="75"/>
      <c r="E1397" s="395"/>
      <c r="F1397" s="395"/>
      <c r="G1397" s="395"/>
      <c r="H1397" s="67"/>
      <c r="I1397" s="69"/>
      <c r="J1397" s="134"/>
      <c r="K1397" s="324">
        <v>0.2999</v>
      </c>
      <c r="L1397" s="191">
        <f t="shared" si="210"/>
        <v>1.4842</v>
      </c>
      <c r="M1397" s="401"/>
      <c r="N1397" s="86"/>
    </row>
    <row r="1398" spans="1:14" s="64" customFormat="1" x14ac:dyDescent="0.2">
      <c r="A1398" s="63"/>
      <c r="B1398" s="396"/>
      <c r="C1398" s="122"/>
      <c r="D1398" s="75"/>
      <c r="E1398" s="395"/>
      <c r="F1398" s="395"/>
      <c r="G1398" s="395"/>
      <c r="H1398" s="67"/>
      <c r="I1398" s="69"/>
      <c r="J1398" s="134"/>
      <c r="K1398" s="324">
        <v>0.2999</v>
      </c>
      <c r="L1398" s="191">
        <f t="shared" si="210"/>
        <v>1.4842</v>
      </c>
      <c r="M1398" s="401"/>
      <c r="N1398" s="86"/>
    </row>
    <row r="1399" spans="1:14" s="64" customFormat="1" x14ac:dyDescent="0.2">
      <c r="A1399" s="63"/>
      <c r="B1399" s="396"/>
      <c r="C1399" s="122"/>
      <c r="D1399" s="75"/>
      <c r="E1399" s="395"/>
      <c r="F1399" s="395"/>
      <c r="G1399" s="395"/>
      <c r="H1399" s="67"/>
      <c r="I1399" s="69"/>
      <c r="J1399" s="134"/>
      <c r="K1399" s="324">
        <v>0.2999</v>
      </c>
      <c r="L1399" s="191">
        <f t="shared" si="210"/>
        <v>1.4842</v>
      </c>
      <c r="M1399" s="401"/>
      <c r="N1399" s="86"/>
    </row>
    <row r="1400" spans="1:14" s="64" customFormat="1" x14ac:dyDescent="0.2">
      <c r="A1400" s="63"/>
      <c r="B1400" s="396"/>
      <c r="C1400" s="122"/>
      <c r="D1400" s="75"/>
      <c r="E1400" s="395"/>
      <c r="F1400" s="395"/>
      <c r="G1400" s="395"/>
      <c r="H1400" s="67"/>
      <c r="I1400" s="69"/>
      <c r="J1400" s="134"/>
      <c r="K1400" s="324">
        <v>0.2999</v>
      </c>
      <c r="L1400" s="191">
        <f t="shared" si="210"/>
        <v>1.4842</v>
      </c>
      <c r="M1400" s="401"/>
      <c r="N1400" s="86"/>
    </row>
    <row r="1401" spans="1:14" s="64" customFormat="1" x14ac:dyDescent="0.2">
      <c r="A1401" s="63"/>
      <c r="B1401" s="396"/>
      <c r="C1401" s="122"/>
      <c r="D1401" s="75"/>
      <c r="E1401" s="395"/>
      <c r="F1401" s="395"/>
      <c r="G1401" s="395"/>
      <c r="H1401" s="67"/>
      <c r="I1401" s="69"/>
      <c r="J1401" s="134"/>
      <c r="K1401" s="324">
        <v>0.2999</v>
      </c>
      <c r="L1401" s="191">
        <f t="shared" si="210"/>
        <v>1.4842</v>
      </c>
      <c r="M1401" s="401"/>
      <c r="N1401" s="86"/>
    </row>
    <row r="1402" spans="1:14" s="64" customFormat="1" x14ac:dyDescent="0.2">
      <c r="A1402" s="63"/>
      <c r="B1402" s="396"/>
      <c r="C1402" s="122"/>
      <c r="D1402" s="75"/>
      <c r="E1402" s="395"/>
      <c r="F1402" s="395"/>
      <c r="G1402" s="395"/>
      <c r="H1402" s="67"/>
      <c r="I1402" s="69"/>
      <c r="J1402" s="134"/>
      <c r="K1402" s="324">
        <v>0.2999</v>
      </c>
      <c r="L1402" s="191">
        <f t="shared" si="210"/>
        <v>1.4842</v>
      </c>
      <c r="M1402" s="401"/>
      <c r="N1402" s="86"/>
    </row>
    <row r="1403" spans="1:14" s="64" customFormat="1" x14ac:dyDescent="0.2">
      <c r="A1403" s="63"/>
      <c r="B1403" s="396"/>
      <c r="C1403" s="122"/>
      <c r="D1403" s="75"/>
      <c r="E1403" s="395"/>
      <c r="F1403" s="395"/>
      <c r="G1403" s="395"/>
      <c r="H1403" s="67"/>
      <c r="I1403" s="69"/>
      <c r="J1403" s="134"/>
      <c r="K1403" s="324">
        <v>0.2999</v>
      </c>
      <c r="L1403" s="191">
        <f t="shared" si="210"/>
        <v>1.4842</v>
      </c>
      <c r="M1403" s="401"/>
      <c r="N1403" s="86"/>
    </row>
    <row r="1404" spans="1:14" s="64" customFormat="1" x14ac:dyDescent="0.2">
      <c r="A1404" s="63"/>
      <c r="B1404" s="396"/>
      <c r="C1404" s="122"/>
      <c r="D1404" s="75"/>
      <c r="E1404" s="395"/>
      <c r="F1404" s="395"/>
      <c r="G1404" s="395"/>
      <c r="H1404" s="67"/>
      <c r="I1404" s="69"/>
      <c r="J1404" s="134"/>
      <c r="K1404" s="324">
        <v>0.2999</v>
      </c>
      <c r="L1404" s="191">
        <f t="shared" si="210"/>
        <v>1.4842</v>
      </c>
      <c r="M1404" s="401"/>
      <c r="N1404" s="86"/>
    </row>
    <row r="1405" spans="1:14" s="64" customFormat="1" x14ac:dyDescent="0.2">
      <c r="A1405" s="63"/>
      <c r="B1405" s="396"/>
      <c r="C1405" s="122"/>
      <c r="D1405" s="75"/>
      <c r="E1405" s="395"/>
      <c r="F1405" s="395"/>
      <c r="G1405" s="395"/>
      <c r="H1405" s="67"/>
      <c r="I1405" s="69"/>
      <c r="J1405" s="134"/>
      <c r="K1405" s="324">
        <v>0.2999</v>
      </c>
      <c r="L1405" s="191">
        <f t="shared" si="210"/>
        <v>1.4842</v>
      </c>
      <c r="M1405" s="401"/>
      <c r="N1405" s="86"/>
    </row>
    <row r="1406" spans="1:14" s="64" customFormat="1" x14ac:dyDescent="0.2">
      <c r="A1406" s="63"/>
      <c r="B1406" s="396"/>
      <c r="C1406" s="122"/>
      <c r="D1406" s="75"/>
      <c r="E1406" s="395"/>
      <c r="F1406" s="395"/>
      <c r="G1406" s="395"/>
      <c r="H1406" s="67"/>
      <c r="I1406" s="69"/>
      <c r="J1406" s="134"/>
      <c r="K1406" s="324">
        <v>0.2999</v>
      </c>
      <c r="L1406" s="191">
        <f t="shared" si="210"/>
        <v>1.4842</v>
      </c>
      <c r="M1406" s="401"/>
      <c r="N1406" s="86"/>
    </row>
    <row r="1407" spans="1:14" s="64" customFormat="1" x14ac:dyDescent="0.2">
      <c r="A1407" s="63"/>
      <c r="B1407" s="396"/>
      <c r="C1407" s="122"/>
      <c r="D1407" s="75"/>
      <c r="E1407" s="395"/>
      <c r="F1407" s="395"/>
      <c r="G1407" s="395"/>
      <c r="H1407" s="67"/>
      <c r="I1407" s="69"/>
      <c r="J1407" s="134"/>
      <c r="K1407" s="324">
        <v>0.2999</v>
      </c>
      <c r="L1407" s="191">
        <f t="shared" si="210"/>
        <v>1.4842</v>
      </c>
      <c r="M1407" s="401"/>
      <c r="N1407" s="86"/>
    </row>
    <row r="1408" spans="1:14" s="64" customFormat="1" x14ac:dyDescent="0.2">
      <c r="A1408" s="63"/>
      <c r="B1408" s="396"/>
      <c r="C1408" s="122"/>
      <c r="D1408" s="75"/>
      <c r="E1408" s="395"/>
      <c r="F1408" s="395"/>
      <c r="G1408" s="395"/>
      <c r="H1408" s="67"/>
      <c r="I1408" s="69"/>
      <c r="J1408" s="134"/>
      <c r="K1408" s="324">
        <v>0.2999</v>
      </c>
      <c r="L1408" s="191">
        <f t="shared" si="210"/>
        <v>1.4842</v>
      </c>
      <c r="M1408" s="401"/>
      <c r="N1408" s="86"/>
    </row>
    <row r="1409" spans="1:14" s="64" customFormat="1" x14ac:dyDescent="0.2">
      <c r="A1409" s="63"/>
      <c r="B1409" s="396"/>
      <c r="C1409" s="122"/>
      <c r="D1409" s="75"/>
      <c r="E1409" s="395"/>
      <c r="F1409" s="395"/>
      <c r="G1409" s="395"/>
      <c r="H1409" s="67"/>
      <c r="I1409" s="69"/>
      <c r="J1409" s="134"/>
      <c r="K1409" s="324">
        <v>0.2999</v>
      </c>
      <c r="L1409" s="191">
        <f t="shared" si="210"/>
        <v>1.4842</v>
      </c>
      <c r="M1409" s="401"/>
      <c r="N1409" s="86"/>
    </row>
    <row r="1410" spans="1:14" s="64" customFormat="1" x14ac:dyDescent="0.2">
      <c r="A1410" s="63"/>
      <c r="B1410" s="396"/>
      <c r="C1410" s="122"/>
      <c r="D1410" s="75"/>
      <c r="E1410" s="395"/>
      <c r="F1410" s="395"/>
      <c r="G1410" s="395"/>
      <c r="H1410" s="67"/>
      <c r="I1410" s="69"/>
      <c r="J1410" s="134"/>
      <c r="K1410" s="324">
        <v>0.2999</v>
      </c>
      <c r="L1410" s="191">
        <f t="shared" si="210"/>
        <v>1.4842</v>
      </c>
      <c r="M1410" s="401"/>
      <c r="N1410" s="86"/>
    </row>
    <row r="1411" spans="1:14" s="64" customFormat="1" x14ac:dyDescent="0.2">
      <c r="A1411" s="63"/>
      <c r="B1411" s="396"/>
      <c r="C1411" s="122"/>
      <c r="D1411" s="75"/>
      <c r="E1411" s="395"/>
      <c r="F1411" s="395"/>
      <c r="G1411" s="395"/>
      <c r="H1411" s="67"/>
      <c r="I1411" s="69"/>
      <c r="J1411" s="134"/>
      <c r="K1411" s="324">
        <v>0.2999</v>
      </c>
      <c r="L1411" s="191">
        <f t="shared" si="210"/>
        <v>1.4842</v>
      </c>
      <c r="M1411" s="401"/>
      <c r="N1411" s="86"/>
    </row>
    <row r="1412" spans="1:14" s="64" customFormat="1" x14ac:dyDescent="0.2">
      <c r="A1412" s="63"/>
      <c r="B1412" s="396"/>
      <c r="C1412" s="122"/>
      <c r="D1412" s="75"/>
      <c r="E1412" s="395"/>
      <c r="F1412" s="395"/>
      <c r="G1412" s="395"/>
      <c r="H1412" s="67"/>
      <c r="I1412" s="69"/>
      <c r="J1412" s="134"/>
      <c r="K1412" s="324">
        <v>0.2999</v>
      </c>
      <c r="L1412" s="191">
        <f t="shared" si="210"/>
        <v>1.4842</v>
      </c>
      <c r="M1412" s="401"/>
      <c r="N1412" s="86"/>
    </row>
    <row r="1413" spans="1:14" s="64" customFormat="1" x14ac:dyDescent="0.2">
      <c r="A1413" s="63"/>
      <c r="B1413" s="396"/>
      <c r="C1413" s="122"/>
      <c r="D1413" s="75"/>
      <c r="E1413" s="395"/>
      <c r="F1413" s="395"/>
      <c r="G1413" s="395"/>
      <c r="H1413" s="67"/>
      <c r="I1413" s="69"/>
      <c r="J1413" s="134"/>
      <c r="K1413" s="324">
        <v>0.2999</v>
      </c>
      <c r="L1413" s="191">
        <f t="shared" si="210"/>
        <v>1.4842</v>
      </c>
      <c r="M1413" s="401"/>
      <c r="N1413" s="86"/>
    </row>
    <row r="1414" spans="1:14" s="64" customFormat="1" x14ac:dyDescent="0.2">
      <c r="A1414" s="63"/>
      <c r="B1414" s="396"/>
      <c r="C1414" s="122"/>
      <c r="D1414" s="75"/>
      <c r="E1414" s="395"/>
      <c r="F1414" s="395"/>
      <c r="G1414" s="395"/>
      <c r="H1414" s="67"/>
      <c r="I1414" s="69"/>
      <c r="J1414" s="134"/>
      <c r="K1414" s="324">
        <v>0.2999</v>
      </c>
      <c r="L1414" s="191">
        <f t="shared" si="210"/>
        <v>1.4842</v>
      </c>
      <c r="M1414" s="401"/>
      <c r="N1414" s="86"/>
    </row>
    <row r="1415" spans="1:14" s="64" customFormat="1" x14ac:dyDescent="0.2">
      <c r="A1415" s="63"/>
      <c r="B1415" s="396"/>
      <c r="C1415" s="122"/>
      <c r="D1415" s="75"/>
      <c r="E1415" s="395"/>
      <c r="F1415" s="395"/>
      <c r="G1415" s="395"/>
      <c r="H1415" s="67"/>
      <c r="I1415" s="69"/>
      <c r="J1415" s="134"/>
      <c r="K1415" s="324">
        <v>0.2999</v>
      </c>
      <c r="L1415" s="191">
        <f t="shared" si="210"/>
        <v>1.4842</v>
      </c>
      <c r="M1415" s="401"/>
      <c r="N1415" s="86"/>
    </row>
    <row r="1416" spans="1:14" s="64" customFormat="1" x14ac:dyDescent="0.2">
      <c r="A1416" s="63"/>
      <c r="B1416" s="396"/>
      <c r="C1416" s="122"/>
      <c r="D1416" s="75"/>
      <c r="E1416" s="395"/>
      <c r="F1416" s="395"/>
      <c r="G1416" s="395"/>
      <c r="H1416" s="67"/>
      <c r="I1416" s="69"/>
      <c r="J1416" s="134"/>
      <c r="K1416" s="324">
        <v>0.2999</v>
      </c>
      <c r="L1416" s="191">
        <f t="shared" si="210"/>
        <v>1.4842</v>
      </c>
      <c r="M1416" s="401"/>
      <c r="N1416" s="86"/>
    </row>
    <row r="1417" spans="1:14" s="64" customFormat="1" x14ac:dyDescent="0.2">
      <c r="A1417" s="63"/>
      <c r="B1417" s="396"/>
      <c r="C1417" s="122"/>
      <c r="D1417" s="75"/>
      <c r="E1417" s="395"/>
      <c r="F1417" s="395"/>
      <c r="G1417" s="395"/>
      <c r="H1417" s="67"/>
      <c r="I1417" s="69"/>
      <c r="J1417" s="134"/>
      <c r="K1417" s="324">
        <v>0.2999</v>
      </c>
      <c r="L1417" s="191">
        <f t="shared" si="210"/>
        <v>1.4842</v>
      </c>
      <c r="M1417" s="401"/>
      <c r="N1417" s="86"/>
    </row>
    <row r="1418" spans="1:14" s="64" customFormat="1" x14ac:dyDescent="0.2">
      <c r="A1418" s="63"/>
      <c r="B1418" s="396"/>
      <c r="C1418" s="122"/>
      <c r="D1418" s="75"/>
      <c r="E1418" s="395"/>
      <c r="F1418" s="395"/>
      <c r="G1418" s="395"/>
      <c r="H1418" s="67"/>
      <c r="I1418" s="69"/>
      <c r="J1418" s="134"/>
      <c r="K1418" s="324">
        <v>0.2999</v>
      </c>
      <c r="L1418" s="191">
        <f t="shared" si="210"/>
        <v>1.4842</v>
      </c>
      <c r="M1418" s="401"/>
      <c r="N1418" s="86"/>
    </row>
    <row r="1419" spans="1:14" s="64" customFormat="1" x14ac:dyDescent="0.2">
      <c r="A1419" s="63"/>
      <c r="B1419" s="396"/>
      <c r="C1419" s="122"/>
      <c r="D1419" s="75"/>
      <c r="E1419" s="395"/>
      <c r="F1419" s="395"/>
      <c r="G1419" s="395"/>
      <c r="H1419" s="67"/>
      <c r="I1419" s="69"/>
      <c r="J1419" s="134"/>
      <c r="K1419" s="324">
        <v>0.2999</v>
      </c>
      <c r="L1419" s="191">
        <f t="shared" si="210"/>
        <v>1.4842</v>
      </c>
      <c r="M1419" s="401"/>
      <c r="N1419" s="86"/>
    </row>
    <row r="1420" spans="1:14" s="64" customFormat="1" x14ac:dyDescent="0.2">
      <c r="A1420" s="63"/>
      <c r="B1420" s="396"/>
      <c r="C1420" s="122"/>
      <c r="D1420" s="75"/>
      <c r="E1420" s="395"/>
      <c r="F1420" s="395"/>
      <c r="G1420" s="395"/>
      <c r="H1420" s="67"/>
      <c r="I1420" s="69"/>
      <c r="J1420" s="134"/>
      <c r="K1420" s="324">
        <v>0.2999</v>
      </c>
      <c r="L1420" s="191">
        <f t="shared" si="210"/>
        <v>1.4842</v>
      </c>
      <c r="M1420" s="401"/>
      <c r="N1420" s="86"/>
    </row>
    <row r="1421" spans="1:14" s="64" customFormat="1" x14ac:dyDescent="0.2">
      <c r="A1421" s="63"/>
      <c r="B1421" s="396"/>
      <c r="C1421" s="122"/>
      <c r="D1421" s="75"/>
      <c r="E1421" s="395"/>
      <c r="F1421" s="395"/>
      <c r="G1421" s="395"/>
      <c r="H1421" s="67"/>
      <c r="I1421" s="69"/>
      <c r="J1421" s="134"/>
      <c r="K1421" s="324">
        <v>0.2999</v>
      </c>
      <c r="L1421" s="191">
        <f t="shared" si="210"/>
        <v>1.4842</v>
      </c>
      <c r="M1421" s="401"/>
      <c r="N1421" s="86"/>
    </row>
    <row r="1422" spans="1:14" s="64" customFormat="1" x14ac:dyDescent="0.2">
      <c r="A1422" s="63"/>
      <c r="B1422" s="396"/>
      <c r="C1422" s="122"/>
      <c r="D1422" s="75"/>
      <c r="E1422" s="395"/>
      <c r="F1422" s="395"/>
      <c r="G1422" s="395"/>
      <c r="H1422" s="67"/>
      <c r="I1422" s="69"/>
      <c r="J1422" s="134"/>
      <c r="K1422" s="324">
        <v>0.2999</v>
      </c>
      <c r="L1422" s="191">
        <f t="shared" si="210"/>
        <v>1.4842</v>
      </c>
      <c r="M1422" s="401"/>
      <c r="N1422" s="86"/>
    </row>
    <row r="1423" spans="1:14" s="64" customFormat="1" x14ac:dyDescent="0.2">
      <c r="A1423" s="63"/>
      <c r="B1423" s="396"/>
      <c r="C1423" s="122"/>
      <c r="D1423" s="75"/>
      <c r="E1423" s="395"/>
      <c r="F1423" s="395"/>
      <c r="G1423" s="395"/>
      <c r="H1423" s="67"/>
      <c r="I1423" s="69"/>
      <c r="J1423" s="134"/>
      <c r="K1423" s="324">
        <v>0.2999</v>
      </c>
      <c r="L1423" s="191">
        <f t="shared" si="210"/>
        <v>1.4842</v>
      </c>
      <c r="M1423" s="401"/>
      <c r="N1423" s="86"/>
    </row>
    <row r="1424" spans="1:14" s="64" customFormat="1" x14ac:dyDescent="0.2">
      <c r="A1424" s="63"/>
      <c r="B1424" s="396"/>
      <c r="C1424" s="122"/>
      <c r="D1424" s="75"/>
      <c r="E1424" s="395"/>
      <c r="F1424" s="395"/>
      <c r="G1424" s="395"/>
      <c r="H1424" s="67"/>
      <c r="I1424" s="69"/>
      <c r="J1424" s="134"/>
      <c r="K1424" s="324">
        <v>0.2999</v>
      </c>
      <c r="L1424" s="191">
        <f t="shared" si="210"/>
        <v>1.4842</v>
      </c>
      <c r="M1424" s="401"/>
      <c r="N1424" s="86"/>
    </row>
    <row r="1425" spans="1:14" s="64" customFormat="1" x14ac:dyDescent="0.2">
      <c r="A1425" s="63"/>
      <c r="B1425" s="396"/>
      <c r="C1425" s="122"/>
      <c r="D1425" s="75"/>
      <c r="E1425" s="395"/>
      <c r="F1425" s="395"/>
      <c r="G1425" s="395"/>
      <c r="H1425" s="67"/>
      <c r="I1425" s="69"/>
      <c r="J1425" s="134"/>
      <c r="K1425" s="324">
        <v>0.2999</v>
      </c>
      <c r="L1425" s="191">
        <f t="shared" si="210"/>
        <v>1.4842</v>
      </c>
      <c r="M1425" s="401"/>
      <c r="N1425" s="86"/>
    </row>
    <row r="1426" spans="1:14" s="64" customFormat="1" x14ac:dyDescent="0.2">
      <c r="A1426" s="63"/>
      <c r="B1426" s="396"/>
      <c r="C1426" s="122"/>
      <c r="D1426" s="75"/>
      <c r="E1426" s="395"/>
      <c r="F1426" s="395"/>
      <c r="G1426" s="395"/>
      <c r="H1426" s="67"/>
      <c r="I1426" s="69"/>
      <c r="J1426" s="134"/>
      <c r="K1426" s="324">
        <v>0.2999</v>
      </c>
      <c r="L1426" s="191">
        <f t="shared" si="210"/>
        <v>1.4842</v>
      </c>
      <c r="M1426" s="401"/>
      <c r="N1426" s="86"/>
    </row>
    <row r="1427" spans="1:14" s="64" customFormat="1" x14ac:dyDescent="0.2">
      <c r="A1427" s="63"/>
      <c r="B1427" s="396"/>
      <c r="C1427" s="122"/>
      <c r="D1427" s="75"/>
      <c r="E1427" s="395"/>
      <c r="F1427" s="395"/>
      <c r="G1427" s="395"/>
      <c r="H1427" s="67"/>
      <c r="I1427" s="69"/>
      <c r="J1427" s="134"/>
      <c r="K1427" s="324">
        <v>0.2999</v>
      </c>
      <c r="L1427" s="191">
        <f t="shared" si="210"/>
        <v>1.4842</v>
      </c>
      <c r="M1427" s="401"/>
      <c r="N1427" s="86"/>
    </row>
    <row r="1428" spans="1:14" s="64" customFormat="1" x14ac:dyDescent="0.2">
      <c r="A1428" s="63"/>
      <c r="B1428" s="396"/>
      <c r="C1428" s="122"/>
      <c r="D1428" s="75"/>
      <c r="E1428" s="395"/>
      <c r="F1428" s="395"/>
      <c r="G1428" s="395"/>
      <c r="H1428" s="67"/>
      <c r="I1428" s="69"/>
      <c r="J1428" s="134"/>
      <c r="K1428" s="324">
        <v>0.2999</v>
      </c>
      <c r="L1428" s="191">
        <f t="shared" si="210"/>
        <v>1.4842</v>
      </c>
      <c r="M1428" s="401"/>
      <c r="N1428" s="86"/>
    </row>
    <row r="1429" spans="1:14" s="64" customFormat="1" x14ac:dyDescent="0.2">
      <c r="A1429" s="63"/>
      <c r="B1429" s="396"/>
      <c r="C1429" s="122"/>
      <c r="D1429" s="75"/>
      <c r="E1429" s="395"/>
      <c r="F1429" s="395"/>
      <c r="G1429" s="395"/>
      <c r="H1429" s="67"/>
      <c r="I1429" s="69"/>
      <c r="J1429" s="134"/>
      <c r="K1429" s="324">
        <v>0.2999</v>
      </c>
      <c r="L1429" s="191">
        <f t="shared" si="210"/>
        <v>1.4842</v>
      </c>
      <c r="M1429" s="401"/>
      <c r="N1429" s="86"/>
    </row>
    <row r="1430" spans="1:14" s="64" customFormat="1" x14ac:dyDescent="0.2">
      <c r="A1430" s="63"/>
      <c r="B1430" s="396"/>
      <c r="C1430" s="122"/>
      <c r="D1430" s="75"/>
      <c r="E1430" s="395"/>
      <c r="F1430" s="395"/>
      <c r="G1430" s="395"/>
      <c r="H1430" s="67"/>
      <c r="I1430" s="69"/>
      <c r="J1430" s="134"/>
      <c r="K1430" s="324">
        <v>0.2999</v>
      </c>
      <c r="L1430" s="191">
        <f t="shared" si="210"/>
        <v>1.4842</v>
      </c>
      <c r="M1430" s="401"/>
      <c r="N1430" s="86"/>
    </row>
    <row r="1431" spans="1:14" s="64" customFormat="1" x14ac:dyDescent="0.2">
      <c r="A1431" s="63"/>
      <c r="B1431" s="396"/>
      <c r="C1431" s="122"/>
      <c r="D1431" s="75"/>
      <c r="E1431" s="395"/>
      <c r="F1431" s="395"/>
      <c r="G1431" s="395"/>
      <c r="H1431" s="67"/>
      <c r="I1431" s="69"/>
      <c r="J1431" s="134"/>
      <c r="K1431" s="324">
        <v>0.2999</v>
      </c>
      <c r="L1431" s="191">
        <f t="shared" si="210"/>
        <v>1.4842</v>
      </c>
      <c r="M1431" s="401"/>
      <c r="N1431" s="86"/>
    </row>
    <row r="1432" spans="1:14" s="64" customFormat="1" x14ac:dyDescent="0.2">
      <c r="A1432" s="63"/>
      <c r="B1432" s="396"/>
      <c r="C1432" s="122"/>
      <c r="D1432" s="75"/>
      <c r="E1432" s="395"/>
      <c r="F1432" s="395"/>
      <c r="G1432" s="395"/>
      <c r="H1432" s="67"/>
      <c r="I1432" s="69"/>
      <c r="J1432" s="134"/>
      <c r="K1432" s="324">
        <v>0.2999</v>
      </c>
      <c r="L1432" s="191">
        <f t="shared" si="210"/>
        <v>1.4842</v>
      </c>
      <c r="M1432" s="401"/>
      <c r="N1432" s="86"/>
    </row>
    <row r="1433" spans="1:14" s="64" customFormat="1" x14ac:dyDescent="0.2">
      <c r="A1433" s="63"/>
      <c r="B1433" s="396"/>
      <c r="C1433" s="122"/>
      <c r="D1433" s="75"/>
      <c r="E1433" s="395"/>
      <c r="F1433" s="395"/>
      <c r="G1433" s="395"/>
      <c r="H1433" s="67"/>
      <c r="I1433" s="69"/>
      <c r="J1433" s="134"/>
      <c r="K1433" s="324">
        <v>0.2999</v>
      </c>
      <c r="L1433" s="191">
        <f t="shared" si="210"/>
        <v>1.4842</v>
      </c>
      <c r="M1433" s="401"/>
      <c r="N1433" s="86"/>
    </row>
    <row r="1434" spans="1:14" s="64" customFormat="1" x14ac:dyDescent="0.2">
      <c r="A1434" s="63"/>
      <c r="B1434" s="396"/>
      <c r="C1434" s="122"/>
      <c r="D1434" s="75"/>
      <c r="E1434" s="395"/>
      <c r="F1434" s="395"/>
      <c r="G1434" s="395"/>
      <c r="H1434" s="67"/>
      <c r="I1434" s="69"/>
      <c r="J1434" s="134"/>
      <c r="K1434" s="324">
        <v>0.2999</v>
      </c>
      <c r="L1434" s="191">
        <f t="shared" si="210"/>
        <v>1.4842</v>
      </c>
      <c r="M1434" s="401"/>
      <c r="N1434" s="86"/>
    </row>
    <row r="1435" spans="1:14" s="64" customFormat="1" x14ac:dyDescent="0.2">
      <c r="A1435" s="63"/>
      <c r="B1435" s="396"/>
      <c r="C1435" s="122"/>
      <c r="D1435" s="75"/>
      <c r="E1435" s="395"/>
      <c r="F1435" s="395"/>
      <c r="G1435" s="395"/>
      <c r="H1435" s="67"/>
      <c r="I1435" s="69"/>
      <c r="J1435" s="134"/>
      <c r="K1435" s="324">
        <v>0.2999</v>
      </c>
      <c r="L1435" s="191">
        <f t="shared" si="210"/>
        <v>1.4842</v>
      </c>
      <c r="M1435" s="401"/>
      <c r="N1435" s="86"/>
    </row>
    <row r="1436" spans="1:14" s="64" customFormat="1" x14ac:dyDescent="0.2">
      <c r="A1436" s="63"/>
      <c r="B1436" s="396"/>
      <c r="C1436" s="122"/>
      <c r="D1436" s="75"/>
      <c r="E1436" s="395"/>
      <c r="F1436" s="395"/>
      <c r="G1436" s="395"/>
      <c r="H1436" s="67"/>
      <c r="I1436" s="69"/>
      <c r="J1436" s="134"/>
      <c r="K1436" s="324">
        <v>0.2999</v>
      </c>
      <c r="L1436" s="191">
        <f t="shared" si="210"/>
        <v>1.4842</v>
      </c>
      <c r="M1436" s="401"/>
      <c r="N1436" s="86"/>
    </row>
    <row r="1437" spans="1:14" s="64" customFormat="1" x14ac:dyDescent="0.2">
      <c r="A1437" s="63"/>
      <c r="B1437" s="396"/>
      <c r="C1437" s="122"/>
      <c r="D1437" s="75"/>
      <c r="E1437" s="395"/>
      <c r="F1437" s="395"/>
      <c r="G1437" s="395"/>
      <c r="H1437" s="67"/>
      <c r="I1437" s="69"/>
      <c r="J1437" s="134"/>
      <c r="K1437" s="324">
        <v>0.2999</v>
      </c>
      <c r="L1437" s="191">
        <f t="shared" si="210"/>
        <v>1.4842</v>
      </c>
      <c r="M1437" s="401"/>
      <c r="N1437" s="86"/>
    </row>
    <row r="1438" spans="1:14" s="64" customFormat="1" x14ac:dyDescent="0.2">
      <c r="A1438" s="63"/>
      <c r="B1438" s="396"/>
      <c r="C1438" s="122"/>
      <c r="D1438" s="75"/>
      <c r="E1438" s="395"/>
      <c r="F1438" s="395"/>
      <c r="G1438" s="395"/>
      <c r="H1438" s="67"/>
      <c r="I1438" s="69"/>
      <c r="J1438" s="134"/>
      <c r="K1438" s="324">
        <v>0.2999</v>
      </c>
      <c r="L1438" s="191">
        <f t="shared" si="210"/>
        <v>1.4842</v>
      </c>
      <c r="M1438" s="401"/>
      <c r="N1438" s="86"/>
    </row>
    <row r="1439" spans="1:14" s="64" customFormat="1" x14ac:dyDescent="0.2">
      <c r="A1439" s="63"/>
      <c r="B1439" s="396"/>
      <c r="C1439" s="122"/>
      <c r="D1439" s="75"/>
      <c r="E1439" s="395"/>
      <c r="F1439" s="395"/>
      <c r="G1439" s="395"/>
      <c r="H1439" s="67"/>
      <c r="I1439" s="69"/>
      <c r="J1439" s="134"/>
      <c r="K1439" s="324">
        <v>0.2999</v>
      </c>
      <c r="L1439" s="191">
        <f t="shared" si="210"/>
        <v>1.4842</v>
      </c>
      <c r="M1439" s="401"/>
      <c r="N1439" s="86"/>
    </row>
    <row r="1440" spans="1:14" s="64" customFormat="1" x14ac:dyDescent="0.2">
      <c r="A1440" s="63"/>
      <c r="B1440" s="396"/>
      <c r="C1440" s="122"/>
      <c r="D1440" s="75"/>
      <c r="E1440" s="395"/>
      <c r="F1440" s="395"/>
      <c r="G1440" s="395"/>
      <c r="H1440" s="67"/>
      <c r="I1440" s="69"/>
      <c r="J1440" s="134"/>
      <c r="K1440" s="324">
        <v>0.2999</v>
      </c>
      <c r="L1440" s="191">
        <f t="shared" si="210"/>
        <v>1.4842</v>
      </c>
      <c r="M1440" s="401"/>
      <c r="N1440" s="86"/>
    </row>
    <row r="1441" spans="1:14" s="64" customFormat="1" x14ac:dyDescent="0.2">
      <c r="A1441" s="63"/>
      <c r="B1441" s="396"/>
      <c r="C1441" s="122"/>
      <c r="D1441" s="75"/>
      <c r="E1441" s="395"/>
      <c r="F1441" s="395"/>
      <c r="G1441" s="395"/>
      <c r="H1441" s="67"/>
      <c r="I1441" s="69"/>
      <c r="J1441" s="134"/>
      <c r="K1441" s="324">
        <v>0.2999</v>
      </c>
      <c r="L1441" s="191">
        <f t="shared" si="210"/>
        <v>1.4842</v>
      </c>
      <c r="M1441" s="401"/>
      <c r="N1441" s="86"/>
    </row>
    <row r="1442" spans="1:14" s="64" customFormat="1" x14ac:dyDescent="0.2">
      <c r="A1442" s="63"/>
      <c r="B1442" s="396"/>
      <c r="C1442" s="122"/>
      <c r="D1442" s="75"/>
      <c r="E1442" s="395"/>
      <c r="F1442" s="395"/>
      <c r="G1442" s="395"/>
      <c r="H1442" s="67"/>
      <c r="I1442" s="69"/>
      <c r="J1442" s="134"/>
      <c r="K1442" s="324">
        <v>0.2999</v>
      </c>
      <c r="L1442" s="191">
        <f t="shared" si="210"/>
        <v>1.4842</v>
      </c>
      <c r="M1442" s="401"/>
      <c r="N1442" s="86"/>
    </row>
    <row r="1443" spans="1:14" s="64" customFormat="1" x14ac:dyDescent="0.2">
      <c r="A1443" s="63"/>
      <c r="B1443" s="396"/>
      <c r="C1443" s="122"/>
      <c r="D1443" s="75"/>
      <c r="E1443" s="395"/>
      <c r="F1443" s="395"/>
      <c r="G1443" s="395"/>
      <c r="H1443" s="67"/>
      <c r="I1443" s="69"/>
      <c r="J1443" s="134"/>
      <c r="K1443" s="324">
        <v>0.2999</v>
      </c>
      <c r="L1443" s="191">
        <f t="shared" si="210"/>
        <v>1.4842</v>
      </c>
      <c r="M1443" s="401"/>
      <c r="N1443" s="86"/>
    </row>
    <row r="1444" spans="1:14" s="64" customFormat="1" x14ac:dyDescent="0.2">
      <c r="A1444" s="63"/>
      <c r="B1444" s="396"/>
      <c r="C1444" s="122"/>
      <c r="D1444" s="75"/>
      <c r="E1444" s="395"/>
      <c r="F1444" s="395"/>
      <c r="G1444" s="395"/>
      <c r="H1444" s="67"/>
      <c r="I1444" s="69"/>
      <c r="J1444" s="134"/>
      <c r="K1444" s="324">
        <v>0.2999</v>
      </c>
      <c r="L1444" s="191">
        <f t="shared" si="210"/>
        <v>1.4842</v>
      </c>
      <c r="M1444" s="401"/>
      <c r="N1444" s="86"/>
    </row>
    <row r="1445" spans="1:14" s="64" customFormat="1" x14ac:dyDescent="0.2">
      <c r="A1445" s="63"/>
      <c r="B1445" s="396"/>
      <c r="C1445" s="122"/>
      <c r="D1445" s="75"/>
      <c r="E1445" s="395"/>
      <c r="F1445" s="395"/>
      <c r="G1445" s="395"/>
      <c r="H1445" s="67"/>
      <c r="I1445" s="69"/>
      <c r="J1445" s="134"/>
      <c r="K1445" s="324">
        <v>0.2999</v>
      </c>
      <c r="L1445" s="191">
        <f t="shared" si="210"/>
        <v>1.4842</v>
      </c>
      <c r="M1445" s="401"/>
      <c r="N1445" s="86"/>
    </row>
    <row r="1446" spans="1:14" s="64" customFormat="1" x14ac:dyDescent="0.2">
      <c r="A1446" s="63"/>
      <c r="B1446" s="396"/>
      <c r="C1446" s="122"/>
      <c r="D1446" s="75"/>
      <c r="E1446" s="395"/>
      <c r="F1446" s="395"/>
      <c r="G1446" s="395"/>
      <c r="H1446" s="67"/>
      <c r="I1446" s="69"/>
      <c r="J1446" s="134"/>
      <c r="K1446" s="324">
        <v>0.2999</v>
      </c>
      <c r="L1446" s="191">
        <f t="shared" si="210"/>
        <v>1.4842</v>
      </c>
      <c r="M1446" s="401"/>
      <c r="N1446" s="86"/>
    </row>
    <row r="1447" spans="1:14" s="64" customFormat="1" x14ac:dyDescent="0.2">
      <c r="A1447" s="63"/>
      <c r="B1447" s="396"/>
      <c r="C1447" s="122"/>
      <c r="D1447" s="75"/>
      <c r="E1447" s="395"/>
      <c r="F1447" s="395"/>
      <c r="G1447" s="395"/>
      <c r="H1447" s="67"/>
      <c r="I1447" s="69"/>
      <c r="J1447" s="134"/>
      <c r="K1447" s="324">
        <v>0.2999</v>
      </c>
      <c r="L1447" s="191">
        <f t="shared" si="210"/>
        <v>1.4842</v>
      </c>
      <c r="M1447" s="401"/>
      <c r="N1447" s="86"/>
    </row>
    <row r="1448" spans="1:14" s="64" customFormat="1" x14ac:dyDescent="0.2">
      <c r="A1448" s="63"/>
      <c r="B1448" s="396"/>
      <c r="C1448" s="122"/>
      <c r="D1448" s="75"/>
      <c r="E1448" s="395"/>
      <c r="F1448" s="395"/>
      <c r="G1448" s="395"/>
      <c r="H1448" s="67"/>
      <c r="I1448" s="69"/>
      <c r="J1448" s="134"/>
      <c r="K1448" s="324">
        <v>0.2999</v>
      </c>
      <c r="L1448" s="191">
        <f t="shared" si="210"/>
        <v>1.4842</v>
      </c>
      <c r="M1448" s="401"/>
      <c r="N1448" s="86"/>
    </row>
    <row r="1449" spans="1:14" s="64" customFormat="1" x14ac:dyDescent="0.2">
      <c r="A1449" s="63"/>
      <c r="B1449" s="396"/>
      <c r="C1449" s="122"/>
      <c r="D1449" s="75"/>
      <c r="E1449" s="395"/>
      <c r="F1449" s="395"/>
      <c r="G1449" s="395"/>
      <c r="H1449" s="67"/>
      <c r="I1449" s="69"/>
      <c r="J1449" s="134"/>
      <c r="K1449" s="324">
        <v>0.2999</v>
      </c>
      <c r="L1449" s="191">
        <f t="shared" si="210"/>
        <v>1.4842</v>
      </c>
      <c r="M1449" s="401"/>
      <c r="N1449" s="86"/>
    </row>
    <row r="1450" spans="1:14" s="64" customFormat="1" x14ac:dyDescent="0.2">
      <c r="A1450" s="63"/>
      <c r="B1450" s="396"/>
      <c r="C1450" s="122"/>
      <c r="D1450" s="75"/>
      <c r="E1450" s="395"/>
      <c r="F1450" s="395"/>
      <c r="G1450" s="395"/>
      <c r="H1450" s="67"/>
      <c r="I1450" s="69"/>
      <c r="J1450" s="134"/>
      <c r="K1450" s="324">
        <v>0.2999</v>
      </c>
      <c r="L1450" s="191">
        <f t="shared" si="210"/>
        <v>1.4842</v>
      </c>
      <c r="M1450" s="401"/>
      <c r="N1450" s="86"/>
    </row>
    <row r="1451" spans="1:14" s="64" customFormat="1" x14ac:dyDescent="0.2">
      <c r="A1451" s="63"/>
      <c r="B1451" s="396"/>
      <c r="C1451" s="122"/>
      <c r="D1451" s="75"/>
      <c r="E1451" s="395"/>
      <c r="F1451" s="395"/>
      <c r="G1451" s="395"/>
      <c r="H1451" s="67"/>
      <c r="I1451" s="69"/>
      <c r="J1451" s="134"/>
      <c r="K1451" s="324">
        <v>0.2999</v>
      </c>
      <c r="L1451" s="191">
        <f t="shared" si="210"/>
        <v>1.4842</v>
      </c>
      <c r="M1451" s="401"/>
      <c r="N1451" s="86"/>
    </row>
    <row r="1452" spans="1:14" s="64" customFormat="1" x14ac:dyDescent="0.2">
      <c r="A1452" s="63"/>
      <c r="B1452" s="396"/>
      <c r="C1452" s="122"/>
      <c r="D1452" s="75"/>
      <c r="E1452" s="395"/>
      <c r="F1452" s="395"/>
      <c r="G1452" s="395"/>
      <c r="H1452" s="67"/>
      <c r="I1452" s="69"/>
      <c r="J1452" s="134"/>
      <c r="K1452" s="324">
        <v>0.2999</v>
      </c>
      <c r="L1452" s="191">
        <f t="shared" si="210"/>
        <v>1.4842</v>
      </c>
      <c r="M1452" s="401"/>
      <c r="N1452" s="86"/>
    </row>
    <row r="1453" spans="1:14" s="64" customFormat="1" x14ac:dyDescent="0.2">
      <c r="A1453" s="63"/>
      <c r="B1453" s="396"/>
      <c r="C1453" s="122"/>
      <c r="D1453" s="75"/>
      <c r="E1453" s="395"/>
      <c r="F1453" s="395"/>
      <c r="G1453" s="395"/>
      <c r="H1453" s="67"/>
      <c r="I1453" s="69"/>
      <c r="J1453" s="134"/>
      <c r="K1453" s="324">
        <v>0.2999</v>
      </c>
      <c r="L1453" s="191">
        <f t="shared" si="210"/>
        <v>1.4842</v>
      </c>
      <c r="M1453" s="401"/>
      <c r="N1453" s="86"/>
    </row>
    <row r="1454" spans="1:14" s="64" customFormat="1" x14ac:dyDescent="0.2">
      <c r="A1454" s="63"/>
      <c r="B1454" s="396"/>
      <c r="C1454" s="122"/>
      <c r="D1454" s="75"/>
      <c r="E1454" s="395"/>
      <c r="F1454" s="395"/>
      <c r="G1454" s="395"/>
      <c r="H1454" s="67"/>
      <c r="I1454" s="69"/>
      <c r="J1454" s="134"/>
      <c r="K1454" s="324">
        <v>0.2999</v>
      </c>
      <c r="L1454" s="191">
        <f t="shared" si="210"/>
        <v>1.4842</v>
      </c>
      <c r="M1454" s="401"/>
      <c r="N1454" s="86"/>
    </row>
    <row r="1455" spans="1:14" s="64" customFormat="1" x14ac:dyDescent="0.2">
      <c r="A1455" s="63"/>
      <c r="B1455" s="396"/>
      <c r="C1455" s="122"/>
      <c r="D1455" s="75"/>
      <c r="E1455" s="395"/>
      <c r="F1455" s="395"/>
      <c r="G1455" s="395"/>
      <c r="H1455" s="67"/>
      <c r="I1455" s="69"/>
      <c r="J1455" s="134"/>
      <c r="K1455" s="324">
        <v>0.2999</v>
      </c>
      <c r="L1455" s="191">
        <f t="shared" si="210"/>
        <v>1.4842</v>
      </c>
      <c r="M1455" s="401"/>
      <c r="N1455" s="86"/>
    </row>
    <row r="1456" spans="1:14" s="64" customFormat="1" x14ac:dyDescent="0.2">
      <c r="A1456" s="63"/>
      <c r="B1456" s="396"/>
      <c r="C1456" s="122"/>
      <c r="D1456" s="75"/>
      <c r="E1456" s="395"/>
      <c r="F1456" s="395"/>
      <c r="G1456" s="395"/>
      <c r="H1456" s="67"/>
      <c r="I1456" s="69"/>
      <c r="J1456" s="134"/>
      <c r="K1456" s="324">
        <v>0.2999</v>
      </c>
      <c r="L1456" s="191">
        <f t="shared" ref="L1456:L1519" si="211">L1455</f>
        <v>1.4842</v>
      </c>
      <c r="M1456" s="401"/>
      <c r="N1456" s="86"/>
    </row>
    <row r="1457" spans="1:14" s="64" customFormat="1" x14ac:dyDescent="0.2">
      <c r="A1457" s="63"/>
      <c r="B1457" s="396"/>
      <c r="C1457" s="122"/>
      <c r="D1457" s="75"/>
      <c r="E1457" s="395"/>
      <c r="F1457" s="395"/>
      <c r="G1457" s="395"/>
      <c r="H1457" s="67"/>
      <c r="I1457" s="69"/>
      <c r="J1457" s="134"/>
      <c r="K1457" s="324">
        <v>0.2999</v>
      </c>
      <c r="L1457" s="191">
        <f t="shared" si="211"/>
        <v>1.4842</v>
      </c>
      <c r="M1457" s="401"/>
      <c r="N1457" s="86"/>
    </row>
    <row r="1458" spans="1:14" s="64" customFormat="1" x14ac:dyDescent="0.2">
      <c r="A1458" s="63"/>
      <c r="B1458" s="396"/>
      <c r="C1458" s="122"/>
      <c r="D1458" s="75"/>
      <c r="E1458" s="395"/>
      <c r="F1458" s="395"/>
      <c r="G1458" s="395"/>
      <c r="H1458" s="67"/>
      <c r="I1458" s="69"/>
      <c r="J1458" s="134"/>
      <c r="K1458" s="324">
        <v>0.2999</v>
      </c>
      <c r="L1458" s="191">
        <f t="shared" si="211"/>
        <v>1.4842</v>
      </c>
      <c r="M1458" s="401"/>
      <c r="N1458" s="86"/>
    </row>
    <row r="1459" spans="1:14" s="64" customFormat="1" x14ac:dyDescent="0.2">
      <c r="A1459" s="63"/>
      <c r="B1459" s="396"/>
      <c r="C1459" s="122"/>
      <c r="D1459" s="75"/>
      <c r="E1459" s="395"/>
      <c r="F1459" s="395"/>
      <c r="G1459" s="395"/>
      <c r="H1459" s="67"/>
      <c r="I1459" s="69"/>
      <c r="J1459" s="134"/>
      <c r="K1459" s="324">
        <v>0.2999</v>
      </c>
      <c r="L1459" s="191">
        <f t="shared" si="211"/>
        <v>1.4842</v>
      </c>
      <c r="M1459" s="401"/>
      <c r="N1459" s="86"/>
    </row>
    <row r="1460" spans="1:14" s="64" customFormat="1" x14ac:dyDescent="0.2">
      <c r="A1460" s="63"/>
      <c r="B1460" s="396"/>
      <c r="C1460" s="122"/>
      <c r="D1460" s="75"/>
      <c r="E1460" s="395"/>
      <c r="F1460" s="395"/>
      <c r="G1460" s="395"/>
      <c r="H1460" s="67"/>
      <c r="I1460" s="69"/>
      <c r="J1460" s="134"/>
      <c r="K1460" s="324">
        <v>0.2999</v>
      </c>
      <c r="L1460" s="191">
        <f t="shared" si="211"/>
        <v>1.4842</v>
      </c>
      <c r="M1460" s="401"/>
      <c r="N1460" s="86"/>
    </row>
    <row r="1461" spans="1:14" s="64" customFormat="1" x14ac:dyDescent="0.2">
      <c r="A1461" s="63"/>
      <c r="B1461" s="396"/>
      <c r="C1461" s="122"/>
      <c r="D1461" s="75"/>
      <c r="E1461" s="395"/>
      <c r="F1461" s="395"/>
      <c r="G1461" s="395"/>
      <c r="H1461" s="67"/>
      <c r="I1461" s="69"/>
      <c r="J1461" s="134"/>
      <c r="K1461" s="324">
        <v>0.2999</v>
      </c>
      <c r="L1461" s="191">
        <f t="shared" si="211"/>
        <v>1.4842</v>
      </c>
      <c r="M1461" s="401"/>
      <c r="N1461" s="86"/>
    </row>
    <row r="1462" spans="1:14" s="64" customFormat="1" x14ac:dyDescent="0.2">
      <c r="A1462" s="63"/>
      <c r="B1462" s="396"/>
      <c r="C1462" s="122"/>
      <c r="D1462" s="75"/>
      <c r="E1462" s="395"/>
      <c r="F1462" s="395"/>
      <c r="G1462" s="395"/>
      <c r="H1462" s="67"/>
      <c r="I1462" s="69"/>
      <c r="J1462" s="134"/>
      <c r="K1462" s="324">
        <v>0.2999</v>
      </c>
      <c r="L1462" s="191">
        <f t="shared" si="211"/>
        <v>1.4842</v>
      </c>
      <c r="M1462" s="401"/>
      <c r="N1462" s="86"/>
    </row>
    <row r="1463" spans="1:14" s="64" customFormat="1" x14ac:dyDescent="0.2">
      <c r="A1463" s="63"/>
      <c r="B1463" s="396"/>
      <c r="C1463" s="122"/>
      <c r="D1463" s="75"/>
      <c r="E1463" s="395"/>
      <c r="F1463" s="395"/>
      <c r="G1463" s="395"/>
      <c r="H1463" s="67"/>
      <c r="I1463" s="69"/>
      <c r="J1463" s="134"/>
      <c r="K1463" s="324">
        <v>0.2999</v>
      </c>
      <c r="L1463" s="191">
        <f t="shared" si="211"/>
        <v>1.4842</v>
      </c>
      <c r="M1463" s="401"/>
      <c r="N1463" s="86"/>
    </row>
    <row r="1464" spans="1:14" s="64" customFormat="1" x14ac:dyDescent="0.2">
      <c r="A1464" s="63"/>
      <c r="B1464" s="396"/>
      <c r="C1464" s="122"/>
      <c r="D1464" s="75"/>
      <c r="E1464" s="395"/>
      <c r="F1464" s="395"/>
      <c r="G1464" s="395"/>
      <c r="H1464" s="67"/>
      <c r="I1464" s="69"/>
      <c r="J1464" s="134"/>
      <c r="K1464" s="324">
        <v>0.2999</v>
      </c>
      <c r="L1464" s="191">
        <f t="shared" si="211"/>
        <v>1.4842</v>
      </c>
      <c r="M1464" s="401"/>
      <c r="N1464" s="86"/>
    </row>
    <row r="1465" spans="1:14" s="64" customFormat="1" x14ac:dyDescent="0.2">
      <c r="A1465" s="63"/>
      <c r="B1465" s="396"/>
      <c r="C1465" s="122"/>
      <c r="D1465" s="75"/>
      <c r="E1465" s="395"/>
      <c r="F1465" s="395"/>
      <c r="G1465" s="395"/>
      <c r="H1465" s="67"/>
      <c r="I1465" s="69"/>
      <c r="J1465" s="134"/>
      <c r="K1465" s="324">
        <v>0.2999</v>
      </c>
      <c r="L1465" s="191">
        <f t="shared" si="211"/>
        <v>1.4842</v>
      </c>
      <c r="M1465" s="401"/>
      <c r="N1465" s="86"/>
    </row>
    <row r="1466" spans="1:14" s="64" customFormat="1" x14ac:dyDescent="0.2">
      <c r="A1466" s="63"/>
      <c r="B1466" s="396"/>
      <c r="C1466" s="122"/>
      <c r="D1466" s="75"/>
      <c r="E1466" s="395"/>
      <c r="F1466" s="395"/>
      <c r="G1466" s="395"/>
      <c r="H1466" s="67"/>
      <c r="I1466" s="69"/>
      <c r="J1466" s="134"/>
      <c r="K1466" s="324">
        <v>0.2999</v>
      </c>
      <c r="L1466" s="191">
        <f t="shared" si="211"/>
        <v>1.4842</v>
      </c>
      <c r="M1466" s="401"/>
      <c r="N1466" s="86"/>
    </row>
    <row r="1467" spans="1:14" s="64" customFormat="1" x14ac:dyDescent="0.2">
      <c r="A1467" s="63"/>
      <c r="B1467" s="396"/>
      <c r="C1467" s="122"/>
      <c r="D1467" s="75"/>
      <c r="E1467" s="395"/>
      <c r="F1467" s="395"/>
      <c r="G1467" s="395"/>
      <c r="H1467" s="67"/>
      <c r="I1467" s="69"/>
      <c r="J1467" s="134"/>
      <c r="K1467" s="324">
        <v>0.2999</v>
      </c>
      <c r="L1467" s="191">
        <f t="shared" si="211"/>
        <v>1.4842</v>
      </c>
      <c r="M1467" s="401"/>
      <c r="N1467" s="86"/>
    </row>
    <row r="1468" spans="1:14" s="64" customFormat="1" x14ac:dyDescent="0.2">
      <c r="A1468" s="63"/>
      <c r="B1468" s="396"/>
      <c r="C1468" s="122"/>
      <c r="D1468" s="75"/>
      <c r="E1468" s="395"/>
      <c r="F1468" s="395"/>
      <c r="G1468" s="395"/>
      <c r="H1468" s="67"/>
      <c r="I1468" s="69"/>
      <c r="J1468" s="134"/>
      <c r="K1468" s="324">
        <v>0.2999</v>
      </c>
      <c r="L1468" s="191">
        <f t="shared" si="211"/>
        <v>1.4842</v>
      </c>
      <c r="M1468" s="401"/>
      <c r="N1468" s="86"/>
    </row>
    <row r="1469" spans="1:14" s="64" customFormat="1" x14ac:dyDescent="0.2">
      <c r="A1469" s="63"/>
      <c r="B1469" s="396"/>
      <c r="C1469" s="122"/>
      <c r="D1469" s="75"/>
      <c r="E1469" s="395"/>
      <c r="F1469" s="395"/>
      <c r="G1469" s="395"/>
      <c r="H1469" s="67"/>
      <c r="I1469" s="69"/>
      <c r="J1469" s="134"/>
      <c r="K1469" s="324">
        <v>0.2999</v>
      </c>
      <c r="L1469" s="191">
        <f t="shared" si="211"/>
        <v>1.4842</v>
      </c>
      <c r="M1469" s="401"/>
      <c r="N1469" s="86"/>
    </row>
    <row r="1470" spans="1:14" s="64" customFormat="1" x14ac:dyDescent="0.2">
      <c r="A1470" s="63"/>
      <c r="B1470" s="396"/>
      <c r="C1470" s="122"/>
      <c r="D1470" s="75"/>
      <c r="E1470" s="395"/>
      <c r="F1470" s="395"/>
      <c r="G1470" s="395"/>
      <c r="H1470" s="67"/>
      <c r="I1470" s="69"/>
      <c r="J1470" s="134"/>
      <c r="K1470" s="324">
        <v>0.2999</v>
      </c>
      <c r="L1470" s="191">
        <f t="shared" si="211"/>
        <v>1.4842</v>
      </c>
      <c r="M1470" s="401"/>
      <c r="N1470" s="86"/>
    </row>
    <row r="1471" spans="1:14" s="64" customFormat="1" x14ac:dyDescent="0.2">
      <c r="A1471" s="63"/>
      <c r="B1471" s="396"/>
      <c r="C1471" s="122"/>
      <c r="D1471" s="75"/>
      <c r="E1471" s="395"/>
      <c r="F1471" s="395"/>
      <c r="G1471" s="395"/>
      <c r="H1471" s="67"/>
      <c r="I1471" s="69"/>
      <c r="J1471" s="134"/>
      <c r="K1471" s="324">
        <v>0.2999</v>
      </c>
      <c r="L1471" s="191">
        <f t="shared" si="211"/>
        <v>1.4842</v>
      </c>
      <c r="M1471" s="401"/>
      <c r="N1471" s="86"/>
    </row>
    <row r="1472" spans="1:14" s="64" customFormat="1" x14ac:dyDescent="0.2">
      <c r="A1472" s="63"/>
      <c r="B1472" s="396"/>
      <c r="C1472" s="122"/>
      <c r="D1472" s="75"/>
      <c r="E1472" s="395"/>
      <c r="F1472" s="395"/>
      <c r="G1472" s="395"/>
      <c r="H1472" s="67"/>
      <c r="I1472" s="69"/>
      <c r="J1472" s="134"/>
      <c r="K1472" s="324">
        <v>0.2999</v>
      </c>
      <c r="L1472" s="191">
        <f t="shared" si="211"/>
        <v>1.4842</v>
      </c>
      <c r="M1472" s="401"/>
      <c r="N1472" s="86"/>
    </row>
    <row r="1473" spans="1:14" s="64" customFormat="1" x14ac:dyDescent="0.2">
      <c r="A1473" s="63"/>
      <c r="B1473" s="396"/>
      <c r="C1473" s="122"/>
      <c r="D1473" s="75"/>
      <c r="E1473" s="395"/>
      <c r="F1473" s="395"/>
      <c r="G1473" s="395"/>
      <c r="H1473" s="67"/>
      <c r="I1473" s="69"/>
      <c r="J1473" s="134"/>
      <c r="K1473" s="324">
        <v>0.2999</v>
      </c>
      <c r="L1473" s="191">
        <f t="shared" si="211"/>
        <v>1.4842</v>
      </c>
      <c r="M1473" s="401"/>
      <c r="N1473" s="86"/>
    </row>
    <row r="1474" spans="1:14" s="64" customFormat="1" x14ac:dyDescent="0.2">
      <c r="A1474" s="63"/>
      <c r="B1474" s="396"/>
      <c r="C1474" s="122"/>
      <c r="D1474" s="75"/>
      <c r="E1474" s="395"/>
      <c r="F1474" s="395"/>
      <c r="G1474" s="395"/>
      <c r="H1474" s="67"/>
      <c r="I1474" s="69"/>
      <c r="J1474" s="134"/>
      <c r="K1474" s="324">
        <v>0.2999</v>
      </c>
      <c r="L1474" s="191">
        <f t="shared" si="211"/>
        <v>1.4842</v>
      </c>
      <c r="M1474" s="401"/>
      <c r="N1474" s="86"/>
    </row>
    <row r="1475" spans="1:14" s="64" customFormat="1" x14ac:dyDescent="0.2">
      <c r="A1475" s="63"/>
      <c r="B1475" s="396"/>
      <c r="C1475" s="122"/>
      <c r="D1475" s="75"/>
      <c r="E1475" s="395"/>
      <c r="F1475" s="395"/>
      <c r="G1475" s="395"/>
      <c r="H1475" s="67"/>
      <c r="I1475" s="69"/>
      <c r="J1475" s="134"/>
      <c r="K1475" s="324">
        <v>0.2999</v>
      </c>
      <c r="L1475" s="191">
        <f t="shared" si="211"/>
        <v>1.4842</v>
      </c>
      <c r="M1475" s="401"/>
      <c r="N1475" s="86"/>
    </row>
    <row r="1476" spans="1:14" s="64" customFormat="1" x14ac:dyDescent="0.2">
      <c r="A1476" s="63"/>
      <c r="B1476" s="396"/>
      <c r="C1476" s="122"/>
      <c r="D1476" s="75"/>
      <c r="E1476" s="395"/>
      <c r="F1476" s="395"/>
      <c r="G1476" s="395"/>
      <c r="H1476" s="67"/>
      <c r="I1476" s="69"/>
      <c r="J1476" s="134"/>
      <c r="K1476" s="324">
        <v>0.2999</v>
      </c>
      <c r="L1476" s="191">
        <f t="shared" si="211"/>
        <v>1.4842</v>
      </c>
      <c r="M1476" s="401"/>
      <c r="N1476" s="86"/>
    </row>
    <row r="1477" spans="1:14" s="64" customFormat="1" x14ac:dyDescent="0.2">
      <c r="A1477" s="63"/>
      <c r="B1477" s="396"/>
      <c r="C1477" s="122"/>
      <c r="D1477" s="75"/>
      <c r="E1477" s="395"/>
      <c r="F1477" s="395"/>
      <c r="G1477" s="395"/>
      <c r="H1477" s="67"/>
      <c r="I1477" s="69"/>
      <c r="J1477" s="134"/>
      <c r="K1477" s="324">
        <v>0.2999</v>
      </c>
      <c r="L1477" s="191">
        <f t="shared" si="211"/>
        <v>1.4842</v>
      </c>
      <c r="M1477" s="401"/>
      <c r="N1477" s="86"/>
    </row>
    <row r="1478" spans="1:14" s="64" customFormat="1" x14ac:dyDescent="0.2">
      <c r="A1478" s="63"/>
      <c r="B1478" s="396"/>
      <c r="C1478" s="122"/>
      <c r="D1478" s="75"/>
      <c r="E1478" s="395"/>
      <c r="F1478" s="395"/>
      <c r="G1478" s="395"/>
      <c r="H1478" s="67"/>
      <c r="I1478" s="69"/>
      <c r="J1478" s="134"/>
      <c r="K1478" s="324">
        <v>0.2999</v>
      </c>
      <c r="L1478" s="191">
        <f t="shared" si="211"/>
        <v>1.4842</v>
      </c>
      <c r="M1478" s="401"/>
      <c r="N1478" s="86"/>
    </row>
    <row r="1479" spans="1:14" s="64" customFormat="1" x14ac:dyDescent="0.2">
      <c r="A1479" s="63"/>
      <c r="B1479" s="396"/>
      <c r="C1479" s="122"/>
      <c r="D1479" s="75"/>
      <c r="E1479" s="395"/>
      <c r="F1479" s="395"/>
      <c r="G1479" s="395"/>
      <c r="H1479" s="67"/>
      <c r="I1479" s="69"/>
      <c r="J1479" s="134"/>
      <c r="K1479" s="324">
        <v>0.2999</v>
      </c>
      <c r="L1479" s="191">
        <f t="shared" si="211"/>
        <v>1.4842</v>
      </c>
      <c r="M1479" s="401"/>
      <c r="N1479" s="86"/>
    </row>
    <row r="1480" spans="1:14" s="64" customFormat="1" x14ac:dyDescent="0.2">
      <c r="A1480" s="63"/>
      <c r="B1480" s="396"/>
      <c r="C1480" s="122"/>
      <c r="D1480" s="75"/>
      <c r="E1480" s="395"/>
      <c r="F1480" s="395"/>
      <c r="G1480" s="395"/>
      <c r="H1480" s="67"/>
      <c r="I1480" s="69"/>
      <c r="J1480" s="134"/>
      <c r="K1480" s="324">
        <v>0.2999</v>
      </c>
      <c r="L1480" s="191">
        <f t="shared" si="211"/>
        <v>1.4842</v>
      </c>
      <c r="M1480" s="401"/>
      <c r="N1480" s="86"/>
    </row>
    <row r="1481" spans="1:14" s="64" customFormat="1" x14ac:dyDescent="0.2">
      <c r="A1481" s="63"/>
      <c r="B1481" s="396"/>
      <c r="C1481" s="122"/>
      <c r="D1481" s="75"/>
      <c r="E1481" s="395"/>
      <c r="F1481" s="395"/>
      <c r="G1481" s="395"/>
      <c r="H1481" s="67"/>
      <c r="I1481" s="69"/>
      <c r="J1481" s="134"/>
      <c r="K1481" s="324">
        <v>0.2999</v>
      </c>
      <c r="L1481" s="191">
        <f t="shared" si="211"/>
        <v>1.4842</v>
      </c>
      <c r="M1481" s="401"/>
      <c r="N1481" s="86"/>
    </row>
    <row r="1482" spans="1:14" s="64" customFormat="1" x14ac:dyDescent="0.2">
      <c r="A1482" s="63"/>
      <c r="B1482" s="396"/>
      <c r="C1482" s="122"/>
      <c r="D1482" s="75"/>
      <c r="E1482" s="395"/>
      <c r="F1482" s="395"/>
      <c r="G1482" s="395"/>
      <c r="H1482" s="67"/>
      <c r="I1482" s="69"/>
      <c r="J1482" s="134"/>
      <c r="K1482" s="324">
        <v>0.2999</v>
      </c>
      <c r="L1482" s="191">
        <f t="shared" si="211"/>
        <v>1.4842</v>
      </c>
      <c r="M1482" s="401"/>
      <c r="N1482" s="86"/>
    </row>
    <row r="1483" spans="1:14" s="64" customFormat="1" x14ac:dyDescent="0.2">
      <c r="A1483" s="63"/>
      <c r="B1483" s="396"/>
      <c r="C1483" s="122"/>
      <c r="D1483" s="75"/>
      <c r="E1483" s="395"/>
      <c r="F1483" s="395"/>
      <c r="G1483" s="395"/>
      <c r="H1483" s="67"/>
      <c r="I1483" s="69"/>
      <c r="J1483" s="134"/>
      <c r="K1483" s="324">
        <v>0.2999</v>
      </c>
      <c r="L1483" s="191">
        <f t="shared" si="211"/>
        <v>1.4842</v>
      </c>
      <c r="M1483" s="401"/>
      <c r="N1483" s="86"/>
    </row>
    <row r="1484" spans="1:14" s="64" customFormat="1" x14ac:dyDescent="0.2">
      <c r="A1484" s="63"/>
      <c r="B1484" s="396"/>
      <c r="C1484" s="122"/>
      <c r="D1484" s="75"/>
      <c r="E1484" s="395"/>
      <c r="F1484" s="395"/>
      <c r="G1484" s="395"/>
      <c r="H1484" s="67"/>
      <c r="I1484" s="69"/>
      <c r="J1484" s="134"/>
      <c r="K1484" s="324">
        <v>0.2999</v>
      </c>
      <c r="L1484" s="191">
        <f t="shared" si="211"/>
        <v>1.4842</v>
      </c>
      <c r="M1484" s="401"/>
      <c r="N1484" s="86"/>
    </row>
    <row r="1485" spans="1:14" s="64" customFormat="1" x14ac:dyDescent="0.2">
      <c r="A1485" s="63"/>
      <c r="B1485" s="396"/>
      <c r="C1485" s="122"/>
      <c r="D1485" s="75"/>
      <c r="E1485" s="395"/>
      <c r="F1485" s="395"/>
      <c r="G1485" s="395"/>
      <c r="H1485" s="67"/>
      <c r="I1485" s="69"/>
      <c r="J1485" s="134"/>
      <c r="K1485" s="324">
        <v>0.2999</v>
      </c>
      <c r="L1485" s="191">
        <f t="shared" si="211"/>
        <v>1.4842</v>
      </c>
      <c r="M1485" s="401"/>
      <c r="N1485" s="86"/>
    </row>
    <row r="1486" spans="1:14" s="64" customFormat="1" x14ac:dyDescent="0.2">
      <c r="A1486" s="63"/>
      <c r="B1486" s="396"/>
      <c r="C1486" s="122"/>
      <c r="D1486" s="75"/>
      <c r="E1486" s="395"/>
      <c r="F1486" s="395"/>
      <c r="G1486" s="395"/>
      <c r="H1486" s="67"/>
      <c r="I1486" s="69"/>
      <c r="J1486" s="134"/>
      <c r="K1486" s="324">
        <v>0.2999</v>
      </c>
      <c r="L1486" s="191">
        <f t="shared" si="211"/>
        <v>1.4842</v>
      </c>
      <c r="M1486" s="401"/>
      <c r="N1486" s="86"/>
    </row>
    <row r="1487" spans="1:14" s="64" customFormat="1" x14ac:dyDescent="0.2">
      <c r="A1487" s="63"/>
      <c r="B1487" s="396"/>
      <c r="C1487" s="122"/>
      <c r="D1487" s="75"/>
      <c r="E1487" s="395"/>
      <c r="F1487" s="395"/>
      <c r="G1487" s="395"/>
      <c r="H1487" s="67"/>
      <c r="I1487" s="69"/>
      <c r="J1487" s="134"/>
      <c r="K1487" s="324">
        <v>0.2999</v>
      </c>
      <c r="L1487" s="191">
        <f t="shared" si="211"/>
        <v>1.4842</v>
      </c>
      <c r="M1487" s="401"/>
      <c r="N1487" s="86"/>
    </row>
    <row r="1488" spans="1:14" s="64" customFormat="1" x14ac:dyDescent="0.2">
      <c r="A1488" s="63"/>
      <c r="B1488" s="396"/>
      <c r="C1488" s="122"/>
      <c r="D1488" s="75"/>
      <c r="E1488" s="395"/>
      <c r="F1488" s="395"/>
      <c r="G1488" s="395"/>
      <c r="H1488" s="67"/>
      <c r="I1488" s="69"/>
      <c r="J1488" s="134"/>
      <c r="K1488" s="324">
        <v>0.2999</v>
      </c>
      <c r="L1488" s="191">
        <f t="shared" si="211"/>
        <v>1.4842</v>
      </c>
      <c r="M1488" s="401"/>
      <c r="N1488" s="86"/>
    </row>
    <row r="1489" spans="1:14" s="64" customFormat="1" x14ac:dyDescent="0.2">
      <c r="A1489" s="63"/>
      <c r="B1489" s="396"/>
      <c r="C1489" s="122"/>
      <c r="D1489" s="75"/>
      <c r="E1489" s="395"/>
      <c r="F1489" s="395"/>
      <c r="G1489" s="395"/>
      <c r="H1489" s="67"/>
      <c r="I1489" s="69"/>
      <c r="J1489" s="134"/>
      <c r="K1489" s="324">
        <v>0.2999</v>
      </c>
      <c r="L1489" s="191">
        <f t="shared" si="211"/>
        <v>1.4842</v>
      </c>
      <c r="M1489" s="401"/>
      <c r="N1489" s="86"/>
    </row>
    <row r="1490" spans="1:14" s="64" customFormat="1" x14ac:dyDescent="0.2">
      <c r="A1490" s="63"/>
      <c r="B1490" s="396"/>
      <c r="C1490" s="122"/>
      <c r="D1490" s="75"/>
      <c r="E1490" s="395"/>
      <c r="F1490" s="395"/>
      <c r="G1490" s="395"/>
      <c r="H1490" s="67"/>
      <c r="I1490" s="69"/>
      <c r="J1490" s="134"/>
      <c r="K1490" s="324">
        <v>0.2999</v>
      </c>
      <c r="L1490" s="191">
        <f t="shared" si="211"/>
        <v>1.4842</v>
      </c>
      <c r="M1490" s="401"/>
      <c r="N1490" s="86"/>
    </row>
    <row r="1491" spans="1:14" s="64" customFormat="1" x14ac:dyDescent="0.2">
      <c r="A1491" s="63"/>
      <c r="B1491" s="396"/>
      <c r="C1491" s="122"/>
      <c r="D1491" s="75"/>
      <c r="E1491" s="395"/>
      <c r="F1491" s="395"/>
      <c r="G1491" s="395"/>
      <c r="H1491" s="67"/>
      <c r="I1491" s="69"/>
      <c r="J1491" s="134"/>
      <c r="K1491" s="324">
        <v>0.2999</v>
      </c>
      <c r="L1491" s="191">
        <f t="shared" si="211"/>
        <v>1.4842</v>
      </c>
      <c r="M1491" s="401"/>
      <c r="N1491" s="86"/>
    </row>
    <row r="1492" spans="1:14" s="64" customFormat="1" x14ac:dyDescent="0.2">
      <c r="A1492" s="63"/>
      <c r="B1492" s="396"/>
      <c r="C1492" s="122"/>
      <c r="D1492" s="75"/>
      <c r="E1492" s="395"/>
      <c r="F1492" s="395"/>
      <c r="G1492" s="395"/>
      <c r="H1492" s="67"/>
      <c r="I1492" s="69"/>
      <c r="J1492" s="134"/>
      <c r="K1492" s="324">
        <v>0.2999</v>
      </c>
      <c r="L1492" s="191">
        <f t="shared" si="211"/>
        <v>1.4842</v>
      </c>
      <c r="M1492" s="401"/>
      <c r="N1492" s="86"/>
    </row>
    <row r="1493" spans="1:14" s="64" customFormat="1" x14ac:dyDescent="0.2">
      <c r="A1493" s="63"/>
      <c r="B1493" s="396"/>
      <c r="C1493" s="122"/>
      <c r="D1493" s="75"/>
      <c r="E1493" s="395"/>
      <c r="F1493" s="395"/>
      <c r="G1493" s="395"/>
      <c r="H1493" s="67"/>
      <c r="I1493" s="69"/>
      <c r="J1493" s="134"/>
      <c r="K1493" s="324">
        <v>0.2999</v>
      </c>
      <c r="L1493" s="191">
        <f t="shared" si="211"/>
        <v>1.4842</v>
      </c>
      <c r="M1493" s="401"/>
      <c r="N1493" s="86"/>
    </row>
    <row r="1494" spans="1:14" s="64" customFormat="1" x14ac:dyDescent="0.2">
      <c r="A1494" s="63"/>
      <c r="B1494" s="396"/>
      <c r="C1494" s="122"/>
      <c r="D1494" s="75"/>
      <c r="E1494" s="395"/>
      <c r="F1494" s="395"/>
      <c r="G1494" s="395"/>
      <c r="H1494" s="67"/>
      <c r="I1494" s="69"/>
      <c r="J1494" s="134"/>
      <c r="K1494" s="324">
        <v>0.2999</v>
      </c>
      <c r="L1494" s="191">
        <f t="shared" si="211"/>
        <v>1.4842</v>
      </c>
      <c r="M1494" s="401"/>
      <c r="N1494" s="86"/>
    </row>
    <row r="1495" spans="1:14" s="64" customFormat="1" x14ac:dyDescent="0.2">
      <c r="A1495" s="63"/>
      <c r="B1495" s="396"/>
      <c r="C1495" s="122"/>
      <c r="D1495" s="75"/>
      <c r="E1495" s="395"/>
      <c r="F1495" s="395"/>
      <c r="G1495" s="395"/>
      <c r="H1495" s="67"/>
      <c r="I1495" s="69"/>
      <c r="J1495" s="134"/>
      <c r="K1495" s="324">
        <v>0.2999</v>
      </c>
      <c r="L1495" s="191">
        <f t="shared" si="211"/>
        <v>1.4842</v>
      </c>
      <c r="M1495" s="401"/>
      <c r="N1495" s="86"/>
    </row>
    <row r="1496" spans="1:14" s="64" customFormat="1" x14ac:dyDescent="0.2">
      <c r="A1496" s="63"/>
      <c r="B1496" s="396"/>
      <c r="C1496" s="122"/>
      <c r="D1496" s="75"/>
      <c r="E1496" s="395"/>
      <c r="F1496" s="395"/>
      <c r="G1496" s="395"/>
      <c r="H1496" s="67"/>
      <c r="I1496" s="69"/>
      <c r="J1496" s="134"/>
      <c r="K1496" s="324">
        <v>0.2999</v>
      </c>
      <c r="L1496" s="191">
        <f t="shared" si="211"/>
        <v>1.4842</v>
      </c>
      <c r="M1496" s="401"/>
      <c r="N1496" s="86"/>
    </row>
    <row r="1497" spans="1:14" s="64" customFormat="1" x14ac:dyDescent="0.2">
      <c r="A1497" s="63"/>
      <c r="B1497" s="396"/>
      <c r="C1497" s="122"/>
      <c r="D1497" s="75"/>
      <c r="E1497" s="395"/>
      <c r="F1497" s="395"/>
      <c r="G1497" s="395"/>
      <c r="H1497" s="67"/>
      <c r="I1497" s="69"/>
      <c r="J1497" s="134"/>
      <c r="K1497" s="324">
        <v>0.2999</v>
      </c>
      <c r="L1497" s="191">
        <f t="shared" si="211"/>
        <v>1.4842</v>
      </c>
      <c r="M1497" s="401"/>
      <c r="N1497" s="86"/>
    </row>
    <row r="1498" spans="1:14" s="64" customFormat="1" x14ac:dyDescent="0.2">
      <c r="A1498" s="63"/>
      <c r="B1498" s="396"/>
      <c r="C1498" s="122"/>
      <c r="D1498" s="75"/>
      <c r="E1498" s="395"/>
      <c r="F1498" s="395"/>
      <c r="G1498" s="395"/>
      <c r="H1498" s="67"/>
      <c r="I1498" s="69"/>
      <c r="J1498" s="134"/>
      <c r="K1498" s="324">
        <v>0.2999</v>
      </c>
      <c r="L1498" s="191">
        <f t="shared" si="211"/>
        <v>1.4842</v>
      </c>
      <c r="M1498" s="401"/>
      <c r="N1498" s="86"/>
    </row>
    <row r="1499" spans="1:14" s="64" customFormat="1" x14ac:dyDescent="0.2">
      <c r="A1499" s="63"/>
      <c r="B1499" s="396"/>
      <c r="C1499" s="122"/>
      <c r="D1499" s="75"/>
      <c r="E1499" s="395"/>
      <c r="F1499" s="395"/>
      <c r="G1499" s="395"/>
      <c r="H1499" s="67"/>
      <c r="I1499" s="69"/>
      <c r="J1499" s="134"/>
      <c r="K1499" s="324">
        <v>0.2999</v>
      </c>
      <c r="L1499" s="191">
        <f t="shared" si="211"/>
        <v>1.4842</v>
      </c>
      <c r="M1499" s="401"/>
      <c r="N1499" s="86"/>
    </row>
    <row r="1500" spans="1:14" s="64" customFormat="1" x14ac:dyDescent="0.2">
      <c r="A1500" s="63"/>
      <c r="B1500" s="396"/>
      <c r="C1500" s="122"/>
      <c r="D1500" s="75"/>
      <c r="E1500" s="395"/>
      <c r="F1500" s="395"/>
      <c r="G1500" s="395"/>
      <c r="H1500" s="67"/>
      <c r="I1500" s="69"/>
      <c r="J1500" s="134"/>
      <c r="K1500" s="324">
        <v>0.2999</v>
      </c>
      <c r="L1500" s="191">
        <f t="shared" si="211"/>
        <v>1.4842</v>
      </c>
      <c r="M1500" s="401"/>
      <c r="N1500" s="86"/>
    </row>
    <row r="1501" spans="1:14" s="64" customFormat="1" x14ac:dyDescent="0.2">
      <c r="A1501" s="63"/>
      <c r="B1501" s="396"/>
      <c r="C1501" s="122"/>
      <c r="D1501" s="75"/>
      <c r="E1501" s="395"/>
      <c r="F1501" s="395"/>
      <c r="G1501" s="395"/>
      <c r="H1501" s="67"/>
      <c r="I1501" s="69"/>
      <c r="J1501" s="134"/>
      <c r="K1501" s="324">
        <v>0.2999</v>
      </c>
      <c r="L1501" s="191">
        <f t="shared" si="211"/>
        <v>1.4842</v>
      </c>
      <c r="M1501" s="401"/>
      <c r="N1501" s="86"/>
    </row>
    <row r="1502" spans="1:14" s="64" customFormat="1" x14ac:dyDescent="0.2">
      <c r="A1502" s="63"/>
      <c r="B1502" s="396"/>
      <c r="C1502" s="122"/>
      <c r="D1502" s="75"/>
      <c r="E1502" s="395"/>
      <c r="F1502" s="395"/>
      <c r="G1502" s="395"/>
      <c r="H1502" s="67"/>
      <c r="I1502" s="69"/>
      <c r="J1502" s="134"/>
      <c r="K1502" s="324">
        <v>0.2999</v>
      </c>
      <c r="L1502" s="191">
        <f t="shared" si="211"/>
        <v>1.4842</v>
      </c>
      <c r="M1502" s="401"/>
      <c r="N1502" s="86"/>
    </row>
    <row r="1503" spans="1:14" s="64" customFormat="1" x14ac:dyDescent="0.2">
      <c r="A1503" s="63"/>
      <c r="B1503" s="396"/>
      <c r="C1503" s="122"/>
      <c r="D1503" s="75"/>
      <c r="E1503" s="395"/>
      <c r="F1503" s="395"/>
      <c r="G1503" s="395"/>
      <c r="H1503" s="67"/>
      <c r="I1503" s="69"/>
      <c r="J1503" s="134"/>
      <c r="K1503" s="324">
        <v>0.2999</v>
      </c>
      <c r="L1503" s="191">
        <f t="shared" si="211"/>
        <v>1.4842</v>
      </c>
      <c r="M1503" s="401"/>
      <c r="N1503" s="86"/>
    </row>
    <row r="1504" spans="1:14" s="64" customFormat="1" x14ac:dyDescent="0.2">
      <c r="A1504" s="63"/>
      <c r="B1504" s="396"/>
      <c r="C1504" s="122"/>
      <c r="D1504" s="75"/>
      <c r="E1504" s="395"/>
      <c r="F1504" s="395"/>
      <c r="G1504" s="395"/>
      <c r="H1504" s="67"/>
      <c r="I1504" s="69"/>
      <c r="J1504" s="134"/>
      <c r="K1504" s="324">
        <v>0.2999</v>
      </c>
      <c r="L1504" s="191">
        <f t="shared" si="211"/>
        <v>1.4842</v>
      </c>
      <c r="M1504" s="401"/>
      <c r="N1504" s="86"/>
    </row>
    <row r="1505" spans="1:14" s="64" customFormat="1" x14ac:dyDescent="0.2">
      <c r="A1505" s="63"/>
      <c r="B1505" s="396"/>
      <c r="C1505" s="122"/>
      <c r="D1505" s="75"/>
      <c r="E1505" s="395"/>
      <c r="F1505" s="395"/>
      <c r="G1505" s="395"/>
      <c r="H1505" s="67"/>
      <c r="I1505" s="69"/>
      <c r="J1505" s="134"/>
      <c r="K1505" s="324">
        <v>0.2999</v>
      </c>
      <c r="L1505" s="191">
        <f t="shared" si="211"/>
        <v>1.4842</v>
      </c>
      <c r="M1505" s="401"/>
      <c r="N1505" s="86"/>
    </row>
    <row r="1506" spans="1:14" s="64" customFormat="1" x14ac:dyDescent="0.2">
      <c r="A1506" s="63"/>
      <c r="B1506" s="396"/>
      <c r="C1506" s="122"/>
      <c r="D1506" s="75"/>
      <c r="E1506" s="395"/>
      <c r="F1506" s="395"/>
      <c r="G1506" s="395"/>
      <c r="H1506" s="67"/>
      <c r="I1506" s="69"/>
      <c r="J1506" s="134"/>
      <c r="K1506" s="324">
        <v>0.2999</v>
      </c>
      <c r="L1506" s="191">
        <f t="shared" si="211"/>
        <v>1.4842</v>
      </c>
      <c r="M1506" s="401"/>
      <c r="N1506" s="86"/>
    </row>
    <row r="1507" spans="1:14" s="64" customFormat="1" x14ac:dyDescent="0.2">
      <c r="A1507" s="63"/>
      <c r="B1507" s="396"/>
      <c r="C1507" s="122"/>
      <c r="D1507" s="75"/>
      <c r="E1507" s="395"/>
      <c r="F1507" s="395"/>
      <c r="G1507" s="395"/>
      <c r="H1507" s="67"/>
      <c r="I1507" s="69"/>
      <c r="J1507" s="134"/>
      <c r="K1507" s="324">
        <v>0.2999</v>
      </c>
      <c r="L1507" s="191">
        <f t="shared" si="211"/>
        <v>1.4842</v>
      </c>
      <c r="M1507" s="401"/>
      <c r="N1507" s="86"/>
    </row>
    <row r="1508" spans="1:14" s="64" customFormat="1" x14ac:dyDescent="0.2">
      <c r="A1508" s="63"/>
      <c r="B1508" s="396"/>
      <c r="C1508" s="122"/>
      <c r="D1508" s="75"/>
      <c r="E1508" s="395"/>
      <c r="F1508" s="395"/>
      <c r="G1508" s="395"/>
      <c r="H1508" s="67"/>
      <c r="I1508" s="69"/>
      <c r="J1508" s="134"/>
      <c r="K1508" s="324">
        <v>0.2999</v>
      </c>
      <c r="L1508" s="191">
        <f t="shared" si="211"/>
        <v>1.4842</v>
      </c>
      <c r="M1508" s="401"/>
      <c r="N1508" s="86"/>
    </row>
    <row r="1509" spans="1:14" s="64" customFormat="1" x14ac:dyDescent="0.2">
      <c r="A1509" s="63"/>
      <c r="B1509" s="396"/>
      <c r="C1509" s="122"/>
      <c r="D1509" s="75"/>
      <c r="E1509" s="395"/>
      <c r="F1509" s="395"/>
      <c r="G1509" s="395"/>
      <c r="H1509" s="67"/>
      <c r="I1509" s="69"/>
      <c r="J1509" s="134"/>
      <c r="K1509" s="324">
        <v>0.2999</v>
      </c>
      <c r="L1509" s="191">
        <f t="shared" si="211"/>
        <v>1.4842</v>
      </c>
      <c r="M1509" s="401"/>
      <c r="N1509" s="86"/>
    </row>
    <row r="1510" spans="1:14" s="64" customFormat="1" x14ac:dyDescent="0.2">
      <c r="A1510" s="63"/>
      <c r="B1510" s="396"/>
      <c r="C1510" s="122"/>
      <c r="D1510" s="75"/>
      <c r="E1510" s="395"/>
      <c r="F1510" s="395"/>
      <c r="G1510" s="395"/>
      <c r="H1510" s="67"/>
      <c r="I1510" s="69"/>
      <c r="J1510" s="134"/>
      <c r="K1510" s="324">
        <v>0.2999</v>
      </c>
      <c r="L1510" s="191">
        <f t="shared" si="211"/>
        <v>1.4842</v>
      </c>
      <c r="M1510" s="401"/>
      <c r="N1510" s="86"/>
    </row>
    <row r="1511" spans="1:14" s="64" customFormat="1" x14ac:dyDescent="0.2">
      <c r="A1511" s="63"/>
      <c r="B1511" s="396"/>
      <c r="C1511" s="122"/>
      <c r="D1511" s="75"/>
      <c r="E1511" s="395"/>
      <c r="F1511" s="395"/>
      <c r="G1511" s="395"/>
      <c r="H1511" s="67"/>
      <c r="I1511" s="69"/>
      <c r="J1511" s="134"/>
      <c r="K1511" s="324">
        <v>0.2999</v>
      </c>
      <c r="L1511" s="191">
        <f t="shared" si="211"/>
        <v>1.4842</v>
      </c>
      <c r="M1511" s="401"/>
      <c r="N1511" s="86"/>
    </row>
    <row r="1512" spans="1:14" s="64" customFormat="1" x14ac:dyDescent="0.2">
      <c r="A1512" s="63"/>
      <c r="B1512" s="396"/>
      <c r="C1512" s="122"/>
      <c r="D1512" s="75"/>
      <c r="E1512" s="395"/>
      <c r="F1512" s="395"/>
      <c r="G1512" s="395"/>
      <c r="H1512" s="67"/>
      <c r="I1512" s="69"/>
      <c r="J1512" s="134"/>
      <c r="K1512" s="324">
        <v>0.2999</v>
      </c>
      <c r="L1512" s="191">
        <f t="shared" si="211"/>
        <v>1.4842</v>
      </c>
      <c r="M1512" s="401"/>
      <c r="N1512" s="86"/>
    </row>
    <row r="1513" spans="1:14" s="64" customFormat="1" x14ac:dyDescent="0.2">
      <c r="A1513" s="63"/>
      <c r="B1513" s="396"/>
      <c r="C1513" s="122"/>
      <c r="D1513" s="75"/>
      <c r="E1513" s="395"/>
      <c r="F1513" s="395"/>
      <c r="G1513" s="395"/>
      <c r="H1513" s="67"/>
      <c r="I1513" s="69"/>
      <c r="J1513" s="134"/>
      <c r="K1513" s="324">
        <v>0.2999</v>
      </c>
      <c r="L1513" s="191">
        <f t="shared" si="211"/>
        <v>1.4842</v>
      </c>
      <c r="M1513" s="401"/>
      <c r="N1513" s="86"/>
    </row>
    <row r="1514" spans="1:14" s="64" customFormat="1" x14ac:dyDescent="0.2">
      <c r="A1514" s="63"/>
      <c r="B1514" s="396"/>
      <c r="C1514" s="122"/>
      <c r="D1514" s="75"/>
      <c r="E1514" s="395"/>
      <c r="F1514" s="395"/>
      <c r="G1514" s="395"/>
      <c r="H1514" s="67"/>
      <c r="I1514" s="69"/>
      <c r="J1514" s="134"/>
      <c r="K1514" s="324">
        <v>0.2999</v>
      </c>
      <c r="L1514" s="191">
        <f t="shared" si="211"/>
        <v>1.4842</v>
      </c>
      <c r="M1514" s="401"/>
      <c r="N1514" s="86"/>
    </row>
    <row r="1515" spans="1:14" s="64" customFormat="1" x14ac:dyDescent="0.2">
      <c r="A1515" s="63"/>
      <c r="B1515" s="396"/>
      <c r="C1515" s="122"/>
      <c r="D1515" s="75"/>
      <c r="E1515" s="395"/>
      <c r="F1515" s="395"/>
      <c r="G1515" s="395"/>
      <c r="H1515" s="67"/>
      <c r="I1515" s="69"/>
      <c r="J1515" s="134"/>
      <c r="K1515" s="324">
        <v>0.2999</v>
      </c>
      <c r="L1515" s="191">
        <f t="shared" si="211"/>
        <v>1.4842</v>
      </c>
      <c r="M1515" s="401"/>
      <c r="N1515" s="86"/>
    </row>
    <row r="1516" spans="1:14" s="64" customFormat="1" x14ac:dyDescent="0.2">
      <c r="A1516" s="63"/>
      <c r="B1516" s="396"/>
      <c r="C1516" s="122"/>
      <c r="D1516" s="75"/>
      <c r="E1516" s="395"/>
      <c r="F1516" s="395"/>
      <c r="G1516" s="395"/>
      <c r="H1516" s="67"/>
      <c r="I1516" s="69"/>
      <c r="J1516" s="134"/>
      <c r="K1516" s="324">
        <v>0.2999</v>
      </c>
      <c r="L1516" s="191">
        <f t="shared" si="211"/>
        <v>1.4842</v>
      </c>
      <c r="M1516" s="401"/>
      <c r="N1516" s="86"/>
    </row>
    <row r="1517" spans="1:14" s="64" customFormat="1" x14ac:dyDescent="0.2">
      <c r="A1517" s="63"/>
      <c r="B1517" s="396"/>
      <c r="C1517" s="122"/>
      <c r="D1517" s="75"/>
      <c r="E1517" s="395"/>
      <c r="F1517" s="395"/>
      <c r="G1517" s="395"/>
      <c r="H1517" s="67"/>
      <c r="I1517" s="69"/>
      <c r="J1517" s="134"/>
      <c r="K1517" s="324">
        <v>0.2999</v>
      </c>
      <c r="L1517" s="191">
        <f t="shared" si="211"/>
        <v>1.4842</v>
      </c>
      <c r="M1517" s="401"/>
      <c r="N1517" s="86"/>
    </row>
    <row r="1518" spans="1:14" s="64" customFormat="1" x14ac:dyDescent="0.2">
      <c r="A1518" s="63"/>
      <c r="B1518" s="396"/>
      <c r="C1518" s="122"/>
      <c r="D1518" s="75"/>
      <c r="E1518" s="395"/>
      <c r="F1518" s="395"/>
      <c r="G1518" s="395"/>
      <c r="H1518" s="67"/>
      <c r="I1518" s="69"/>
      <c r="J1518" s="134"/>
      <c r="K1518" s="324">
        <v>0.2999</v>
      </c>
      <c r="L1518" s="191">
        <f t="shared" si="211"/>
        <v>1.4842</v>
      </c>
      <c r="M1518" s="401"/>
      <c r="N1518" s="86"/>
    </row>
    <row r="1519" spans="1:14" s="64" customFormat="1" x14ac:dyDescent="0.2">
      <c r="A1519" s="63"/>
      <c r="B1519" s="396"/>
      <c r="C1519" s="122"/>
      <c r="D1519" s="75"/>
      <c r="E1519" s="395"/>
      <c r="F1519" s="395"/>
      <c r="G1519" s="395"/>
      <c r="H1519" s="67"/>
      <c r="I1519" s="69"/>
      <c r="J1519" s="134"/>
      <c r="K1519" s="324">
        <v>0.2999</v>
      </c>
      <c r="L1519" s="191">
        <f t="shared" si="211"/>
        <v>1.4842</v>
      </c>
      <c r="M1519" s="401"/>
      <c r="N1519" s="86"/>
    </row>
    <row r="1520" spans="1:14" s="64" customFormat="1" x14ac:dyDescent="0.2">
      <c r="A1520" s="63"/>
      <c r="B1520" s="396"/>
      <c r="C1520" s="122"/>
      <c r="D1520" s="75"/>
      <c r="E1520" s="395"/>
      <c r="F1520" s="395"/>
      <c r="G1520" s="395"/>
      <c r="H1520" s="67"/>
      <c r="I1520" s="69"/>
      <c r="J1520" s="134"/>
      <c r="K1520" s="324">
        <v>0.2999</v>
      </c>
      <c r="L1520" s="191">
        <f t="shared" ref="L1520:L1583" si="212">L1519</f>
        <v>1.4842</v>
      </c>
      <c r="M1520" s="401"/>
      <c r="N1520" s="86"/>
    </row>
    <row r="1521" spans="1:14" s="64" customFormat="1" x14ac:dyDescent="0.2">
      <c r="A1521" s="63"/>
      <c r="B1521" s="396"/>
      <c r="C1521" s="122"/>
      <c r="D1521" s="75"/>
      <c r="E1521" s="395"/>
      <c r="F1521" s="395"/>
      <c r="G1521" s="395"/>
      <c r="H1521" s="67"/>
      <c r="I1521" s="69"/>
      <c r="J1521" s="134"/>
      <c r="K1521" s="324">
        <v>0.2999</v>
      </c>
      <c r="L1521" s="191">
        <f t="shared" si="212"/>
        <v>1.4842</v>
      </c>
      <c r="M1521" s="401"/>
      <c r="N1521" s="86"/>
    </row>
    <row r="1522" spans="1:14" s="64" customFormat="1" x14ac:dyDescent="0.2">
      <c r="A1522" s="63"/>
      <c r="B1522" s="396"/>
      <c r="C1522" s="122"/>
      <c r="D1522" s="75"/>
      <c r="E1522" s="395"/>
      <c r="F1522" s="395"/>
      <c r="G1522" s="395"/>
      <c r="H1522" s="67"/>
      <c r="I1522" s="69"/>
      <c r="J1522" s="134"/>
      <c r="K1522" s="324">
        <v>0.2999</v>
      </c>
      <c r="L1522" s="191">
        <f t="shared" si="212"/>
        <v>1.4842</v>
      </c>
      <c r="M1522" s="401"/>
      <c r="N1522" s="86"/>
    </row>
    <row r="1523" spans="1:14" s="64" customFormat="1" x14ac:dyDescent="0.2">
      <c r="A1523" s="63"/>
      <c r="B1523" s="396"/>
      <c r="C1523" s="122"/>
      <c r="D1523" s="75"/>
      <c r="E1523" s="395"/>
      <c r="F1523" s="395"/>
      <c r="G1523" s="395"/>
      <c r="H1523" s="67"/>
      <c r="I1523" s="69"/>
      <c r="J1523" s="134"/>
      <c r="K1523" s="324">
        <v>0.2999</v>
      </c>
      <c r="L1523" s="191">
        <f t="shared" si="212"/>
        <v>1.4842</v>
      </c>
      <c r="M1523" s="401"/>
      <c r="N1523" s="86"/>
    </row>
    <row r="1524" spans="1:14" s="64" customFormat="1" x14ac:dyDescent="0.2">
      <c r="A1524" s="63"/>
      <c r="B1524" s="396"/>
      <c r="C1524" s="122"/>
      <c r="D1524" s="75"/>
      <c r="E1524" s="395"/>
      <c r="F1524" s="395"/>
      <c r="G1524" s="395"/>
      <c r="H1524" s="67"/>
      <c r="I1524" s="69"/>
      <c r="J1524" s="134"/>
      <c r="K1524" s="324">
        <v>0.2999</v>
      </c>
      <c r="L1524" s="191">
        <f t="shared" si="212"/>
        <v>1.4842</v>
      </c>
      <c r="M1524" s="401"/>
      <c r="N1524" s="86"/>
    </row>
    <row r="1525" spans="1:14" s="64" customFormat="1" x14ac:dyDescent="0.2">
      <c r="A1525" s="63"/>
      <c r="B1525" s="396"/>
      <c r="C1525" s="122"/>
      <c r="D1525" s="75"/>
      <c r="E1525" s="395"/>
      <c r="F1525" s="395"/>
      <c r="G1525" s="395"/>
      <c r="H1525" s="67"/>
      <c r="I1525" s="69"/>
      <c r="J1525" s="134"/>
      <c r="K1525" s="324">
        <v>0.2999</v>
      </c>
      <c r="L1525" s="191">
        <f t="shared" si="212"/>
        <v>1.4842</v>
      </c>
      <c r="M1525" s="401"/>
      <c r="N1525" s="86"/>
    </row>
    <row r="1526" spans="1:14" s="64" customFormat="1" x14ac:dyDescent="0.2">
      <c r="A1526" s="63"/>
      <c r="B1526" s="396"/>
      <c r="C1526" s="122"/>
      <c r="D1526" s="75"/>
      <c r="E1526" s="395"/>
      <c r="F1526" s="395"/>
      <c r="G1526" s="395"/>
      <c r="H1526" s="67"/>
      <c r="I1526" s="69"/>
      <c r="J1526" s="134"/>
      <c r="K1526" s="324">
        <v>0.2999</v>
      </c>
      <c r="L1526" s="191">
        <f t="shared" si="212"/>
        <v>1.4842</v>
      </c>
      <c r="M1526" s="401"/>
      <c r="N1526" s="86"/>
    </row>
    <row r="1527" spans="1:14" s="64" customFormat="1" x14ac:dyDescent="0.2">
      <c r="A1527" s="63"/>
      <c r="B1527" s="396"/>
      <c r="C1527" s="122"/>
      <c r="D1527" s="75"/>
      <c r="E1527" s="395"/>
      <c r="F1527" s="395"/>
      <c r="G1527" s="395"/>
      <c r="H1527" s="67"/>
      <c r="I1527" s="69"/>
      <c r="J1527" s="134"/>
      <c r="K1527" s="324">
        <v>0.2999</v>
      </c>
      <c r="L1527" s="191">
        <f t="shared" si="212"/>
        <v>1.4842</v>
      </c>
      <c r="M1527" s="401"/>
      <c r="N1527" s="86"/>
    </row>
    <row r="1528" spans="1:14" s="64" customFormat="1" x14ac:dyDescent="0.2">
      <c r="A1528" s="63"/>
      <c r="B1528" s="396"/>
      <c r="C1528" s="122"/>
      <c r="D1528" s="75"/>
      <c r="E1528" s="395"/>
      <c r="F1528" s="395"/>
      <c r="G1528" s="395"/>
      <c r="H1528" s="67"/>
      <c r="I1528" s="69"/>
      <c r="J1528" s="134"/>
      <c r="K1528" s="324">
        <v>0.2999</v>
      </c>
      <c r="L1528" s="191">
        <f t="shared" si="212"/>
        <v>1.4842</v>
      </c>
      <c r="M1528" s="401"/>
      <c r="N1528" s="86"/>
    </row>
    <row r="1529" spans="1:14" s="64" customFormat="1" x14ac:dyDescent="0.2">
      <c r="A1529" s="63"/>
      <c r="B1529" s="396"/>
      <c r="C1529" s="122"/>
      <c r="D1529" s="75"/>
      <c r="E1529" s="395"/>
      <c r="F1529" s="395"/>
      <c r="G1529" s="395"/>
      <c r="H1529" s="67"/>
      <c r="I1529" s="69"/>
      <c r="J1529" s="134"/>
      <c r="K1529" s="324">
        <v>0.2999</v>
      </c>
      <c r="L1529" s="191">
        <f t="shared" si="212"/>
        <v>1.4842</v>
      </c>
      <c r="M1529" s="401"/>
      <c r="N1529" s="86"/>
    </row>
    <row r="1530" spans="1:14" s="64" customFormat="1" x14ac:dyDescent="0.2">
      <c r="A1530" s="63"/>
      <c r="B1530" s="396"/>
      <c r="C1530" s="122"/>
      <c r="D1530" s="75"/>
      <c r="E1530" s="395"/>
      <c r="F1530" s="395"/>
      <c r="G1530" s="395"/>
      <c r="H1530" s="67"/>
      <c r="I1530" s="69"/>
      <c r="J1530" s="134"/>
      <c r="K1530" s="324">
        <v>0.2999</v>
      </c>
      <c r="L1530" s="191">
        <f t="shared" si="212"/>
        <v>1.4842</v>
      </c>
      <c r="M1530" s="401"/>
      <c r="N1530" s="86"/>
    </row>
    <row r="1531" spans="1:14" s="64" customFormat="1" x14ac:dyDescent="0.2">
      <c r="A1531" s="63"/>
      <c r="B1531" s="396"/>
      <c r="C1531" s="122"/>
      <c r="D1531" s="75"/>
      <c r="E1531" s="395"/>
      <c r="F1531" s="395"/>
      <c r="G1531" s="395"/>
      <c r="H1531" s="67"/>
      <c r="I1531" s="69"/>
      <c r="J1531" s="134"/>
      <c r="K1531" s="324">
        <v>0.2999</v>
      </c>
      <c r="L1531" s="191">
        <f t="shared" si="212"/>
        <v>1.4842</v>
      </c>
      <c r="M1531" s="401"/>
      <c r="N1531" s="86"/>
    </row>
    <row r="1532" spans="1:14" s="64" customFormat="1" x14ac:dyDescent="0.2">
      <c r="A1532" s="63"/>
      <c r="B1532" s="396"/>
      <c r="C1532" s="122"/>
      <c r="D1532" s="75"/>
      <c r="E1532" s="395"/>
      <c r="F1532" s="395"/>
      <c r="G1532" s="395"/>
      <c r="H1532" s="67"/>
      <c r="I1532" s="69"/>
      <c r="J1532" s="134"/>
      <c r="K1532" s="324">
        <v>0.2999</v>
      </c>
      <c r="L1532" s="191">
        <f t="shared" si="212"/>
        <v>1.4842</v>
      </c>
      <c r="M1532" s="401"/>
      <c r="N1532" s="86"/>
    </row>
    <row r="1533" spans="1:14" s="64" customFormat="1" x14ac:dyDescent="0.2">
      <c r="A1533" s="63"/>
      <c r="B1533" s="396"/>
      <c r="C1533" s="122"/>
      <c r="D1533" s="75"/>
      <c r="E1533" s="395"/>
      <c r="F1533" s="395"/>
      <c r="G1533" s="395"/>
      <c r="H1533" s="67"/>
      <c r="I1533" s="69"/>
      <c r="J1533" s="134"/>
      <c r="K1533" s="324">
        <v>0.2999</v>
      </c>
      <c r="L1533" s="191">
        <f t="shared" si="212"/>
        <v>1.4842</v>
      </c>
      <c r="M1533" s="401"/>
      <c r="N1533" s="86"/>
    </row>
    <row r="1534" spans="1:14" s="64" customFormat="1" x14ac:dyDescent="0.2">
      <c r="A1534" s="63"/>
      <c r="B1534" s="396"/>
      <c r="C1534" s="122"/>
      <c r="D1534" s="75"/>
      <c r="E1534" s="395"/>
      <c r="F1534" s="395"/>
      <c r="G1534" s="395"/>
      <c r="H1534" s="67"/>
      <c r="I1534" s="69"/>
      <c r="J1534" s="134"/>
      <c r="K1534" s="324">
        <v>0.2999</v>
      </c>
      <c r="L1534" s="191">
        <f t="shared" si="212"/>
        <v>1.4842</v>
      </c>
      <c r="M1534" s="401"/>
      <c r="N1534" s="86"/>
    </row>
    <row r="1535" spans="1:14" s="64" customFormat="1" x14ac:dyDescent="0.2">
      <c r="A1535" s="63"/>
      <c r="B1535" s="396"/>
      <c r="C1535" s="122"/>
      <c r="D1535" s="75"/>
      <c r="E1535" s="395"/>
      <c r="F1535" s="395"/>
      <c r="G1535" s="395"/>
      <c r="H1535" s="67"/>
      <c r="I1535" s="69"/>
      <c r="J1535" s="134"/>
      <c r="K1535" s="324">
        <v>0.2999</v>
      </c>
      <c r="L1535" s="191">
        <f t="shared" si="212"/>
        <v>1.4842</v>
      </c>
      <c r="M1535" s="401"/>
      <c r="N1535" s="86"/>
    </row>
    <row r="1536" spans="1:14" s="64" customFormat="1" x14ac:dyDescent="0.2">
      <c r="A1536" s="63"/>
      <c r="B1536" s="396"/>
      <c r="C1536" s="122"/>
      <c r="D1536" s="75"/>
      <c r="E1536" s="395"/>
      <c r="F1536" s="395"/>
      <c r="G1536" s="395"/>
      <c r="H1536" s="67"/>
      <c r="I1536" s="69"/>
      <c r="J1536" s="134"/>
      <c r="K1536" s="324">
        <v>0.2999</v>
      </c>
      <c r="L1536" s="191">
        <f t="shared" si="212"/>
        <v>1.4842</v>
      </c>
      <c r="M1536" s="401"/>
      <c r="N1536" s="86"/>
    </row>
    <row r="1537" spans="1:14" s="64" customFormat="1" x14ac:dyDescent="0.2">
      <c r="A1537" s="63"/>
      <c r="B1537" s="396"/>
      <c r="C1537" s="122"/>
      <c r="D1537" s="75"/>
      <c r="E1537" s="395"/>
      <c r="F1537" s="395"/>
      <c r="G1537" s="395"/>
      <c r="H1537" s="67"/>
      <c r="I1537" s="69"/>
      <c r="J1537" s="134"/>
      <c r="K1537" s="324">
        <v>0.2999</v>
      </c>
      <c r="L1537" s="191">
        <f t="shared" si="212"/>
        <v>1.4842</v>
      </c>
      <c r="M1537" s="401"/>
      <c r="N1537" s="86"/>
    </row>
    <row r="1538" spans="1:14" s="64" customFormat="1" x14ac:dyDescent="0.2">
      <c r="A1538" s="63"/>
      <c r="B1538" s="396"/>
      <c r="C1538" s="122"/>
      <c r="D1538" s="75"/>
      <c r="E1538" s="395"/>
      <c r="F1538" s="395"/>
      <c r="G1538" s="395"/>
      <c r="H1538" s="67"/>
      <c r="I1538" s="69"/>
      <c r="J1538" s="134"/>
      <c r="K1538" s="324">
        <v>0.2999</v>
      </c>
      <c r="L1538" s="191">
        <f t="shared" si="212"/>
        <v>1.4842</v>
      </c>
      <c r="M1538" s="401"/>
      <c r="N1538" s="86"/>
    </row>
    <row r="1539" spans="1:14" s="64" customFormat="1" x14ac:dyDescent="0.2">
      <c r="A1539" s="63"/>
      <c r="B1539" s="396"/>
      <c r="C1539" s="122"/>
      <c r="D1539" s="75"/>
      <c r="E1539" s="395"/>
      <c r="F1539" s="395"/>
      <c r="G1539" s="395"/>
      <c r="H1539" s="67"/>
      <c r="I1539" s="69"/>
      <c r="J1539" s="134"/>
      <c r="K1539" s="324">
        <v>0.2999</v>
      </c>
      <c r="L1539" s="191">
        <f t="shared" si="212"/>
        <v>1.4842</v>
      </c>
      <c r="M1539" s="401"/>
      <c r="N1539" s="86"/>
    </row>
    <row r="1540" spans="1:14" s="64" customFormat="1" x14ac:dyDescent="0.2">
      <c r="A1540" s="63"/>
      <c r="B1540" s="396"/>
      <c r="C1540" s="122"/>
      <c r="D1540" s="75"/>
      <c r="E1540" s="395"/>
      <c r="F1540" s="395"/>
      <c r="G1540" s="395"/>
      <c r="H1540" s="67"/>
      <c r="I1540" s="69"/>
      <c r="J1540" s="134"/>
      <c r="K1540" s="324">
        <v>0.2999</v>
      </c>
      <c r="L1540" s="191">
        <f t="shared" si="212"/>
        <v>1.4842</v>
      </c>
      <c r="M1540" s="401"/>
      <c r="N1540" s="86"/>
    </row>
    <row r="1541" spans="1:14" s="64" customFormat="1" x14ac:dyDescent="0.2">
      <c r="A1541" s="63"/>
      <c r="B1541" s="396"/>
      <c r="C1541" s="122"/>
      <c r="D1541" s="75"/>
      <c r="E1541" s="395"/>
      <c r="F1541" s="395"/>
      <c r="G1541" s="395"/>
      <c r="H1541" s="67"/>
      <c r="I1541" s="69"/>
      <c r="J1541" s="134"/>
      <c r="K1541" s="324">
        <v>0.2999</v>
      </c>
      <c r="L1541" s="191">
        <f t="shared" si="212"/>
        <v>1.4842</v>
      </c>
      <c r="M1541" s="401"/>
      <c r="N1541" s="86"/>
    </row>
    <row r="1542" spans="1:14" s="64" customFormat="1" x14ac:dyDescent="0.2">
      <c r="A1542" s="63"/>
      <c r="B1542" s="396"/>
      <c r="C1542" s="122"/>
      <c r="D1542" s="75"/>
      <c r="E1542" s="395"/>
      <c r="F1542" s="395"/>
      <c r="G1542" s="395"/>
      <c r="H1542" s="67"/>
      <c r="I1542" s="69"/>
      <c r="J1542" s="134"/>
      <c r="K1542" s="324">
        <v>0.2999</v>
      </c>
      <c r="L1542" s="191">
        <f t="shared" si="212"/>
        <v>1.4842</v>
      </c>
      <c r="M1542" s="401"/>
      <c r="N1542" s="86"/>
    </row>
    <row r="1543" spans="1:14" s="64" customFormat="1" x14ac:dyDescent="0.2">
      <c r="A1543" s="63"/>
      <c r="B1543" s="396"/>
      <c r="C1543" s="122"/>
      <c r="D1543" s="75"/>
      <c r="E1543" s="395"/>
      <c r="F1543" s="395"/>
      <c r="G1543" s="395"/>
      <c r="H1543" s="67"/>
      <c r="I1543" s="69"/>
      <c r="J1543" s="134"/>
      <c r="K1543" s="324">
        <v>0.2999</v>
      </c>
      <c r="L1543" s="191">
        <f t="shared" si="212"/>
        <v>1.4842</v>
      </c>
      <c r="M1543" s="401"/>
      <c r="N1543" s="86"/>
    </row>
    <row r="1544" spans="1:14" s="64" customFormat="1" x14ac:dyDescent="0.2">
      <c r="A1544" s="63"/>
      <c r="B1544" s="396"/>
      <c r="C1544" s="122"/>
      <c r="D1544" s="75"/>
      <c r="E1544" s="395"/>
      <c r="F1544" s="395"/>
      <c r="G1544" s="395"/>
      <c r="H1544" s="67"/>
      <c r="I1544" s="69"/>
      <c r="J1544" s="134"/>
      <c r="K1544" s="324">
        <v>0.2999</v>
      </c>
      <c r="L1544" s="191">
        <f t="shared" si="212"/>
        <v>1.4842</v>
      </c>
      <c r="M1544" s="401"/>
      <c r="N1544" s="86"/>
    </row>
    <row r="1545" spans="1:14" s="64" customFormat="1" x14ac:dyDescent="0.2">
      <c r="A1545" s="63"/>
      <c r="B1545" s="396"/>
      <c r="C1545" s="122"/>
      <c r="D1545" s="75"/>
      <c r="E1545" s="395"/>
      <c r="F1545" s="395"/>
      <c r="G1545" s="395"/>
      <c r="H1545" s="67"/>
      <c r="I1545" s="69"/>
      <c r="J1545" s="134"/>
      <c r="K1545" s="324">
        <v>0.2999</v>
      </c>
      <c r="L1545" s="191">
        <f t="shared" si="212"/>
        <v>1.4842</v>
      </c>
      <c r="M1545" s="401"/>
      <c r="N1545" s="86"/>
    </row>
    <row r="1546" spans="1:14" s="64" customFormat="1" x14ac:dyDescent="0.2">
      <c r="A1546" s="63"/>
      <c r="B1546" s="396"/>
      <c r="C1546" s="122"/>
      <c r="D1546" s="75"/>
      <c r="E1546" s="395"/>
      <c r="F1546" s="395"/>
      <c r="G1546" s="395"/>
      <c r="H1546" s="67"/>
      <c r="I1546" s="69"/>
      <c r="J1546" s="134"/>
      <c r="K1546" s="324">
        <v>0.2999</v>
      </c>
      <c r="L1546" s="191">
        <f t="shared" si="212"/>
        <v>1.4842</v>
      </c>
      <c r="M1546" s="401"/>
      <c r="N1546" s="86"/>
    </row>
    <row r="1547" spans="1:14" s="64" customFormat="1" x14ac:dyDescent="0.2">
      <c r="A1547" s="63"/>
      <c r="B1547" s="396"/>
      <c r="C1547" s="122"/>
      <c r="D1547" s="75"/>
      <c r="E1547" s="395"/>
      <c r="F1547" s="395"/>
      <c r="G1547" s="395"/>
      <c r="H1547" s="67"/>
      <c r="I1547" s="69"/>
      <c r="J1547" s="134"/>
      <c r="K1547" s="324">
        <v>0.2999</v>
      </c>
      <c r="L1547" s="191">
        <f t="shared" si="212"/>
        <v>1.4842</v>
      </c>
      <c r="M1547" s="401"/>
      <c r="N1547" s="86"/>
    </row>
    <row r="1548" spans="1:14" s="64" customFormat="1" x14ac:dyDescent="0.2">
      <c r="A1548" s="63"/>
      <c r="B1548" s="396"/>
      <c r="C1548" s="122"/>
      <c r="D1548" s="75"/>
      <c r="E1548" s="395"/>
      <c r="F1548" s="395"/>
      <c r="G1548" s="395"/>
      <c r="H1548" s="67"/>
      <c r="I1548" s="69"/>
      <c r="J1548" s="134"/>
      <c r="K1548" s="324">
        <v>0.2999</v>
      </c>
      <c r="L1548" s="191">
        <f t="shared" si="212"/>
        <v>1.4842</v>
      </c>
      <c r="M1548" s="401"/>
      <c r="N1548" s="86"/>
    </row>
    <row r="1549" spans="1:14" s="64" customFormat="1" x14ac:dyDescent="0.2">
      <c r="A1549" s="63"/>
      <c r="B1549" s="396"/>
      <c r="C1549" s="122"/>
      <c r="D1549" s="75"/>
      <c r="E1549" s="395"/>
      <c r="F1549" s="395"/>
      <c r="G1549" s="395"/>
      <c r="H1549" s="67"/>
      <c r="I1549" s="69"/>
      <c r="J1549" s="134"/>
      <c r="K1549" s="324">
        <v>0.2999</v>
      </c>
      <c r="L1549" s="191">
        <f t="shared" si="212"/>
        <v>1.4842</v>
      </c>
      <c r="M1549" s="401"/>
      <c r="N1549" s="86"/>
    </row>
    <row r="1550" spans="1:14" s="64" customFormat="1" x14ac:dyDescent="0.2">
      <c r="A1550" s="63"/>
      <c r="B1550" s="396"/>
      <c r="C1550" s="122"/>
      <c r="D1550" s="75"/>
      <c r="E1550" s="395"/>
      <c r="F1550" s="395"/>
      <c r="G1550" s="395"/>
      <c r="H1550" s="67"/>
      <c r="I1550" s="69"/>
      <c r="J1550" s="134"/>
      <c r="K1550" s="324">
        <v>0.2999</v>
      </c>
      <c r="L1550" s="191">
        <f t="shared" si="212"/>
        <v>1.4842</v>
      </c>
      <c r="M1550" s="401"/>
      <c r="N1550" s="86"/>
    </row>
    <row r="1551" spans="1:14" s="64" customFormat="1" x14ac:dyDescent="0.2">
      <c r="A1551" s="63"/>
      <c r="B1551" s="396"/>
      <c r="C1551" s="122"/>
      <c r="D1551" s="75"/>
      <c r="E1551" s="395"/>
      <c r="F1551" s="395"/>
      <c r="G1551" s="395"/>
      <c r="H1551" s="67"/>
      <c r="I1551" s="69"/>
      <c r="J1551" s="134"/>
      <c r="K1551" s="324">
        <v>0.2999</v>
      </c>
      <c r="L1551" s="191">
        <f t="shared" si="212"/>
        <v>1.4842</v>
      </c>
      <c r="M1551" s="401"/>
      <c r="N1551" s="86"/>
    </row>
    <row r="1552" spans="1:14" s="64" customFormat="1" x14ac:dyDescent="0.2">
      <c r="A1552" s="63"/>
      <c r="B1552" s="396"/>
      <c r="C1552" s="122"/>
      <c r="D1552" s="75"/>
      <c r="E1552" s="395"/>
      <c r="F1552" s="395"/>
      <c r="G1552" s="395"/>
      <c r="H1552" s="67"/>
      <c r="I1552" s="69"/>
      <c r="J1552" s="134"/>
      <c r="K1552" s="324">
        <v>0.2999</v>
      </c>
      <c r="L1552" s="191">
        <f t="shared" si="212"/>
        <v>1.4842</v>
      </c>
      <c r="M1552" s="401"/>
      <c r="N1552" s="86"/>
    </row>
    <row r="1553" spans="1:14" s="64" customFormat="1" x14ac:dyDescent="0.2">
      <c r="A1553" s="63"/>
      <c r="B1553" s="396"/>
      <c r="C1553" s="122"/>
      <c r="D1553" s="75"/>
      <c r="E1553" s="395"/>
      <c r="F1553" s="395"/>
      <c r="G1553" s="395"/>
      <c r="H1553" s="67"/>
      <c r="I1553" s="69"/>
      <c r="J1553" s="134"/>
      <c r="K1553" s="324">
        <v>0.2999</v>
      </c>
      <c r="L1553" s="191">
        <f t="shared" si="212"/>
        <v>1.4842</v>
      </c>
      <c r="M1553" s="401"/>
      <c r="N1553" s="86"/>
    </row>
    <row r="1554" spans="1:14" s="64" customFormat="1" x14ac:dyDescent="0.2">
      <c r="A1554" s="63"/>
      <c r="B1554" s="396"/>
      <c r="C1554" s="122"/>
      <c r="D1554" s="75"/>
      <c r="E1554" s="395"/>
      <c r="F1554" s="395"/>
      <c r="G1554" s="395"/>
      <c r="H1554" s="67"/>
      <c r="I1554" s="69"/>
      <c r="J1554" s="134"/>
      <c r="K1554" s="324">
        <v>0.2999</v>
      </c>
      <c r="L1554" s="191">
        <f t="shared" si="212"/>
        <v>1.4842</v>
      </c>
      <c r="M1554" s="401"/>
      <c r="N1554" s="86"/>
    </row>
    <row r="1555" spans="1:14" s="64" customFormat="1" x14ac:dyDescent="0.2">
      <c r="A1555" s="63"/>
      <c r="B1555" s="396"/>
      <c r="C1555" s="122"/>
      <c r="D1555" s="75"/>
      <c r="E1555" s="395"/>
      <c r="F1555" s="395"/>
      <c r="G1555" s="395"/>
      <c r="H1555" s="67"/>
      <c r="I1555" s="69"/>
      <c r="J1555" s="134"/>
      <c r="K1555" s="324">
        <v>0.2999</v>
      </c>
      <c r="L1555" s="191">
        <f t="shared" si="212"/>
        <v>1.4842</v>
      </c>
      <c r="M1555" s="401"/>
      <c r="N1555" s="86"/>
    </row>
    <row r="1556" spans="1:14" s="64" customFormat="1" x14ac:dyDescent="0.2">
      <c r="A1556" s="63"/>
      <c r="B1556" s="396"/>
      <c r="C1556" s="122"/>
      <c r="D1556" s="75"/>
      <c r="E1556" s="395"/>
      <c r="F1556" s="395"/>
      <c r="G1556" s="395"/>
      <c r="H1556" s="67"/>
      <c r="I1556" s="69"/>
      <c r="J1556" s="134"/>
      <c r="K1556" s="324">
        <v>0.2999</v>
      </c>
      <c r="L1556" s="191">
        <f t="shared" si="212"/>
        <v>1.4842</v>
      </c>
      <c r="M1556" s="401"/>
      <c r="N1556" s="86"/>
    </row>
    <row r="1557" spans="1:14" s="64" customFormat="1" x14ac:dyDescent="0.2">
      <c r="A1557" s="63"/>
      <c r="B1557" s="396"/>
      <c r="C1557" s="122"/>
      <c r="D1557" s="75"/>
      <c r="E1557" s="395"/>
      <c r="F1557" s="395"/>
      <c r="G1557" s="395"/>
      <c r="H1557" s="67"/>
      <c r="I1557" s="69"/>
      <c r="J1557" s="134"/>
      <c r="K1557" s="324">
        <v>0.2999</v>
      </c>
      <c r="L1557" s="191">
        <f t="shared" si="212"/>
        <v>1.4842</v>
      </c>
      <c r="M1557" s="401"/>
      <c r="N1557" s="86"/>
    </row>
    <row r="1558" spans="1:14" s="64" customFormat="1" x14ac:dyDescent="0.2">
      <c r="A1558" s="63"/>
      <c r="B1558" s="396"/>
      <c r="C1558" s="122"/>
      <c r="D1558" s="75"/>
      <c r="E1558" s="395"/>
      <c r="F1558" s="395"/>
      <c r="G1558" s="395"/>
      <c r="H1558" s="67"/>
      <c r="I1558" s="69"/>
      <c r="J1558" s="134"/>
      <c r="K1558" s="324">
        <v>0.2999</v>
      </c>
      <c r="L1558" s="191">
        <f t="shared" si="212"/>
        <v>1.4842</v>
      </c>
      <c r="M1558" s="401"/>
      <c r="N1558" s="86"/>
    </row>
    <row r="1559" spans="1:14" s="64" customFormat="1" x14ac:dyDescent="0.2">
      <c r="A1559" s="63"/>
      <c r="B1559" s="396"/>
      <c r="C1559" s="122"/>
      <c r="D1559" s="75"/>
      <c r="E1559" s="395"/>
      <c r="F1559" s="395"/>
      <c r="G1559" s="395"/>
      <c r="H1559" s="67"/>
      <c r="I1559" s="69"/>
      <c r="J1559" s="134"/>
      <c r="K1559" s="324">
        <v>0.2999</v>
      </c>
      <c r="L1559" s="191">
        <f t="shared" si="212"/>
        <v>1.4842</v>
      </c>
      <c r="M1559" s="401"/>
      <c r="N1559" s="86"/>
    </row>
    <row r="1560" spans="1:14" s="64" customFormat="1" x14ac:dyDescent="0.2">
      <c r="A1560" s="63"/>
      <c r="B1560" s="396"/>
      <c r="C1560" s="122"/>
      <c r="D1560" s="75"/>
      <c r="E1560" s="395"/>
      <c r="F1560" s="395"/>
      <c r="G1560" s="395"/>
      <c r="H1560" s="67"/>
      <c r="I1560" s="69"/>
      <c r="J1560" s="134"/>
      <c r="K1560" s="324">
        <v>0.2999</v>
      </c>
      <c r="L1560" s="191">
        <f t="shared" si="212"/>
        <v>1.4842</v>
      </c>
      <c r="M1560" s="401"/>
      <c r="N1560" s="86"/>
    </row>
    <row r="1561" spans="1:14" s="64" customFormat="1" x14ac:dyDescent="0.2">
      <c r="A1561" s="63"/>
      <c r="B1561" s="396"/>
      <c r="C1561" s="122"/>
      <c r="D1561" s="75"/>
      <c r="E1561" s="395"/>
      <c r="F1561" s="395"/>
      <c r="G1561" s="395"/>
      <c r="H1561" s="67"/>
      <c r="I1561" s="69"/>
      <c r="J1561" s="134"/>
      <c r="K1561" s="324">
        <v>0.2999</v>
      </c>
      <c r="L1561" s="191">
        <f t="shared" si="212"/>
        <v>1.4842</v>
      </c>
      <c r="M1561" s="401"/>
      <c r="N1561" s="86"/>
    </row>
    <row r="1562" spans="1:14" s="64" customFormat="1" x14ac:dyDescent="0.2">
      <c r="A1562" s="63"/>
      <c r="B1562" s="396"/>
      <c r="C1562" s="122"/>
      <c r="D1562" s="75"/>
      <c r="E1562" s="395"/>
      <c r="F1562" s="395"/>
      <c r="G1562" s="395"/>
      <c r="H1562" s="67"/>
      <c r="I1562" s="69"/>
      <c r="J1562" s="134"/>
      <c r="K1562" s="324">
        <v>0.2999</v>
      </c>
      <c r="L1562" s="191">
        <f t="shared" si="212"/>
        <v>1.4842</v>
      </c>
      <c r="M1562" s="401"/>
      <c r="N1562" s="86"/>
    </row>
    <row r="1563" spans="1:14" s="64" customFormat="1" x14ac:dyDescent="0.2">
      <c r="A1563" s="63"/>
      <c r="B1563" s="396"/>
      <c r="C1563" s="122"/>
      <c r="D1563" s="75"/>
      <c r="E1563" s="395"/>
      <c r="F1563" s="395"/>
      <c r="G1563" s="395"/>
      <c r="H1563" s="67"/>
      <c r="I1563" s="69"/>
      <c r="J1563" s="134"/>
      <c r="K1563" s="324">
        <v>0.2999</v>
      </c>
      <c r="L1563" s="191">
        <f t="shared" si="212"/>
        <v>1.4842</v>
      </c>
      <c r="M1563" s="401"/>
      <c r="N1563" s="86"/>
    </row>
    <row r="1564" spans="1:14" s="64" customFormat="1" x14ac:dyDescent="0.2">
      <c r="A1564" s="63"/>
      <c r="B1564" s="396"/>
      <c r="C1564" s="122"/>
      <c r="D1564" s="75"/>
      <c r="E1564" s="395"/>
      <c r="F1564" s="395"/>
      <c r="G1564" s="395"/>
      <c r="H1564" s="67"/>
      <c r="I1564" s="69"/>
      <c r="J1564" s="134"/>
      <c r="K1564" s="324">
        <v>0.2999</v>
      </c>
      <c r="L1564" s="191">
        <f t="shared" si="212"/>
        <v>1.4842</v>
      </c>
      <c r="M1564" s="401"/>
      <c r="N1564" s="86"/>
    </row>
    <row r="1565" spans="1:14" s="64" customFormat="1" x14ac:dyDescent="0.2">
      <c r="A1565" s="63"/>
      <c r="B1565" s="396"/>
      <c r="C1565" s="122"/>
      <c r="D1565" s="75"/>
      <c r="E1565" s="395"/>
      <c r="F1565" s="395"/>
      <c r="G1565" s="395"/>
      <c r="H1565" s="67"/>
      <c r="I1565" s="69"/>
      <c r="J1565" s="134"/>
      <c r="K1565" s="324">
        <v>0.2999</v>
      </c>
      <c r="L1565" s="191">
        <f t="shared" si="212"/>
        <v>1.4842</v>
      </c>
      <c r="M1565" s="401"/>
      <c r="N1565" s="86"/>
    </row>
    <row r="1566" spans="1:14" s="64" customFormat="1" x14ac:dyDescent="0.2">
      <c r="A1566" s="63"/>
      <c r="B1566" s="396"/>
      <c r="C1566" s="122"/>
      <c r="D1566" s="75"/>
      <c r="E1566" s="395"/>
      <c r="F1566" s="395"/>
      <c r="G1566" s="395"/>
      <c r="H1566" s="67"/>
      <c r="I1566" s="69"/>
      <c r="J1566" s="134"/>
      <c r="K1566" s="324">
        <v>0.2999</v>
      </c>
      <c r="L1566" s="191">
        <f t="shared" si="212"/>
        <v>1.4842</v>
      </c>
      <c r="M1566" s="401"/>
      <c r="N1566" s="86"/>
    </row>
    <row r="1567" spans="1:14" s="64" customFormat="1" x14ac:dyDescent="0.2">
      <c r="A1567" s="63"/>
      <c r="B1567" s="396"/>
      <c r="C1567" s="122"/>
      <c r="D1567" s="75"/>
      <c r="E1567" s="395"/>
      <c r="F1567" s="395"/>
      <c r="G1567" s="395"/>
      <c r="H1567" s="67"/>
      <c r="I1567" s="69"/>
      <c r="J1567" s="134"/>
      <c r="K1567" s="324">
        <v>0.2999</v>
      </c>
      <c r="L1567" s="191">
        <f t="shared" si="212"/>
        <v>1.4842</v>
      </c>
      <c r="M1567" s="401"/>
      <c r="N1567" s="86"/>
    </row>
    <row r="1568" spans="1:14" s="64" customFormat="1" x14ac:dyDescent="0.2">
      <c r="A1568" s="63"/>
      <c r="B1568" s="396"/>
      <c r="C1568" s="122"/>
      <c r="D1568" s="75"/>
      <c r="E1568" s="395"/>
      <c r="F1568" s="395"/>
      <c r="G1568" s="395"/>
      <c r="H1568" s="67"/>
      <c r="I1568" s="69"/>
      <c r="J1568" s="134"/>
      <c r="K1568" s="324">
        <v>0.2999</v>
      </c>
      <c r="L1568" s="191">
        <f t="shared" si="212"/>
        <v>1.4842</v>
      </c>
      <c r="M1568" s="401"/>
      <c r="N1568" s="86"/>
    </row>
    <row r="1569" spans="1:14" s="64" customFormat="1" x14ac:dyDescent="0.2">
      <c r="A1569" s="63"/>
      <c r="B1569" s="396"/>
      <c r="C1569" s="122"/>
      <c r="D1569" s="75"/>
      <c r="E1569" s="395"/>
      <c r="F1569" s="395"/>
      <c r="G1569" s="395"/>
      <c r="H1569" s="67"/>
      <c r="I1569" s="69"/>
      <c r="J1569" s="134"/>
      <c r="K1569" s="324">
        <v>0.2999</v>
      </c>
      <c r="L1569" s="191">
        <f t="shared" si="212"/>
        <v>1.4842</v>
      </c>
      <c r="M1569" s="401"/>
      <c r="N1569" s="86"/>
    </row>
    <row r="1570" spans="1:14" s="64" customFormat="1" x14ac:dyDescent="0.2">
      <c r="A1570" s="63"/>
      <c r="B1570" s="396"/>
      <c r="C1570" s="122"/>
      <c r="D1570" s="75"/>
      <c r="E1570" s="395"/>
      <c r="F1570" s="395"/>
      <c r="G1570" s="395"/>
      <c r="H1570" s="67"/>
      <c r="I1570" s="69"/>
      <c r="J1570" s="134"/>
      <c r="K1570" s="324">
        <v>0.2999</v>
      </c>
      <c r="L1570" s="191">
        <f t="shared" si="212"/>
        <v>1.4842</v>
      </c>
      <c r="M1570" s="401"/>
      <c r="N1570" s="86"/>
    </row>
    <row r="1571" spans="1:14" s="64" customFormat="1" x14ac:dyDescent="0.2">
      <c r="A1571" s="63"/>
      <c r="B1571" s="396"/>
      <c r="C1571" s="122"/>
      <c r="D1571" s="75"/>
      <c r="E1571" s="395"/>
      <c r="F1571" s="395"/>
      <c r="G1571" s="395"/>
      <c r="H1571" s="67"/>
      <c r="I1571" s="69"/>
      <c r="J1571" s="134"/>
      <c r="K1571" s="324">
        <v>0.2999</v>
      </c>
      <c r="L1571" s="191">
        <f t="shared" si="212"/>
        <v>1.4842</v>
      </c>
      <c r="M1571" s="401"/>
      <c r="N1571" s="86"/>
    </row>
    <row r="1572" spans="1:14" s="64" customFormat="1" x14ac:dyDescent="0.2">
      <c r="A1572" s="63"/>
      <c r="B1572" s="396"/>
      <c r="C1572" s="122"/>
      <c r="D1572" s="75"/>
      <c r="E1572" s="395"/>
      <c r="F1572" s="395"/>
      <c r="G1572" s="395"/>
      <c r="H1572" s="67"/>
      <c r="I1572" s="69"/>
      <c r="J1572" s="134"/>
      <c r="K1572" s="324">
        <v>0.2999</v>
      </c>
      <c r="L1572" s="191">
        <f t="shared" si="212"/>
        <v>1.4842</v>
      </c>
      <c r="M1572" s="401"/>
      <c r="N1572" s="86"/>
    </row>
    <row r="1573" spans="1:14" s="64" customFormat="1" x14ac:dyDescent="0.2">
      <c r="A1573" s="63"/>
      <c r="B1573" s="396"/>
      <c r="C1573" s="122"/>
      <c r="D1573" s="75"/>
      <c r="E1573" s="395"/>
      <c r="F1573" s="395"/>
      <c r="G1573" s="395"/>
      <c r="H1573" s="67"/>
      <c r="I1573" s="69"/>
      <c r="J1573" s="134"/>
      <c r="K1573" s="324">
        <v>0.2999</v>
      </c>
      <c r="L1573" s="191">
        <f t="shared" si="212"/>
        <v>1.4842</v>
      </c>
      <c r="M1573" s="401"/>
      <c r="N1573" s="86"/>
    </row>
    <row r="1574" spans="1:14" s="64" customFormat="1" x14ac:dyDescent="0.2">
      <c r="A1574" s="63"/>
      <c r="B1574" s="396"/>
      <c r="C1574" s="122"/>
      <c r="D1574" s="75"/>
      <c r="E1574" s="395"/>
      <c r="F1574" s="395"/>
      <c r="G1574" s="395"/>
      <c r="H1574" s="67"/>
      <c r="I1574" s="69"/>
      <c r="J1574" s="134"/>
      <c r="K1574" s="324">
        <v>0.2999</v>
      </c>
      <c r="L1574" s="191">
        <f t="shared" si="212"/>
        <v>1.4842</v>
      </c>
      <c r="M1574" s="401"/>
      <c r="N1574" s="86"/>
    </row>
    <row r="1575" spans="1:14" s="64" customFormat="1" x14ac:dyDescent="0.2">
      <c r="A1575" s="63"/>
      <c r="B1575" s="396"/>
      <c r="C1575" s="122"/>
      <c r="D1575" s="75"/>
      <c r="E1575" s="395"/>
      <c r="F1575" s="395"/>
      <c r="G1575" s="395"/>
      <c r="H1575" s="67"/>
      <c r="I1575" s="69"/>
      <c r="J1575" s="134"/>
      <c r="K1575" s="324">
        <v>0.2999</v>
      </c>
      <c r="L1575" s="191">
        <f t="shared" si="212"/>
        <v>1.4842</v>
      </c>
      <c r="M1575" s="401"/>
      <c r="N1575" s="86"/>
    </row>
    <row r="1576" spans="1:14" s="64" customFormat="1" x14ac:dyDescent="0.2">
      <c r="A1576" s="63"/>
      <c r="B1576" s="396"/>
      <c r="C1576" s="122"/>
      <c r="D1576" s="75"/>
      <c r="E1576" s="395"/>
      <c r="F1576" s="395"/>
      <c r="G1576" s="395"/>
      <c r="H1576" s="67"/>
      <c r="I1576" s="69"/>
      <c r="J1576" s="134"/>
      <c r="K1576" s="324">
        <v>0.2999</v>
      </c>
      <c r="L1576" s="191">
        <f t="shared" si="212"/>
        <v>1.4842</v>
      </c>
      <c r="M1576" s="401"/>
      <c r="N1576" s="86"/>
    </row>
    <row r="1577" spans="1:14" s="64" customFormat="1" x14ac:dyDescent="0.2">
      <c r="A1577" s="63"/>
      <c r="B1577" s="396"/>
      <c r="C1577" s="122"/>
      <c r="D1577" s="75"/>
      <c r="E1577" s="395"/>
      <c r="F1577" s="395"/>
      <c r="G1577" s="395"/>
      <c r="H1577" s="67"/>
      <c r="I1577" s="69"/>
      <c r="J1577" s="134"/>
      <c r="K1577" s="324">
        <v>0.2999</v>
      </c>
      <c r="L1577" s="191">
        <f t="shared" si="212"/>
        <v>1.4842</v>
      </c>
      <c r="M1577" s="401"/>
      <c r="N1577" s="86"/>
    </row>
    <row r="1578" spans="1:14" s="64" customFormat="1" x14ac:dyDescent="0.2">
      <c r="A1578" s="63"/>
      <c r="B1578" s="396"/>
      <c r="C1578" s="122"/>
      <c r="D1578" s="75"/>
      <c r="E1578" s="395"/>
      <c r="F1578" s="395"/>
      <c r="G1578" s="395"/>
      <c r="H1578" s="67"/>
      <c r="I1578" s="69"/>
      <c r="J1578" s="134"/>
      <c r="K1578" s="324">
        <v>0.2999</v>
      </c>
      <c r="L1578" s="191">
        <f t="shared" si="212"/>
        <v>1.4842</v>
      </c>
      <c r="M1578" s="401"/>
      <c r="N1578" s="86"/>
    </row>
    <row r="1579" spans="1:14" s="64" customFormat="1" x14ac:dyDescent="0.2">
      <c r="A1579" s="63"/>
      <c r="B1579" s="396"/>
      <c r="C1579" s="122"/>
      <c r="D1579" s="75"/>
      <c r="E1579" s="395"/>
      <c r="F1579" s="395"/>
      <c r="G1579" s="395"/>
      <c r="H1579" s="67"/>
      <c r="I1579" s="69"/>
      <c r="J1579" s="134"/>
      <c r="K1579" s="324">
        <v>0.2999</v>
      </c>
      <c r="L1579" s="191">
        <f t="shared" si="212"/>
        <v>1.4842</v>
      </c>
      <c r="M1579" s="401"/>
      <c r="N1579" s="86"/>
    </row>
    <row r="1580" spans="1:14" s="64" customFormat="1" x14ac:dyDescent="0.2">
      <c r="A1580" s="63"/>
      <c r="B1580" s="396"/>
      <c r="C1580" s="122"/>
      <c r="D1580" s="75"/>
      <c r="E1580" s="395"/>
      <c r="F1580" s="395"/>
      <c r="G1580" s="395"/>
      <c r="H1580" s="67"/>
      <c r="I1580" s="69"/>
      <c r="J1580" s="134"/>
      <c r="K1580" s="324">
        <v>0.2999</v>
      </c>
      <c r="L1580" s="191">
        <f t="shared" si="212"/>
        <v>1.4842</v>
      </c>
      <c r="M1580" s="401"/>
      <c r="N1580" s="86"/>
    </row>
    <row r="1581" spans="1:14" s="64" customFormat="1" x14ac:dyDescent="0.2">
      <c r="A1581" s="63"/>
      <c r="B1581" s="396"/>
      <c r="C1581" s="122"/>
      <c r="D1581" s="75"/>
      <c r="E1581" s="395"/>
      <c r="F1581" s="395"/>
      <c r="G1581" s="395"/>
      <c r="H1581" s="67"/>
      <c r="I1581" s="69"/>
      <c r="J1581" s="134"/>
      <c r="K1581" s="324">
        <v>0.2999</v>
      </c>
      <c r="L1581" s="191">
        <f t="shared" si="212"/>
        <v>1.4842</v>
      </c>
      <c r="M1581" s="401"/>
      <c r="N1581" s="86"/>
    </row>
    <row r="1582" spans="1:14" s="64" customFormat="1" x14ac:dyDescent="0.2">
      <c r="A1582" s="63"/>
      <c r="B1582" s="396"/>
      <c r="C1582" s="122"/>
      <c r="D1582" s="75"/>
      <c r="E1582" s="395"/>
      <c r="F1582" s="395"/>
      <c r="G1582" s="395"/>
      <c r="H1582" s="67"/>
      <c r="I1582" s="69"/>
      <c r="J1582" s="134"/>
      <c r="K1582" s="324">
        <v>0.2999</v>
      </c>
      <c r="L1582" s="191">
        <f t="shared" si="212"/>
        <v>1.4842</v>
      </c>
      <c r="M1582" s="401"/>
      <c r="N1582" s="86"/>
    </row>
    <row r="1583" spans="1:14" s="64" customFormat="1" x14ac:dyDescent="0.2">
      <c r="A1583" s="63"/>
      <c r="B1583" s="396"/>
      <c r="C1583" s="122"/>
      <c r="D1583" s="75"/>
      <c r="E1583" s="395"/>
      <c r="F1583" s="395"/>
      <c r="G1583" s="395"/>
      <c r="H1583" s="67"/>
      <c r="I1583" s="69"/>
      <c r="J1583" s="134"/>
      <c r="K1583" s="324">
        <v>0.2999</v>
      </c>
      <c r="L1583" s="191">
        <f t="shared" si="212"/>
        <v>1.4842</v>
      </c>
      <c r="M1583" s="401"/>
      <c r="N1583" s="86"/>
    </row>
    <row r="1584" spans="1:14" s="64" customFormat="1" x14ac:dyDescent="0.2">
      <c r="A1584" s="63"/>
      <c r="B1584" s="396"/>
      <c r="C1584" s="122"/>
      <c r="D1584" s="75"/>
      <c r="E1584" s="395"/>
      <c r="F1584" s="395"/>
      <c r="G1584" s="395"/>
      <c r="H1584" s="67"/>
      <c r="I1584" s="69"/>
      <c r="J1584" s="134"/>
      <c r="K1584" s="324">
        <v>0.2999</v>
      </c>
      <c r="L1584" s="191">
        <f t="shared" ref="L1584:L1618" si="213">L1583</f>
        <v>1.4842</v>
      </c>
      <c r="M1584" s="401"/>
      <c r="N1584" s="86"/>
    </row>
    <row r="1585" spans="1:14" s="64" customFormat="1" x14ac:dyDescent="0.2">
      <c r="A1585" s="63"/>
      <c r="B1585" s="396"/>
      <c r="C1585" s="122"/>
      <c r="D1585" s="75"/>
      <c r="E1585" s="395"/>
      <c r="F1585" s="395"/>
      <c r="G1585" s="395"/>
      <c r="H1585" s="67"/>
      <c r="I1585" s="69"/>
      <c r="J1585" s="134"/>
      <c r="K1585" s="324">
        <v>0.2999</v>
      </c>
      <c r="L1585" s="191">
        <f t="shared" si="213"/>
        <v>1.4842</v>
      </c>
      <c r="M1585" s="401"/>
      <c r="N1585" s="86"/>
    </row>
    <row r="1586" spans="1:14" s="64" customFormat="1" x14ac:dyDescent="0.2">
      <c r="A1586" s="63"/>
      <c r="B1586" s="396"/>
      <c r="C1586" s="122"/>
      <c r="D1586" s="75"/>
      <c r="E1586" s="395"/>
      <c r="F1586" s="395"/>
      <c r="G1586" s="395"/>
      <c r="H1586" s="67"/>
      <c r="I1586" s="69"/>
      <c r="J1586" s="134"/>
      <c r="K1586" s="324">
        <v>0.2999</v>
      </c>
      <c r="L1586" s="191">
        <f t="shared" si="213"/>
        <v>1.4842</v>
      </c>
      <c r="M1586" s="401"/>
      <c r="N1586" s="86"/>
    </row>
    <row r="1587" spans="1:14" s="64" customFormat="1" x14ac:dyDescent="0.2">
      <c r="A1587" s="63"/>
      <c r="B1587" s="396"/>
      <c r="C1587" s="122"/>
      <c r="D1587" s="75"/>
      <c r="E1587" s="395"/>
      <c r="F1587" s="395"/>
      <c r="G1587" s="395"/>
      <c r="H1587" s="67"/>
      <c r="I1587" s="69"/>
      <c r="J1587" s="134"/>
      <c r="K1587" s="324">
        <v>0.2999</v>
      </c>
      <c r="L1587" s="191">
        <f t="shared" si="213"/>
        <v>1.4842</v>
      </c>
      <c r="M1587" s="401"/>
      <c r="N1587" s="86"/>
    </row>
    <row r="1588" spans="1:14" s="64" customFormat="1" x14ac:dyDescent="0.2">
      <c r="A1588" s="63"/>
      <c r="B1588" s="396"/>
      <c r="C1588" s="122"/>
      <c r="D1588" s="75"/>
      <c r="E1588" s="395"/>
      <c r="F1588" s="395"/>
      <c r="G1588" s="395"/>
      <c r="H1588" s="67"/>
      <c r="I1588" s="69"/>
      <c r="J1588" s="134"/>
      <c r="K1588" s="324">
        <v>0.2999</v>
      </c>
      <c r="L1588" s="191">
        <f t="shared" si="213"/>
        <v>1.4842</v>
      </c>
      <c r="M1588" s="401"/>
      <c r="N1588" s="86"/>
    </row>
    <row r="1589" spans="1:14" s="64" customFormat="1" x14ac:dyDescent="0.2">
      <c r="A1589" s="63"/>
      <c r="B1589" s="396"/>
      <c r="C1589" s="122"/>
      <c r="D1589" s="75"/>
      <c r="E1589" s="395"/>
      <c r="F1589" s="395"/>
      <c r="G1589" s="395"/>
      <c r="H1589" s="67"/>
      <c r="I1589" s="69"/>
      <c r="J1589" s="134"/>
      <c r="K1589" s="324">
        <v>0.2999</v>
      </c>
      <c r="L1589" s="191">
        <f t="shared" si="213"/>
        <v>1.4842</v>
      </c>
      <c r="M1589" s="401"/>
      <c r="N1589" s="86"/>
    </row>
    <row r="1590" spans="1:14" s="64" customFormat="1" x14ac:dyDescent="0.2">
      <c r="A1590" s="63"/>
      <c r="B1590" s="396"/>
      <c r="C1590" s="122"/>
      <c r="D1590" s="75"/>
      <c r="E1590" s="395"/>
      <c r="F1590" s="395"/>
      <c r="G1590" s="395"/>
      <c r="H1590" s="67"/>
      <c r="I1590" s="69"/>
      <c r="J1590" s="134"/>
      <c r="K1590" s="324">
        <v>0.2999</v>
      </c>
      <c r="L1590" s="191">
        <f t="shared" si="213"/>
        <v>1.4842</v>
      </c>
      <c r="M1590" s="401"/>
      <c r="N1590" s="86"/>
    </row>
    <row r="1591" spans="1:14" s="64" customFormat="1" x14ac:dyDescent="0.2">
      <c r="A1591" s="63"/>
      <c r="B1591" s="396"/>
      <c r="C1591" s="122"/>
      <c r="D1591" s="75"/>
      <c r="E1591" s="395"/>
      <c r="F1591" s="395"/>
      <c r="G1591" s="395"/>
      <c r="H1591" s="67"/>
      <c r="I1591" s="69"/>
      <c r="J1591" s="134"/>
      <c r="K1591" s="324">
        <v>0.2999</v>
      </c>
      <c r="L1591" s="191">
        <f t="shared" si="213"/>
        <v>1.4842</v>
      </c>
      <c r="M1591" s="401"/>
      <c r="N1591" s="86"/>
    </row>
    <row r="1592" spans="1:14" s="64" customFormat="1" x14ac:dyDescent="0.2">
      <c r="A1592" s="63"/>
      <c r="B1592" s="396"/>
      <c r="C1592" s="122"/>
      <c r="D1592" s="75"/>
      <c r="E1592" s="395"/>
      <c r="F1592" s="395"/>
      <c r="G1592" s="395"/>
      <c r="H1592" s="67"/>
      <c r="I1592" s="69"/>
      <c r="J1592" s="134"/>
      <c r="K1592" s="324">
        <v>0.2999</v>
      </c>
      <c r="L1592" s="191">
        <f t="shared" si="213"/>
        <v>1.4842</v>
      </c>
      <c r="M1592" s="401"/>
      <c r="N1592" s="86"/>
    </row>
    <row r="1593" spans="1:14" s="64" customFormat="1" x14ac:dyDescent="0.2">
      <c r="A1593" s="63"/>
      <c r="B1593" s="396"/>
      <c r="C1593" s="122"/>
      <c r="D1593" s="75"/>
      <c r="E1593" s="395"/>
      <c r="F1593" s="395"/>
      <c r="G1593" s="395"/>
      <c r="H1593" s="67"/>
      <c r="I1593" s="69"/>
      <c r="J1593" s="134"/>
      <c r="K1593" s="324">
        <v>0.2999</v>
      </c>
      <c r="L1593" s="191">
        <f t="shared" si="213"/>
        <v>1.4842</v>
      </c>
      <c r="M1593" s="401"/>
      <c r="N1593" s="86"/>
    </row>
    <row r="1594" spans="1:14" s="64" customFormat="1" x14ac:dyDescent="0.2">
      <c r="A1594" s="63"/>
      <c r="B1594" s="396"/>
      <c r="C1594" s="122"/>
      <c r="D1594" s="75"/>
      <c r="E1594" s="395"/>
      <c r="F1594" s="395"/>
      <c r="G1594" s="395"/>
      <c r="H1594" s="67"/>
      <c r="I1594" s="69"/>
      <c r="J1594" s="134"/>
      <c r="K1594" s="324">
        <v>0.2999</v>
      </c>
      <c r="L1594" s="191">
        <f t="shared" si="213"/>
        <v>1.4842</v>
      </c>
      <c r="M1594" s="401"/>
      <c r="N1594" s="86"/>
    </row>
    <row r="1595" spans="1:14" s="64" customFormat="1" x14ac:dyDescent="0.2">
      <c r="A1595" s="63"/>
      <c r="B1595" s="396"/>
      <c r="C1595" s="122"/>
      <c r="D1595" s="75"/>
      <c r="E1595" s="395"/>
      <c r="F1595" s="395"/>
      <c r="G1595" s="395"/>
      <c r="H1595" s="67"/>
      <c r="I1595" s="69"/>
      <c r="J1595" s="134"/>
      <c r="K1595" s="324">
        <v>0.2999</v>
      </c>
      <c r="L1595" s="191">
        <f t="shared" si="213"/>
        <v>1.4842</v>
      </c>
      <c r="M1595" s="401"/>
      <c r="N1595" s="86"/>
    </row>
    <row r="1596" spans="1:14" s="64" customFormat="1" x14ac:dyDescent="0.2">
      <c r="A1596" s="63"/>
      <c r="B1596" s="396"/>
      <c r="C1596" s="122"/>
      <c r="D1596" s="75"/>
      <c r="E1596" s="395"/>
      <c r="F1596" s="395"/>
      <c r="G1596" s="395"/>
      <c r="H1596" s="67"/>
      <c r="I1596" s="69"/>
      <c r="J1596" s="134"/>
      <c r="K1596" s="324">
        <v>0.2999</v>
      </c>
      <c r="L1596" s="191">
        <f t="shared" si="213"/>
        <v>1.4842</v>
      </c>
      <c r="M1596" s="401"/>
      <c r="N1596" s="86"/>
    </row>
    <row r="1597" spans="1:14" s="64" customFormat="1" x14ac:dyDescent="0.2">
      <c r="A1597" s="63"/>
      <c r="B1597" s="396"/>
      <c r="C1597" s="122"/>
      <c r="D1597" s="75"/>
      <c r="E1597" s="395"/>
      <c r="F1597" s="395"/>
      <c r="G1597" s="395"/>
      <c r="H1597" s="67"/>
      <c r="I1597" s="69"/>
      <c r="J1597" s="134"/>
      <c r="K1597" s="324">
        <v>0.2999</v>
      </c>
      <c r="L1597" s="191">
        <f t="shared" si="213"/>
        <v>1.4842</v>
      </c>
      <c r="M1597" s="401"/>
      <c r="N1597" s="86"/>
    </row>
    <row r="1598" spans="1:14" s="64" customFormat="1" x14ac:dyDescent="0.2">
      <c r="A1598" s="63"/>
      <c r="B1598" s="396"/>
      <c r="C1598" s="122"/>
      <c r="D1598" s="75"/>
      <c r="E1598" s="395"/>
      <c r="F1598" s="395"/>
      <c r="G1598" s="395"/>
      <c r="H1598" s="67"/>
      <c r="I1598" s="69"/>
      <c r="J1598" s="134"/>
      <c r="K1598" s="324">
        <v>0.2999</v>
      </c>
      <c r="L1598" s="191">
        <f t="shared" si="213"/>
        <v>1.4842</v>
      </c>
      <c r="M1598" s="401"/>
      <c r="N1598" s="86"/>
    </row>
    <row r="1599" spans="1:14" s="64" customFormat="1" x14ac:dyDescent="0.2">
      <c r="A1599" s="63"/>
      <c r="B1599" s="396"/>
      <c r="C1599" s="122"/>
      <c r="D1599" s="75"/>
      <c r="E1599" s="395"/>
      <c r="F1599" s="395"/>
      <c r="G1599" s="395"/>
      <c r="H1599" s="67"/>
      <c r="I1599" s="69"/>
      <c r="J1599" s="134"/>
      <c r="K1599" s="324">
        <v>0.2999</v>
      </c>
      <c r="L1599" s="191">
        <f t="shared" si="213"/>
        <v>1.4842</v>
      </c>
      <c r="M1599" s="401"/>
      <c r="N1599" s="86"/>
    </row>
    <row r="1600" spans="1:14" s="64" customFormat="1" x14ac:dyDescent="0.2">
      <c r="A1600" s="63"/>
      <c r="B1600" s="396"/>
      <c r="C1600" s="122"/>
      <c r="D1600" s="75"/>
      <c r="E1600" s="395"/>
      <c r="F1600" s="395"/>
      <c r="G1600" s="395"/>
      <c r="H1600" s="67"/>
      <c r="I1600" s="69"/>
      <c r="J1600" s="134"/>
      <c r="K1600" s="324">
        <v>0.2999</v>
      </c>
      <c r="L1600" s="191">
        <f t="shared" si="213"/>
        <v>1.4842</v>
      </c>
      <c r="M1600" s="401"/>
      <c r="N1600" s="86"/>
    </row>
    <row r="1601" spans="1:14" s="64" customFormat="1" x14ac:dyDescent="0.2">
      <c r="A1601" s="63"/>
      <c r="B1601" s="396"/>
      <c r="C1601" s="122"/>
      <c r="D1601" s="75"/>
      <c r="E1601" s="395"/>
      <c r="F1601" s="395"/>
      <c r="G1601" s="395"/>
      <c r="H1601" s="67"/>
      <c r="I1601" s="69"/>
      <c r="J1601" s="134"/>
      <c r="K1601" s="324">
        <v>0.2999</v>
      </c>
      <c r="L1601" s="191">
        <f t="shared" si="213"/>
        <v>1.4842</v>
      </c>
      <c r="M1601" s="401"/>
      <c r="N1601" s="86"/>
    </row>
    <row r="1602" spans="1:14" s="64" customFormat="1" x14ac:dyDescent="0.2">
      <c r="A1602" s="63"/>
      <c r="B1602" s="396"/>
      <c r="C1602" s="122"/>
      <c r="D1602" s="75"/>
      <c r="E1602" s="395"/>
      <c r="F1602" s="395"/>
      <c r="G1602" s="395"/>
      <c r="H1602" s="67"/>
      <c r="I1602" s="69"/>
      <c r="J1602" s="134"/>
      <c r="K1602" s="324">
        <v>0.2999</v>
      </c>
      <c r="L1602" s="191">
        <f t="shared" si="213"/>
        <v>1.4842</v>
      </c>
      <c r="M1602" s="401"/>
      <c r="N1602" s="86"/>
    </row>
    <row r="1603" spans="1:14" s="64" customFormat="1" x14ac:dyDescent="0.2">
      <c r="A1603" s="63"/>
      <c r="B1603" s="396"/>
      <c r="C1603" s="122"/>
      <c r="D1603" s="75"/>
      <c r="E1603" s="395"/>
      <c r="F1603" s="395"/>
      <c r="G1603" s="395"/>
      <c r="H1603" s="67"/>
      <c r="I1603" s="69"/>
      <c r="J1603" s="134"/>
      <c r="K1603" s="324">
        <v>0.2999</v>
      </c>
      <c r="L1603" s="191">
        <f t="shared" si="213"/>
        <v>1.4842</v>
      </c>
      <c r="M1603" s="401"/>
      <c r="N1603" s="86"/>
    </row>
    <row r="1604" spans="1:14" s="64" customFormat="1" x14ac:dyDescent="0.2">
      <c r="A1604" s="63"/>
      <c r="B1604" s="396"/>
      <c r="C1604" s="122"/>
      <c r="D1604" s="75"/>
      <c r="E1604" s="395"/>
      <c r="F1604" s="395"/>
      <c r="G1604" s="395"/>
      <c r="H1604" s="67"/>
      <c r="I1604" s="69"/>
      <c r="J1604" s="134"/>
      <c r="K1604" s="324">
        <v>0.2999</v>
      </c>
      <c r="L1604" s="191">
        <f t="shared" si="213"/>
        <v>1.4842</v>
      </c>
      <c r="M1604" s="401"/>
      <c r="N1604" s="86"/>
    </row>
    <row r="1605" spans="1:14" s="64" customFormat="1" x14ac:dyDescent="0.2">
      <c r="A1605" s="63"/>
      <c r="B1605" s="396"/>
      <c r="C1605" s="122"/>
      <c r="D1605" s="75"/>
      <c r="E1605" s="395"/>
      <c r="F1605" s="395"/>
      <c r="G1605" s="395"/>
      <c r="H1605" s="67"/>
      <c r="I1605" s="69"/>
      <c r="J1605" s="134"/>
      <c r="K1605" s="324">
        <v>0.2999</v>
      </c>
      <c r="L1605" s="191">
        <f t="shared" si="213"/>
        <v>1.4842</v>
      </c>
      <c r="M1605" s="401"/>
      <c r="N1605" s="86"/>
    </row>
    <row r="1606" spans="1:14" s="64" customFormat="1" x14ac:dyDescent="0.2">
      <c r="A1606" s="63"/>
      <c r="B1606" s="396"/>
      <c r="C1606" s="122"/>
      <c r="D1606" s="75"/>
      <c r="E1606" s="395"/>
      <c r="F1606" s="395"/>
      <c r="G1606" s="395"/>
      <c r="H1606" s="67"/>
      <c r="I1606" s="69"/>
      <c r="J1606" s="134"/>
      <c r="K1606" s="324">
        <v>0.2999</v>
      </c>
      <c r="L1606" s="191">
        <f t="shared" si="213"/>
        <v>1.4842</v>
      </c>
      <c r="M1606" s="401"/>
      <c r="N1606" s="86"/>
    </row>
    <row r="1607" spans="1:14" s="64" customFormat="1" x14ac:dyDescent="0.2">
      <c r="A1607" s="63"/>
      <c r="B1607" s="396"/>
      <c r="C1607" s="122"/>
      <c r="D1607" s="75"/>
      <c r="E1607" s="395"/>
      <c r="F1607" s="395"/>
      <c r="G1607" s="395"/>
      <c r="H1607" s="67"/>
      <c r="I1607" s="69"/>
      <c r="J1607" s="134"/>
      <c r="K1607" s="324">
        <v>0.2999</v>
      </c>
      <c r="L1607" s="191">
        <f t="shared" si="213"/>
        <v>1.4842</v>
      </c>
      <c r="M1607" s="401"/>
      <c r="N1607" s="86"/>
    </row>
    <row r="1608" spans="1:14" s="64" customFormat="1" x14ac:dyDescent="0.2">
      <c r="A1608" s="63"/>
      <c r="B1608" s="396"/>
      <c r="C1608" s="122"/>
      <c r="D1608" s="75"/>
      <c r="E1608" s="395"/>
      <c r="F1608" s="395"/>
      <c r="G1608" s="395"/>
      <c r="H1608" s="67"/>
      <c r="I1608" s="69"/>
      <c r="J1608" s="134"/>
      <c r="K1608" s="324">
        <v>0.2999</v>
      </c>
      <c r="L1608" s="191">
        <f t="shared" si="213"/>
        <v>1.4842</v>
      </c>
      <c r="M1608" s="401"/>
      <c r="N1608" s="86"/>
    </row>
    <row r="1609" spans="1:14" s="64" customFormat="1" x14ac:dyDescent="0.2">
      <c r="A1609" s="63"/>
      <c r="B1609" s="396"/>
      <c r="C1609" s="122"/>
      <c r="D1609" s="75"/>
      <c r="E1609" s="395"/>
      <c r="F1609" s="395"/>
      <c r="G1609" s="395"/>
      <c r="H1609" s="67"/>
      <c r="I1609" s="69"/>
      <c r="J1609" s="134"/>
      <c r="K1609" s="324">
        <v>0.2999</v>
      </c>
      <c r="L1609" s="191">
        <f t="shared" si="213"/>
        <v>1.4842</v>
      </c>
      <c r="M1609" s="401"/>
      <c r="N1609" s="86"/>
    </row>
    <row r="1610" spans="1:14" s="64" customFormat="1" x14ac:dyDescent="0.2">
      <c r="A1610" s="63"/>
      <c r="B1610" s="396"/>
      <c r="C1610" s="122"/>
      <c r="D1610" s="75"/>
      <c r="E1610" s="395"/>
      <c r="F1610" s="395"/>
      <c r="G1610" s="395"/>
      <c r="H1610" s="67"/>
      <c r="I1610" s="69"/>
      <c r="J1610" s="134"/>
      <c r="K1610" s="324">
        <v>0.2999</v>
      </c>
      <c r="L1610" s="191">
        <f t="shared" si="213"/>
        <v>1.4842</v>
      </c>
      <c r="M1610" s="401"/>
      <c r="N1610" s="86"/>
    </row>
    <row r="1611" spans="1:14" s="64" customFormat="1" x14ac:dyDescent="0.2">
      <c r="A1611" s="63"/>
      <c r="B1611" s="396"/>
      <c r="C1611" s="122"/>
      <c r="D1611" s="75"/>
      <c r="E1611" s="395"/>
      <c r="F1611" s="395"/>
      <c r="G1611" s="395"/>
      <c r="H1611" s="67"/>
      <c r="I1611" s="69"/>
      <c r="J1611" s="134"/>
      <c r="K1611" s="324">
        <v>0.2999</v>
      </c>
      <c r="L1611" s="191">
        <f t="shared" si="213"/>
        <v>1.4842</v>
      </c>
      <c r="M1611" s="401"/>
      <c r="N1611" s="86"/>
    </row>
    <row r="1612" spans="1:14" s="64" customFormat="1" x14ac:dyDescent="0.2">
      <c r="A1612" s="63"/>
      <c r="B1612" s="396"/>
      <c r="C1612" s="122"/>
      <c r="D1612" s="75"/>
      <c r="E1612" s="395"/>
      <c r="F1612" s="395"/>
      <c r="G1612" s="395"/>
      <c r="H1612" s="67"/>
      <c r="I1612" s="69"/>
      <c r="J1612" s="134"/>
      <c r="K1612" s="324">
        <v>0.2999</v>
      </c>
      <c r="L1612" s="191">
        <f t="shared" si="213"/>
        <v>1.4842</v>
      </c>
      <c r="M1612" s="401"/>
      <c r="N1612" s="86"/>
    </row>
    <row r="1613" spans="1:14" s="64" customFormat="1" x14ac:dyDescent="0.2">
      <c r="A1613" s="63"/>
      <c r="B1613" s="396"/>
      <c r="C1613" s="122"/>
      <c r="D1613" s="75"/>
      <c r="E1613" s="395"/>
      <c r="F1613" s="395"/>
      <c r="G1613" s="395"/>
      <c r="H1613" s="67"/>
      <c r="I1613" s="69"/>
      <c r="J1613" s="134"/>
      <c r="K1613" s="324">
        <v>0.2999</v>
      </c>
      <c r="L1613" s="191">
        <f t="shared" si="213"/>
        <v>1.4842</v>
      </c>
      <c r="M1613" s="401"/>
      <c r="N1613" s="86"/>
    </row>
    <row r="1614" spans="1:14" s="64" customFormat="1" x14ac:dyDescent="0.2">
      <c r="A1614" s="63"/>
      <c r="B1614" s="396"/>
      <c r="C1614" s="122"/>
      <c r="D1614" s="75"/>
      <c r="E1614" s="395"/>
      <c r="F1614" s="395"/>
      <c r="G1614" s="395"/>
      <c r="H1614" s="67"/>
      <c r="I1614" s="69"/>
      <c r="J1614" s="134"/>
      <c r="K1614" s="324">
        <v>0.2999</v>
      </c>
      <c r="L1614" s="191">
        <f t="shared" si="213"/>
        <v>1.4842</v>
      </c>
      <c r="M1614" s="401"/>
      <c r="N1614" s="86"/>
    </row>
    <row r="1615" spans="1:14" s="64" customFormat="1" x14ac:dyDescent="0.2">
      <c r="A1615" s="63"/>
      <c r="B1615" s="396"/>
      <c r="C1615" s="122"/>
      <c r="D1615" s="75"/>
      <c r="E1615" s="395"/>
      <c r="F1615" s="395"/>
      <c r="G1615" s="395"/>
      <c r="H1615" s="67"/>
      <c r="I1615" s="69"/>
      <c r="J1615" s="134"/>
      <c r="K1615" s="324">
        <v>0.2999</v>
      </c>
      <c r="L1615" s="191">
        <f t="shared" si="213"/>
        <v>1.4842</v>
      </c>
      <c r="M1615" s="401"/>
      <c r="N1615" s="86"/>
    </row>
    <row r="1616" spans="1:14" s="64" customFormat="1" x14ac:dyDescent="0.2">
      <c r="A1616" s="63"/>
      <c r="B1616" s="396"/>
      <c r="C1616" s="122"/>
      <c r="D1616" s="75"/>
      <c r="E1616" s="395"/>
      <c r="F1616" s="395"/>
      <c r="G1616" s="395"/>
      <c r="H1616" s="67"/>
      <c r="I1616" s="69"/>
      <c r="J1616" s="134"/>
      <c r="K1616" s="324">
        <v>0.2999</v>
      </c>
      <c r="L1616" s="191">
        <f t="shared" si="213"/>
        <v>1.4842</v>
      </c>
      <c r="M1616" s="401"/>
      <c r="N1616" s="86"/>
    </row>
    <row r="1617" spans="1:14" s="64" customFormat="1" x14ac:dyDescent="0.2">
      <c r="A1617" s="63"/>
      <c r="B1617" s="396"/>
      <c r="C1617" s="122"/>
      <c r="D1617" s="75"/>
      <c r="E1617" s="395"/>
      <c r="F1617" s="395"/>
      <c r="G1617" s="395"/>
      <c r="H1617" s="67"/>
      <c r="I1617" s="69"/>
      <c r="J1617" s="134"/>
      <c r="K1617" s="324">
        <v>0.2999</v>
      </c>
      <c r="L1617" s="191">
        <f t="shared" si="213"/>
        <v>1.4842</v>
      </c>
      <c r="M1617" s="401"/>
      <c r="N1617" s="86"/>
    </row>
    <row r="1618" spans="1:14" s="64" customFormat="1" x14ac:dyDescent="0.2">
      <c r="A1618" s="63"/>
      <c r="B1618" s="396"/>
      <c r="C1618" s="122"/>
      <c r="D1618" s="75"/>
      <c r="E1618" s="395"/>
      <c r="F1618" s="395"/>
      <c r="G1618" s="395"/>
      <c r="H1618" s="67"/>
      <c r="I1618" s="69"/>
      <c r="J1618" s="134"/>
      <c r="K1618" s="324">
        <v>0.2999</v>
      </c>
      <c r="L1618" s="191">
        <f t="shared" si="213"/>
        <v>1.4842</v>
      </c>
      <c r="M1618" s="401"/>
      <c r="N1618" s="86"/>
    </row>
    <row r="1619" spans="1:14" s="64" customFormat="1" x14ac:dyDescent="0.2">
      <c r="A1619" s="63"/>
      <c r="B1619" s="396"/>
      <c r="C1619" s="122"/>
      <c r="D1619" s="75"/>
      <c r="E1619" s="395"/>
      <c r="F1619" s="395"/>
      <c r="G1619" s="395"/>
      <c r="H1619" s="67"/>
      <c r="I1619" s="69"/>
      <c r="J1619" s="134"/>
      <c r="K1619" s="324">
        <v>0.2999</v>
      </c>
      <c r="L1619" s="191">
        <f>L87</f>
        <v>1.4842</v>
      </c>
      <c r="M1619" s="401"/>
      <c r="N1619" s="86"/>
    </row>
    <row r="1620" spans="1:14" s="64" customFormat="1" x14ac:dyDescent="0.2">
      <c r="A1620" s="63"/>
      <c r="B1620" s="396"/>
      <c r="C1620" s="122"/>
      <c r="D1620" s="75"/>
      <c r="E1620" s="395"/>
      <c r="F1620" s="395"/>
      <c r="G1620" s="395"/>
      <c r="H1620" s="67"/>
      <c r="I1620" s="69"/>
      <c r="J1620" s="134"/>
      <c r="K1620" s="324">
        <v>0.2999</v>
      </c>
      <c r="L1620" s="191">
        <f>L88</f>
        <v>1.4842</v>
      </c>
      <c r="M1620" s="401"/>
      <c r="N1620" s="86"/>
    </row>
    <row r="1621" spans="1:14" s="64" customFormat="1" x14ac:dyDescent="0.2">
      <c r="A1621" s="63"/>
      <c r="B1621" s="396"/>
      <c r="C1621" s="122"/>
      <c r="D1621" s="75"/>
      <c r="E1621" s="395"/>
      <c r="F1621" s="395"/>
      <c r="G1621" s="395"/>
      <c r="H1621" s="67"/>
      <c r="I1621" s="69"/>
      <c r="J1621" s="134"/>
      <c r="K1621" s="324">
        <v>0.2999</v>
      </c>
      <c r="L1621" s="191">
        <f>L89</f>
        <v>1.4842</v>
      </c>
      <c r="M1621" s="401"/>
      <c r="N1621" s="86"/>
    </row>
    <row r="1622" spans="1:14" s="64" customFormat="1" x14ac:dyDescent="0.2">
      <c r="A1622" s="63"/>
      <c r="B1622" s="396"/>
      <c r="C1622" s="122"/>
      <c r="D1622" s="75"/>
      <c r="E1622" s="395"/>
      <c r="F1622" s="395"/>
      <c r="G1622" s="395"/>
      <c r="H1622" s="67"/>
      <c r="I1622" s="69"/>
      <c r="J1622" s="134"/>
      <c r="K1622" s="324">
        <v>0.2999</v>
      </c>
      <c r="L1622" s="191">
        <f>L90</f>
        <v>1.4842</v>
      </c>
      <c r="M1622" s="401"/>
      <c r="N1622" s="86"/>
    </row>
    <row r="1623" spans="1:14" s="64" customFormat="1" x14ac:dyDescent="0.2">
      <c r="A1623" s="63"/>
      <c r="B1623" s="396"/>
      <c r="C1623" s="122"/>
      <c r="D1623" s="75"/>
      <c r="E1623" s="395"/>
      <c r="F1623" s="395"/>
      <c r="G1623" s="395"/>
      <c r="H1623" s="67"/>
      <c r="I1623" s="69"/>
      <c r="J1623" s="134"/>
      <c r="K1623" s="324">
        <v>0.2999</v>
      </c>
      <c r="L1623" s="191">
        <f>L91</f>
        <v>1.4842</v>
      </c>
      <c r="M1623" s="401"/>
      <c r="N1623" s="86"/>
    </row>
    <row r="1624" spans="1:14" s="64" customFormat="1" x14ac:dyDescent="0.2">
      <c r="A1624" s="63"/>
      <c r="B1624" s="396"/>
      <c r="C1624" s="122"/>
      <c r="D1624" s="75"/>
      <c r="E1624" s="395"/>
      <c r="F1624" s="395"/>
      <c r="G1624" s="395"/>
      <c r="H1624" s="67"/>
      <c r="I1624" s="69"/>
      <c r="J1624" s="134"/>
      <c r="K1624" s="324">
        <v>0.2999</v>
      </c>
      <c r="L1624" s="191">
        <f>L92</f>
        <v>1.4842</v>
      </c>
      <c r="M1624" s="401"/>
      <c r="N1624" s="86"/>
    </row>
    <row r="1625" spans="1:14" s="64" customFormat="1" x14ac:dyDescent="0.2">
      <c r="A1625" s="63"/>
      <c r="B1625" s="396"/>
      <c r="C1625" s="122"/>
      <c r="D1625" s="75"/>
      <c r="E1625" s="395"/>
      <c r="F1625" s="395"/>
      <c r="G1625" s="395"/>
      <c r="H1625" s="67"/>
      <c r="I1625" s="69"/>
      <c r="J1625" s="134"/>
      <c r="K1625" s="324">
        <v>0.2999</v>
      </c>
      <c r="L1625" s="191">
        <f>L93</f>
        <v>1.4842</v>
      </c>
      <c r="M1625" s="401"/>
      <c r="N1625" s="86"/>
    </row>
    <row r="1626" spans="1:14" s="64" customFormat="1" x14ac:dyDescent="0.2">
      <c r="A1626" s="63"/>
      <c r="B1626" s="396"/>
      <c r="C1626" s="122"/>
      <c r="D1626" s="75"/>
      <c r="E1626" s="395"/>
      <c r="F1626" s="395"/>
      <c r="G1626" s="395"/>
      <c r="H1626" s="67"/>
      <c r="I1626" s="69"/>
      <c r="J1626" s="134"/>
      <c r="K1626" s="324">
        <v>0.2999</v>
      </c>
      <c r="L1626" s="191">
        <f>L94</f>
        <v>1.4842</v>
      </c>
      <c r="M1626" s="401"/>
      <c r="N1626" s="86"/>
    </row>
    <row r="1627" spans="1:14" s="64" customFormat="1" x14ac:dyDescent="0.2">
      <c r="A1627" s="63"/>
      <c r="B1627" s="396"/>
      <c r="C1627" s="122"/>
      <c r="D1627" s="75"/>
      <c r="E1627" s="395"/>
      <c r="F1627" s="395"/>
      <c r="G1627" s="395"/>
      <c r="H1627" s="67"/>
      <c r="I1627" s="69"/>
      <c r="J1627" s="134"/>
      <c r="K1627" s="324">
        <v>0.2999</v>
      </c>
      <c r="L1627" s="191">
        <f>L95</f>
        <v>1.4842</v>
      </c>
      <c r="M1627" s="401"/>
      <c r="N1627" s="86"/>
    </row>
    <row r="1628" spans="1:14" s="64" customFormat="1" x14ac:dyDescent="0.2">
      <c r="A1628" s="63"/>
      <c r="B1628" s="396"/>
      <c r="C1628" s="122"/>
      <c r="D1628" s="75"/>
      <c r="E1628" s="395"/>
      <c r="F1628" s="395"/>
      <c r="G1628" s="395"/>
      <c r="H1628" s="67"/>
      <c r="I1628" s="69"/>
      <c r="J1628" s="134"/>
      <c r="K1628" s="324">
        <v>0.2999</v>
      </c>
      <c r="L1628" s="191">
        <f>L96</f>
        <v>1.4842</v>
      </c>
      <c r="M1628" s="401"/>
      <c r="N1628" s="86"/>
    </row>
    <row r="1629" spans="1:14" s="64" customFormat="1" x14ac:dyDescent="0.2">
      <c r="A1629" s="63"/>
      <c r="B1629" s="396"/>
      <c r="C1629" s="122"/>
      <c r="D1629" s="75"/>
      <c r="E1629" s="395"/>
      <c r="F1629" s="395"/>
      <c r="G1629" s="395"/>
      <c r="H1629" s="67"/>
      <c r="I1629" s="69"/>
      <c r="J1629" s="134"/>
      <c r="K1629" s="324">
        <v>0.2999</v>
      </c>
      <c r="L1629" s="191">
        <f>L97</f>
        <v>1.4842</v>
      </c>
      <c r="M1629" s="401"/>
      <c r="N1629" s="86"/>
    </row>
    <row r="1630" spans="1:14" s="64" customFormat="1" x14ac:dyDescent="0.2">
      <c r="A1630" s="63"/>
      <c r="B1630" s="396"/>
      <c r="C1630" s="122"/>
      <c r="D1630" s="75"/>
      <c r="E1630" s="395"/>
      <c r="F1630" s="395"/>
      <c r="G1630" s="395"/>
      <c r="H1630" s="67"/>
      <c r="I1630" s="69"/>
      <c r="J1630" s="134"/>
      <c r="K1630" s="324">
        <v>0.2999</v>
      </c>
      <c r="L1630" s="191">
        <f>L98</f>
        <v>1.4842</v>
      </c>
      <c r="M1630" s="401"/>
      <c r="N1630" s="86"/>
    </row>
    <row r="1631" spans="1:14" s="64" customFormat="1" x14ac:dyDescent="0.2">
      <c r="A1631" s="63"/>
      <c r="B1631" s="396"/>
      <c r="C1631" s="122"/>
      <c r="D1631" s="75"/>
      <c r="E1631" s="395"/>
      <c r="F1631" s="395"/>
      <c r="G1631" s="395"/>
      <c r="H1631" s="67"/>
      <c r="I1631" s="69"/>
      <c r="J1631" s="134"/>
      <c r="K1631" s="324">
        <v>0.2999</v>
      </c>
      <c r="L1631" s="191">
        <f>L99</f>
        <v>1.4842</v>
      </c>
      <c r="M1631" s="401"/>
      <c r="N1631" s="86"/>
    </row>
    <row r="1632" spans="1:14" s="64" customFormat="1" x14ac:dyDescent="0.2">
      <c r="A1632" s="63"/>
      <c r="B1632" s="396"/>
      <c r="C1632" s="122"/>
      <c r="D1632" s="75"/>
      <c r="E1632" s="395"/>
      <c r="F1632" s="395"/>
      <c r="G1632" s="395"/>
      <c r="H1632" s="67"/>
      <c r="I1632" s="69"/>
      <c r="J1632" s="134"/>
      <c r="K1632" s="324">
        <v>0.2999</v>
      </c>
      <c r="L1632" s="191">
        <f>L100</f>
        <v>1.4842</v>
      </c>
      <c r="M1632" s="401"/>
      <c r="N1632" s="86"/>
    </row>
    <row r="1633" spans="1:14" s="64" customFormat="1" x14ac:dyDescent="0.2">
      <c r="A1633" s="63"/>
      <c r="B1633" s="396"/>
      <c r="C1633" s="122"/>
      <c r="D1633" s="75"/>
      <c r="E1633" s="395"/>
      <c r="F1633" s="395"/>
      <c r="G1633" s="395"/>
      <c r="H1633" s="67"/>
      <c r="I1633" s="69"/>
      <c r="J1633" s="134"/>
      <c r="K1633" s="324">
        <v>0.2999</v>
      </c>
      <c r="L1633" s="191">
        <f>L101</f>
        <v>1.4842</v>
      </c>
      <c r="M1633" s="401"/>
      <c r="N1633" s="86"/>
    </row>
    <row r="1634" spans="1:14" s="64" customFormat="1" x14ac:dyDescent="0.2">
      <c r="A1634" s="63"/>
      <c r="B1634" s="396"/>
      <c r="C1634" s="122"/>
      <c r="D1634" s="75"/>
      <c r="E1634" s="395"/>
      <c r="F1634" s="395"/>
      <c r="G1634" s="395"/>
      <c r="H1634" s="67"/>
      <c r="I1634" s="69"/>
      <c r="J1634" s="134"/>
      <c r="K1634" s="324">
        <v>0.2999</v>
      </c>
      <c r="L1634" s="191">
        <f>L102</f>
        <v>1.4842</v>
      </c>
      <c r="M1634" s="401"/>
      <c r="N1634" s="86"/>
    </row>
    <row r="1635" spans="1:14" s="64" customFormat="1" x14ac:dyDescent="0.2">
      <c r="A1635" s="63"/>
      <c r="B1635" s="396"/>
      <c r="C1635" s="122"/>
      <c r="D1635" s="75"/>
      <c r="E1635" s="395"/>
      <c r="F1635" s="395"/>
      <c r="G1635" s="395"/>
      <c r="H1635" s="67"/>
      <c r="I1635" s="69"/>
      <c r="J1635" s="134"/>
      <c r="K1635" s="324">
        <v>0.2999</v>
      </c>
      <c r="L1635" s="191">
        <f>L103</f>
        <v>1.4842</v>
      </c>
      <c r="M1635" s="401"/>
      <c r="N1635" s="86"/>
    </row>
    <row r="1636" spans="1:14" s="64" customFormat="1" x14ac:dyDescent="0.2">
      <c r="A1636" s="63"/>
      <c r="B1636" s="396"/>
      <c r="C1636" s="122"/>
      <c r="D1636" s="75"/>
      <c r="E1636" s="395"/>
      <c r="F1636" s="395"/>
      <c r="G1636" s="395"/>
      <c r="H1636" s="67"/>
      <c r="I1636" s="69"/>
      <c r="J1636" s="134"/>
      <c r="K1636" s="324">
        <v>0.2999</v>
      </c>
      <c r="L1636" s="191">
        <f>L104</f>
        <v>1.4842</v>
      </c>
      <c r="M1636" s="401"/>
      <c r="N1636" s="86"/>
    </row>
    <row r="1637" spans="1:14" s="64" customFormat="1" x14ac:dyDescent="0.2">
      <c r="A1637" s="63"/>
      <c r="B1637" s="396"/>
      <c r="C1637" s="122"/>
      <c r="D1637" s="75"/>
      <c r="E1637" s="395"/>
      <c r="F1637" s="395"/>
      <c r="G1637" s="395"/>
      <c r="H1637" s="67"/>
      <c r="I1637" s="69"/>
      <c r="J1637" s="134"/>
      <c r="K1637" s="324">
        <v>0.2999</v>
      </c>
      <c r="L1637" s="191">
        <f>L105</f>
        <v>1.4842</v>
      </c>
      <c r="M1637" s="401"/>
      <c r="N1637" s="86"/>
    </row>
    <row r="1638" spans="1:14" s="64" customFormat="1" x14ac:dyDescent="0.2">
      <c r="A1638" s="63"/>
      <c r="B1638" s="396"/>
      <c r="C1638" s="122"/>
      <c r="D1638" s="75"/>
      <c r="E1638" s="395"/>
      <c r="F1638" s="395"/>
      <c r="G1638" s="395"/>
      <c r="H1638" s="67"/>
      <c r="I1638" s="69"/>
      <c r="J1638" s="134"/>
      <c r="K1638" s="324">
        <v>0.2999</v>
      </c>
      <c r="L1638" s="191">
        <f>L106</f>
        <v>1.4842</v>
      </c>
      <c r="M1638" s="401"/>
      <c r="N1638" s="86"/>
    </row>
    <row r="1639" spans="1:14" s="64" customFormat="1" x14ac:dyDescent="0.2">
      <c r="A1639" s="63"/>
      <c r="B1639" s="396"/>
      <c r="C1639" s="122"/>
      <c r="D1639" s="75"/>
      <c r="E1639" s="395"/>
      <c r="F1639" s="395"/>
      <c r="G1639" s="395"/>
      <c r="H1639" s="67"/>
      <c r="I1639" s="69"/>
      <c r="J1639" s="134"/>
      <c r="K1639" s="324">
        <v>0.2999</v>
      </c>
      <c r="L1639" s="191">
        <f>L107</f>
        <v>1.4842</v>
      </c>
      <c r="M1639" s="401"/>
      <c r="N1639" s="86"/>
    </row>
    <row r="1640" spans="1:14" s="64" customFormat="1" x14ac:dyDescent="0.2">
      <c r="A1640" s="63"/>
      <c r="B1640" s="396"/>
      <c r="C1640" s="122"/>
      <c r="D1640" s="75"/>
      <c r="E1640" s="395"/>
      <c r="F1640" s="395"/>
      <c r="G1640" s="395"/>
      <c r="H1640" s="67"/>
      <c r="I1640" s="69"/>
      <c r="J1640" s="134"/>
      <c r="K1640" s="324">
        <v>0.2999</v>
      </c>
      <c r="L1640" s="191">
        <f>L108</f>
        <v>1.4842</v>
      </c>
      <c r="M1640" s="401"/>
      <c r="N1640" s="86"/>
    </row>
    <row r="1641" spans="1:14" s="64" customFormat="1" x14ac:dyDescent="0.2">
      <c r="A1641" s="63"/>
      <c r="B1641" s="396"/>
      <c r="C1641" s="122"/>
      <c r="D1641" s="75"/>
      <c r="E1641" s="395"/>
      <c r="F1641" s="395"/>
      <c r="G1641" s="395"/>
      <c r="H1641" s="67"/>
      <c r="I1641" s="69"/>
      <c r="J1641" s="134"/>
      <c r="K1641" s="324">
        <v>0.2999</v>
      </c>
      <c r="L1641" s="191">
        <f>L109</f>
        <v>1.4842</v>
      </c>
      <c r="M1641" s="401"/>
      <c r="N1641" s="86"/>
    </row>
    <row r="1642" spans="1:14" s="64" customFormat="1" x14ac:dyDescent="0.2">
      <c r="A1642" s="63"/>
      <c r="B1642" s="396"/>
      <c r="C1642" s="122"/>
      <c r="D1642" s="75"/>
      <c r="E1642" s="395"/>
      <c r="F1642" s="395"/>
      <c r="G1642" s="395"/>
      <c r="H1642" s="67"/>
      <c r="I1642" s="69"/>
      <c r="J1642" s="134"/>
      <c r="K1642" s="324">
        <v>0.2999</v>
      </c>
      <c r="L1642" s="191">
        <f>L110</f>
        <v>1.4842</v>
      </c>
      <c r="M1642" s="401"/>
      <c r="N1642" s="86"/>
    </row>
    <row r="1643" spans="1:14" s="64" customFormat="1" x14ac:dyDescent="0.2">
      <c r="A1643" s="63"/>
      <c r="B1643" s="396"/>
      <c r="C1643" s="122"/>
      <c r="D1643" s="75"/>
      <c r="E1643" s="395"/>
      <c r="F1643" s="395"/>
      <c r="G1643" s="395"/>
      <c r="H1643" s="67"/>
      <c r="I1643" s="69"/>
      <c r="J1643" s="134"/>
      <c r="K1643" s="324">
        <v>0.2999</v>
      </c>
      <c r="L1643" s="191">
        <f>L111</f>
        <v>1.4842</v>
      </c>
      <c r="M1643" s="401"/>
      <c r="N1643" s="86"/>
    </row>
    <row r="1644" spans="1:14" s="64" customFormat="1" x14ac:dyDescent="0.2">
      <c r="A1644" s="63"/>
      <c r="B1644" s="396"/>
      <c r="C1644" s="122"/>
      <c r="D1644" s="75"/>
      <c r="E1644" s="395"/>
      <c r="F1644" s="395"/>
      <c r="G1644" s="395"/>
      <c r="H1644" s="67"/>
      <c r="I1644" s="69"/>
      <c r="J1644" s="134"/>
      <c r="K1644" s="324">
        <v>0.2999</v>
      </c>
      <c r="L1644" s="191">
        <f>L112</f>
        <v>1.4842</v>
      </c>
      <c r="M1644" s="401"/>
      <c r="N1644" s="86"/>
    </row>
    <row r="1645" spans="1:14" s="64" customFormat="1" x14ac:dyDescent="0.2">
      <c r="A1645" s="63"/>
      <c r="B1645" s="396"/>
      <c r="C1645" s="122"/>
      <c r="D1645" s="75"/>
      <c r="E1645" s="395"/>
      <c r="F1645" s="395"/>
      <c r="G1645" s="395"/>
      <c r="H1645" s="67"/>
      <c r="I1645" s="69"/>
      <c r="J1645" s="134"/>
      <c r="K1645" s="324">
        <v>0.2999</v>
      </c>
      <c r="L1645" s="191">
        <f>L113</f>
        <v>1.4842</v>
      </c>
      <c r="M1645" s="401"/>
      <c r="N1645" s="86"/>
    </row>
    <row r="1646" spans="1:14" s="64" customFormat="1" x14ac:dyDescent="0.2">
      <c r="A1646" s="63"/>
      <c r="B1646" s="396"/>
      <c r="C1646" s="122"/>
      <c r="D1646" s="75"/>
      <c r="E1646" s="395"/>
      <c r="F1646" s="395"/>
      <c r="G1646" s="395"/>
      <c r="H1646" s="67"/>
      <c r="I1646" s="69"/>
      <c r="J1646" s="134"/>
      <c r="K1646" s="324">
        <v>0.2999</v>
      </c>
      <c r="L1646" s="191">
        <f>L114</f>
        <v>1.4842</v>
      </c>
      <c r="M1646" s="401"/>
      <c r="N1646" s="86"/>
    </row>
    <row r="1647" spans="1:14" s="64" customFormat="1" x14ac:dyDescent="0.2">
      <c r="A1647" s="63"/>
      <c r="B1647" s="396"/>
      <c r="C1647" s="122"/>
      <c r="D1647" s="75"/>
      <c r="E1647" s="395"/>
      <c r="F1647" s="395"/>
      <c r="G1647" s="395"/>
      <c r="H1647" s="67"/>
      <c r="I1647" s="69"/>
      <c r="J1647" s="134"/>
      <c r="K1647" s="324">
        <v>0.2999</v>
      </c>
      <c r="L1647" s="191">
        <f>L115</f>
        <v>1.4842</v>
      </c>
      <c r="M1647" s="401"/>
      <c r="N1647" s="86"/>
    </row>
    <row r="1648" spans="1:14" s="64" customFormat="1" x14ac:dyDescent="0.2">
      <c r="A1648" s="63"/>
      <c r="B1648" s="396"/>
      <c r="C1648" s="122"/>
      <c r="D1648" s="75"/>
      <c r="E1648" s="395"/>
      <c r="F1648" s="395"/>
      <c r="G1648" s="395"/>
      <c r="H1648" s="67"/>
      <c r="I1648" s="69"/>
      <c r="J1648" s="134"/>
      <c r="K1648" s="324">
        <v>0.2999</v>
      </c>
      <c r="L1648" s="191">
        <f>L116</f>
        <v>1.4842</v>
      </c>
      <c r="M1648" s="401"/>
      <c r="N1648" s="86"/>
    </row>
    <row r="1649" spans="1:14" s="64" customFormat="1" x14ac:dyDescent="0.2">
      <c r="A1649" s="63"/>
      <c r="B1649" s="396"/>
      <c r="C1649" s="122"/>
      <c r="D1649" s="75"/>
      <c r="E1649" s="395"/>
      <c r="F1649" s="395"/>
      <c r="G1649" s="395"/>
      <c r="H1649" s="67"/>
      <c r="I1649" s="69"/>
      <c r="J1649" s="134"/>
      <c r="K1649" s="324">
        <v>0.2999</v>
      </c>
      <c r="L1649" s="191">
        <f>L117</f>
        <v>1.4842</v>
      </c>
      <c r="M1649" s="401"/>
      <c r="N1649" s="86"/>
    </row>
    <row r="1650" spans="1:14" s="64" customFormat="1" x14ac:dyDescent="0.2">
      <c r="A1650" s="63"/>
      <c r="B1650" s="396"/>
      <c r="C1650" s="122"/>
      <c r="D1650" s="75"/>
      <c r="E1650" s="395"/>
      <c r="F1650" s="395"/>
      <c r="G1650" s="395"/>
      <c r="H1650" s="67"/>
      <c r="I1650" s="69"/>
      <c r="J1650" s="134"/>
      <c r="K1650" s="324">
        <v>0.2999</v>
      </c>
      <c r="L1650" s="191">
        <f>L118</f>
        <v>1.4842</v>
      </c>
      <c r="M1650" s="401"/>
      <c r="N1650" s="86"/>
    </row>
    <row r="1651" spans="1:14" s="64" customFormat="1" x14ac:dyDescent="0.2">
      <c r="A1651" s="63"/>
      <c r="B1651" s="396"/>
      <c r="C1651" s="122"/>
      <c r="D1651" s="75"/>
      <c r="E1651" s="395"/>
      <c r="F1651" s="395"/>
      <c r="G1651" s="395"/>
      <c r="H1651" s="67"/>
      <c r="I1651" s="69"/>
      <c r="J1651" s="134"/>
      <c r="K1651" s="324">
        <v>0.2999</v>
      </c>
      <c r="L1651" s="191">
        <f>L119</f>
        <v>1.4842</v>
      </c>
      <c r="M1651" s="401"/>
      <c r="N1651" s="86"/>
    </row>
    <row r="1652" spans="1:14" s="64" customFormat="1" x14ac:dyDescent="0.2">
      <c r="A1652" s="63"/>
      <c r="B1652" s="396"/>
      <c r="C1652" s="122"/>
      <c r="D1652" s="75"/>
      <c r="E1652" s="395"/>
      <c r="F1652" s="395"/>
      <c r="G1652" s="395"/>
      <c r="H1652" s="67"/>
      <c r="I1652" s="69"/>
      <c r="J1652" s="134"/>
      <c r="K1652" s="324">
        <v>0.2999</v>
      </c>
      <c r="L1652" s="191">
        <f>L120</f>
        <v>1.4842</v>
      </c>
      <c r="M1652" s="401"/>
      <c r="N1652" s="86"/>
    </row>
    <row r="1653" spans="1:14" s="64" customFormat="1" x14ac:dyDescent="0.2">
      <c r="A1653" s="63"/>
      <c r="B1653" s="396"/>
      <c r="C1653" s="122"/>
      <c r="D1653" s="75"/>
      <c r="E1653" s="395"/>
      <c r="F1653" s="395"/>
      <c r="G1653" s="395"/>
      <c r="H1653" s="67"/>
      <c r="I1653" s="69"/>
      <c r="J1653" s="134"/>
      <c r="K1653" s="324">
        <v>0.2999</v>
      </c>
      <c r="L1653" s="191">
        <f>L121</f>
        <v>1.4842</v>
      </c>
      <c r="M1653" s="401"/>
      <c r="N1653" s="86"/>
    </row>
    <row r="1654" spans="1:14" s="64" customFormat="1" x14ac:dyDescent="0.2">
      <c r="A1654" s="63"/>
      <c r="B1654" s="396"/>
      <c r="C1654" s="122"/>
      <c r="D1654" s="75"/>
      <c r="E1654" s="395"/>
      <c r="F1654" s="395"/>
      <c r="G1654" s="395"/>
      <c r="H1654" s="67"/>
      <c r="I1654" s="69"/>
      <c r="J1654" s="134"/>
      <c r="K1654" s="324">
        <v>0.2999</v>
      </c>
      <c r="L1654" s="191">
        <f>L122</f>
        <v>1.4842</v>
      </c>
      <c r="M1654" s="401"/>
      <c r="N1654" s="86"/>
    </row>
    <row r="1655" spans="1:14" s="64" customFormat="1" x14ac:dyDescent="0.2">
      <c r="A1655" s="63"/>
      <c r="B1655" s="396"/>
      <c r="C1655" s="122"/>
      <c r="D1655" s="75"/>
      <c r="E1655" s="395"/>
      <c r="F1655" s="395"/>
      <c r="G1655" s="395"/>
      <c r="H1655" s="67"/>
      <c r="I1655" s="69"/>
      <c r="J1655" s="134"/>
      <c r="K1655" s="324">
        <v>0.2999</v>
      </c>
      <c r="L1655" s="191">
        <f>L123</f>
        <v>1.4842</v>
      </c>
      <c r="M1655" s="401"/>
      <c r="N1655" s="86"/>
    </row>
    <row r="1656" spans="1:14" s="64" customFormat="1" x14ac:dyDescent="0.2">
      <c r="A1656" s="63"/>
      <c r="B1656" s="396"/>
      <c r="C1656" s="122"/>
      <c r="D1656" s="75"/>
      <c r="E1656" s="395"/>
      <c r="F1656" s="395"/>
      <c r="G1656" s="395"/>
      <c r="H1656" s="67"/>
      <c r="I1656" s="69"/>
      <c r="J1656" s="134"/>
      <c r="K1656" s="324">
        <v>0.2999</v>
      </c>
      <c r="L1656" s="191">
        <f>L124</f>
        <v>1.4842</v>
      </c>
      <c r="M1656" s="401"/>
      <c r="N1656" s="86"/>
    </row>
    <row r="1657" spans="1:14" s="64" customFormat="1" x14ac:dyDescent="0.2">
      <c r="A1657" s="63"/>
      <c r="B1657" s="396"/>
      <c r="C1657" s="122"/>
      <c r="D1657" s="75"/>
      <c r="E1657" s="395"/>
      <c r="F1657" s="395"/>
      <c r="G1657" s="395"/>
      <c r="H1657" s="67"/>
      <c r="I1657" s="69"/>
      <c r="J1657" s="134"/>
      <c r="K1657" s="324">
        <v>0.2999</v>
      </c>
      <c r="L1657" s="191">
        <f>L125</f>
        <v>1.4842</v>
      </c>
      <c r="M1657" s="401"/>
      <c r="N1657" s="86"/>
    </row>
    <row r="1658" spans="1:14" s="64" customFormat="1" x14ac:dyDescent="0.2">
      <c r="A1658" s="63"/>
      <c r="B1658" s="396"/>
      <c r="C1658" s="122"/>
      <c r="D1658" s="75"/>
      <c r="E1658" s="395"/>
      <c r="F1658" s="395"/>
      <c r="G1658" s="395"/>
      <c r="H1658" s="67"/>
      <c r="I1658" s="69"/>
      <c r="J1658" s="134"/>
      <c r="K1658" s="324">
        <v>0.2999</v>
      </c>
      <c r="L1658" s="191">
        <f>L126</f>
        <v>1.4842</v>
      </c>
      <c r="M1658" s="401"/>
      <c r="N1658" s="86"/>
    </row>
    <row r="1659" spans="1:14" s="64" customFormat="1" x14ac:dyDescent="0.2">
      <c r="A1659" s="63"/>
      <c r="B1659" s="396"/>
      <c r="C1659" s="122"/>
      <c r="D1659" s="75"/>
      <c r="E1659" s="395"/>
      <c r="F1659" s="395"/>
      <c r="G1659" s="395"/>
      <c r="H1659" s="67"/>
      <c r="I1659" s="69"/>
      <c r="J1659" s="134"/>
      <c r="K1659" s="324">
        <v>0.2999</v>
      </c>
      <c r="L1659" s="191">
        <f>L127</f>
        <v>1.4842</v>
      </c>
      <c r="M1659" s="401"/>
      <c r="N1659" s="86"/>
    </row>
    <row r="1660" spans="1:14" s="64" customFormat="1" x14ac:dyDescent="0.2">
      <c r="A1660" s="63"/>
      <c r="B1660" s="396"/>
      <c r="C1660" s="122"/>
      <c r="D1660" s="75"/>
      <c r="E1660" s="395"/>
      <c r="F1660" s="395"/>
      <c r="G1660" s="395"/>
      <c r="H1660" s="67"/>
      <c r="I1660" s="69"/>
      <c r="J1660" s="134"/>
      <c r="K1660" s="324">
        <v>0.2999</v>
      </c>
      <c r="L1660" s="191">
        <f>L128</f>
        <v>1.4842</v>
      </c>
      <c r="M1660" s="401"/>
      <c r="N1660" s="86"/>
    </row>
    <row r="1661" spans="1:14" s="64" customFormat="1" x14ac:dyDescent="0.2">
      <c r="A1661" s="63"/>
      <c r="B1661" s="396"/>
      <c r="C1661" s="122"/>
      <c r="D1661" s="75"/>
      <c r="E1661" s="395"/>
      <c r="F1661" s="395"/>
      <c r="G1661" s="395"/>
      <c r="H1661" s="67"/>
      <c r="I1661" s="69"/>
      <c r="J1661" s="134"/>
      <c r="K1661" s="324">
        <v>0.2999</v>
      </c>
      <c r="L1661" s="191">
        <f>L129</f>
        <v>1.4842</v>
      </c>
      <c r="M1661" s="401"/>
      <c r="N1661" s="86"/>
    </row>
    <row r="1662" spans="1:14" s="64" customFormat="1" x14ac:dyDescent="0.2">
      <c r="A1662" s="63"/>
      <c r="B1662" s="396"/>
      <c r="C1662" s="122"/>
      <c r="D1662" s="75"/>
      <c r="E1662" s="395"/>
      <c r="F1662" s="395"/>
      <c r="G1662" s="395"/>
      <c r="H1662" s="67"/>
      <c r="I1662" s="69"/>
      <c r="J1662" s="134"/>
      <c r="K1662" s="324">
        <v>0.2999</v>
      </c>
      <c r="L1662" s="191">
        <f>L130</f>
        <v>1.4842</v>
      </c>
      <c r="M1662" s="401"/>
      <c r="N1662" s="86"/>
    </row>
    <row r="1663" spans="1:14" s="64" customFormat="1" x14ac:dyDescent="0.2">
      <c r="A1663" s="63"/>
      <c r="B1663" s="396"/>
      <c r="C1663" s="122"/>
      <c r="D1663" s="75"/>
      <c r="E1663" s="395"/>
      <c r="F1663" s="395"/>
      <c r="G1663" s="395"/>
      <c r="H1663" s="67"/>
      <c r="I1663" s="69"/>
      <c r="J1663" s="134"/>
      <c r="K1663" s="324">
        <v>0.2999</v>
      </c>
      <c r="L1663" s="191">
        <f>L131</f>
        <v>1.4842</v>
      </c>
      <c r="M1663" s="401"/>
      <c r="N1663" s="86"/>
    </row>
    <row r="1664" spans="1:14" s="64" customFormat="1" x14ac:dyDescent="0.2">
      <c r="A1664" s="63"/>
      <c r="B1664" s="396"/>
      <c r="C1664" s="122"/>
      <c r="D1664" s="75"/>
      <c r="E1664" s="395"/>
      <c r="F1664" s="395"/>
      <c r="G1664" s="395"/>
      <c r="H1664" s="67"/>
      <c r="I1664" s="69"/>
      <c r="J1664" s="134"/>
      <c r="K1664" s="324">
        <v>0.2999</v>
      </c>
      <c r="L1664" s="191">
        <f>L132</f>
        <v>1.4842</v>
      </c>
      <c r="M1664" s="401"/>
      <c r="N1664" s="86"/>
    </row>
    <row r="1665" spans="1:14" s="64" customFormat="1" x14ac:dyDescent="0.2">
      <c r="A1665" s="63"/>
      <c r="B1665" s="396"/>
      <c r="C1665" s="122"/>
      <c r="D1665" s="75"/>
      <c r="E1665" s="395"/>
      <c r="F1665" s="395"/>
      <c r="G1665" s="395"/>
      <c r="H1665" s="67"/>
      <c r="I1665" s="69"/>
      <c r="J1665" s="134"/>
      <c r="K1665" s="324">
        <v>0.2999</v>
      </c>
      <c r="L1665" s="191">
        <f>L133</f>
        <v>1.4842</v>
      </c>
      <c r="M1665" s="401"/>
      <c r="N1665" s="86"/>
    </row>
    <row r="1666" spans="1:14" s="64" customFormat="1" x14ac:dyDescent="0.2">
      <c r="A1666" s="63"/>
      <c r="B1666" s="396"/>
      <c r="C1666" s="122"/>
      <c r="D1666" s="75"/>
      <c r="E1666" s="395"/>
      <c r="F1666" s="395"/>
      <c r="G1666" s="395"/>
      <c r="H1666" s="67"/>
      <c r="I1666" s="69"/>
      <c r="J1666" s="134"/>
      <c r="K1666" s="324">
        <v>0.2999</v>
      </c>
      <c r="L1666" s="191">
        <f>L134</f>
        <v>1.4842</v>
      </c>
      <c r="M1666" s="401"/>
      <c r="N1666" s="86"/>
    </row>
    <row r="1667" spans="1:14" s="64" customFormat="1" x14ac:dyDescent="0.2">
      <c r="A1667" s="63"/>
      <c r="B1667" s="396"/>
      <c r="C1667" s="122"/>
      <c r="D1667" s="75"/>
      <c r="E1667" s="395"/>
      <c r="F1667" s="395"/>
      <c r="G1667" s="395"/>
      <c r="H1667" s="67"/>
      <c r="I1667" s="69"/>
      <c r="J1667" s="134"/>
      <c r="K1667" s="324">
        <v>0.2999</v>
      </c>
      <c r="L1667" s="191">
        <f>L135</f>
        <v>1.4842</v>
      </c>
      <c r="M1667" s="401"/>
      <c r="N1667" s="86"/>
    </row>
    <row r="1668" spans="1:14" s="64" customFormat="1" x14ac:dyDescent="0.2">
      <c r="A1668" s="63"/>
      <c r="B1668" s="396"/>
      <c r="C1668" s="122"/>
      <c r="D1668" s="75"/>
      <c r="E1668" s="395"/>
      <c r="F1668" s="395"/>
      <c r="G1668" s="395"/>
      <c r="H1668" s="67"/>
      <c r="I1668" s="69"/>
      <c r="J1668" s="134"/>
      <c r="K1668" s="324">
        <v>0.2999</v>
      </c>
      <c r="L1668" s="191">
        <f>L136</f>
        <v>1.4842</v>
      </c>
      <c r="M1668" s="401"/>
      <c r="N1668" s="86"/>
    </row>
    <row r="1669" spans="1:14" s="64" customFormat="1" x14ac:dyDescent="0.2">
      <c r="A1669" s="63"/>
      <c r="B1669" s="396"/>
      <c r="C1669" s="122"/>
      <c r="D1669" s="75"/>
      <c r="E1669" s="395"/>
      <c r="F1669" s="395"/>
      <c r="G1669" s="395"/>
      <c r="H1669" s="67"/>
      <c r="I1669" s="69"/>
      <c r="J1669" s="134"/>
      <c r="K1669" s="324">
        <v>0.2999</v>
      </c>
      <c r="L1669" s="191">
        <f>L137</f>
        <v>1.4842</v>
      </c>
      <c r="M1669" s="401"/>
      <c r="N1669" s="86"/>
    </row>
    <row r="1670" spans="1:14" s="64" customFormat="1" x14ac:dyDescent="0.2">
      <c r="A1670" s="63"/>
      <c r="B1670" s="396"/>
      <c r="C1670" s="122"/>
      <c r="D1670" s="75"/>
      <c r="E1670" s="395"/>
      <c r="F1670" s="395"/>
      <c r="G1670" s="395"/>
      <c r="H1670" s="67"/>
      <c r="I1670" s="69"/>
      <c r="J1670" s="134"/>
      <c r="K1670" s="324">
        <v>0.2999</v>
      </c>
      <c r="L1670" s="191">
        <f>L138</f>
        <v>1.4842</v>
      </c>
      <c r="M1670" s="401"/>
      <c r="N1670" s="86"/>
    </row>
    <row r="1671" spans="1:14" s="64" customFormat="1" x14ac:dyDescent="0.2">
      <c r="A1671" s="63"/>
      <c r="B1671" s="396"/>
      <c r="C1671" s="122"/>
      <c r="D1671" s="75"/>
      <c r="E1671" s="395"/>
      <c r="F1671" s="395"/>
      <c r="G1671" s="395"/>
      <c r="H1671" s="67"/>
      <c r="I1671" s="69"/>
      <c r="J1671" s="134"/>
      <c r="K1671" s="324">
        <v>0.2999</v>
      </c>
      <c r="L1671" s="191">
        <f>L139</f>
        <v>1.4842</v>
      </c>
      <c r="M1671" s="401"/>
      <c r="N1671" s="86"/>
    </row>
    <row r="1672" spans="1:14" s="64" customFormat="1" x14ac:dyDescent="0.2">
      <c r="A1672" s="63"/>
      <c r="B1672" s="396"/>
      <c r="C1672" s="122"/>
      <c r="D1672" s="75"/>
      <c r="E1672" s="395"/>
      <c r="F1672" s="395"/>
      <c r="G1672" s="395"/>
      <c r="H1672" s="67"/>
      <c r="I1672" s="69"/>
      <c r="J1672" s="134"/>
      <c r="K1672" s="324">
        <v>0.2999</v>
      </c>
      <c r="L1672" s="191">
        <f>L140</f>
        <v>1.4842</v>
      </c>
      <c r="M1672" s="401"/>
      <c r="N1672" s="86"/>
    </row>
    <row r="1673" spans="1:14" s="64" customFormat="1" x14ac:dyDescent="0.2">
      <c r="A1673" s="63"/>
      <c r="B1673" s="396"/>
      <c r="C1673" s="122"/>
      <c r="D1673" s="75"/>
      <c r="E1673" s="395"/>
      <c r="F1673" s="395"/>
      <c r="G1673" s="395"/>
      <c r="H1673" s="67"/>
      <c r="I1673" s="69"/>
      <c r="J1673" s="134"/>
      <c r="K1673" s="324">
        <v>0.2999</v>
      </c>
      <c r="L1673" s="191">
        <f>L141</f>
        <v>1.4842</v>
      </c>
      <c r="M1673" s="401"/>
      <c r="N1673" s="86"/>
    </row>
    <row r="1674" spans="1:14" s="64" customFormat="1" x14ac:dyDescent="0.2">
      <c r="A1674" s="63"/>
      <c r="B1674" s="396"/>
      <c r="C1674" s="122"/>
      <c r="D1674" s="75"/>
      <c r="E1674" s="395"/>
      <c r="F1674" s="395"/>
      <c r="G1674" s="395"/>
      <c r="H1674" s="67"/>
      <c r="I1674" s="69"/>
      <c r="J1674" s="134"/>
      <c r="K1674" s="324">
        <v>0.2999</v>
      </c>
      <c r="L1674" s="191">
        <f>L142</f>
        <v>1.4842</v>
      </c>
      <c r="M1674" s="401"/>
      <c r="N1674" s="86"/>
    </row>
    <row r="1675" spans="1:14" s="64" customFormat="1" x14ac:dyDescent="0.2">
      <c r="A1675" s="63"/>
      <c r="B1675" s="396"/>
      <c r="C1675" s="122"/>
      <c r="D1675" s="75"/>
      <c r="E1675" s="395"/>
      <c r="F1675" s="395"/>
      <c r="G1675" s="395"/>
      <c r="H1675" s="67"/>
      <c r="I1675" s="69"/>
      <c r="J1675" s="134"/>
      <c r="K1675" s="324">
        <v>0.2999</v>
      </c>
      <c r="L1675" s="191">
        <f>L143</f>
        <v>1.4842</v>
      </c>
      <c r="M1675" s="401"/>
      <c r="N1675" s="86"/>
    </row>
    <row r="1676" spans="1:14" s="64" customFormat="1" x14ac:dyDescent="0.2">
      <c r="A1676" s="63"/>
      <c r="B1676" s="396"/>
      <c r="C1676" s="122"/>
      <c r="D1676" s="75"/>
      <c r="E1676" s="395"/>
      <c r="F1676" s="395"/>
      <c r="G1676" s="395"/>
      <c r="H1676" s="67"/>
      <c r="I1676" s="69"/>
      <c r="J1676" s="134"/>
      <c r="K1676" s="324">
        <v>0.2999</v>
      </c>
      <c r="L1676" s="191">
        <f>L144</f>
        <v>1.4842</v>
      </c>
      <c r="M1676" s="401"/>
      <c r="N1676" s="86"/>
    </row>
    <row r="1677" spans="1:14" s="64" customFormat="1" x14ac:dyDescent="0.2">
      <c r="A1677" s="63"/>
      <c r="B1677" s="396"/>
      <c r="C1677" s="122"/>
      <c r="D1677" s="75"/>
      <c r="E1677" s="395"/>
      <c r="F1677" s="395"/>
      <c r="G1677" s="395"/>
      <c r="H1677" s="67"/>
      <c r="I1677" s="69"/>
      <c r="J1677" s="134"/>
      <c r="K1677" s="324">
        <v>0.2999</v>
      </c>
      <c r="L1677" s="191">
        <f>L145</f>
        <v>1.4842</v>
      </c>
      <c r="M1677" s="401"/>
      <c r="N1677" s="86"/>
    </row>
    <row r="1678" spans="1:14" s="64" customFormat="1" x14ac:dyDescent="0.2">
      <c r="A1678" s="63"/>
      <c r="B1678" s="396"/>
      <c r="C1678" s="122"/>
      <c r="D1678" s="75"/>
      <c r="E1678" s="395"/>
      <c r="F1678" s="395"/>
      <c r="G1678" s="395"/>
      <c r="H1678" s="67"/>
      <c r="I1678" s="69"/>
      <c r="J1678" s="134"/>
      <c r="K1678" s="324">
        <v>0.2999</v>
      </c>
      <c r="L1678" s="191">
        <f>L146</f>
        <v>1.4842</v>
      </c>
      <c r="M1678" s="401"/>
      <c r="N1678" s="86"/>
    </row>
    <row r="1679" spans="1:14" s="64" customFormat="1" x14ac:dyDescent="0.2">
      <c r="A1679" s="63"/>
      <c r="B1679" s="396"/>
      <c r="C1679" s="122"/>
      <c r="D1679" s="75"/>
      <c r="E1679" s="395"/>
      <c r="F1679" s="395"/>
      <c r="G1679" s="395"/>
      <c r="H1679" s="67"/>
      <c r="I1679" s="69"/>
      <c r="J1679" s="134"/>
      <c r="K1679" s="324">
        <v>0.2999</v>
      </c>
      <c r="L1679" s="191">
        <f>L147</f>
        <v>1.4842</v>
      </c>
      <c r="M1679" s="401"/>
      <c r="N1679" s="86"/>
    </row>
    <row r="1680" spans="1:14" s="64" customFormat="1" x14ac:dyDescent="0.2">
      <c r="A1680" s="63"/>
      <c r="B1680" s="396"/>
      <c r="C1680" s="122"/>
      <c r="D1680" s="75"/>
      <c r="E1680" s="395"/>
      <c r="F1680" s="395"/>
      <c r="G1680" s="395"/>
      <c r="H1680" s="67"/>
      <c r="I1680" s="69"/>
      <c r="J1680" s="134"/>
      <c r="K1680" s="324">
        <v>0.2999</v>
      </c>
      <c r="L1680" s="191">
        <f>L148</f>
        <v>1.4842</v>
      </c>
      <c r="M1680" s="401"/>
      <c r="N1680" s="86"/>
    </row>
    <row r="1681" spans="1:14" s="64" customFormat="1" x14ac:dyDescent="0.2">
      <c r="A1681" s="63"/>
      <c r="B1681" s="396"/>
      <c r="C1681" s="122"/>
      <c r="D1681" s="75"/>
      <c r="E1681" s="395"/>
      <c r="F1681" s="395"/>
      <c r="G1681" s="395"/>
      <c r="H1681" s="67"/>
      <c r="I1681" s="69"/>
      <c r="J1681" s="134"/>
      <c r="K1681" s="324">
        <v>0.2999</v>
      </c>
      <c r="L1681" s="191">
        <f>L149</f>
        <v>1.4842</v>
      </c>
      <c r="M1681" s="401"/>
      <c r="N1681" s="86"/>
    </row>
    <row r="1682" spans="1:14" s="64" customFormat="1" x14ac:dyDescent="0.2">
      <c r="A1682" s="63"/>
      <c r="B1682" s="396"/>
      <c r="C1682" s="122"/>
      <c r="D1682" s="75"/>
      <c r="E1682" s="395"/>
      <c r="F1682" s="395"/>
      <c r="G1682" s="395"/>
      <c r="H1682" s="67"/>
      <c r="I1682" s="69"/>
      <c r="J1682" s="134"/>
      <c r="K1682" s="324">
        <v>0.2999</v>
      </c>
      <c r="L1682" s="191">
        <f>L150</f>
        <v>1.4842</v>
      </c>
      <c r="M1682" s="401"/>
      <c r="N1682" s="86"/>
    </row>
    <row r="1683" spans="1:14" s="64" customFormat="1" x14ac:dyDescent="0.2">
      <c r="A1683" s="63"/>
      <c r="B1683" s="396"/>
      <c r="C1683" s="122"/>
      <c r="D1683" s="75"/>
      <c r="E1683" s="395"/>
      <c r="F1683" s="395"/>
      <c r="G1683" s="395"/>
      <c r="H1683" s="67"/>
      <c r="I1683" s="69"/>
      <c r="J1683" s="134"/>
      <c r="K1683" s="324">
        <v>0.2999</v>
      </c>
      <c r="L1683" s="191">
        <f>L151</f>
        <v>1.4842</v>
      </c>
      <c r="M1683" s="401"/>
      <c r="N1683" s="86"/>
    </row>
    <row r="1684" spans="1:14" s="64" customFormat="1" x14ac:dyDescent="0.2">
      <c r="A1684" s="63"/>
      <c r="B1684" s="396"/>
      <c r="C1684" s="122"/>
      <c r="D1684" s="75"/>
      <c r="E1684" s="395"/>
      <c r="F1684" s="395"/>
      <c r="G1684" s="395"/>
      <c r="H1684" s="67"/>
      <c r="I1684" s="69"/>
      <c r="J1684" s="134"/>
      <c r="K1684" s="324">
        <v>0.2999</v>
      </c>
      <c r="L1684" s="191">
        <f>L152</f>
        <v>1.4842</v>
      </c>
      <c r="M1684" s="401"/>
      <c r="N1684" s="86"/>
    </row>
    <row r="1685" spans="1:14" s="64" customFormat="1" x14ac:dyDescent="0.2">
      <c r="A1685" s="63"/>
      <c r="B1685" s="396"/>
      <c r="C1685" s="122"/>
      <c r="D1685" s="75"/>
      <c r="E1685" s="395"/>
      <c r="F1685" s="395"/>
      <c r="G1685" s="395"/>
      <c r="H1685" s="67"/>
      <c r="I1685" s="69"/>
      <c r="J1685" s="134"/>
      <c r="K1685" s="324">
        <v>0.2999</v>
      </c>
      <c r="L1685" s="191">
        <f>L153</f>
        <v>1.4842</v>
      </c>
      <c r="M1685" s="401"/>
      <c r="N1685" s="86"/>
    </row>
    <row r="1686" spans="1:14" s="64" customFormat="1" x14ac:dyDescent="0.2">
      <c r="A1686" s="63"/>
      <c r="B1686" s="396"/>
      <c r="C1686" s="122"/>
      <c r="D1686" s="75"/>
      <c r="E1686" s="395"/>
      <c r="F1686" s="395"/>
      <c r="G1686" s="395"/>
      <c r="H1686" s="67"/>
      <c r="I1686" s="69"/>
      <c r="J1686" s="134"/>
      <c r="K1686" s="324">
        <v>0.2999</v>
      </c>
      <c r="L1686" s="191">
        <f>L154</f>
        <v>1.4842</v>
      </c>
      <c r="M1686" s="401"/>
      <c r="N1686" s="86"/>
    </row>
    <row r="1687" spans="1:14" s="64" customFormat="1" x14ac:dyDescent="0.2">
      <c r="A1687" s="63"/>
      <c r="B1687" s="396"/>
      <c r="C1687" s="122"/>
      <c r="D1687" s="75"/>
      <c r="E1687" s="395"/>
      <c r="F1687" s="395"/>
      <c r="G1687" s="395"/>
      <c r="H1687" s="67"/>
      <c r="I1687" s="69"/>
      <c r="J1687" s="134"/>
      <c r="K1687" s="324">
        <v>0.2999</v>
      </c>
      <c r="L1687" s="191">
        <f>L155</f>
        <v>1.4842</v>
      </c>
      <c r="M1687" s="401"/>
      <c r="N1687" s="86"/>
    </row>
    <row r="1688" spans="1:14" s="64" customFormat="1" x14ac:dyDescent="0.2">
      <c r="A1688" s="63"/>
      <c r="B1688" s="396"/>
      <c r="C1688" s="122"/>
      <c r="D1688" s="75"/>
      <c r="E1688" s="395"/>
      <c r="F1688" s="395"/>
      <c r="G1688" s="395"/>
      <c r="H1688" s="67"/>
      <c r="I1688" s="69"/>
      <c r="J1688" s="134"/>
      <c r="K1688" s="324">
        <v>0.2999</v>
      </c>
      <c r="L1688" s="191">
        <f>L156</f>
        <v>1.4842</v>
      </c>
      <c r="M1688" s="401"/>
      <c r="N1688" s="86"/>
    </row>
    <row r="1689" spans="1:14" s="64" customFormat="1" x14ac:dyDescent="0.2">
      <c r="A1689" s="63"/>
      <c r="B1689" s="396"/>
      <c r="C1689" s="122"/>
      <c r="D1689" s="75"/>
      <c r="E1689" s="395"/>
      <c r="F1689" s="395"/>
      <c r="G1689" s="395"/>
      <c r="H1689" s="67"/>
      <c r="I1689" s="69"/>
      <c r="J1689" s="134"/>
      <c r="K1689" s="324">
        <v>0.2999</v>
      </c>
      <c r="L1689" s="191">
        <f>L157</f>
        <v>1.4842</v>
      </c>
      <c r="M1689" s="401"/>
      <c r="N1689" s="86"/>
    </row>
    <row r="1690" spans="1:14" s="64" customFormat="1" x14ac:dyDescent="0.2">
      <c r="A1690" s="63"/>
      <c r="B1690" s="396"/>
      <c r="C1690" s="122"/>
      <c r="D1690" s="75"/>
      <c r="E1690" s="395"/>
      <c r="F1690" s="395"/>
      <c r="G1690" s="395"/>
      <c r="H1690" s="67"/>
      <c r="I1690" s="69"/>
      <c r="J1690" s="134"/>
      <c r="K1690" s="324">
        <v>0.2999</v>
      </c>
      <c r="L1690" s="191">
        <f>L158</f>
        <v>1.4842</v>
      </c>
      <c r="M1690" s="401"/>
      <c r="N1690" s="86"/>
    </row>
    <row r="1691" spans="1:14" s="64" customFormat="1" x14ac:dyDescent="0.2">
      <c r="A1691" s="63"/>
      <c r="B1691" s="396"/>
      <c r="C1691" s="122"/>
      <c r="D1691" s="75"/>
      <c r="E1691" s="395"/>
      <c r="F1691" s="395"/>
      <c r="G1691" s="395"/>
      <c r="H1691" s="67"/>
      <c r="I1691" s="69"/>
      <c r="J1691" s="134"/>
      <c r="K1691" s="324">
        <v>0.2999</v>
      </c>
      <c r="L1691" s="191">
        <f>L159</f>
        <v>1.4842</v>
      </c>
      <c r="M1691" s="401"/>
      <c r="N1691" s="86"/>
    </row>
    <row r="1692" spans="1:14" s="64" customFormat="1" x14ac:dyDescent="0.2">
      <c r="A1692" s="63"/>
      <c r="B1692" s="396"/>
      <c r="C1692" s="122"/>
      <c r="D1692" s="75"/>
      <c r="E1692" s="395"/>
      <c r="F1692" s="395"/>
      <c r="G1692" s="395"/>
      <c r="H1692" s="67"/>
      <c r="I1692" s="69"/>
      <c r="J1692" s="134"/>
      <c r="K1692" s="324">
        <v>0.2999</v>
      </c>
      <c r="L1692" s="191">
        <f>L160</f>
        <v>1.4842</v>
      </c>
      <c r="M1692" s="401"/>
      <c r="N1692" s="86"/>
    </row>
    <row r="1693" spans="1:14" s="64" customFormat="1" x14ac:dyDescent="0.2">
      <c r="A1693" s="63"/>
      <c r="B1693" s="396"/>
      <c r="C1693" s="122"/>
      <c r="D1693" s="75"/>
      <c r="E1693" s="395"/>
      <c r="F1693" s="395"/>
      <c r="G1693" s="395"/>
      <c r="H1693" s="67"/>
      <c r="I1693" s="69"/>
      <c r="J1693" s="134"/>
      <c r="K1693" s="324">
        <v>0.2999</v>
      </c>
      <c r="L1693" s="191">
        <f>L161</f>
        <v>1.4842</v>
      </c>
      <c r="M1693" s="401"/>
      <c r="N1693" s="86"/>
    </row>
    <row r="1694" spans="1:14" s="64" customFormat="1" x14ac:dyDescent="0.2">
      <c r="A1694" s="63"/>
      <c r="B1694" s="396"/>
      <c r="C1694" s="122"/>
      <c r="D1694" s="75"/>
      <c r="E1694" s="395"/>
      <c r="F1694" s="395"/>
      <c r="G1694" s="395"/>
      <c r="H1694" s="67"/>
      <c r="I1694" s="69"/>
      <c r="J1694" s="134"/>
      <c r="K1694" s="324">
        <v>0.2999</v>
      </c>
      <c r="L1694" s="191">
        <f>L162</f>
        <v>1.4842</v>
      </c>
      <c r="M1694" s="401"/>
      <c r="N1694" s="86"/>
    </row>
    <row r="1695" spans="1:14" s="64" customFormat="1" x14ac:dyDescent="0.2">
      <c r="A1695" s="63"/>
      <c r="B1695" s="396"/>
      <c r="C1695" s="122"/>
      <c r="D1695" s="75"/>
      <c r="E1695" s="395"/>
      <c r="F1695" s="395"/>
      <c r="G1695" s="395"/>
      <c r="H1695" s="67"/>
      <c r="I1695" s="69"/>
      <c r="J1695" s="134"/>
      <c r="K1695" s="324">
        <v>0.2999</v>
      </c>
      <c r="L1695" s="191">
        <f>L163</f>
        <v>1.4842</v>
      </c>
      <c r="M1695" s="401"/>
      <c r="N1695" s="86"/>
    </row>
    <row r="1696" spans="1:14" s="64" customFormat="1" x14ac:dyDescent="0.2">
      <c r="A1696" s="63"/>
      <c r="B1696" s="396"/>
      <c r="C1696" s="122"/>
      <c r="D1696" s="75"/>
      <c r="E1696" s="395"/>
      <c r="F1696" s="395"/>
      <c r="G1696" s="395"/>
      <c r="H1696" s="67"/>
      <c r="I1696" s="69"/>
      <c r="J1696" s="134"/>
      <c r="K1696" s="324">
        <v>0.2999</v>
      </c>
      <c r="L1696" s="191">
        <f>L164</f>
        <v>1.4842</v>
      </c>
      <c r="M1696" s="401"/>
      <c r="N1696" s="86"/>
    </row>
    <row r="1697" spans="1:14" s="64" customFormat="1" x14ac:dyDescent="0.2">
      <c r="A1697" s="63"/>
      <c r="B1697" s="396"/>
      <c r="C1697" s="122"/>
      <c r="D1697" s="75"/>
      <c r="E1697" s="395"/>
      <c r="F1697" s="395"/>
      <c r="G1697" s="395"/>
      <c r="H1697" s="67"/>
      <c r="I1697" s="69"/>
      <c r="J1697" s="134"/>
      <c r="K1697" s="324">
        <v>0.2999</v>
      </c>
      <c r="L1697" s="191">
        <f>L165</f>
        <v>1.4842</v>
      </c>
      <c r="M1697" s="401"/>
      <c r="N1697" s="86"/>
    </row>
    <row r="1698" spans="1:14" s="64" customFormat="1" x14ac:dyDescent="0.2">
      <c r="A1698" s="63"/>
      <c r="B1698" s="396"/>
      <c r="C1698" s="122"/>
      <c r="D1698" s="75"/>
      <c r="E1698" s="395"/>
      <c r="F1698" s="395"/>
      <c r="G1698" s="395"/>
      <c r="H1698" s="67"/>
      <c r="I1698" s="69"/>
      <c r="J1698" s="134"/>
      <c r="K1698" s="324">
        <v>0.2999</v>
      </c>
      <c r="L1698" s="191">
        <f>L166</f>
        <v>1.4842</v>
      </c>
      <c r="M1698" s="401"/>
      <c r="N1698" s="86"/>
    </row>
    <row r="1699" spans="1:14" s="64" customFormat="1" x14ac:dyDescent="0.2">
      <c r="A1699" s="63"/>
      <c r="B1699" s="396"/>
      <c r="C1699" s="122"/>
      <c r="D1699" s="75"/>
      <c r="E1699" s="395"/>
      <c r="F1699" s="395"/>
      <c r="G1699" s="395"/>
      <c r="H1699" s="67"/>
      <c r="I1699" s="69"/>
      <c r="J1699" s="134"/>
      <c r="K1699" s="324">
        <v>0.2999</v>
      </c>
      <c r="L1699" s="191">
        <f>L167</f>
        <v>1.4842</v>
      </c>
      <c r="M1699" s="401"/>
      <c r="N1699" s="86"/>
    </row>
    <row r="1700" spans="1:14" s="64" customFormat="1" x14ac:dyDescent="0.2">
      <c r="A1700" s="63"/>
      <c r="B1700" s="396"/>
      <c r="C1700" s="122"/>
      <c r="D1700" s="75"/>
      <c r="E1700" s="395"/>
      <c r="F1700" s="395"/>
      <c r="G1700" s="395"/>
      <c r="H1700" s="67"/>
      <c r="I1700" s="69"/>
      <c r="J1700" s="134"/>
      <c r="K1700" s="324">
        <v>0.2999</v>
      </c>
      <c r="L1700" s="191">
        <f>L168</f>
        <v>1.4842</v>
      </c>
      <c r="M1700" s="401"/>
      <c r="N1700" s="86"/>
    </row>
    <row r="1701" spans="1:14" s="64" customFormat="1" x14ac:dyDescent="0.2">
      <c r="A1701" s="63"/>
      <c r="B1701" s="396"/>
      <c r="C1701" s="122"/>
      <c r="D1701" s="75"/>
      <c r="E1701" s="395"/>
      <c r="F1701" s="395"/>
      <c r="G1701" s="395"/>
      <c r="H1701" s="67"/>
      <c r="I1701" s="69"/>
      <c r="J1701" s="134"/>
      <c r="K1701" s="324">
        <v>0.2999</v>
      </c>
      <c r="L1701" s="191">
        <f>L169</f>
        <v>1.4842</v>
      </c>
      <c r="M1701" s="401"/>
      <c r="N1701" s="86"/>
    </row>
    <row r="1702" spans="1:14" s="64" customFormat="1" x14ac:dyDescent="0.2">
      <c r="A1702" s="63"/>
      <c r="B1702" s="396"/>
      <c r="C1702" s="122"/>
      <c r="D1702" s="75"/>
      <c r="E1702" s="395"/>
      <c r="F1702" s="395"/>
      <c r="G1702" s="395"/>
      <c r="H1702" s="67"/>
      <c r="I1702" s="69"/>
      <c r="J1702" s="134"/>
      <c r="K1702" s="324">
        <v>0.2999</v>
      </c>
      <c r="L1702" s="191">
        <f>L170</f>
        <v>1.4842</v>
      </c>
      <c r="M1702" s="401"/>
      <c r="N1702" s="86"/>
    </row>
    <row r="1703" spans="1:14" s="64" customFormat="1" x14ac:dyDescent="0.2">
      <c r="A1703" s="63"/>
      <c r="B1703" s="396"/>
      <c r="C1703" s="122"/>
      <c r="D1703" s="75"/>
      <c r="E1703" s="395"/>
      <c r="F1703" s="395"/>
      <c r="G1703" s="395"/>
      <c r="H1703" s="67"/>
      <c r="I1703" s="69"/>
      <c r="J1703" s="134"/>
      <c r="K1703" s="324">
        <v>0.2999</v>
      </c>
      <c r="L1703" s="191">
        <f>L171</f>
        <v>1.4842</v>
      </c>
      <c r="M1703" s="401"/>
      <c r="N1703" s="86"/>
    </row>
    <row r="1704" spans="1:14" s="64" customFormat="1" x14ac:dyDescent="0.2">
      <c r="A1704" s="63"/>
      <c r="B1704" s="396"/>
      <c r="C1704" s="122"/>
      <c r="D1704" s="75"/>
      <c r="E1704" s="395"/>
      <c r="F1704" s="395"/>
      <c r="G1704" s="395"/>
      <c r="H1704" s="67"/>
      <c r="I1704" s="69"/>
      <c r="J1704" s="134"/>
      <c r="K1704" s="324">
        <v>0.2999</v>
      </c>
      <c r="L1704" s="191">
        <f>L172</f>
        <v>1.4842</v>
      </c>
      <c r="M1704" s="401"/>
      <c r="N1704" s="86"/>
    </row>
    <row r="1705" spans="1:14" s="64" customFormat="1" x14ac:dyDescent="0.2">
      <c r="A1705" s="63"/>
      <c r="B1705" s="396"/>
      <c r="C1705" s="122"/>
      <c r="D1705" s="75"/>
      <c r="E1705" s="395"/>
      <c r="F1705" s="395"/>
      <c r="G1705" s="395"/>
      <c r="H1705" s="67"/>
      <c r="I1705" s="69"/>
      <c r="J1705" s="134"/>
      <c r="K1705" s="324">
        <v>0.2999</v>
      </c>
      <c r="L1705" s="191">
        <f>L173</f>
        <v>1.4842</v>
      </c>
      <c r="M1705" s="401"/>
      <c r="N1705" s="86"/>
    </row>
    <row r="1706" spans="1:14" s="64" customFormat="1" x14ac:dyDescent="0.2">
      <c r="A1706" s="63"/>
      <c r="B1706" s="396"/>
      <c r="C1706" s="122"/>
      <c r="D1706" s="75"/>
      <c r="E1706" s="395"/>
      <c r="F1706" s="395"/>
      <c r="G1706" s="395"/>
      <c r="H1706" s="67"/>
      <c r="I1706" s="69"/>
      <c r="J1706" s="134"/>
      <c r="K1706" s="324">
        <v>0.2999</v>
      </c>
      <c r="L1706" s="191">
        <f>L174</f>
        <v>1.4842</v>
      </c>
      <c r="M1706" s="401"/>
      <c r="N1706" s="86"/>
    </row>
    <row r="1707" spans="1:14" s="64" customFormat="1" x14ac:dyDescent="0.2">
      <c r="A1707" s="63"/>
      <c r="B1707" s="396"/>
      <c r="C1707" s="122"/>
      <c r="D1707" s="75"/>
      <c r="E1707" s="395"/>
      <c r="F1707" s="395"/>
      <c r="G1707" s="395"/>
      <c r="H1707" s="67"/>
      <c r="I1707" s="69"/>
      <c r="J1707" s="134"/>
      <c r="K1707" s="324">
        <v>0.2999</v>
      </c>
      <c r="L1707" s="191">
        <f>L175</f>
        <v>1.4842</v>
      </c>
      <c r="M1707" s="401"/>
      <c r="N1707" s="86"/>
    </row>
    <row r="1708" spans="1:14" s="64" customFormat="1" x14ac:dyDescent="0.2">
      <c r="A1708" s="63"/>
      <c r="B1708" s="396"/>
      <c r="C1708" s="122"/>
      <c r="D1708" s="75"/>
      <c r="E1708" s="395"/>
      <c r="F1708" s="395"/>
      <c r="G1708" s="395"/>
      <c r="H1708" s="67"/>
      <c r="I1708" s="69"/>
      <c r="J1708" s="134"/>
      <c r="K1708" s="324">
        <v>0.2999</v>
      </c>
      <c r="L1708" s="191">
        <f>L176</f>
        <v>1.4842</v>
      </c>
      <c r="M1708" s="401"/>
      <c r="N1708" s="86"/>
    </row>
    <row r="1709" spans="1:14" s="64" customFormat="1" x14ac:dyDescent="0.2">
      <c r="A1709" s="63"/>
      <c r="B1709" s="396"/>
      <c r="C1709" s="122"/>
      <c r="D1709" s="75"/>
      <c r="E1709" s="395"/>
      <c r="F1709" s="395"/>
      <c r="G1709" s="395"/>
      <c r="H1709" s="67"/>
      <c r="I1709" s="69"/>
      <c r="J1709" s="134"/>
      <c r="K1709" s="324">
        <v>0.2999</v>
      </c>
      <c r="L1709" s="191">
        <f>L177</f>
        <v>1.4842</v>
      </c>
      <c r="M1709" s="401"/>
      <c r="N1709" s="86"/>
    </row>
    <row r="1710" spans="1:14" s="64" customFormat="1" x14ac:dyDescent="0.2">
      <c r="A1710" s="63"/>
      <c r="B1710" s="396"/>
      <c r="C1710" s="122"/>
      <c r="D1710" s="75"/>
      <c r="E1710" s="395"/>
      <c r="F1710" s="395"/>
      <c r="G1710" s="395"/>
      <c r="H1710" s="67"/>
      <c r="I1710" s="69"/>
      <c r="J1710" s="134"/>
      <c r="K1710" s="324">
        <v>0.2999</v>
      </c>
      <c r="L1710" s="191">
        <f>L178</f>
        <v>1.4842</v>
      </c>
      <c r="M1710" s="401"/>
      <c r="N1710" s="86"/>
    </row>
    <row r="1711" spans="1:14" s="64" customFormat="1" x14ac:dyDescent="0.2">
      <c r="A1711" s="63"/>
      <c r="B1711" s="396"/>
      <c r="C1711" s="122"/>
      <c r="D1711" s="75"/>
      <c r="E1711" s="395"/>
      <c r="F1711" s="395"/>
      <c r="G1711" s="395"/>
      <c r="H1711" s="67"/>
      <c r="I1711" s="69"/>
      <c r="J1711" s="134"/>
      <c r="K1711" s="324">
        <v>0.2999</v>
      </c>
      <c r="L1711" s="191">
        <f>L179</f>
        <v>1.4842</v>
      </c>
      <c r="M1711" s="401"/>
      <c r="N1711" s="86"/>
    </row>
    <row r="1712" spans="1:14" s="64" customFormat="1" x14ac:dyDescent="0.2">
      <c r="A1712" s="63"/>
      <c r="B1712" s="396"/>
      <c r="C1712" s="122"/>
      <c r="D1712" s="75"/>
      <c r="E1712" s="395"/>
      <c r="F1712" s="395"/>
      <c r="G1712" s="395"/>
      <c r="H1712" s="67"/>
      <c r="I1712" s="69"/>
      <c r="J1712" s="134"/>
      <c r="K1712" s="324">
        <v>0.2999</v>
      </c>
      <c r="L1712" s="191">
        <f>L180</f>
        <v>1.4842</v>
      </c>
      <c r="M1712" s="401"/>
      <c r="N1712" s="86"/>
    </row>
    <row r="1713" spans="1:14" s="64" customFormat="1" x14ac:dyDescent="0.2">
      <c r="A1713" s="63"/>
      <c r="B1713" s="396"/>
      <c r="C1713" s="122"/>
      <c r="D1713" s="75"/>
      <c r="E1713" s="395"/>
      <c r="F1713" s="395"/>
      <c r="G1713" s="395"/>
      <c r="H1713" s="67"/>
      <c r="I1713" s="69"/>
      <c r="J1713" s="134"/>
      <c r="K1713" s="324">
        <v>0.2999</v>
      </c>
      <c r="L1713" s="191">
        <f>L181</f>
        <v>1.4842</v>
      </c>
      <c r="M1713" s="401"/>
      <c r="N1713" s="86"/>
    </row>
    <row r="1714" spans="1:14" s="64" customFormat="1" x14ac:dyDescent="0.2">
      <c r="A1714" s="63"/>
      <c r="B1714" s="396"/>
      <c r="C1714" s="122"/>
      <c r="D1714" s="75"/>
      <c r="E1714" s="395"/>
      <c r="F1714" s="395"/>
      <c r="G1714" s="395"/>
      <c r="H1714" s="67"/>
      <c r="I1714" s="69"/>
      <c r="J1714" s="134"/>
      <c r="K1714" s="324">
        <v>0.2999</v>
      </c>
      <c r="L1714" s="191">
        <f>L182</f>
        <v>0</v>
      </c>
      <c r="M1714" s="401"/>
      <c r="N1714" s="86"/>
    </row>
    <row r="1715" spans="1:14" s="64" customFormat="1" x14ac:dyDescent="0.2">
      <c r="A1715" s="63"/>
      <c r="B1715" s="396"/>
      <c r="C1715" s="122"/>
      <c r="D1715" s="75"/>
      <c r="E1715" s="395"/>
      <c r="F1715" s="395"/>
      <c r="G1715" s="395"/>
      <c r="H1715" s="67"/>
      <c r="I1715" s="69"/>
      <c r="J1715" s="134"/>
      <c r="K1715" s="324">
        <v>0.2999</v>
      </c>
      <c r="L1715" s="191">
        <f>L183</f>
        <v>1.4842</v>
      </c>
      <c r="M1715" s="401"/>
      <c r="N1715" s="86"/>
    </row>
    <row r="1716" spans="1:14" s="64" customFormat="1" x14ac:dyDescent="0.2">
      <c r="A1716" s="63"/>
      <c r="B1716" s="396"/>
      <c r="C1716" s="122"/>
      <c r="D1716" s="75"/>
      <c r="E1716" s="395"/>
      <c r="F1716" s="395"/>
      <c r="G1716" s="395"/>
      <c r="H1716" s="67"/>
      <c r="I1716" s="69"/>
      <c r="J1716" s="134"/>
      <c r="K1716" s="324">
        <v>0.2999</v>
      </c>
      <c r="L1716" s="191">
        <f>L184</f>
        <v>1.4842</v>
      </c>
      <c r="M1716" s="401"/>
      <c r="N1716" s="86"/>
    </row>
    <row r="1717" spans="1:14" s="64" customFormat="1" x14ac:dyDescent="0.2">
      <c r="A1717" s="63"/>
      <c r="B1717" s="396"/>
      <c r="C1717" s="122"/>
      <c r="D1717" s="75"/>
      <c r="E1717" s="395"/>
      <c r="F1717" s="395"/>
      <c r="G1717" s="395"/>
      <c r="H1717" s="67"/>
      <c r="I1717" s="69"/>
      <c r="J1717" s="134"/>
      <c r="K1717" s="324">
        <v>0.2999</v>
      </c>
      <c r="L1717" s="191">
        <f>L185</f>
        <v>1.4842</v>
      </c>
      <c r="M1717" s="401"/>
      <c r="N1717" s="86"/>
    </row>
    <row r="1718" spans="1:14" s="64" customFormat="1" x14ac:dyDescent="0.2">
      <c r="A1718" s="63"/>
      <c r="B1718" s="396"/>
      <c r="C1718" s="122"/>
      <c r="D1718" s="75"/>
      <c r="E1718" s="395"/>
      <c r="F1718" s="395"/>
      <c r="G1718" s="395"/>
      <c r="H1718" s="67"/>
      <c r="I1718" s="69"/>
      <c r="J1718" s="134"/>
      <c r="K1718" s="324">
        <v>0.2999</v>
      </c>
      <c r="L1718" s="191">
        <f>L186</f>
        <v>1.4842</v>
      </c>
      <c r="M1718" s="401"/>
      <c r="N1718" s="86"/>
    </row>
    <row r="1719" spans="1:14" s="64" customFormat="1" x14ac:dyDescent="0.2">
      <c r="A1719" s="63"/>
      <c r="B1719" s="396"/>
      <c r="C1719" s="122"/>
      <c r="D1719" s="75"/>
      <c r="E1719" s="395"/>
      <c r="F1719" s="395"/>
      <c r="G1719" s="395"/>
      <c r="H1719" s="67"/>
      <c r="I1719" s="69"/>
      <c r="J1719" s="134"/>
      <c r="K1719" s="324">
        <v>0.2999</v>
      </c>
      <c r="L1719" s="191">
        <f>L187</f>
        <v>1.4842</v>
      </c>
      <c r="M1719" s="401"/>
      <c r="N1719" s="86"/>
    </row>
    <row r="1720" spans="1:14" s="64" customFormat="1" x14ac:dyDescent="0.2">
      <c r="A1720" s="63"/>
      <c r="B1720" s="396"/>
      <c r="C1720" s="122"/>
      <c r="D1720" s="75"/>
      <c r="E1720" s="395"/>
      <c r="F1720" s="395"/>
      <c r="G1720" s="395"/>
      <c r="H1720" s="67"/>
      <c r="I1720" s="69"/>
      <c r="J1720" s="134"/>
      <c r="K1720" s="324">
        <v>0.2999</v>
      </c>
      <c r="L1720" s="191">
        <f>L188</f>
        <v>1.4842</v>
      </c>
      <c r="M1720" s="401"/>
      <c r="N1720" s="86"/>
    </row>
    <row r="1721" spans="1:14" s="64" customFormat="1" x14ac:dyDescent="0.2">
      <c r="A1721" s="63"/>
      <c r="B1721" s="396"/>
      <c r="C1721" s="122"/>
      <c r="D1721" s="75"/>
      <c r="E1721" s="395"/>
      <c r="F1721" s="395"/>
      <c r="G1721" s="395"/>
      <c r="H1721" s="67"/>
      <c r="I1721" s="69"/>
      <c r="J1721" s="134"/>
      <c r="K1721" s="324">
        <v>0.2999</v>
      </c>
      <c r="L1721" s="191">
        <f>L189</f>
        <v>1.4842</v>
      </c>
      <c r="M1721" s="401"/>
      <c r="N1721" s="86"/>
    </row>
    <row r="1722" spans="1:14" s="64" customFormat="1" x14ac:dyDescent="0.2">
      <c r="A1722" s="63"/>
      <c r="B1722" s="396"/>
      <c r="C1722" s="122"/>
      <c r="D1722" s="75"/>
      <c r="E1722" s="395"/>
      <c r="F1722" s="395"/>
      <c r="G1722" s="395"/>
      <c r="H1722" s="67"/>
      <c r="I1722" s="69"/>
      <c r="J1722" s="134"/>
      <c r="K1722" s="324">
        <v>0.2999</v>
      </c>
      <c r="L1722" s="191">
        <f>L190</f>
        <v>1.4842</v>
      </c>
      <c r="M1722" s="401"/>
      <c r="N1722" s="86"/>
    </row>
    <row r="1723" spans="1:14" s="64" customFormat="1" x14ac:dyDescent="0.2">
      <c r="A1723" s="63"/>
      <c r="B1723" s="396"/>
      <c r="C1723" s="122"/>
      <c r="D1723" s="75"/>
      <c r="E1723" s="395"/>
      <c r="F1723" s="395"/>
      <c r="G1723" s="395"/>
      <c r="H1723" s="67"/>
      <c r="I1723" s="69"/>
      <c r="J1723" s="134"/>
      <c r="K1723" s="324">
        <v>0.2999</v>
      </c>
      <c r="L1723" s="191">
        <f>L191</f>
        <v>1.4842</v>
      </c>
      <c r="M1723" s="401"/>
      <c r="N1723" s="86"/>
    </row>
    <row r="1724" spans="1:14" s="64" customFormat="1" x14ac:dyDescent="0.2">
      <c r="A1724" s="63"/>
      <c r="B1724" s="396"/>
      <c r="C1724" s="122"/>
      <c r="D1724" s="75"/>
      <c r="E1724" s="395"/>
      <c r="F1724" s="395"/>
      <c r="G1724" s="395"/>
      <c r="H1724" s="67"/>
      <c r="I1724" s="69"/>
      <c r="J1724" s="134"/>
      <c r="K1724" s="324">
        <v>0.2999</v>
      </c>
      <c r="L1724" s="191">
        <f>L192</f>
        <v>1.4842</v>
      </c>
      <c r="M1724" s="401"/>
      <c r="N1724" s="86"/>
    </row>
    <row r="1725" spans="1:14" s="64" customFormat="1" x14ac:dyDescent="0.2">
      <c r="A1725" s="63"/>
      <c r="B1725" s="396"/>
      <c r="C1725" s="122"/>
      <c r="D1725" s="75"/>
      <c r="E1725" s="395"/>
      <c r="F1725" s="395"/>
      <c r="G1725" s="395"/>
      <c r="H1725" s="67"/>
      <c r="I1725" s="69"/>
      <c r="J1725" s="134"/>
      <c r="K1725" s="324">
        <v>0.2999</v>
      </c>
      <c r="L1725" s="191">
        <f>L193</f>
        <v>1.4842</v>
      </c>
      <c r="M1725" s="401"/>
      <c r="N1725" s="86"/>
    </row>
    <row r="1726" spans="1:14" s="64" customFormat="1" x14ac:dyDescent="0.2">
      <c r="A1726" s="63"/>
      <c r="B1726" s="396"/>
      <c r="C1726" s="122"/>
      <c r="D1726" s="75"/>
      <c r="E1726" s="395"/>
      <c r="F1726" s="395"/>
      <c r="G1726" s="395"/>
      <c r="H1726" s="67"/>
      <c r="I1726" s="69"/>
      <c r="J1726" s="134"/>
      <c r="K1726" s="324">
        <v>0.2999</v>
      </c>
      <c r="L1726" s="191">
        <f>L194</f>
        <v>1.4842</v>
      </c>
      <c r="M1726" s="401"/>
      <c r="N1726" s="86"/>
    </row>
    <row r="1727" spans="1:14" s="64" customFormat="1" x14ac:dyDescent="0.2">
      <c r="A1727" s="63"/>
      <c r="B1727" s="396"/>
      <c r="C1727" s="122"/>
      <c r="D1727" s="75"/>
      <c r="E1727" s="395"/>
      <c r="F1727" s="395"/>
      <c r="G1727" s="395"/>
      <c r="H1727" s="67"/>
      <c r="I1727" s="69"/>
      <c r="J1727" s="134"/>
      <c r="K1727" s="324">
        <v>0.2999</v>
      </c>
      <c r="L1727" s="191">
        <f>L195</f>
        <v>1.4842</v>
      </c>
      <c r="M1727" s="401"/>
      <c r="N1727" s="86"/>
    </row>
    <row r="1728" spans="1:14" s="64" customFormat="1" x14ac:dyDescent="0.2">
      <c r="A1728" s="63"/>
      <c r="B1728" s="396"/>
      <c r="C1728" s="122"/>
      <c r="D1728" s="75"/>
      <c r="E1728" s="395"/>
      <c r="F1728" s="395"/>
      <c r="G1728" s="395"/>
      <c r="H1728" s="67"/>
      <c r="I1728" s="69"/>
      <c r="J1728" s="134"/>
      <c r="K1728" s="324">
        <v>0.2999</v>
      </c>
      <c r="L1728" s="191">
        <f>L196</f>
        <v>1.4842</v>
      </c>
      <c r="M1728" s="401"/>
      <c r="N1728" s="86"/>
    </row>
    <row r="1729" spans="1:14" s="64" customFormat="1" x14ac:dyDescent="0.2">
      <c r="A1729" s="63"/>
      <c r="B1729" s="396"/>
      <c r="C1729" s="122"/>
      <c r="D1729" s="75"/>
      <c r="E1729" s="395"/>
      <c r="F1729" s="395"/>
      <c r="G1729" s="395"/>
      <c r="H1729" s="67"/>
      <c r="I1729" s="69"/>
      <c r="J1729" s="134"/>
      <c r="K1729" s="324">
        <v>0.2999</v>
      </c>
      <c r="L1729" s="191">
        <f>L197</f>
        <v>1.4842</v>
      </c>
      <c r="M1729" s="401"/>
      <c r="N1729" s="86"/>
    </row>
    <row r="1730" spans="1:14" s="64" customFormat="1" x14ac:dyDescent="0.2">
      <c r="A1730" s="63"/>
      <c r="B1730" s="396"/>
      <c r="C1730" s="122"/>
      <c r="D1730" s="75"/>
      <c r="E1730" s="395"/>
      <c r="F1730" s="395"/>
      <c r="G1730" s="395"/>
      <c r="H1730" s="67"/>
      <c r="I1730" s="69"/>
      <c r="J1730" s="134"/>
      <c r="K1730" s="324">
        <v>0.2999</v>
      </c>
      <c r="L1730" s="191">
        <f>L198</f>
        <v>1.4842</v>
      </c>
      <c r="M1730" s="401"/>
      <c r="N1730" s="86"/>
    </row>
    <row r="1731" spans="1:14" s="64" customFormat="1" x14ac:dyDescent="0.2">
      <c r="A1731" s="63"/>
      <c r="B1731" s="396"/>
      <c r="C1731" s="122"/>
      <c r="D1731" s="75"/>
      <c r="E1731" s="395"/>
      <c r="F1731" s="395"/>
      <c r="G1731" s="395"/>
      <c r="H1731" s="67"/>
      <c r="I1731" s="69"/>
      <c r="J1731" s="134"/>
      <c r="K1731" s="324">
        <v>0.2999</v>
      </c>
      <c r="L1731" s="191">
        <f>L199</f>
        <v>1.4842</v>
      </c>
      <c r="M1731" s="401"/>
      <c r="N1731" s="86"/>
    </row>
    <row r="1732" spans="1:14" s="64" customFormat="1" x14ac:dyDescent="0.2">
      <c r="A1732" s="63"/>
      <c r="B1732" s="396"/>
      <c r="C1732" s="122"/>
      <c r="D1732" s="75"/>
      <c r="E1732" s="395"/>
      <c r="F1732" s="395"/>
      <c r="G1732" s="395"/>
      <c r="H1732" s="67"/>
      <c r="I1732" s="69"/>
      <c r="J1732" s="134"/>
      <c r="K1732" s="324">
        <v>0.2999</v>
      </c>
      <c r="L1732" s="191">
        <f>L200</f>
        <v>1.4842</v>
      </c>
      <c r="M1732" s="401"/>
      <c r="N1732" s="86"/>
    </row>
    <row r="1733" spans="1:14" s="64" customFormat="1" x14ac:dyDescent="0.2">
      <c r="A1733" s="63"/>
      <c r="B1733" s="396"/>
      <c r="C1733" s="122"/>
      <c r="D1733" s="75"/>
      <c r="E1733" s="395"/>
      <c r="F1733" s="395"/>
      <c r="G1733" s="395"/>
      <c r="H1733" s="67"/>
      <c r="I1733" s="69"/>
      <c r="J1733" s="134"/>
      <c r="K1733" s="324">
        <v>0.2999</v>
      </c>
      <c r="L1733" s="191">
        <f>L201</f>
        <v>1.4842</v>
      </c>
      <c r="M1733" s="401"/>
      <c r="N1733" s="86"/>
    </row>
    <row r="1734" spans="1:14" s="64" customFormat="1" x14ac:dyDescent="0.2">
      <c r="A1734" s="63"/>
      <c r="B1734" s="396"/>
      <c r="C1734" s="122"/>
      <c r="D1734" s="75"/>
      <c r="E1734" s="395"/>
      <c r="F1734" s="395"/>
      <c r="G1734" s="395"/>
      <c r="H1734" s="67"/>
      <c r="I1734" s="69"/>
      <c r="J1734" s="134"/>
      <c r="K1734" s="324">
        <v>0.2999</v>
      </c>
      <c r="L1734" s="191">
        <f>L202</f>
        <v>1.4842</v>
      </c>
      <c r="M1734" s="401"/>
      <c r="N1734" s="86"/>
    </row>
    <row r="1735" spans="1:14" s="64" customFormat="1" x14ac:dyDescent="0.2">
      <c r="A1735" s="63"/>
      <c r="B1735" s="396"/>
      <c r="C1735" s="122"/>
      <c r="D1735" s="75"/>
      <c r="E1735" s="395"/>
      <c r="F1735" s="395"/>
      <c r="G1735" s="395"/>
      <c r="H1735" s="67"/>
      <c r="I1735" s="69"/>
      <c r="J1735" s="134"/>
      <c r="K1735" s="324">
        <v>0.2999</v>
      </c>
      <c r="L1735" s="191">
        <f>L203</f>
        <v>1.4842</v>
      </c>
      <c r="M1735" s="401"/>
      <c r="N1735" s="86"/>
    </row>
    <row r="1736" spans="1:14" s="64" customFormat="1" x14ac:dyDescent="0.2">
      <c r="A1736" s="63"/>
      <c r="B1736" s="396"/>
      <c r="C1736" s="122"/>
      <c r="D1736" s="75"/>
      <c r="E1736" s="395"/>
      <c r="F1736" s="395"/>
      <c r="G1736" s="395"/>
      <c r="H1736" s="67"/>
      <c r="I1736" s="69"/>
      <c r="J1736" s="134"/>
      <c r="K1736" s="324">
        <v>0.2999</v>
      </c>
      <c r="L1736" s="191">
        <f>L204</f>
        <v>1.4842</v>
      </c>
      <c r="M1736" s="401"/>
      <c r="N1736" s="86"/>
    </row>
    <row r="1737" spans="1:14" s="64" customFormat="1" x14ac:dyDescent="0.2">
      <c r="A1737" s="63"/>
      <c r="B1737" s="396"/>
      <c r="C1737" s="122"/>
      <c r="D1737" s="75"/>
      <c r="E1737" s="395"/>
      <c r="F1737" s="395"/>
      <c r="G1737" s="395"/>
      <c r="H1737" s="67"/>
      <c r="I1737" s="69"/>
      <c r="J1737" s="134"/>
      <c r="K1737" s="324">
        <v>0.2999</v>
      </c>
      <c r="L1737" s="191">
        <f>L205</f>
        <v>1.4842</v>
      </c>
      <c r="M1737" s="401"/>
      <c r="N1737" s="86"/>
    </row>
    <row r="1738" spans="1:14" s="64" customFormat="1" x14ac:dyDescent="0.2">
      <c r="A1738" s="63"/>
      <c r="B1738" s="396"/>
      <c r="C1738" s="122"/>
      <c r="D1738" s="75"/>
      <c r="E1738" s="395"/>
      <c r="F1738" s="395"/>
      <c r="G1738" s="395"/>
      <c r="H1738" s="67"/>
      <c r="I1738" s="69"/>
      <c r="J1738" s="134"/>
      <c r="K1738" s="324">
        <v>0.2999</v>
      </c>
      <c r="L1738" s="191">
        <f>L206</f>
        <v>1.4842</v>
      </c>
      <c r="M1738" s="401"/>
      <c r="N1738" s="86"/>
    </row>
    <row r="1739" spans="1:14" s="64" customFormat="1" x14ac:dyDescent="0.2">
      <c r="A1739" s="63"/>
      <c r="B1739" s="396"/>
      <c r="C1739" s="122"/>
      <c r="D1739" s="75"/>
      <c r="E1739" s="395"/>
      <c r="F1739" s="395"/>
      <c r="G1739" s="395"/>
      <c r="H1739" s="67"/>
      <c r="I1739" s="69"/>
      <c r="J1739" s="134"/>
      <c r="K1739" s="324">
        <v>0.2999</v>
      </c>
      <c r="L1739" s="191">
        <f>L207</f>
        <v>1.4842</v>
      </c>
      <c r="M1739" s="401"/>
      <c r="N1739" s="86"/>
    </row>
    <row r="1740" spans="1:14" s="64" customFormat="1" x14ac:dyDescent="0.2">
      <c r="A1740" s="63"/>
      <c r="B1740" s="396"/>
      <c r="C1740" s="122"/>
      <c r="D1740" s="75"/>
      <c r="E1740" s="395"/>
      <c r="F1740" s="395"/>
      <c r="G1740" s="395"/>
      <c r="H1740" s="67"/>
      <c r="I1740" s="69"/>
      <c r="J1740" s="134"/>
      <c r="K1740" s="324">
        <v>0.2999</v>
      </c>
      <c r="L1740" s="191">
        <f>L208</f>
        <v>1.4842</v>
      </c>
      <c r="M1740" s="401"/>
      <c r="N1740" s="86"/>
    </row>
    <row r="1741" spans="1:14" s="64" customFormat="1" x14ac:dyDescent="0.2">
      <c r="A1741" s="63"/>
      <c r="B1741" s="396"/>
      <c r="C1741" s="122"/>
      <c r="D1741" s="75"/>
      <c r="E1741" s="395"/>
      <c r="F1741" s="395"/>
      <c r="G1741" s="395"/>
      <c r="H1741" s="67"/>
      <c r="I1741" s="69"/>
      <c r="J1741" s="134"/>
      <c r="K1741" s="324">
        <v>0.2999</v>
      </c>
      <c r="L1741" s="191">
        <f>L209</f>
        <v>1.4842</v>
      </c>
      <c r="M1741" s="401"/>
      <c r="N1741" s="86"/>
    </row>
    <row r="1742" spans="1:14" s="64" customFormat="1" x14ac:dyDescent="0.2">
      <c r="A1742" s="63"/>
      <c r="B1742" s="396"/>
      <c r="C1742" s="122"/>
      <c r="D1742" s="75"/>
      <c r="E1742" s="395"/>
      <c r="F1742" s="395"/>
      <c r="G1742" s="395"/>
      <c r="H1742" s="67"/>
      <c r="I1742" s="69"/>
      <c r="J1742" s="134"/>
      <c r="K1742" s="324">
        <v>0.2999</v>
      </c>
      <c r="L1742" s="191">
        <f>L210</f>
        <v>1.4842</v>
      </c>
      <c r="M1742" s="401"/>
      <c r="N1742" s="86"/>
    </row>
    <row r="1743" spans="1:14" s="64" customFormat="1" x14ac:dyDescent="0.2">
      <c r="A1743" s="63"/>
      <c r="B1743" s="396"/>
      <c r="C1743" s="122"/>
      <c r="D1743" s="75"/>
      <c r="E1743" s="395"/>
      <c r="F1743" s="395"/>
      <c r="G1743" s="395"/>
      <c r="H1743" s="67"/>
      <c r="I1743" s="69"/>
      <c r="J1743" s="134"/>
      <c r="K1743" s="324">
        <v>0.2999</v>
      </c>
      <c r="L1743" s="191">
        <f>L211</f>
        <v>1.4842</v>
      </c>
      <c r="M1743" s="401"/>
      <c r="N1743" s="86"/>
    </row>
    <row r="1744" spans="1:14" s="64" customFormat="1" x14ac:dyDescent="0.2">
      <c r="A1744" s="63"/>
      <c r="B1744" s="396"/>
      <c r="C1744" s="122"/>
      <c r="D1744" s="75"/>
      <c r="E1744" s="395"/>
      <c r="F1744" s="395"/>
      <c r="G1744" s="395"/>
      <c r="H1744" s="67"/>
      <c r="I1744" s="69"/>
      <c r="J1744" s="134"/>
      <c r="K1744" s="324">
        <v>0.2999</v>
      </c>
      <c r="L1744" s="191">
        <f>L212</f>
        <v>1.4842</v>
      </c>
      <c r="M1744" s="401"/>
      <c r="N1744" s="86"/>
    </row>
    <row r="1745" spans="1:14" s="64" customFormat="1" x14ac:dyDescent="0.2">
      <c r="A1745" s="63"/>
      <c r="B1745" s="396"/>
      <c r="C1745" s="122"/>
      <c r="D1745" s="75"/>
      <c r="E1745" s="395"/>
      <c r="F1745" s="395"/>
      <c r="G1745" s="395"/>
      <c r="H1745" s="67"/>
      <c r="I1745" s="69"/>
      <c r="J1745" s="134"/>
      <c r="K1745" s="324">
        <v>0.2999</v>
      </c>
      <c r="L1745" s="191">
        <f>L213</f>
        <v>1.4842</v>
      </c>
      <c r="M1745" s="401"/>
      <c r="N1745" s="86"/>
    </row>
    <row r="1746" spans="1:14" s="64" customFormat="1" x14ac:dyDescent="0.2">
      <c r="A1746" s="63"/>
      <c r="B1746" s="396"/>
      <c r="C1746" s="122"/>
      <c r="D1746" s="75"/>
      <c r="E1746" s="395"/>
      <c r="F1746" s="395"/>
      <c r="G1746" s="395"/>
      <c r="H1746" s="67"/>
      <c r="I1746" s="69"/>
      <c r="J1746" s="134"/>
      <c r="K1746" s="324">
        <v>0.2999</v>
      </c>
      <c r="L1746" s="191">
        <f>L214</f>
        <v>1.4842</v>
      </c>
      <c r="M1746" s="401"/>
      <c r="N1746" s="86"/>
    </row>
    <row r="1747" spans="1:14" s="64" customFormat="1" x14ac:dyDescent="0.2">
      <c r="A1747" s="63"/>
      <c r="B1747" s="396"/>
      <c r="C1747" s="122"/>
      <c r="D1747" s="75"/>
      <c r="E1747" s="395"/>
      <c r="F1747" s="395"/>
      <c r="G1747" s="395"/>
      <c r="H1747" s="67"/>
      <c r="I1747" s="69"/>
      <c r="J1747" s="134"/>
      <c r="K1747" s="324">
        <v>0.2999</v>
      </c>
      <c r="L1747" s="191">
        <f>L215</f>
        <v>1.4842</v>
      </c>
      <c r="M1747" s="401"/>
      <c r="N1747" s="86"/>
    </row>
    <row r="1748" spans="1:14" s="64" customFormat="1" x14ac:dyDescent="0.2">
      <c r="A1748" s="63"/>
      <c r="B1748" s="396"/>
      <c r="C1748" s="122"/>
      <c r="D1748" s="75"/>
      <c r="E1748" s="395"/>
      <c r="F1748" s="395"/>
      <c r="G1748" s="395"/>
      <c r="H1748" s="67"/>
      <c r="I1748" s="69"/>
      <c r="J1748" s="134"/>
      <c r="K1748" s="324">
        <v>0.2999</v>
      </c>
      <c r="L1748" s="191">
        <f>L216</f>
        <v>1.4842</v>
      </c>
      <c r="M1748" s="401"/>
      <c r="N1748" s="86"/>
    </row>
    <row r="1749" spans="1:14" s="64" customFormat="1" x14ac:dyDescent="0.2">
      <c r="A1749" s="63"/>
      <c r="B1749" s="396"/>
      <c r="C1749" s="122"/>
      <c r="D1749" s="75"/>
      <c r="E1749" s="395"/>
      <c r="F1749" s="395"/>
      <c r="G1749" s="395"/>
      <c r="H1749" s="67"/>
      <c r="I1749" s="69"/>
      <c r="J1749" s="134"/>
      <c r="K1749" s="324">
        <v>0.2999</v>
      </c>
      <c r="L1749" s="191">
        <f>L217</f>
        <v>1.4842</v>
      </c>
      <c r="M1749" s="401"/>
      <c r="N1749" s="86"/>
    </row>
    <row r="1750" spans="1:14" s="64" customFormat="1" x14ac:dyDescent="0.2">
      <c r="A1750" s="63"/>
      <c r="B1750" s="396"/>
      <c r="C1750" s="122"/>
      <c r="D1750" s="75"/>
      <c r="E1750" s="395"/>
      <c r="F1750" s="395"/>
      <c r="G1750" s="395"/>
      <c r="H1750" s="67"/>
      <c r="I1750" s="69"/>
      <c r="J1750" s="134"/>
      <c r="K1750" s="324">
        <v>0.2999</v>
      </c>
      <c r="L1750" s="191">
        <f>L218</f>
        <v>1.4842</v>
      </c>
      <c r="M1750" s="401"/>
      <c r="N1750" s="86"/>
    </row>
    <row r="1751" spans="1:14" s="64" customFormat="1" x14ac:dyDescent="0.2">
      <c r="A1751" s="63"/>
      <c r="B1751" s="396"/>
      <c r="C1751" s="122"/>
      <c r="D1751" s="75"/>
      <c r="E1751" s="395"/>
      <c r="F1751" s="395"/>
      <c r="G1751" s="395"/>
      <c r="H1751" s="67"/>
      <c r="I1751" s="69"/>
      <c r="J1751" s="134"/>
      <c r="K1751" s="324">
        <v>0.2999</v>
      </c>
      <c r="L1751" s="191">
        <f>L219</f>
        <v>1.4842</v>
      </c>
      <c r="M1751" s="401"/>
      <c r="N1751" s="86"/>
    </row>
    <row r="1752" spans="1:14" s="64" customFormat="1" x14ac:dyDescent="0.2">
      <c r="A1752" s="63"/>
      <c r="B1752" s="396"/>
      <c r="C1752" s="122"/>
      <c r="D1752" s="75"/>
      <c r="E1752" s="395"/>
      <c r="F1752" s="395"/>
      <c r="G1752" s="395"/>
      <c r="H1752" s="67"/>
      <c r="I1752" s="69"/>
      <c r="J1752" s="134"/>
      <c r="K1752" s="324">
        <v>0.2999</v>
      </c>
      <c r="L1752" s="191">
        <f>L220</f>
        <v>1.4842</v>
      </c>
      <c r="M1752" s="401"/>
      <c r="N1752" s="86"/>
    </row>
    <row r="1753" spans="1:14" s="64" customFormat="1" x14ac:dyDescent="0.2">
      <c r="A1753" s="63"/>
      <c r="B1753" s="396"/>
      <c r="C1753" s="122"/>
      <c r="D1753" s="75"/>
      <c r="E1753" s="395"/>
      <c r="F1753" s="395"/>
      <c r="G1753" s="395"/>
      <c r="H1753" s="67"/>
      <c r="I1753" s="69"/>
      <c r="J1753" s="134"/>
      <c r="K1753" s="324">
        <v>0.2999</v>
      </c>
      <c r="L1753" s="191">
        <f>L221</f>
        <v>1.4842</v>
      </c>
      <c r="M1753" s="401"/>
      <c r="N1753" s="86"/>
    </row>
    <row r="1754" spans="1:14" s="64" customFormat="1" x14ac:dyDescent="0.2">
      <c r="A1754" s="63"/>
      <c r="B1754" s="396"/>
      <c r="C1754" s="122"/>
      <c r="D1754" s="75"/>
      <c r="E1754" s="395"/>
      <c r="F1754" s="395"/>
      <c r="G1754" s="395"/>
      <c r="H1754" s="67"/>
      <c r="I1754" s="69"/>
      <c r="J1754" s="134"/>
      <c r="K1754" s="324">
        <v>0.2999</v>
      </c>
      <c r="L1754" s="191">
        <f>L222</f>
        <v>1.4842</v>
      </c>
      <c r="M1754" s="401"/>
      <c r="N1754" s="86"/>
    </row>
    <row r="1755" spans="1:14" s="64" customFormat="1" x14ac:dyDescent="0.2">
      <c r="A1755" s="63"/>
      <c r="B1755" s="396"/>
      <c r="C1755" s="122"/>
      <c r="D1755" s="75"/>
      <c r="E1755" s="395"/>
      <c r="F1755" s="395"/>
      <c r="G1755" s="395"/>
      <c r="H1755" s="67"/>
      <c r="I1755" s="69"/>
      <c r="J1755" s="134"/>
      <c r="K1755" s="324">
        <v>0.2999</v>
      </c>
      <c r="L1755" s="191">
        <f>L223</f>
        <v>1.4842</v>
      </c>
      <c r="M1755" s="401"/>
      <c r="N1755" s="86"/>
    </row>
    <row r="1756" spans="1:14" s="64" customFormat="1" x14ac:dyDescent="0.2">
      <c r="A1756" s="63"/>
      <c r="B1756" s="396"/>
      <c r="C1756" s="122"/>
      <c r="D1756" s="75"/>
      <c r="E1756" s="395"/>
      <c r="F1756" s="395"/>
      <c r="G1756" s="395"/>
      <c r="H1756" s="67"/>
      <c r="I1756" s="69"/>
      <c r="J1756" s="134"/>
      <c r="K1756" s="324">
        <v>0.2999</v>
      </c>
      <c r="L1756" s="191">
        <f>L224</f>
        <v>1.4842</v>
      </c>
      <c r="M1756" s="401"/>
      <c r="N1756" s="86"/>
    </row>
    <row r="1757" spans="1:14" s="64" customFormat="1" x14ac:dyDescent="0.2">
      <c r="A1757" s="63"/>
      <c r="B1757" s="396"/>
      <c r="C1757" s="122"/>
      <c r="D1757" s="75"/>
      <c r="E1757" s="395"/>
      <c r="F1757" s="395"/>
      <c r="G1757" s="395"/>
      <c r="H1757" s="67"/>
      <c r="I1757" s="69"/>
      <c r="J1757" s="134"/>
      <c r="K1757" s="324">
        <v>0.2999</v>
      </c>
      <c r="L1757" s="191">
        <f>L225</f>
        <v>1.4842</v>
      </c>
      <c r="M1757" s="401"/>
      <c r="N1757" s="86"/>
    </row>
    <row r="1758" spans="1:14" s="64" customFormat="1" x14ac:dyDescent="0.2">
      <c r="A1758" s="63"/>
      <c r="B1758" s="396"/>
      <c r="C1758" s="122"/>
      <c r="D1758" s="75"/>
      <c r="E1758" s="395"/>
      <c r="F1758" s="395"/>
      <c r="G1758" s="395"/>
      <c r="H1758" s="67"/>
      <c r="I1758" s="69"/>
      <c r="J1758" s="134"/>
      <c r="K1758" s="324">
        <v>0.2999</v>
      </c>
      <c r="L1758" s="191">
        <f>L226</f>
        <v>1.4842</v>
      </c>
      <c r="M1758" s="401"/>
      <c r="N1758" s="86"/>
    </row>
    <row r="1759" spans="1:14" s="64" customFormat="1" x14ac:dyDescent="0.2">
      <c r="A1759" s="63"/>
      <c r="B1759" s="396"/>
      <c r="C1759" s="122"/>
      <c r="D1759" s="75"/>
      <c r="E1759" s="395"/>
      <c r="F1759" s="395"/>
      <c r="G1759" s="395"/>
      <c r="H1759" s="67"/>
      <c r="I1759" s="69"/>
      <c r="J1759" s="134"/>
      <c r="K1759" s="324">
        <v>0.2999</v>
      </c>
      <c r="L1759" s="191">
        <f>L227</f>
        <v>1.4842</v>
      </c>
      <c r="M1759" s="401"/>
      <c r="N1759" s="86"/>
    </row>
    <row r="1760" spans="1:14" s="64" customFormat="1" x14ac:dyDescent="0.2">
      <c r="A1760" s="63"/>
      <c r="B1760" s="396"/>
      <c r="C1760" s="122"/>
      <c r="D1760" s="75"/>
      <c r="E1760" s="395"/>
      <c r="F1760" s="395"/>
      <c r="G1760" s="395"/>
      <c r="H1760" s="67"/>
      <c r="I1760" s="69"/>
      <c r="J1760" s="134"/>
      <c r="K1760" s="324">
        <v>0.2999</v>
      </c>
      <c r="L1760" s="191">
        <f>L228</f>
        <v>1.4842</v>
      </c>
      <c r="M1760" s="401"/>
      <c r="N1760" s="86"/>
    </row>
    <row r="1761" spans="1:14" s="64" customFormat="1" x14ac:dyDescent="0.2">
      <c r="A1761" s="63"/>
      <c r="B1761" s="396"/>
      <c r="C1761" s="122"/>
      <c r="D1761" s="75"/>
      <c r="E1761" s="395"/>
      <c r="F1761" s="395"/>
      <c r="G1761" s="395"/>
      <c r="H1761" s="67"/>
      <c r="I1761" s="69"/>
      <c r="J1761" s="134"/>
      <c r="K1761" s="324">
        <v>0.2999</v>
      </c>
      <c r="L1761" s="191">
        <f>L229</f>
        <v>1.4842</v>
      </c>
      <c r="M1761" s="401"/>
      <c r="N1761" s="86"/>
    </row>
    <row r="1762" spans="1:14" s="64" customFormat="1" x14ac:dyDescent="0.2">
      <c r="A1762" s="63"/>
      <c r="B1762" s="396"/>
      <c r="C1762" s="122"/>
      <c r="D1762" s="75"/>
      <c r="E1762" s="395"/>
      <c r="F1762" s="395"/>
      <c r="G1762" s="395"/>
      <c r="H1762" s="67"/>
      <c r="I1762" s="69"/>
      <c r="J1762" s="134"/>
      <c r="K1762" s="324">
        <v>0.2999</v>
      </c>
      <c r="L1762" s="191">
        <f>L230</f>
        <v>1.4842</v>
      </c>
      <c r="M1762" s="401"/>
      <c r="N1762" s="86"/>
    </row>
    <row r="1763" spans="1:14" s="64" customFormat="1" x14ac:dyDescent="0.2">
      <c r="A1763" s="63"/>
      <c r="B1763" s="396"/>
      <c r="C1763" s="122"/>
      <c r="D1763" s="75"/>
      <c r="E1763" s="395"/>
      <c r="F1763" s="395"/>
      <c r="G1763" s="395"/>
      <c r="H1763" s="67"/>
      <c r="I1763" s="69"/>
      <c r="J1763" s="134"/>
      <c r="K1763" s="324">
        <v>0.2999</v>
      </c>
      <c r="L1763" s="191">
        <f>L231</f>
        <v>1.4842</v>
      </c>
      <c r="M1763" s="401"/>
      <c r="N1763" s="86"/>
    </row>
    <row r="1764" spans="1:14" s="64" customFormat="1" x14ac:dyDescent="0.2">
      <c r="A1764" s="63"/>
      <c r="B1764" s="396"/>
      <c r="C1764" s="122"/>
      <c r="D1764" s="75"/>
      <c r="E1764" s="395"/>
      <c r="F1764" s="395"/>
      <c r="G1764" s="395"/>
      <c r="H1764" s="67"/>
      <c r="I1764" s="69"/>
      <c r="J1764" s="134"/>
      <c r="K1764" s="324">
        <v>0.2999</v>
      </c>
      <c r="L1764" s="191">
        <f>L232</f>
        <v>1.4842</v>
      </c>
      <c r="M1764" s="401"/>
      <c r="N1764" s="86"/>
    </row>
    <row r="1765" spans="1:14" s="64" customFormat="1" x14ac:dyDescent="0.2">
      <c r="A1765" s="63"/>
      <c r="B1765" s="396"/>
      <c r="C1765" s="122"/>
      <c r="D1765" s="75"/>
      <c r="E1765" s="395"/>
      <c r="F1765" s="395"/>
      <c r="G1765" s="395"/>
      <c r="H1765" s="67"/>
      <c r="I1765" s="69"/>
      <c r="J1765" s="134"/>
      <c r="K1765" s="324">
        <v>0.2999</v>
      </c>
      <c r="L1765" s="191">
        <f>L233</f>
        <v>1.4842</v>
      </c>
      <c r="M1765" s="401"/>
      <c r="N1765" s="86"/>
    </row>
    <row r="1766" spans="1:14" s="64" customFormat="1" x14ac:dyDescent="0.2">
      <c r="A1766" s="63"/>
      <c r="B1766" s="396"/>
      <c r="C1766" s="122"/>
      <c r="D1766" s="75"/>
      <c r="E1766" s="395"/>
      <c r="F1766" s="395"/>
      <c r="G1766" s="395"/>
      <c r="H1766" s="67"/>
      <c r="I1766" s="69"/>
      <c r="J1766" s="134"/>
      <c r="K1766" s="324">
        <v>0.2999</v>
      </c>
      <c r="L1766" s="191">
        <f>L234</f>
        <v>1.4842</v>
      </c>
      <c r="M1766" s="401"/>
      <c r="N1766" s="86"/>
    </row>
    <row r="1767" spans="1:14" s="64" customFormat="1" x14ac:dyDescent="0.2">
      <c r="A1767" s="63"/>
      <c r="B1767" s="396"/>
      <c r="C1767" s="122"/>
      <c r="D1767" s="75"/>
      <c r="E1767" s="395"/>
      <c r="F1767" s="395"/>
      <c r="G1767" s="395"/>
      <c r="H1767" s="67"/>
      <c r="I1767" s="69"/>
      <c r="J1767" s="134"/>
      <c r="K1767" s="324">
        <v>0.2999</v>
      </c>
      <c r="L1767" s="191">
        <f>L235</f>
        <v>1.4842</v>
      </c>
      <c r="M1767" s="401"/>
      <c r="N1767" s="86"/>
    </row>
    <row r="1768" spans="1:14" s="64" customFormat="1" x14ac:dyDescent="0.2">
      <c r="A1768" s="63"/>
      <c r="B1768" s="396"/>
      <c r="C1768" s="122"/>
      <c r="D1768" s="75"/>
      <c r="E1768" s="395"/>
      <c r="F1768" s="395"/>
      <c r="G1768" s="395"/>
      <c r="H1768" s="67"/>
      <c r="I1768" s="69"/>
      <c r="J1768" s="134"/>
      <c r="K1768" s="324">
        <v>0.2999</v>
      </c>
      <c r="L1768" s="191">
        <f>L236</f>
        <v>1.4842</v>
      </c>
      <c r="M1768" s="401"/>
      <c r="N1768" s="86"/>
    </row>
    <row r="1769" spans="1:14" s="64" customFormat="1" x14ac:dyDescent="0.2">
      <c r="A1769" s="63"/>
      <c r="B1769" s="396"/>
      <c r="C1769" s="122"/>
      <c r="D1769" s="75"/>
      <c r="E1769" s="395"/>
      <c r="F1769" s="395"/>
      <c r="G1769" s="395"/>
      <c r="H1769" s="67"/>
      <c r="I1769" s="69"/>
      <c r="J1769" s="134"/>
      <c r="K1769" s="324">
        <v>0.2999</v>
      </c>
      <c r="L1769" s="191">
        <f>L237</f>
        <v>1.4842</v>
      </c>
      <c r="M1769" s="401"/>
      <c r="N1769" s="86"/>
    </row>
    <row r="1770" spans="1:14" s="64" customFormat="1" x14ac:dyDescent="0.2">
      <c r="A1770" s="63"/>
      <c r="B1770" s="396"/>
      <c r="C1770" s="122"/>
      <c r="D1770" s="75"/>
      <c r="E1770" s="395"/>
      <c r="F1770" s="395"/>
      <c r="G1770" s="395"/>
      <c r="H1770" s="67"/>
      <c r="I1770" s="69"/>
      <c r="J1770" s="134"/>
      <c r="K1770" s="324">
        <v>0.2999</v>
      </c>
      <c r="L1770" s="191">
        <f>L238</f>
        <v>1.4842</v>
      </c>
      <c r="M1770" s="401"/>
      <c r="N1770" s="86"/>
    </row>
    <row r="1771" spans="1:14" s="64" customFormat="1" x14ac:dyDescent="0.2">
      <c r="A1771" s="63"/>
      <c r="B1771" s="396"/>
      <c r="C1771" s="122"/>
      <c r="D1771" s="75"/>
      <c r="E1771" s="395"/>
      <c r="F1771" s="395"/>
      <c r="G1771" s="395"/>
      <c r="H1771" s="67"/>
      <c r="I1771" s="69"/>
      <c r="J1771" s="134"/>
      <c r="K1771" s="324">
        <v>0.2999</v>
      </c>
      <c r="L1771" s="191">
        <f>L239</f>
        <v>1.4842</v>
      </c>
      <c r="M1771" s="401"/>
      <c r="N1771" s="86"/>
    </row>
    <row r="1772" spans="1:14" s="64" customFormat="1" x14ac:dyDescent="0.2">
      <c r="A1772" s="63"/>
      <c r="B1772" s="396"/>
      <c r="C1772" s="122"/>
      <c r="D1772" s="75"/>
      <c r="E1772" s="395"/>
      <c r="F1772" s="395"/>
      <c r="G1772" s="395"/>
      <c r="H1772" s="67"/>
      <c r="I1772" s="69"/>
      <c r="J1772" s="134"/>
      <c r="K1772" s="324">
        <v>0.2999</v>
      </c>
      <c r="L1772" s="191">
        <f>L240</f>
        <v>1.4842</v>
      </c>
      <c r="M1772" s="401"/>
      <c r="N1772" s="86"/>
    </row>
    <row r="1773" spans="1:14" s="64" customFormat="1" x14ac:dyDescent="0.2">
      <c r="A1773" s="63"/>
      <c r="B1773" s="396"/>
      <c r="C1773" s="122"/>
      <c r="D1773" s="75"/>
      <c r="E1773" s="395"/>
      <c r="F1773" s="395"/>
      <c r="G1773" s="395"/>
      <c r="H1773" s="67"/>
      <c r="I1773" s="69"/>
      <c r="J1773" s="134"/>
      <c r="K1773" s="324">
        <v>0.2999</v>
      </c>
      <c r="L1773" s="191">
        <f>L241</f>
        <v>1.4842</v>
      </c>
      <c r="M1773" s="401"/>
      <c r="N1773" s="86"/>
    </row>
    <row r="1774" spans="1:14" s="64" customFormat="1" x14ac:dyDescent="0.2">
      <c r="A1774" s="63"/>
      <c r="B1774" s="396"/>
      <c r="C1774" s="122"/>
      <c r="D1774" s="75"/>
      <c r="E1774" s="395"/>
      <c r="F1774" s="395"/>
      <c r="G1774" s="395"/>
      <c r="H1774" s="67"/>
      <c r="I1774" s="69"/>
      <c r="J1774" s="134"/>
      <c r="K1774" s="324">
        <v>0.2999</v>
      </c>
      <c r="L1774" s="191">
        <f>L242</f>
        <v>1.4842</v>
      </c>
      <c r="M1774" s="401"/>
      <c r="N1774" s="86"/>
    </row>
    <row r="1775" spans="1:14" s="64" customFormat="1" x14ac:dyDescent="0.2">
      <c r="A1775" s="63"/>
      <c r="B1775" s="396"/>
      <c r="C1775" s="122"/>
      <c r="D1775" s="75"/>
      <c r="E1775" s="395"/>
      <c r="F1775" s="395"/>
      <c r="G1775" s="395"/>
      <c r="H1775" s="67"/>
      <c r="I1775" s="69"/>
      <c r="J1775" s="134"/>
      <c r="K1775" s="324">
        <v>0.2999</v>
      </c>
      <c r="L1775" s="191">
        <f>L243</f>
        <v>1.4842</v>
      </c>
      <c r="M1775" s="401"/>
      <c r="N1775" s="86"/>
    </row>
    <row r="1776" spans="1:14" s="64" customFormat="1" x14ac:dyDescent="0.2">
      <c r="A1776" s="63"/>
      <c r="B1776" s="396"/>
      <c r="C1776" s="122"/>
      <c r="D1776" s="75"/>
      <c r="E1776" s="395"/>
      <c r="F1776" s="395"/>
      <c r="G1776" s="395"/>
      <c r="H1776" s="67"/>
      <c r="I1776" s="69"/>
      <c r="J1776" s="134"/>
      <c r="K1776" s="324">
        <v>0.2999</v>
      </c>
      <c r="L1776" s="191">
        <f>L244</f>
        <v>1.4842</v>
      </c>
      <c r="M1776" s="401"/>
      <c r="N1776" s="86"/>
    </row>
    <row r="1777" spans="1:14" s="64" customFormat="1" x14ac:dyDescent="0.2">
      <c r="A1777" s="63"/>
      <c r="B1777" s="396"/>
      <c r="C1777" s="122"/>
      <c r="D1777" s="75"/>
      <c r="E1777" s="395"/>
      <c r="F1777" s="395"/>
      <c r="G1777" s="395"/>
      <c r="H1777" s="67"/>
      <c r="I1777" s="69"/>
      <c r="J1777" s="134"/>
      <c r="K1777" s="324">
        <v>0.2999</v>
      </c>
      <c r="L1777" s="191">
        <f>L245</f>
        <v>1.4842</v>
      </c>
      <c r="M1777" s="401"/>
      <c r="N1777" s="86"/>
    </row>
    <row r="1778" spans="1:14" s="64" customFormat="1" x14ac:dyDescent="0.2">
      <c r="A1778" s="63"/>
      <c r="B1778" s="396"/>
      <c r="C1778" s="122"/>
      <c r="D1778" s="75"/>
      <c r="E1778" s="395"/>
      <c r="F1778" s="395"/>
      <c r="G1778" s="395"/>
      <c r="H1778" s="67"/>
      <c r="I1778" s="69"/>
      <c r="J1778" s="134"/>
      <c r="K1778" s="324">
        <v>0.2999</v>
      </c>
      <c r="L1778" s="191">
        <f>L246</f>
        <v>1.4842</v>
      </c>
      <c r="M1778" s="401"/>
      <c r="N1778" s="86"/>
    </row>
    <row r="1779" spans="1:14" s="64" customFormat="1" x14ac:dyDescent="0.2">
      <c r="A1779" s="63"/>
      <c r="B1779" s="396"/>
      <c r="C1779" s="122"/>
      <c r="D1779" s="75"/>
      <c r="E1779" s="395"/>
      <c r="F1779" s="395"/>
      <c r="G1779" s="395"/>
      <c r="H1779" s="67"/>
      <c r="I1779" s="69"/>
      <c r="J1779" s="134"/>
      <c r="K1779" s="324">
        <v>0.2999</v>
      </c>
      <c r="L1779" s="191">
        <f>L247</f>
        <v>1.4842</v>
      </c>
      <c r="M1779" s="401"/>
      <c r="N1779" s="86"/>
    </row>
    <row r="1780" spans="1:14" s="64" customFormat="1" x14ac:dyDescent="0.2">
      <c r="A1780" s="63"/>
      <c r="B1780" s="396"/>
      <c r="C1780" s="122"/>
      <c r="D1780" s="75"/>
      <c r="E1780" s="395"/>
      <c r="F1780" s="395"/>
      <c r="G1780" s="395"/>
      <c r="H1780" s="67"/>
      <c r="I1780" s="69"/>
      <c r="J1780" s="134"/>
      <c r="K1780" s="324">
        <v>0.2999</v>
      </c>
      <c r="L1780" s="191">
        <f>L248</f>
        <v>1.4842</v>
      </c>
      <c r="M1780" s="401"/>
      <c r="N1780" s="86"/>
    </row>
    <row r="1781" spans="1:14" s="64" customFormat="1" x14ac:dyDescent="0.2">
      <c r="A1781" s="63"/>
      <c r="B1781" s="396"/>
      <c r="C1781" s="122"/>
      <c r="D1781" s="75"/>
      <c r="E1781" s="395"/>
      <c r="F1781" s="395"/>
      <c r="G1781" s="395"/>
      <c r="H1781" s="67"/>
      <c r="I1781" s="69"/>
      <c r="J1781" s="134"/>
      <c r="K1781" s="324">
        <v>0.2999</v>
      </c>
      <c r="L1781" s="191">
        <f>L249</f>
        <v>1.4842</v>
      </c>
      <c r="M1781" s="401"/>
      <c r="N1781" s="86"/>
    </row>
    <row r="1782" spans="1:14" s="64" customFormat="1" x14ac:dyDescent="0.2">
      <c r="A1782" s="63"/>
      <c r="B1782" s="396"/>
      <c r="C1782" s="122"/>
      <c r="D1782" s="75"/>
      <c r="E1782" s="395"/>
      <c r="F1782" s="395"/>
      <c r="G1782" s="395"/>
      <c r="H1782" s="67"/>
      <c r="I1782" s="69"/>
      <c r="J1782" s="134"/>
      <c r="K1782" s="324">
        <v>0.2999</v>
      </c>
      <c r="L1782" s="191">
        <f>L250</f>
        <v>1.4842</v>
      </c>
      <c r="M1782" s="401"/>
      <c r="N1782" s="86"/>
    </row>
    <row r="1783" spans="1:14" s="64" customFormat="1" x14ac:dyDescent="0.2">
      <c r="A1783" s="63"/>
      <c r="B1783" s="396"/>
      <c r="C1783" s="122"/>
      <c r="D1783" s="75"/>
      <c r="E1783" s="395"/>
      <c r="F1783" s="395"/>
      <c r="G1783" s="395"/>
      <c r="H1783" s="67"/>
      <c r="I1783" s="69"/>
      <c r="J1783" s="134"/>
      <c r="K1783" s="324">
        <v>0.2999</v>
      </c>
      <c r="L1783" s="191">
        <f>L251</f>
        <v>1.4842</v>
      </c>
      <c r="M1783" s="401"/>
      <c r="N1783" s="86"/>
    </row>
    <row r="1784" spans="1:14" s="64" customFormat="1" x14ac:dyDescent="0.2">
      <c r="A1784" s="63"/>
      <c r="B1784" s="396"/>
      <c r="C1784" s="122"/>
      <c r="D1784" s="75"/>
      <c r="E1784" s="395"/>
      <c r="F1784" s="395"/>
      <c r="G1784" s="395"/>
      <c r="H1784" s="67"/>
      <c r="I1784" s="69"/>
      <c r="J1784" s="134"/>
      <c r="K1784" s="324">
        <v>0.2999</v>
      </c>
      <c r="L1784" s="191">
        <f>L252</f>
        <v>1.4842</v>
      </c>
      <c r="M1784" s="401"/>
      <c r="N1784" s="86"/>
    </row>
    <row r="1785" spans="1:14" s="64" customFormat="1" x14ac:dyDescent="0.2">
      <c r="A1785" s="63"/>
      <c r="B1785" s="396"/>
      <c r="C1785" s="122"/>
      <c r="D1785" s="75"/>
      <c r="E1785" s="395"/>
      <c r="F1785" s="395"/>
      <c r="G1785" s="395"/>
      <c r="H1785" s="67"/>
      <c r="I1785" s="69"/>
      <c r="J1785" s="134"/>
      <c r="K1785" s="324">
        <v>0.2999</v>
      </c>
      <c r="L1785" s="191">
        <f>L253</f>
        <v>1.4842</v>
      </c>
      <c r="M1785" s="401"/>
      <c r="N1785" s="86"/>
    </row>
    <row r="1786" spans="1:14" s="64" customFormat="1" x14ac:dyDescent="0.2">
      <c r="A1786" s="63"/>
      <c r="B1786" s="396"/>
      <c r="C1786" s="122"/>
      <c r="D1786" s="75"/>
      <c r="E1786" s="395"/>
      <c r="F1786" s="395"/>
      <c r="G1786" s="395"/>
      <c r="H1786" s="67"/>
      <c r="I1786" s="69"/>
      <c r="J1786" s="134"/>
      <c r="K1786" s="324">
        <v>0.2999</v>
      </c>
      <c r="L1786" s="191">
        <f>L254</f>
        <v>1.4842</v>
      </c>
      <c r="M1786" s="401"/>
      <c r="N1786" s="86"/>
    </row>
    <row r="1787" spans="1:14" s="64" customFormat="1" x14ac:dyDescent="0.2">
      <c r="A1787" s="63"/>
      <c r="B1787" s="396"/>
      <c r="C1787" s="122"/>
      <c r="D1787" s="75"/>
      <c r="E1787" s="395"/>
      <c r="F1787" s="395"/>
      <c r="G1787" s="395"/>
      <c r="H1787" s="67"/>
      <c r="I1787" s="69"/>
      <c r="J1787" s="134"/>
      <c r="K1787" s="324">
        <v>0.2999</v>
      </c>
      <c r="L1787" s="191">
        <f>L255</f>
        <v>1.4842</v>
      </c>
      <c r="M1787" s="401"/>
      <c r="N1787" s="86"/>
    </row>
    <row r="1788" spans="1:14" s="64" customFormat="1" x14ac:dyDescent="0.2">
      <c r="A1788" s="63"/>
      <c r="B1788" s="396"/>
      <c r="C1788" s="122"/>
      <c r="D1788" s="75"/>
      <c r="E1788" s="395"/>
      <c r="F1788" s="395"/>
      <c r="G1788" s="395"/>
      <c r="H1788" s="67"/>
      <c r="I1788" s="69"/>
      <c r="J1788" s="134"/>
      <c r="K1788" s="324">
        <v>0.2999</v>
      </c>
      <c r="L1788" s="191">
        <f>L256</f>
        <v>1.4842</v>
      </c>
      <c r="M1788" s="401"/>
      <c r="N1788" s="86"/>
    </row>
    <row r="1789" spans="1:14" s="64" customFormat="1" x14ac:dyDescent="0.2">
      <c r="A1789" s="63"/>
      <c r="B1789" s="396"/>
      <c r="C1789" s="122"/>
      <c r="D1789" s="75"/>
      <c r="E1789" s="395"/>
      <c r="F1789" s="395"/>
      <c r="G1789" s="395"/>
      <c r="H1789" s="67"/>
      <c r="I1789" s="69"/>
      <c r="J1789" s="134"/>
      <c r="K1789" s="324">
        <v>0.2999</v>
      </c>
      <c r="L1789" s="191">
        <f>L257</f>
        <v>1.4842</v>
      </c>
      <c r="M1789" s="401"/>
      <c r="N1789" s="86"/>
    </row>
    <row r="1790" spans="1:14" s="64" customFormat="1" x14ac:dyDescent="0.2">
      <c r="A1790" s="63"/>
      <c r="B1790" s="396"/>
      <c r="C1790" s="122"/>
      <c r="D1790" s="75"/>
      <c r="E1790" s="395"/>
      <c r="F1790" s="395"/>
      <c r="G1790" s="395"/>
      <c r="H1790" s="67"/>
      <c r="I1790" s="69"/>
      <c r="J1790" s="134"/>
      <c r="K1790" s="324">
        <v>0.2999</v>
      </c>
      <c r="L1790" s="191">
        <f>L258</f>
        <v>1.4842</v>
      </c>
      <c r="M1790" s="401"/>
      <c r="N1790" s="86"/>
    </row>
    <row r="1791" spans="1:14" s="64" customFormat="1" x14ac:dyDescent="0.2">
      <c r="A1791" s="63"/>
      <c r="B1791" s="396"/>
      <c r="C1791" s="122"/>
      <c r="D1791" s="75"/>
      <c r="E1791" s="395"/>
      <c r="F1791" s="395"/>
      <c r="G1791" s="395"/>
      <c r="H1791" s="67"/>
      <c r="I1791" s="69"/>
      <c r="J1791" s="134"/>
      <c r="K1791" s="324">
        <v>0.2999</v>
      </c>
      <c r="L1791" s="191">
        <f>L259</f>
        <v>1.4842</v>
      </c>
      <c r="M1791" s="401"/>
      <c r="N1791" s="86"/>
    </row>
    <row r="1792" spans="1:14" s="64" customFormat="1" x14ac:dyDescent="0.2">
      <c r="A1792" s="63"/>
      <c r="B1792" s="396"/>
      <c r="C1792" s="122"/>
      <c r="D1792" s="75"/>
      <c r="E1792" s="395"/>
      <c r="F1792" s="395"/>
      <c r="G1792" s="395"/>
      <c r="H1792" s="67"/>
      <c r="I1792" s="69"/>
      <c r="J1792" s="134"/>
      <c r="K1792" s="324">
        <v>0.2999</v>
      </c>
      <c r="L1792" s="191">
        <f>L260</f>
        <v>1.4842</v>
      </c>
      <c r="M1792" s="401"/>
      <c r="N1792" s="86"/>
    </row>
    <row r="1793" spans="1:14" s="64" customFormat="1" x14ac:dyDescent="0.2">
      <c r="A1793" s="63"/>
      <c r="B1793" s="396"/>
      <c r="C1793" s="122"/>
      <c r="D1793" s="75"/>
      <c r="E1793" s="395"/>
      <c r="F1793" s="395"/>
      <c r="G1793" s="395"/>
      <c r="H1793" s="67"/>
      <c r="I1793" s="69"/>
      <c r="J1793" s="134"/>
      <c r="K1793" s="324">
        <v>0.2999</v>
      </c>
      <c r="L1793" s="191">
        <f>L261</f>
        <v>1.4842</v>
      </c>
      <c r="M1793" s="401"/>
      <c r="N1793" s="86"/>
    </row>
    <row r="1794" spans="1:14" s="64" customFormat="1" x14ac:dyDescent="0.2">
      <c r="A1794" s="63"/>
      <c r="B1794" s="396"/>
      <c r="C1794" s="122"/>
      <c r="D1794" s="75"/>
      <c r="E1794" s="395"/>
      <c r="F1794" s="395"/>
      <c r="G1794" s="395"/>
      <c r="H1794" s="67"/>
      <c r="I1794" s="69"/>
      <c r="J1794" s="134"/>
      <c r="K1794" s="324">
        <v>0.2999</v>
      </c>
      <c r="L1794" s="191">
        <f>L262</f>
        <v>1.4842</v>
      </c>
      <c r="M1794" s="401"/>
      <c r="N1794" s="86"/>
    </row>
    <row r="1795" spans="1:14" s="64" customFormat="1" x14ac:dyDescent="0.2">
      <c r="A1795" s="63"/>
      <c r="B1795" s="396"/>
      <c r="C1795" s="122"/>
      <c r="D1795" s="75"/>
      <c r="E1795" s="395"/>
      <c r="F1795" s="395"/>
      <c r="G1795" s="395"/>
      <c r="H1795" s="67"/>
      <c r="I1795" s="69"/>
      <c r="J1795" s="134"/>
      <c r="K1795" s="324">
        <v>0.2999</v>
      </c>
      <c r="L1795" s="191">
        <f>L263</f>
        <v>1.4842</v>
      </c>
      <c r="M1795" s="401"/>
      <c r="N1795" s="86"/>
    </row>
    <row r="1796" spans="1:14" s="64" customFormat="1" x14ac:dyDescent="0.2">
      <c r="A1796" s="63"/>
      <c r="B1796" s="396"/>
      <c r="C1796" s="122"/>
      <c r="D1796" s="75"/>
      <c r="E1796" s="395"/>
      <c r="F1796" s="395"/>
      <c r="G1796" s="395"/>
      <c r="H1796" s="67"/>
      <c r="I1796" s="69"/>
      <c r="J1796" s="134"/>
      <c r="K1796" s="324">
        <v>0.2999</v>
      </c>
      <c r="L1796" s="191">
        <f>L264</f>
        <v>1.4842</v>
      </c>
      <c r="M1796" s="401"/>
      <c r="N1796" s="86"/>
    </row>
    <row r="1797" spans="1:14" s="64" customFormat="1" x14ac:dyDescent="0.2">
      <c r="A1797" s="63"/>
      <c r="B1797" s="396"/>
      <c r="C1797" s="122"/>
      <c r="D1797" s="75"/>
      <c r="E1797" s="395"/>
      <c r="F1797" s="395"/>
      <c r="G1797" s="395"/>
      <c r="H1797" s="67"/>
      <c r="I1797" s="69"/>
      <c r="J1797" s="134"/>
      <c r="K1797" s="324">
        <v>0.2999</v>
      </c>
      <c r="L1797" s="191">
        <f>L265</f>
        <v>1.4842</v>
      </c>
      <c r="M1797" s="401"/>
      <c r="N1797" s="86"/>
    </row>
    <row r="1798" spans="1:14" s="64" customFormat="1" x14ac:dyDescent="0.2">
      <c r="A1798" s="63"/>
      <c r="B1798" s="396"/>
      <c r="C1798" s="122"/>
      <c r="D1798" s="75"/>
      <c r="E1798" s="395"/>
      <c r="F1798" s="395"/>
      <c r="G1798" s="395"/>
      <c r="H1798" s="67"/>
      <c r="I1798" s="69"/>
      <c r="J1798" s="134"/>
      <c r="K1798" s="324">
        <v>0.2999</v>
      </c>
      <c r="L1798" s="191">
        <f>L266</f>
        <v>1.4842</v>
      </c>
      <c r="M1798" s="401"/>
      <c r="N1798" s="86"/>
    </row>
    <row r="1799" spans="1:14" s="64" customFormat="1" x14ac:dyDescent="0.2">
      <c r="A1799" s="63"/>
      <c r="B1799" s="396"/>
      <c r="C1799" s="122"/>
      <c r="D1799" s="75"/>
      <c r="E1799" s="395"/>
      <c r="F1799" s="395"/>
      <c r="G1799" s="395"/>
      <c r="H1799" s="67"/>
      <c r="I1799" s="69"/>
      <c r="J1799" s="134"/>
      <c r="K1799" s="324">
        <v>0.2999</v>
      </c>
      <c r="L1799" s="191">
        <f>L267</f>
        <v>1.4842</v>
      </c>
      <c r="M1799" s="401"/>
      <c r="N1799" s="86"/>
    </row>
    <row r="1800" spans="1:14" s="64" customFormat="1" x14ac:dyDescent="0.2">
      <c r="A1800" s="63"/>
      <c r="B1800" s="396"/>
      <c r="C1800" s="122"/>
      <c r="D1800" s="75"/>
      <c r="E1800" s="395"/>
      <c r="F1800" s="395"/>
      <c r="G1800" s="395"/>
      <c r="H1800" s="67"/>
      <c r="I1800" s="69"/>
      <c r="J1800" s="134"/>
      <c r="K1800" s="324">
        <v>0.2999</v>
      </c>
      <c r="L1800" s="191">
        <f>L268</f>
        <v>1.4842</v>
      </c>
      <c r="M1800" s="401"/>
      <c r="N1800" s="86"/>
    </row>
    <row r="1801" spans="1:14" s="64" customFormat="1" x14ac:dyDescent="0.2">
      <c r="A1801" s="63"/>
      <c r="B1801" s="396"/>
      <c r="C1801" s="122"/>
      <c r="D1801" s="75"/>
      <c r="E1801" s="395"/>
      <c r="F1801" s="395"/>
      <c r="G1801" s="395"/>
      <c r="H1801" s="67"/>
      <c r="I1801" s="69"/>
      <c r="J1801" s="134"/>
      <c r="K1801" s="324">
        <v>0.2999</v>
      </c>
      <c r="L1801" s="191">
        <f>L269</f>
        <v>1.4842</v>
      </c>
      <c r="M1801" s="401"/>
      <c r="N1801" s="86"/>
    </row>
    <row r="1802" spans="1:14" s="64" customFormat="1" x14ac:dyDescent="0.2">
      <c r="A1802" s="63"/>
      <c r="B1802" s="396"/>
      <c r="C1802" s="122"/>
      <c r="D1802" s="75"/>
      <c r="E1802" s="395"/>
      <c r="F1802" s="395"/>
      <c r="G1802" s="395"/>
      <c r="H1802" s="67"/>
      <c r="I1802" s="69"/>
      <c r="J1802" s="134"/>
      <c r="K1802" s="324">
        <v>0.2999</v>
      </c>
      <c r="L1802" s="191">
        <f>L270</f>
        <v>1.4842</v>
      </c>
      <c r="M1802" s="401"/>
      <c r="N1802" s="86"/>
    </row>
    <row r="1803" spans="1:14" s="64" customFormat="1" x14ac:dyDescent="0.2">
      <c r="A1803" s="63"/>
      <c r="B1803" s="396"/>
      <c r="C1803" s="122"/>
      <c r="D1803" s="75"/>
      <c r="E1803" s="395"/>
      <c r="F1803" s="395"/>
      <c r="G1803" s="395"/>
      <c r="H1803" s="67"/>
      <c r="I1803" s="69"/>
      <c r="J1803" s="134"/>
      <c r="K1803" s="324">
        <v>0.2999</v>
      </c>
      <c r="L1803" s="191">
        <f>L271</f>
        <v>1.4842</v>
      </c>
      <c r="M1803" s="401"/>
      <c r="N1803" s="86"/>
    </row>
    <row r="1804" spans="1:14" s="64" customFormat="1" x14ac:dyDescent="0.2">
      <c r="A1804" s="63"/>
      <c r="B1804" s="396"/>
      <c r="C1804" s="122"/>
      <c r="D1804" s="75"/>
      <c r="E1804" s="395"/>
      <c r="F1804" s="395"/>
      <c r="G1804" s="395"/>
      <c r="H1804" s="67"/>
      <c r="I1804" s="69"/>
      <c r="J1804" s="134"/>
      <c r="K1804" s="324">
        <v>0.2999</v>
      </c>
      <c r="L1804" s="191">
        <f>L272</f>
        <v>1.4842</v>
      </c>
      <c r="M1804" s="401"/>
      <c r="N1804" s="86"/>
    </row>
    <row r="1805" spans="1:14" s="64" customFormat="1" x14ac:dyDescent="0.2">
      <c r="A1805" s="63"/>
      <c r="B1805" s="396"/>
      <c r="C1805" s="122"/>
      <c r="D1805" s="75"/>
      <c r="E1805" s="395"/>
      <c r="F1805" s="395"/>
      <c r="G1805" s="395"/>
      <c r="H1805" s="67"/>
      <c r="I1805" s="69"/>
      <c r="J1805" s="134"/>
      <c r="K1805" s="324">
        <v>0.2999</v>
      </c>
      <c r="L1805" s="191">
        <f>L273</f>
        <v>1.4842</v>
      </c>
      <c r="M1805" s="401"/>
      <c r="N1805" s="86"/>
    </row>
    <row r="1806" spans="1:14" s="64" customFormat="1" x14ac:dyDescent="0.2">
      <c r="A1806" s="63"/>
      <c r="B1806" s="396"/>
      <c r="C1806" s="122"/>
      <c r="D1806" s="75"/>
      <c r="E1806" s="395"/>
      <c r="F1806" s="395"/>
      <c r="G1806" s="395"/>
      <c r="H1806" s="67"/>
      <c r="I1806" s="69"/>
      <c r="J1806" s="134"/>
      <c r="K1806" s="324">
        <v>0.2999</v>
      </c>
      <c r="L1806" s="191">
        <f>L274</f>
        <v>1.4842</v>
      </c>
      <c r="M1806" s="401"/>
      <c r="N1806" s="86"/>
    </row>
    <row r="1807" spans="1:14" s="64" customFormat="1" x14ac:dyDescent="0.2">
      <c r="A1807" s="63"/>
      <c r="B1807" s="396"/>
      <c r="C1807" s="122"/>
      <c r="D1807" s="75"/>
      <c r="E1807" s="395"/>
      <c r="F1807" s="395"/>
      <c r="G1807" s="395"/>
      <c r="H1807" s="67"/>
      <c r="I1807" s="69"/>
      <c r="J1807" s="134"/>
      <c r="K1807" s="324">
        <v>0.2999</v>
      </c>
      <c r="L1807" s="191">
        <f>L275</f>
        <v>1.4842</v>
      </c>
      <c r="M1807" s="401"/>
      <c r="N1807" s="86"/>
    </row>
    <row r="1808" spans="1:14" s="64" customFormat="1" x14ac:dyDescent="0.2">
      <c r="A1808" s="63"/>
      <c r="B1808" s="396"/>
      <c r="C1808" s="122"/>
      <c r="D1808" s="75"/>
      <c r="E1808" s="395"/>
      <c r="F1808" s="395"/>
      <c r="G1808" s="395"/>
      <c r="H1808" s="67"/>
      <c r="I1808" s="69"/>
      <c r="J1808" s="134"/>
      <c r="K1808" s="324">
        <v>0.2999</v>
      </c>
      <c r="L1808" s="191">
        <f>L276</f>
        <v>1.4842</v>
      </c>
      <c r="M1808" s="401"/>
      <c r="N1808" s="86"/>
    </row>
    <row r="1809" spans="1:14" s="64" customFormat="1" x14ac:dyDescent="0.2">
      <c r="A1809" s="63"/>
      <c r="B1809" s="396"/>
      <c r="C1809" s="122"/>
      <c r="D1809" s="75"/>
      <c r="E1809" s="395"/>
      <c r="F1809" s="395"/>
      <c r="G1809" s="395"/>
      <c r="H1809" s="67"/>
      <c r="I1809" s="69"/>
      <c r="J1809" s="134"/>
      <c r="K1809" s="324">
        <v>0.2999</v>
      </c>
      <c r="L1809" s="191">
        <f>L277</f>
        <v>1.4842</v>
      </c>
      <c r="M1809" s="401"/>
      <c r="N1809" s="86"/>
    </row>
    <row r="1810" spans="1:14" s="64" customFormat="1" x14ac:dyDescent="0.2">
      <c r="A1810" s="63"/>
      <c r="B1810" s="396"/>
      <c r="C1810" s="122"/>
      <c r="D1810" s="75"/>
      <c r="E1810" s="395"/>
      <c r="F1810" s="395"/>
      <c r="G1810" s="395"/>
      <c r="H1810" s="67"/>
      <c r="I1810" s="69"/>
      <c r="J1810" s="134"/>
      <c r="K1810" s="324">
        <v>0.2999</v>
      </c>
      <c r="L1810" s="191">
        <f>L278</f>
        <v>1.4842</v>
      </c>
      <c r="M1810" s="401"/>
      <c r="N1810" s="86"/>
    </row>
    <row r="1811" spans="1:14" s="64" customFormat="1" x14ac:dyDescent="0.2">
      <c r="A1811" s="63"/>
      <c r="B1811" s="396"/>
      <c r="C1811" s="122"/>
      <c r="D1811" s="75"/>
      <c r="E1811" s="395"/>
      <c r="F1811" s="395"/>
      <c r="G1811" s="395"/>
      <c r="H1811" s="67"/>
      <c r="I1811" s="69"/>
      <c r="J1811" s="134"/>
      <c r="K1811" s="324">
        <v>0.2999</v>
      </c>
      <c r="L1811" s="191">
        <f>L279</f>
        <v>1.4842</v>
      </c>
      <c r="M1811" s="401"/>
      <c r="N1811" s="86"/>
    </row>
    <row r="1812" spans="1:14" s="64" customFormat="1" x14ac:dyDescent="0.2">
      <c r="A1812" s="63"/>
      <c r="B1812" s="396"/>
      <c r="C1812" s="122"/>
      <c r="D1812" s="75"/>
      <c r="E1812" s="395"/>
      <c r="F1812" s="395"/>
      <c r="G1812" s="395"/>
      <c r="H1812" s="67"/>
      <c r="I1812" s="69"/>
      <c r="J1812" s="134"/>
      <c r="K1812" s="324">
        <v>0.2999</v>
      </c>
      <c r="L1812" s="191">
        <f>L280</f>
        <v>1.4842</v>
      </c>
      <c r="M1812" s="401"/>
      <c r="N1812" s="86"/>
    </row>
    <row r="1813" spans="1:14" s="64" customFormat="1" x14ac:dyDescent="0.2">
      <c r="A1813" s="63"/>
      <c r="B1813" s="396"/>
      <c r="C1813" s="122"/>
      <c r="D1813" s="75"/>
      <c r="E1813" s="395"/>
      <c r="F1813" s="395"/>
      <c r="G1813" s="395"/>
      <c r="H1813" s="67"/>
      <c r="I1813" s="69"/>
      <c r="J1813" s="134"/>
      <c r="K1813" s="324">
        <v>0.2999</v>
      </c>
      <c r="L1813" s="191">
        <f>L281</f>
        <v>1.4842</v>
      </c>
      <c r="M1813" s="401"/>
      <c r="N1813" s="86"/>
    </row>
    <row r="1814" spans="1:14" s="64" customFormat="1" x14ac:dyDescent="0.2">
      <c r="A1814" s="63"/>
      <c r="B1814" s="396"/>
      <c r="C1814" s="122"/>
      <c r="D1814" s="75"/>
      <c r="E1814" s="395"/>
      <c r="F1814" s="395"/>
      <c r="G1814" s="395"/>
      <c r="H1814" s="67"/>
      <c r="I1814" s="69"/>
      <c r="J1814" s="134"/>
      <c r="K1814" s="324">
        <v>0.2999</v>
      </c>
      <c r="L1814" s="191">
        <f>L282</f>
        <v>1.4842</v>
      </c>
      <c r="M1814" s="401"/>
      <c r="N1814" s="86"/>
    </row>
    <row r="1815" spans="1:14" s="64" customFormat="1" x14ac:dyDescent="0.2">
      <c r="A1815" s="63"/>
      <c r="B1815" s="396"/>
      <c r="C1815" s="122"/>
      <c r="D1815" s="75"/>
      <c r="E1815" s="395"/>
      <c r="F1815" s="395"/>
      <c r="G1815" s="395"/>
      <c r="H1815" s="67"/>
      <c r="I1815" s="69"/>
      <c r="J1815" s="134"/>
      <c r="K1815" s="324">
        <v>0.2999</v>
      </c>
      <c r="L1815" s="191">
        <f>L283</f>
        <v>1.4842</v>
      </c>
      <c r="M1815" s="401"/>
      <c r="N1815" s="86"/>
    </row>
    <row r="1816" spans="1:14" s="64" customFormat="1" x14ac:dyDescent="0.2">
      <c r="A1816" s="63"/>
      <c r="B1816" s="396"/>
      <c r="C1816" s="122"/>
      <c r="D1816" s="75"/>
      <c r="E1816" s="395"/>
      <c r="F1816" s="395"/>
      <c r="G1816" s="395"/>
      <c r="H1816" s="67"/>
      <c r="I1816" s="69"/>
      <c r="J1816" s="134"/>
      <c r="K1816" s="324">
        <v>0.2999</v>
      </c>
      <c r="L1816" s="191">
        <f>L284</f>
        <v>1.4842</v>
      </c>
      <c r="M1816" s="401"/>
      <c r="N1816" s="86"/>
    </row>
    <row r="1817" spans="1:14" s="64" customFormat="1" x14ac:dyDescent="0.2">
      <c r="A1817" s="63"/>
      <c r="B1817" s="396"/>
      <c r="C1817" s="122"/>
      <c r="D1817" s="75"/>
      <c r="E1817" s="395"/>
      <c r="F1817" s="395"/>
      <c r="G1817" s="395"/>
      <c r="H1817" s="67"/>
      <c r="I1817" s="69"/>
      <c r="J1817" s="134"/>
      <c r="K1817" s="324">
        <v>0.2999</v>
      </c>
      <c r="L1817" s="191">
        <f>L285</f>
        <v>1.4842</v>
      </c>
      <c r="M1817" s="401"/>
      <c r="N1817" s="86"/>
    </row>
    <row r="1818" spans="1:14" s="64" customFormat="1" x14ac:dyDescent="0.2">
      <c r="A1818" s="63"/>
      <c r="B1818" s="396"/>
      <c r="C1818" s="122"/>
      <c r="D1818" s="75"/>
      <c r="E1818" s="395"/>
      <c r="F1818" s="395"/>
      <c r="G1818" s="395"/>
      <c r="H1818" s="67"/>
      <c r="I1818" s="69"/>
      <c r="J1818" s="134"/>
      <c r="K1818" s="324">
        <v>0.2999</v>
      </c>
      <c r="L1818" s="191">
        <f>L286</f>
        <v>1.4842</v>
      </c>
      <c r="M1818" s="401"/>
      <c r="N1818" s="86"/>
    </row>
    <row r="1819" spans="1:14" s="64" customFormat="1" x14ac:dyDescent="0.2">
      <c r="A1819" s="63"/>
      <c r="B1819" s="396"/>
      <c r="C1819" s="122"/>
      <c r="D1819" s="75"/>
      <c r="E1819" s="395"/>
      <c r="F1819" s="395"/>
      <c r="G1819" s="395"/>
      <c r="H1819" s="67"/>
      <c r="I1819" s="69"/>
      <c r="J1819" s="134"/>
      <c r="K1819" s="324">
        <v>0.2999</v>
      </c>
      <c r="L1819" s="191">
        <f>L287</f>
        <v>1.4842</v>
      </c>
      <c r="M1819" s="401"/>
      <c r="N1819" s="86"/>
    </row>
    <row r="1820" spans="1:14" s="64" customFormat="1" x14ac:dyDescent="0.2">
      <c r="A1820" s="63"/>
      <c r="B1820" s="396"/>
      <c r="C1820" s="122"/>
      <c r="D1820" s="75"/>
      <c r="E1820" s="395"/>
      <c r="F1820" s="395"/>
      <c r="G1820" s="395"/>
      <c r="H1820" s="67"/>
      <c r="I1820" s="69"/>
      <c r="J1820" s="134"/>
      <c r="K1820" s="324">
        <v>0.2999</v>
      </c>
      <c r="L1820" s="191">
        <f>L288</f>
        <v>1.4842</v>
      </c>
      <c r="M1820" s="401"/>
      <c r="N1820" s="86"/>
    </row>
    <row r="1821" spans="1:14" s="64" customFormat="1" x14ac:dyDescent="0.2">
      <c r="A1821" s="63"/>
      <c r="B1821" s="396"/>
      <c r="C1821" s="122"/>
      <c r="D1821" s="75"/>
      <c r="E1821" s="395"/>
      <c r="F1821" s="395"/>
      <c r="G1821" s="395"/>
      <c r="H1821" s="67"/>
      <c r="I1821" s="69"/>
      <c r="J1821" s="134"/>
      <c r="K1821" s="324">
        <v>0.2999</v>
      </c>
      <c r="L1821" s="191">
        <f>L289</f>
        <v>1.4842</v>
      </c>
      <c r="M1821" s="401"/>
      <c r="N1821" s="86"/>
    </row>
    <row r="1822" spans="1:14" s="64" customFormat="1" x14ac:dyDescent="0.2">
      <c r="A1822" s="63"/>
      <c r="B1822" s="396"/>
      <c r="C1822" s="122"/>
      <c r="D1822" s="75"/>
      <c r="E1822" s="395"/>
      <c r="F1822" s="395"/>
      <c r="G1822" s="395"/>
      <c r="H1822" s="67"/>
      <c r="I1822" s="69"/>
      <c r="J1822" s="134"/>
      <c r="K1822" s="324">
        <v>0.2999</v>
      </c>
      <c r="L1822" s="191">
        <f>L290</f>
        <v>1.4842</v>
      </c>
      <c r="M1822" s="401"/>
      <c r="N1822" s="86"/>
    </row>
    <row r="1823" spans="1:14" s="64" customFormat="1" x14ac:dyDescent="0.2">
      <c r="A1823" s="63"/>
      <c r="B1823" s="396"/>
      <c r="C1823" s="122"/>
      <c r="D1823" s="75"/>
      <c r="E1823" s="395"/>
      <c r="F1823" s="395"/>
      <c r="G1823" s="395"/>
      <c r="H1823" s="67"/>
      <c r="I1823" s="69"/>
      <c r="J1823" s="134"/>
      <c r="K1823" s="324">
        <v>0.2999</v>
      </c>
      <c r="L1823" s="191">
        <f>L291</f>
        <v>1.4842</v>
      </c>
      <c r="M1823" s="401"/>
      <c r="N1823" s="86"/>
    </row>
    <row r="1824" spans="1:14" s="64" customFormat="1" x14ac:dyDescent="0.2">
      <c r="A1824" s="63"/>
      <c r="B1824" s="396"/>
      <c r="C1824" s="122"/>
      <c r="D1824" s="75"/>
      <c r="E1824" s="395"/>
      <c r="F1824" s="395"/>
      <c r="G1824" s="395"/>
      <c r="H1824" s="67"/>
      <c r="I1824" s="69"/>
      <c r="J1824" s="134"/>
      <c r="K1824" s="324">
        <v>0.2999</v>
      </c>
      <c r="L1824" s="191">
        <f>L292</f>
        <v>1.4842</v>
      </c>
      <c r="M1824" s="401"/>
      <c r="N1824" s="86"/>
    </row>
    <row r="1825" spans="1:14" s="64" customFormat="1" x14ac:dyDescent="0.2">
      <c r="A1825" s="63"/>
      <c r="B1825" s="396"/>
      <c r="C1825" s="122"/>
      <c r="D1825" s="75"/>
      <c r="E1825" s="395"/>
      <c r="F1825" s="395"/>
      <c r="G1825" s="395"/>
      <c r="H1825" s="67"/>
      <c r="I1825" s="69"/>
      <c r="J1825" s="134"/>
      <c r="K1825" s="324">
        <v>0.2999</v>
      </c>
      <c r="L1825" s="191">
        <f>L293</f>
        <v>1.4842</v>
      </c>
      <c r="M1825" s="401"/>
      <c r="N1825" s="86"/>
    </row>
    <row r="1826" spans="1:14" s="64" customFormat="1" x14ac:dyDescent="0.2">
      <c r="A1826" s="63"/>
      <c r="B1826" s="396"/>
      <c r="C1826" s="122"/>
      <c r="D1826" s="75"/>
      <c r="E1826" s="395"/>
      <c r="F1826" s="395"/>
      <c r="G1826" s="395"/>
      <c r="H1826" s="67"/>
      <c r="I1826" s="69"/>
      <c r="J1826" s="134"/>
      <c r="K1826" s="324">
        <v>0.2999</v>
      </c>
      <c r="L1826" s="191">
        <f>L294</f>
        <v>1.4842</v>
      </c>
      <c r="M1826" s="401"/>
      <c r="N1826" s="86"/>
    </row>
    <row r="1827" spans="1:14" s="64" customFormat="1" x14ac:dyDescent="0.2">
      <c r="A1827" s="63"/>
      <c r="B1827" s="396"/>
      <c r="C1827" s="122"/>
      <c r="D1827" s="75"/>
      <c r="E1827" s="395"/>
      <c r="F1827" s="395"/>
      <c r="G1827" s="395"/>
      <c r="H1827" s="67"/>
      <c r="I1827" s="69"/>
      <c r="J1827" s="134"/>
      <c r="K1827" s="324">
        <v>0.2999</v>
      </c>
      <c r="L1827" s="191">
        <f>L295</f>
        <v>1.4842</v>
      </c>
      <c r="M1827" s="401"/>
      <c r="N1827" s="86"/>
    </row>
    <row r="1828" spans="1:14" s="64" customFormat="1" x14ac:dyDescent="0.2">
      <c r="A1828" s="63"/>
      <c r="B1828" s="396"/>
      <c r="C1828" s="122"/>
      <c r="D1828" s="75"/>
      <c r="E1828" s="395"/>
      <c r="F1828" s="395"/>
      <c r="G1828" s="395"/>
      <c r="H1828" s="67"/>
      <c r="I1828" s="69"/>
      <c r="J1828" s="134"/>
      <c r="K1828" s="324">
        <v>0.2999</v>
      </c>
      <c r="L1828" s="191">
        <f>L296</f>
        <v>1.4842</v>
      </c>
      <c r="M1828" s="401"/>
      <c r="N1828" s="86"/>
    </row>
    <row r="1829" spans="1:14" s="64" customFormat="1" x14ac:dyDescent="0.2">
      <c r="A1829" s="63"/>
      <c r="B1829" s="396"/>
      <c r="C1829" s="122"/>
      <c r="D1829" s="75"/>
      <c r="E1829" s="395"/>
      <c r="F1829" s="395"/>
      <c r="G1829" s="395"/>
      <c r="H1829" s="67"/>
      <c r="I1829" s="69"/>
      <c r="J1829" s="134"/>
      <c r="K1829" s="324">
        <v>0.2999</v>
      </c>
      <c r="L1829" s="191">
        <f>L297</f>
        <v>1.4842</v>
      </c>
      <c r="M1829" s="401"/>
      <c r="N1829" s="86"/>
    </row>
    <row r="1830" spans="1:14" s="64" customFormat="1" x14ac:dyDescent="0.2">
      <c r="A1830" s="63"/>
      <c r="B1830" s="396"/>
      <c r="C1830" s="122"/>
      <c r="D1830" s="75"/>
      <c r="E1830" s="395"/>
      <c r="F1830" s="395"/>
      <c r="G1830" s="395"/>
      <c r="H1830" s="67"/>
      <c r="I1830" s="69"/>
      <c r="J1830" s="134"/>
      <c r="K1830" s="324">
        <v>0.2999</v>
      </c>
      <c r="L1830" s="191">
        <f>L298</f>
        <v>1.4842</v>
      </c>
      <c r="M1830" s="401"/>
      <c r="N1830" s="86"/>
    </row>
    <row r="1831" spans="1:14" s="64" customFormat="1" x14ac:dyDescent="0.2">
      <c r="A1831" s="63"/>
      <c r="B1831" s="396"/>
      <c r="C1831" s="122"/>
      <c r="D1831" s="75"/>
      <c r="E1831" s="395"/>
      <c r="F1831" s="395"/>
      <c r="G1831" s="395"/>
      <c r="H1831" s="67"/>
      <c r="I1831" s="69"/>
      <c r="J1831" s="134"/>
      <c r="K1831" s="324">
        <v>0.2999</v>
      </c>
      <c r="L1831" s="191">
        <f>L299</f>
        <v>1.4842</v>
      </c>
      <c r="M1831" s="401"/>
      <c r="N1831" s="86"/>
    </row>
    <row r="1832" spans="1:14" s="64" customFormat="1" x14ac:dyDescent="0.2">
      <c r="A1832" s="63"/>
      <c r="B1832" s="396"/>
      <c r="C1832" s="122"/>
      <c r="D1832" s="75"/>
      <c r="E1832" s="395"/>
      <c r="F1832" s="395"/>
      <c r="G1832" s="395"/>
      <c r="H1832" s="67"/>
      <c r="I1832" s="69"/>
      <c r="J1832" s="134"/>
      <c r="K1832" s="324">
        <v>0.2999</v>
      </c>
      <c r="L1832" s="191">
        <f>L300</f>
        <v>1.4842</v>
      </c>
      <c r="M1832" s="401"/>
      <c r="N1832" s="86"/>
    </row>
    <row r="1833" spans="1:14" s="64" customFormat="1" x14ac:dyDescent="0.2">
      <c r="A1833" s="63"/>
      <c r="B1833" s="396"/>
      <c r="C1833" s="122"/>
      <c r="D1833" s="75"/>
      <c r="E1833" s="395"/>
      <c r="F1833" s="395"/>
      <c r="G1833" s="395"/>
      <c r="H1833" s="67"/>
      <c r="I1833" s="69"/>
      <c r="J1833" s="134"/>
      <c r="K1833" s="324">
        <v>0.2999</v>
      </c>
      <c r="L1833" s="191">
        <f>L301</f>
        <v>1.4842</v>
      </c>
      <c r="M1833" s="401"/>
      <c r="N1833" s="86"/>
    </row>
    <row r="1834" spans="1:14" s="64" customFormat="1" x14ac:dyDescent="0.2">
      <c r="A1834" s="63"/>
      <c r="B1834" s="396"/>
      <c r="C1834" s="122"/>
      <c r="D1834" s="75"/>
      <c r="E1834" s="395"/>
      <c r="F1834" s="395"/>
      <c r="G1834" s="395"/>
      <c r="H1834" s="67"/>
      <c r="I1834" s="69"/>
      <c r="J1834" s="134"/>
      <c r="K1834" s="324">
        <v>0.2999</v>
      </c>
      <c r="L1834" s="191">
        <f>L302</f>
        <v>1.4842</v>
      </c>
      <c r="M1834" s="401"/>
      <c r="N1834" s="86"/>
    </row>
    <row r="1835" spans="1:14" s="64" customFormat="1" x14ac:dyDescent="0.2">
      <c r="A1835" s="63"/>
      <c r="B1835" s="396"/>
      <c r="C1835" s="122"/>
      <c r="D1835" s="75"/>
      <c r="E1835" s="395"/>
      <c r="F1835" s="395"/>
      <c r="G1835" s="395"/>
      <c r="H1835" s="67"/>
      <c r="I1835" s="69"/>
      <c r="J1835" s="134"/>
      <c r="K1835" s="324">
        <v>0.2999</v>
      </c>
      <c r="L1835" s="191">
        <f>L303</f>
        <v>1.4842</v>
      </c>
      <c r="M1835" s="401"/>
      <c r="N1835" s="86"/>
    </row>
    <row r="1836" spans="1:14" s="64" customFormat="1" x14ac:dyDescent="0.2">
      <c r="A1836" s="63"/>
      <c r="B1836" s="396"/>
      <c r="C1836" s="122"/>
      <c r="D1836" s="75"/>
      <c r="E1836" s="395"/>
      <c r="F1836" s="395"/>
      <c r="G1836" s="395"/>
      <c r="H1836" s="67"/>
      <c r="I1836" s="69"/>
      <c r="J1836" s="134"/>
      <c r="K1836" s="324">
        <v>0.2999</v>
      </c>
      <c r="L1836" s="191">
        <f>L304</f>
        <v>1.4842</v>
      </c>
      <c r="M1836" s="401"/>
      <c r="N1836" s="86"/>
    </row>
    <row r="1837" spans="1:14" s="64" customFormat="1" x14ac:dyDescent="0.2">
      <c r="A1837" s="63"/>
      <c r="B1837" s="396"/>
      <c r="C1837" s="122"/>
      <c r="D1837" s="75"/>
      <c r="E1837" s="395"/>
      <c r="F1837" s="395"/>
      <c r="G1837" s="395"/>
      <c r="H1837" s="67"/>
      <c r="I1837" s="69"/>
      <c r="J1837" s="134"/>
      <c r="K1837" s="324">
        <v>0.2999</v>
      </c>
      <c r="L1837" s="191">
        <f>L305</f>
        <v>1.4842</v>
      </c>
      <c r="M1837" s="401"/>
      <c r="N1837" s="86"/>
    </row>
    <row r="1838" spans="1:14" s="64" customFormat="1" x14ac:dyDescent="0.2">
      <c r="A1838" s="63"/>
      <c r="B1838" s="396"/>
      <c r="C1838" s="122"/>
      <c r="D1838" s="75"/>
      <c r="E1838" s="395"/>
      <c r="F1838" s="395"/>
      <c r="G1838" s="395"/>
      <c r="H1838" s="67"/>
      <c r="I1838" s="69"/>
      <c r="J1838" s="134"/>
      <c r="K1838" s="324">
        <v>0.2999</v>
      </c>
      <c r="L1838" s="191">
        <f>L306</f>
        <v>1.4842</v>
      </c>
      <c r="M1838" s="401"/>
      <c r="N1838" s="86"/>
    </row>
    <row r="1839" spans="1:14" s="64" customFormat="1" x14ac:dyDescent="0.2">
      <c r="A1839" s="63"/>
      <c r="B1839" s="396"/>
      <c r="C1839" s="122"/>
      <c r="D1839" s="75"/>
      <c r="E1839" s="395"/>
      <c r="F1839" s="395"/>
      <c r="G1839" s="395"/>
      <c r="H1839" s="67"/>
      <c r="I1839" s="69"/>
      <c r="J1839" s="134"/>
      <c r="K1839" s="324">
        <v>0.2999</v>
      </c>
      <c r="L1839" s="191">
        <f>L307</f>
        <v>1.4842</v>
      </c>
      <c r="M1839" s="401"/>
      <c r="N1839" s="86"/>
    </row>
    <row r="1840" spans="1:14" s="64" customFormat="1" x14ac:dyDescent="0.2">
      <c r="A1840" s="63"/>
      <c r="B1840" s="396"/>
      <c r="C1840" s="122"/>
      <c r="D1840" s="75"/>
      <c r="E1840" s="395"/>
      <c r="F1840" s="395"/>
      <c r="G1840" s="395"/>
      <c r="H1840" s="67"/>
      <c r="I1840" s="69"/>
      <c r="J1840" s="134"/>
      <c r="K1840" s="324">
        <v>0.2999</v>
      </c>
      <c r="L1840" s="191">
        <f>L308</f>
        <v>1.4842</v>
      </c>
      <c r="M1840" s="401"/>
      <c r="N1840" s="86"/>
    </row>
    <row r="1841" spans="1:14" s="64" customFormat="1" x14ac:dyDescent="0.2">
      <c r="A1841" s="63"/>
      <c r="B1841" s="396"/>
      <c r="C1841" s="122"/>
      <c r="D1841" s="75"/>
      <c r="E1841" s="395"/>
      <c r="F1841" s="395"/>
      <c r="G1841" s="395"/>
      <c r="H1841" s="67"/>
      <c r="I1841" s="69"/>
      <c r="J1841" s="134"/>
      <c r="K1841" s="324">
        <v>0.2999</v>
      </c>
      <c r="L1841" s="191">
        <f>L309</f>
        <v>1.4842</v>
      </c>
      <c r="M1841" s="401"/>
      <c r="N1841" s="86"/>
    </row>
    <row r="1842" spans="1:14" s="64" customFormat="1" x14ac:dyDescent="0.2">
      <c r="A1842" s="63"/>
      <c r="B1842" s="396"/>
      <c r="C1842" s="122"/>
      <c r="D1842" s="75"/>
      <c r="E1842" s="395"/>
      <c r="F1842" s="395"/>
      <c r="G1842" s="395"/>
      <c r="H1842" s="67"/>
      <c r="I1842" s="69"/>
      <c r="J1842" s="134"/>
      <c r="K1842" s="324">
        <v>0.2999</v>
      </c>
      <c r="L1842" s="191">
        <f>L310</f>
        <v>1.4842</v>
      </c>
      <c r="M1842" s="401"/>
      <c r="N1842" s="86"/>
    </row>
    <row r="1843" spans="1:14" s="64" customFormat="1" x14ac:dyDescent="0.2">
      <c r="A1843" s="63"/>
      <c r="B1843" s="396"/>
      <c r="C1843" s="122"/>
      <c r="D1843" s="75"/>
      <c r="E1843" s="395"/>
      <c r="F1843" s="395"/>
      <c r="G1843" s="395"/>
      <c r="H1843" s="67"/>
      <c r="I1843" s="69"/>
      <c r="J1843" s="134"/>
      <c r="K1843" s="324">
        <v>0.2999</v>
      </c>
      <c r="L1843" s="191">
        <f>L311</f>
        <v>1.4842</v>
      </c>
      <c r="M1843" s="401"/>
      <c r="N1843" s="86"/>
    </row>
    <row r="1844" spans="1:14" s="64" customFormat="1" x14ac:dyDescent="0.2">
      <c r="A1844" s="63"/>
      <c r="B1844" s="396"/>
      <c r="C1844" s="122"/>
      <c r="D1844" s="75"/>
      <c r="E1844" s="395"/>
      <c r="F1844" s="395"/>
      <c r="G1844" s="395"/>
      <c r="H1844" s="67"/>
      <c r="I1844" s="69"/>
      <c r="J1844" s="134"/>
      <c r="K1844" s="324">
        <v>0.2999</v>
      </c>
      <c r="L1844" s="191">
        <f>L312</f>
        <v>1.4842</v>
      </c>
      <c r="M1844" s="401"/>
      <c r="N1844" s="86"/>
    </row>
    <row r="1845" spans="1:14" s="64" customFormat="1" x14ac:dyDescent="0.2">
      <c r="A1845" s="63"/>
      <c r="B1845" s="396"/>
      <c r="C1845" s="122"/>
      <c r="D1845" s="75"/>
      <c r="E1845" s="395"/>
      <c r="F1845" s="395"/>
      <c r="G1845" s="395"/>
      <c r="H1845" s="67"/>
      <c r="I1845" s="69"/>
      <c r="J1845" s="134"/>
      <c r="K1845" s="324">
        <v>0.2999</v>
      </c>
      <c r="L1845" s="191">
        <f>L313</f>
        <v>1.4842</v>
      </c>
      <c r="M1845" s="401"/>
      <c r="N1845" s="86"/>
    </row>
    <row r="1846" spans="1:14" s="64" customFormat="1" x14ac:dyDescent="0.2">
      <c r="A1846" s="63"/>
      <c r="B1846" s="396"/>
      <c r="C1846" s="122"/>
      <c r="D1846" s="75"/>
      <c r="E1846" s="395"/>
      <c r="F1846" s="395"/>
      <c r="G1846" s="395"/>
      <c r="H1846" s="67"/>
      <c r="I1846" s="69"/>
      <c r="J1846" s="134"/>
      <c r="K1846" s="324">
        <v>0.2999</v>
      </c>
      <c r="L1846" s="191">
        <f>L314</f>
        <v>1.4842</v>
      </c>
      <c r="M1846" s="401"/>
      <c r="N1846" s="86"/>
    </row>
    <row r="1847" spans="1:14" s="64" customFormat="1" x14ac:dyDescent="0.2">
      <c r="A1847" s="63"/>
      <c r="B1847" s="396"/>
      <c r="C1847" s="122"/>
      <c r="D1847" s="75"/>
      <c r="E1847" s="395"/>
      <c r="F1847" s="395"/>
      <c r="G1847" s="395"/>
      <c r="H1847" s="67"/>
      <c r="I1847" s="69"/>
      <c r="J1847" s="134"/>
      <c r="K1847" s="324">
        <v>0.2999</v>
      </c>
      <c r="L1847" s="191">
        <f>L315</f>
        <v>1.4842</v>
      </c>
      <c r="M1847" s="401"/>
      <c r="N1847" s="86"/>
    </row>
    <row r="1848" spans="1:14" s="64" customFormat="1" x14ac:dyDescent="0.2">
      <c r="A1848" s="63"/>
      <c r="B1848" s="396"/>
      <c r="C1848" s="122"/>
      <c r="D1848" s="75"/>
      <c r="E1848" s="395"/>
      <c r="F1848" s="395"/>
      <c r="G1848" s="395"/>
      <c r="H1848" s="67"/>
      <c r="I1848" s="69"/>
      <c r="J1848" s="134"/>
      <c r="K1848" s="324">
        <v>0.2999</v>
      </c>
      <c r="L1848" s="191">
        <f>L316</f>
        <v>1.4842</v>
      </c>
      <c r="M1848" s="401"/>
      <c r="N1848" s="86"/>
    </row>
    <row r="1849" spans="1:14" s="64" customFormat="1" x14ac:dyDescent="0.2">
      <c r="A1849" s="63"/>
      <c r="B1849" s="396"/>
      <c r="C1849" s="122"/>
      <c r="D1849" s="75"/>
      <c r="E1849" s="395"/>
      <c r="F1849" s="395"/>
      <c r="G1849" s="395"/>
      <c r="H1849" s="67"/>
      <c r="I1849" s="69"/>
      <c r="J1849" s="134"/>
      <c r="K1849" s="324">
        <v>0.2999</v>
      </c>
      <c r="L1849" s="191">
        <f>L317</f>
        <v>1.4842</v>
      </c>
      <c r="M1849" s="401"/>
      <c r="N1849" s="86"/>
    </row>
    <row r="1850" spans="1:14" s="64" customFormat="1" x14ac:dyDescent="0.2">
      <c r="A1850" s="63"/>
      <c r="B1850" s="396"/>
      <c r="C1850" s="122"/>
      <c r="D1850" s="75"/>
      <c r="E1850" s="395"/>
      <c r="F1850" s="395"/>
      <c r="G1850" s="395"/>
      <c r="H1850" s="67"/>
      <c r="I1850" s="69"/>
      <c r="J1850" s="134"/>
      <c r="K1850" s="324">
        <v>0.2999</v>
      </c>
      <c r="L1850" s="191">
        <f>L318</f>
        <v>1.4842</v>
      </c>
      <c r="M1850" s="401"/>
      <c r="N1850" s="86"/>
    </row>
    <row r="1851" spans="1:14" s="64" customFormat="1" x14ac:dyDescent="0.2">
      <c r="A1851" s="63"/>
      <c r="B1851" s="396"/>
      <c r="C1851" s="122"/>
      <c r="D1851" s="75"/>
      <c r="E1851" s="395"/>
      <c r="F1851" s="395"/>
      <c r="G1851" s="395"/>
      <c r="H1851" s="67"/>
      <c r="I1851" s="69"/>
      <c r="J1851" s="134"/>
      <c r="K1851" s="324">
        <v>0.2999</v>
      </c>
      <c r="L1851" s="191">
        <f>L319</f>
        <v>1.4842</v>
      </c>
      <c r="M1851" s="401"/>
      <c r="N1851" s="86"/>
    </row>
    <row r="1852" spans="1:14" s="64" customFormat="1" x14ac:dyDescent="0.2">
      <c r="A1852" s="63"/>
      <c r="B1852" s="396"/>
      <c r="C1852" s="122"/>
      <c r="D1852" s="75"/>
      <c r="E1852" s="395"/>
      <c r="F1852" s="395"/>
      <c r="G1852" s="395"/>
      <c r="H1852" s="67"/>
      <c r="I1852" s="69"/>
      <c r="J1852" s="134"/>
      <c r="K1852" s="324">
        <v>0.2999</v>
      </c>
      <c r="L1852" s="191">
        <f>L320</f>
        <v>1.4842</v>
      </c>
      <c r="M1852" s="401"/>
      <c r="N1852" s="86"/>
    </row>
    <row r="1853" spans="1:14" s="64" customFormat="1" x14ac:dyDescent="0.2">
      <c r="A1853" s="63"/>
      <c r="B1853" s="396"/>
      <c r="C1853" s="122"/>
      <c r="D1853" s="75"/>
      <c r="E1853" s="395"/>
      <c r="F1853" s="395"/>
      <c r="G1853" s="395"/>
      <c r="H1853" s="67"/>
      <c r="I1853" s="69"/>
      <c r="J1853" s="134"/>
      <c r="K1853" s="324">
        <v>0.2999</v>
      </c>
      <c r="L1853" s="191">
        <f>L321</f>
        <v>1.4842</v>
      </c>
      <c r="M1853" s="401"/>
      <c r="N1853" s="86"/>
    </row>
    <row r="1854" spans="1:14" s="64" customFormat="1" x14ac:dyDescent="0.2">
      <c r="A1854" s="63"/>
      <c r="B1854" s="396"/>
      <c r="C1854" s="122"/>
      <c r="D1854" s="75"/>
      <c r="E1854" s="395"/>
      <c r="F1854" s="395"/>
      <c r="G1854" s="395"/>
      <c r="H1854" s="67"/>
      <c r="I1854" s="69"/>
      <c r="J1854" s="134"/>
      <c r="K1854" s="324">
        <v>0.2999</v>
      </c>
      <c r="L1854" s="191">
        <f>L322</f>
        <v>1.4842</v>
      </c>
      <c r="M1854" s="401"/>
      <c r="N1854" s="86"/>
    </row>
    <row r="1855" spans="1:14" s="64" customFormat="1" x14ac:dyDescent="0.2">
      <c r="A1855" s="63"/>
      <c r="B1855" s="396"/>
      <c r="C1855" s="122"/>
      <c r="D1855" s="75"/>
      <c r="E1855" s="395"/>
      <c r="F1855" s="395"/>
      <c r="G1855" s="395"/>
      <c r="H1855" s="67"/>
      <c r="I1855" s="69"/>
      <c r="J1855" s="134"/>
      <c r="K1855" s="324">
        <v>0.2999</v>
      </c>
      <c r="L1855" s="191">
        <f>L323</f>
        <v>1.4842</v>
      </c>
      <c r="M1855" s="401"/>
      <c r="N1855" s="86"/>
    </row>
    <row r="1856" spans="1:14" s="64" customFormat="1" x14ac:dyDescent="0.2">
      <c r="A1856" s="63"/>
      <c r="B1856" s="396"/>
      <c r="C1856" s="122"/>
      <c r="D1856" s="75"/>
      <c r="E1856" s="395"/>
      <c r="F1856" s="395"/>
      <c r="G1856" s="395"/>
      <c r="H1856" s="67"/>
      <c r="I1856" s="69"/>
      <c r="J1856" s="134"/>
      <c r="K1856" s="324">
        <v>0.2999</v>
      </c>
      <c r="L1856" s="191">
        <f>L324</f>
        <v>1.4842</v>
      </c>
      <c r="M1856" s="401"/>
      <c r="N1856" s="86"/>
    </row>
    <row r="1857" spans="1:14" s="64" customFormat="1" x14ac:dyDescent="0.2">
      <c r="A1857" s="63"/>
      <c r="B1857" s="396"/>
      <c r="C1857" s="122"/>
      <c r="D1857" s="75"/>
      <c r="E1857" s="395"/>
      <c r="F1857" s="395"/>
      <c r="G1857" s="395"/>
      <c r="H1857" s="67"/>
      <c r="I1857" s="69"/>
      <c r="J1857" s="134"/>
      <c r="K1857" s="324">
        <v>0.2999</v>
      </c>
      <c r="L1857" s="191">
        <f>L325</f>
        <v>1.4842</v>
      </c>
      <c r="M1857" s="401"/>
      <c r="N1857" s="86"/>
    </row>
    <row r="1858" spans="1:14" s="64" customFormat="1" x14ac:dyDescent="0.2">
      <c r="A1858" s="63"/>
      <c r="B1858" s="396"/>
      <c r="C1858" s="122"/>
      <c r="D1858" s="75"/>
      <c r="E1858" s="395"/>
      <c r="F1858" s="395"/>
      <c r="G1858" s="395"/>
      <c r="H1858" s="67"/>
      <c r="I1858" s="69"/>
      <c r="J1858" s="134"/>
      <c r="K1858" s="324">
        <v>0.2999</v>
      </c>
      <c r="L1858" s="191">
        <f>L326</f>
        <v>1.4842</v>
      </c>
      <c r="M1858" s="401"/>
      <c r="N1858" s="86"/>
    </row>
    <row r="1859" spans="1:14" s="64" customFormat="1" x14ac:dyDescent="0.2">
      <c r="A1859" s="63"/>
      <c r="B1859" s="396"/>
      <c r="C1859" s="122"/>
      <c r="D1859" s="75"/>
      <c r="E1859" s="395"/>
      <c r="F1859" s="395"/>
      <c r="G1859" s="395"/>
      <c r="H1859" s="67"/>
      <c r="I1859" s="69"/>
      <c r="J1859" s="134"/>
      <c r="K1859" s="324">
        <v>0.2999</v>
      </c>
      <c r="L1859" s="191">
        <f>L327</f>
        <v>1.4842</v>
      </c>
      <c r="M1859" s="401"/>
      <c r="N1859" s="86"/>
    </row>
    <row r="1860" spans="1:14" s="64" customFormat="1" x14ac:dyDescent="0.2">
      <c r="A1860" s="63"/>
      <c r="B1860" s="396"/>
      <c r="C1860" s="122"/>
      <c r="D1860" s="75"/>
      <c r="E1860" s="395"/>
      <c r="F1860" s="395"/>
      <c r="G1860" s="395"/>
      <c r="H1860" s="67"/>
      <c r="I1860" s="69"/>
      <c r="J1860" s="134"/>
      <c r="K1860" s="324">
        <v>0.2999</v>
      </c>
      <c r="L1860" s="191">
        <f>L328</f>
        <v>1.4842</v>
      </c>
      <c r="M1860" s="401"/>
      <c r="N1860" s="86"/>
    </row>
    <row r="1861" spans="1:14" s="64" customFormat="1" x14ac:dyDescent="0.2">
      <c r="A1861" s="63"/>
      <c r="B1861" s="396"/>
      <c r="C1861" s="122"/>
      <c r="D1861" s="75"/>
      <c r="E1861" s="395"/>
      <c r="F1861" s="395"/>
      <c r="G1861" s="395"/>
      <c r="H1861" s="67"/>
      <c r="I1861" s="69"/>
      <c r="J1861" s="134"/>
      <c r="K1861" s="324">
        <v>0.2999</v>
      </c>
      <c r="L1861" s="191">
        <f>L329</f>
        <v>1.4842</v>
      </c>
      <c r="M1861" s="401"/>
      <c r="N1861" s="86"/>
    </row>
    <row r="1862" spans="1:14" s="64" customFormat="1" x14ac:dyDescent="0.2">
      <c r="A1862" s="63"/>
      <c r="B1862" s="396"/>
      <c r="C1862" s="122"/>
      <c r="D1862" s="75"/>
      <c r="E1862" s="395"/>
      <c r="F1862" s="395"/>
      <c r="G1862" s="395"/>
      <c r="H1862" s="67"/>
      <c r="I1862" s="69"/>
      <c r="J1862" s="134"/>
      <c r="K1862" s="324">
        <v>0.2999</v>
      </c>
      <c r="L1862" s="191">
        <f>L330</f>
        <v>1.4842</v>
      </c>
      <c r="M1862" s="401"/>
      <c r="N1862" s="86"/>
    </row>
    <row r="1863" spans="1:14" s="64" customFormat="1" x14ac:dyDescent="0.2">
      <c r="A1863" s="63"/>
      <c r="B1863" s="396"/>
      <c r="C1863" s="122"/>
      <c r="D1863" s="75"/>
      <c r="E1863" s="395"/>
      <c r="F1863" s="395"/>
      <c r="G1863" s="395"/>
      <c r="H1863" s="67"/>
      <c r="I1863" s="69"/>
      <c r="J1863" s="134"/>
      <c r="K1863" s="324">
        <v>0.2999</v>
      </c>
      <c r="L1863" s="191">
        <f>L331</f>
        <v>1.4842</v>
      </c>
      <c r="M1863" s="401"/>
      <c r="N1863" s="86"/>
    </row>
    <row r="1864" spans="1:14" s="64" customFormat="1" x14ac:dyDescent="0.2">
      <c r="A1864" s="63"/>
      <c r="B1864" s="396"/>
      <c r="C1864" s="122"/>
      <c r="D1864" s="75"/>
      <c r="E1864" s="395"/>
      <c r="F1864" s="395"/>
      <c r="G1864" s="395"/>
      <c r="H1864" s="67"/>
      <c r="I1864" s="69"/>
      <c r="J1864" s="134"/>
      <c r="K1864" s="324">
        <v>0.2999</v>
      </c>
      <c r="L1864" s="191">
        <f>L332</f>
        <v>1.4842</v>
      </c>
      <c r="M1864" s="401"/>
      <c r="N1864" s="86"/>
    </row>
    <row r="1865" spans="1:14" s="64" customFormat="1" x14ac:dyDescent="0.2">
      <c r="A1865" s="63"/>
      <c r="B1865" s="396"/>
      <c r="C1865" s="122"/>
      <c r="D1865" s="75"/>
      <c r="E1865" s="395"/>
      <c r="F1865" s="395"/>
      <c r="G1865" s="395"/>
      <c r="H1865" s="67"/>
      <c r="I1865" s="69"/>
      <c r="J1865" s="134"/>
      <c r="K1865" s="324">
        <v>0.2999</v>
      </c>
      <c r="L1865" s="191">
        <f>L333</f>
        <v>1.4842</v>
      </c>
      <c r="M1865" s="401"/>
      <c r="N1865" s="86"/>
    </row>
    <row r="1866" spans="1:14" s="64" customFormat="1" x14ac:dyDescent="0.2">
      <c r="A1866" s="63"/>
      <c r="B1866" s="396"/>
      <c r="C1866" s="122"/>
      <c r="D1866" s="75"/>
      <c r="E1866" s="395"/>
      <c r="F1866" s="395"/>
      <c r="G1866" s="395"/>
      <c r="H1866" s="67"/>
      <c r="I1866" s="69"/>
      <c r="J1866" s="134"/>
      <c r="K1866" s="324">
        <v>0.2999</v>
      </c>
      <c r="L1866" s="191">
        <f>L334</f>
        <v>1.4842</v>
      </c>
      <c r="M1866" s="401"/>
      <c r="N1866" s="86"/>
    </row>
    <row r="1867" spans="1:14" s="64" customFormat="1" x14ac:dyDescent="0.2">
      <c r="A1867" s="63"/>
      <c r="B1867" s="396"/>
      <c r="C1867" s="122"/>
      <c r="D1867" s="75"/>
      <c r="E1867" s="395"/>
      <c r="F1867" s="395"/>
      <c r="G1867" s="395"/>
      <c r="H1867" s="67"/>
      <c r="I1867" s="69"/>
      <c r="J1867" s="134"/>
      <c r="K1867" s="324">
        <v>0.2999</v>
      </c>
      <c r="L1867" s="191">
        <f>L335</f>
        <v>1.4842</v>
      </c>
      <c r="M1867" s="401"/>
      <c r="N1867" s="86"/>
    </row>
    <row r="1868" spans="1:14" s="64" customFormat="1" x14ac:dyDescent="0.2">
      <c r="A1868" s="63"/>
      <c r="B1868" s="396"/>
      <c r="C1868" s="122"/>
      <c r="D1868" s="75"/>
      <c r="E1868" s="395"/>
      <c r="F1868" s="395"/>
      <c r="G1868" s="395"/>
      <c r="H1868" s="67"/>
      <c r="I1868" s="69"/>
      <c r="J1868" s="134"/>
      <c r="K1868" s="324">
        <v>0.2999</v>
      </c>
      <c r="L1868" s="191">
        <f>L336</f>
        <v>1.4842</v>
      </c>
      <c r="M1868" s="401"/>
      <c r="N1868" s="86"/>
    </row>
    <row r="1869" spans="1:14" s="64" customFormat="1" x14ac:dyDescent="0.2">
      <c r="A1869" s="63"/>
      <c r="B1869" s="396"/>
      <c r="C1869" s="122"/>
      <c r="D1869" s="75"/>
      <c r="E1869" s="395"/>
      <c r="F1869" s="395"/>
      <c r="G1869" s="395"/>
      <c r="H1869" s="67"/>
      <c r="I1869" s="69"/>
      <c r="J1869" s="134"/>
      <c r="K1869" s="324">
        <v>0.2999</v>
      </c>
      <c r="L1869" s="191">
        <f>L337</f>
        <v>1.4842</v>
      </c>
      <c r="M1869" s="401"/>
      <c r="N1869" s="86"/>
    </row>
    <row r="1870" spans="1:14" s="64" customFormat="1" x14ac:dyDescent="0.2">
      <c r="A1870" s="63"/>
      <c r="B1870" s="396"/>
      <c r="C1870" s="122"/>
      <c r="D1870" s="75"/>
      <c r="E1870" s="395"/>
      <c r="F1870" s="395"/>
      <c r="G1870" s="395"/>
      <c r="H1870" s="67"/>
      <c r="I1870" s="69"/>
      <c r="J1870" s="134"/>
      <c r="K1870" s="324">
        <v>0.2999</v>
      </c>
      <c r="L1870" s="191">
        <f>L338</f>
        <v>1.4842</v>
      </c>
      <c r="M1870" s="401"/>
      <c r="N1870" s="86"/>
    </row>
    <row r="1871" spans="1:14" s="64" customFormat="1" x14ac:dyDescent="0.2">
      <c r="A1871" s="63"/>
      <c r="B1871" s="396"/>
      <c r="C1871" s="122"/>
      <c r="D1871" s="75"/>
      <c r="E1871" s="395"/>
      <c r="F1871" s="395"/>
      <c r="G1871" s="395"/>
      <c r="H1871" s="67"/>
      <c r="I1871" s="69"/>
      <c r="J1871" s="134"/>
      <c r="K1871" s="324">
        <v>0.2999</v>
      </c>
      <c r="L1871" s="191">
        <f>L339</f>
        <v>1.4842</v>
      </c>
      <c r="M1871" s="401"/>
      <c r="N1871" s="86"/>
    </row>
    <row r="1872" spans="1:14" s="64" customFormat="1" x14ac:dyDescent="0.2">
      <c r="A1872" s="63"/>
      <c r="B1872" s="396"/>
      <c r="C1872" s="122"/>
      <c r="D1872" s="75"/>
      <c r="E1872" s="395"/>
      <c r="F1872" s="395"/>
      <c r="G1872" s="395"/>
      <c r="H1872" s="67"/>
      <c r="I1872" s="69"/>
      <c r="J1872" s="134"/>
      <c r="K1872" s="324">
        <v>0.2999</v>
      </c>
      <c r="L1872" s="191">
        <f>L340</f>
        <v>1.4842</v>
      </c>
      <c r="M1872" s="401"/>
      <c r="N1872" s="86"/>
    </row>
    <row r="1873" spans="1:14" s="64" customFormat="1" x14ac:dyDescent="0.2">
      <c r="A1873" s="63"/>
      <c r="B1873" s="396"/>
      <c r="C1873" s="122"/>
      <c r="D1873" s="75"/>
      <c r="E1873" s="395"/>
      <c r="F1873" s="395"/>
      <c r="G1873" s="395"/>
      <c r="H1873" s="67"/>
      <c r="I1873" s="69"/>
      <c r="J1873" s="134"/>
      <c r="K1873" s="324">
        <v>0.2999</v>
      </c>
      <c r="L1873" s="191">
        <f>L341</f>
        <v>1.4842</v>
      </c>
      <c r="M1873" s="401"/>
      <c r="N1873" s="86"/>
    </row>
    <row r="1874" spans="1:14" s="64" customFormat="1" x14ac:dyDescent="0.2">
      <c r="A1874" s="63"/>
      <c r="B1874" s="396"/>
      <c r="C1874" s="122"/>
      <c r="D1874" s="75"/>
      <c r="E1874" s="395"/>
      <c r="F1874" s="395"/>
      <c r="G1874" s="395"/>
      <c r="H1874" s="67"/>
      <c r="I1874" s="69"/>
      <c r="J1874" s="134"/>
      <c r="K1874" s="324">
        <v>0.2999</v>
      </c>
      <c r="L1874" s="191">
        <f>L342</f>
        <v>1.4842</v>
      </c>
      <c r="M1874" s="401"/>
      <c r="N1874" s="86"/>
    </row>
    <row r="1875" spans="1:14" s="64" customFormat="1" x14ac:dyDescent="0.2">
      <c r="A1875" s="63"/>
      <c r="B1875" s="396"/>
      <c r="C1875" s="122"/>
      <c r="D1875" s="75"/>
      <c r="E1875" s="395"/>
      <c r="F1875" s="395"/>
      <c r="G1875" s="395"/>
      <c r="H1875" s="67"/>
      <c r="I1875" s="69"/>
      <c r="J1875" s="134"/>
      <c r="K1875" s="324">
        <v>0.2999</v>
      </c>
      <c r="L1875" s="191">
        <f>L343</f>
        <v>1.4842</v>
      </c>
      <c r="M1875" s="401"/>
      <c r="N1875" s="86"/>
    </row>
    <row r="1876" spans="1:14" s="64" customFormat="1" x14ac:dyDescent="0.2">
      <c r="A1876" s="63"/>
      <c r="B1876" s="396"/>
      <c r="C1876" s="122"/>
      <c r="D1876" s="75"/>
      <c r="E1876" s="395"/>
      <c r="F1876" s="395"/>
      <c r="G1876" s="395"/>
      <c r="H1876" s="67"/>
      <c r="I1876" s="69"/>
      <c r="J1876" s="134"/>
      <c r="K1876" s="324">
        <v>0.2999</v>
      </c>
      <c r="L1876" s="191">
        <f>L344</f>
        <v>1.4842</v>
      </c>
      <c r="M1876" s="401"/>
      <c r="N1876" s="86"/>
    </row>
    <row r="1877" spans="1:14" s="64" customFormat="1" x14ac:dyDescent="0.2">
      <c r="A1877" s="63"/>
      <c r="B1877" s="396"/>
      <c r="C1877" s="122"/>
      <c r="D1877" s="75"/>
      <c r="E1877" s="395"/>
      <c r="F1877" s="395"/>
      <c r="G1877" s="395"/>
      <c r="H1877" s="67"/>
      <c r="I1877" s="69"/>
      <c r="J1877" s="134"/>
      <c r="K1877" s="324">
        <v>0.2999</v>
      </c>
      <c r="L1877" s="191">
        <f>L345</f>
        <v>1.4842</v>
      </c>
      <c r="M1877" s="401"/>
      <c r="N1877" s="86"/>
    </row>
    <row r="1878" spans="1:14" s="64" customFormat="1" x14ac:dyDescent="0.2">
      <c r="A1878" s="63"/>
      <c r="B1878" s="396"/>
      <c r="C1878" s="122"/>
      <c r="D1878" s="75"/>
      <c r="E1878" s="395"/>
      <c r="F1878" s="395"/>
      <c r="G1878" s="395"/>
      <c r="H1878" s="67"/>
      <c r="I1878" s="69"/>
      <c r="J1878" s="134"/>
      <c r="K1878" s="324">
        <v>0.2999</v>
      </c>
      <c r="L1878" s="191">
        <f>L346</f>
        <v>1.4842</v>
      </c>
      <c r="M1878" s="401"/>
      <c r="N1878" s="86"/>
    </row>
    <row r="1879" spans="1:14" s="64" customFormat="1" x14ac:dyDescent="0.2">
      <c r="A1879" s="63"/>
      <c r="B1879" s="396"/>
      <c r="C1879" s="122"/>
      <c r="D1879" s="75"/>
      <c r="E1879" s="395"/>
      <c r="F1879" s="395"/>
      <c r="G1879" s="395"/>
      <c r="H1879" s="67"/>
      <c r="I1879" s="69"/>
      <c r="J1879" s="134"/>
      <c r="K1879" s="324">
        <v>0.2999</v>
      </c>
      <c r="L1879" s="191">
        <f>L347</f>
        <v>1.4842</v>
      </c>
      <c r="M1879" s="401"/>
      <c r="N1879" s="86"/>
    </row>
    <row r="1880" spans="1:14" s="64" customFormat="1" x14ac:dyDescent="0.2">
      <c r="A1880" s="63"/>
      <c r="B1880" s="396"/>
      <c r="C1880" s="122"/>
      <c r="D1880" s="75"/>
      <c r="E1880" s="395"/>
      <c r="F1880" s="395"/>
      <c r="G1880" s="395"/>
      <c r="H1880" s="67"/>
      <c r="I1880" s="69"/>
      <c r="J1880" s="134"/>
      <c r="K1880" s="324">
        <v>0.2999</v>
      </c>
      <c r="L1880" s="191">
        <f>L348</f>
        <v>1.4842</v>
      </c>
      <c r="M1880" s="401"/>
      <c r="N1880" s="86"/>
    </row>
    <row r="1881" spans="1:14" s="64" customFormat="1" x14ac:dyDescent="0.2">
      <c r="A1881" s="63"/>
      <c r="B1881" s="396"/>
      <c r="C1881" s="122"/>
      <c r="D1881" s="75"/>
      <c r="E1881" s="395"/>
      <c r="F1881" s="395"/>
      <c r="G1881" s="395"/>
      <c r="H1881" s="67"/>
      <c r="I1881" s="69"/>
      <c r="J1881" s="134"/>
      <c r="K1881" s="324">
        <v>0.2999</v>
      </c>
      <c r="L1881" s="191">
        <f>L349</f>
        <v>1.4842</v>
      </c>
      <c r="M1881" s="401"/>
      <c r="N1881" s="86"/>
    </row>
    <row r="1882" spans="1:14" s="64" customFormat="1" x14ac:dyDescent="0.2">
      <c r="A1882" s="63"/>
      <c r="B1882" s="396"/>
      <c r="C1882" s="122"/>
      <c r="D1882" s="75"/>
      <c r="E1882" s="395"/>
      <c r="F1882" s="395"/>
      <c r="G1882" s="395"/>
      <c r="H1882" s="67"/>
      <c r="I1882" s="69"/>
      <c r="J1882" s="134"/>
      <c r="K1882" s="324">
        <v>0.2999</v>
      </c>
      <c r="L1882" s="191">
        <f>L350</f>
        <v>1.4842</v>
      </c>
      <c r="M1882" s="401"/>
      <c r="N1882" s="86"/>
    </row>
    <row r="1883" spans="1:14" s="64" customFormat="1" x14ac:dyDescent="0.2">
      <c r="A1883" s="63"/>
      <c r="B1883" s="396"/>
      <c r="C1883" s="122"/>
      <c r="D1883" s="75"/>
      <c r="E1883" s="395"/>
      <c r="F1883" s="395"/>
      <c r="G1883" s="395"/>
      <c r="H1883" s="67"/>
      <c r="I1883" s="69"/>
      <c r="J1883" s="134"/>
      <c r="K1883" s="324">
        <v>0.2999</v>
      </c>
      <c r="L1883" s="191">
        <f>L351</f>
        <v>1.4842</v>
      </c>
      <c r="M1883" s="401"/>
      <c r="N1883" s="86"/>
    </row>
    <row r="1884" spans="1:14" s="64" customFormat="1" x14ac:dyDescent="0.2">
      <c r="A1884" s="63"/>
      <c r="B1884" s="396"/>
      <c r="C1884" s="122"/>
      <c r="D1884" s="75"/>
      <c r="E1884" s="395"/>
      <c r="F1884" s="395"/>
      <c r="G1884" s="395"/>
      <c r="H1884" s="67"/>
      <c r="I1884" s="69"/>
      <c r="J1884" s="134"/>
      <c r="K1884" s="324">
        <v>0.2999</v>
      </c>
      <c r="L1884" s="191">
        <f>L352</f>
        <v>1.4842</v>
      </c>
      <c r="M1884" s="401"/>
      <c r="N1884" s="86"/>
    </row>
    <row r="1885" spans="1:14" s="64" customFormat="1" x14ac:dyDescent="0.2">
      <c r="A1885" s="63"/>
      <c r="B1885" s="396"/>
      <c r="C1885" s="122"/>
      <c r="D1885" s="75"/>
      <c r="E1885" s="395"/>
      <c r="F1885" s="395"/>
      <c r="G1885" s="395"/>
      <c r="H1885" s="67"/>
      <c r="I1885" s="69"/>
      <c r="J1885" s="134"/>
      <c r="K1885" s="324">
        <v>0.2999</v>
      </c>
      <c r="L1885" s="191">
        <f>L353</f>
        <v>1.4842</v>
      </c>
      <c r="M1885" s="401"/>
      <c r="N1885" s="86"/>
    </row>
    <row r="1886" spans="1:14" s="64" customFormat="1" x14ac:dyDescent="0.2">
      <c r="A1886" s="63"/>
      <c r="B1886" s="396"/>
      <c r="C1886" s="122"/>
      <c r="D1886" s="75"/>
      <c r="E1886" s="395"/>
      <c r="F1886" s="395"/>
      <c r="G1886" s="395"/>
      <c r="H1886" s="67"/>
      <c r="I1886" s="69"/>
      <c r="J1886" s="134"/>
      <c r="K1886" s="324">
        <v>0.2999</v>
      </c>
      <c r="L1886" s="191">
        <f>L354</f>
        <v>1.4842</v>
      </c>
      <c r="M1886" s="401"/>
      <c r="N1886" s="86"/>
    </row>
    <row r="1887" spans="1:14" s="64" customFormat="1" x14ac:dyDescent="0.2">
      <c r="A1887" s="63"/>
      <c r="B1887" s="396"/>
      <c r="C1887" s="122"/>
      <c r="D1887" s="75"/>
      <c r="E1887" s="395"/>
      <c r="F1887" s="395"/>
      <c r="G1887" s="395"/>
      <c r="H1887" s="67"/>
      <c r="I1887" s="69"/>
      <c r="J1887" s="134"/>
      <c r="K1887" s="324">
        <v>0.2999</v>
      </c>
      <c r="L1887" s="191">
        <f>L355</f>
        <v>1.4842</v>
      </c>
      <c r="M1887" s="401"/>
      <c r="N1887" s="86"/>
    </row>
    <row r="1888" spans="1:14" s="64" customFormat="1" x14ac:dyDescent="0.2">
      <c r="A1888" s="63"/>
      <c r="B1888" s="396"/>
      <c r="C1888" s="122"/>
      <c r="D1888" s="75"/>
      <c r="E1888" s="395"/>
      <c r="F1888" s="395"/>
      <c r="G1888" s="395"/>
      <c r="H1888" s="67"/>
      <c r="I1888" s="69"/>
      <c r="J1888" s="134"/>
      <c r="K1888" s="324">
        <v>0.2999</v>
      </c>
      <c r="L1888" s="191">
        <f>L356</f>
        <v>1.4842</v>
      </c>
      <c r="M1888" s="401"/>
      <c r="N1888" s="86"/>
    </row>
    <row r="1889" spans="1:14" s="64" customFormat="1" x14ac:dyDescent="0.2">
      <c r="A1889" s="63"/>
      <c r="B1889" s="396"/>
      <c r="C1889" s="122"/>
      <c r="D1889" s="75"/>
      <c r="E1889" s="395"/>
      <c r="F1889" s="395"/>
      <c r="G1889" s="395"/>
      <c r="H1889" s="67"/>
      <c r="I1889" s="69"/>
      <c r="J1889" s="134"/>
      <c r="K1889" s="324">
        <v>0.2999</v>
      </c>
      <c r="L1889" s="191">
        <f>L357</f>
        <v>1.4842</v>
      </c>
      <c r="M1889" s="401"/>
      <c r="N1889" s="86"/>
    </row>
    <row r="1890" spans="1:14" s="64" customFormat="1" x14ac:dyDescent="0.2">
      <c r="A1890" s="63"/>
      <c r="B1890" s="396"/>
      <c r="C1890" s="122"/>
      <c r="D1890" s="75"/>
      <c r="E1890" s="395"/>
      <c r="F1890" s="395"/>
      <c r="G1890" s="395"/>
      <c r="H1890" s="67"/>
      <c r="I1890" s="69"/>
      <c r="J1890" s="134"/>
      <c r="K1890" s="324">
        <v>0.2999</v>
      </c>
      <c r="L1890" s="191">
        <f>L358</f>
        <v>1.4842</v>
      </c>
      <c r="M1890" s="401"/>
      <c r="N1890" s="86"/>
    </row>
    <row r="1891" spans="1:14" s="64" customFormat="1" x14ac:dyDescent="0.2">
      <c r="A1891" s="63"/>
      <c r="B1891" s="396"/>
      <c r="C1891" s="122"/>
      <c r="D1891" s="75"/>
      <c r="E1891" s="395"/>
      <c r="F1891" s="395"/>
      <c r="G1891" s="395"/>
      <c r="H1891" s="67"/>
      <c r="I1891" s="69"/>
      <c r="J1891" s="134"/>
      <c r="K1891" s="324">
        <v>0.2999</v>
      </c>
      <c r="L1891" s="191">
        <f>L359</f>
        <v>1.4842</v>
      </c>
      <c r="M1891" s="401"/>
      <c r="N1891" s="86"/>
    </row>
    <row r="1892" spans="1:14" s="64" customFormat="1" x14ac:dyDescent="0.2">
      <c r="A1892" s="63"/>
      <c r="B1892" s="396"/>
      <c r="C1892" s="122"/>
      <c r="D1892" s="75"/>
      <c r="E1892" s="395"/>
      <c r="F1892" s="395"/>
      <c r="G1892" s="395"/>
      <c r="H1892" s="67"/>
      <c r="I1892" s="69"/>
      <c r="J1892" s="134"/>
      <c r="K1892" s="324">
        <v>0.2999</v>
      </c>
      <c r="L1892" s="191">
        <f>L360</f>
        <v>1.4842</v>
      </c>
      <c r="M1892" s="401"/>
      <c r="N1892" s="86"/>
    </row>
    <row r="1893" spans="1:14" s="64" customFormat="1" x14ac:dyDescent="0.2">
      <c r="A1893" s="63"/>
      <c r="B1893" s="396"/>
      <c r="C1893" s="122"/>
      <c r="D1893" s="75"/>
      <c r="E1893" s="395"/>
      <c r="F1893" s="395"/>
      <c r="G1893" s="395"/>
      <c r="H1893" s="67"/>
      <c r="I1893" s="69"/>
      <c r="J1893" s="134"/>
      <c r="K1893" s="324">
        <v>0.2999</v>
      </c>
      <c r="L1893" s="191">
        <f>L361</f>
        <v>1.4842</v>
      </c>
      <c r="M1893" s="401"/>
      <c r="N1893" s="86"/>
    </row>
    <row r="1894" spans="1:14" s="64" customFormat="1" x14ac:dyDescent="0.2">
      <c r="A1894" s="63"/>
      <c r="B1894" s="396"/>
      <c r="C1894" s="122"/>
      <c r="D1894" s="75"/>
      <c r="E1894" s="395"/>
      <c r="F1894" s="395"/>
      <c r="G1894" s="395"/>
      <c r="H1894" s="67"/>
      <c r="I1894" s="69"/>
      <c r="J1894" s="134"/>
      <c r="K1894" s="324">
        <v>0.2999</v>
      </c>
      <c r="L1894" s="191">
        <f>L362</f>
        <v>1.4842</v>
      </c>
      <c r="M1894" s="401"/>
      <c r="N1894" s="86"/>
    </row>
    <row r="1895" spans="1:14" s="64" customFormat="1" x14ac:dyDescent="0.2">
      <c r="A1895" s="63"/>
      <c r="B1895" s="396"/>
      <c r="C1895" s="122"/>
      <c r="D1895" s="75"/>
      <c r="E1895" s="395"/>
      <c r="F1895" s="395"/>
      <c r="G1895" s="395"/>
      <c r="H1895" s="67"/>
      <c r="I1895" s="69"/>
      <c r="J1895" s="134"/>
      <c r="K1895" s="324">
        <v>0.2999</v>
      </c>
      <c r="L1895" s="191">
        <f>L363</f>
        <v>1.4842</v>
      </c>
      <c r="M1895" s="401"/>
      <c r="N1895" s="86"/>
    </row>
    <row r="1896" spans="1:14" s="64" customFormat="1" x14ac:dyDescent="0.2">
      <c r="A1896" s="63"/>
      <c r="B1896" s="396"/>
      <c r="C1896" s="122"/>
      <c r="D1896" s="75"/>
      <c r="E1896" s="395"/>
      <c r="F1896" s="395"/>
      <c r="G1896" s="395"/>
      <c r="H1896" s="67"/>
      <c r="I1896" s="69"/>
      <c r="J1896" s="134"/>
      <c r="K1896" s="324">
        <v>0.2999</v>
      </c>
      <c r="L1896" s="191">
        <f>L364</f>
        <v>1.4842</v>
      </c>
      <c r="M1896" s="401"/>
      <c r="N1896" s="86"/>
    </row>
    <row r="1897" spans="1:14" s="64" customFormat="1" x14ac:dyDescent="0.2">
      <c r="A1897" s="63"/>
      <c r="B1897" s="396"/>
      <c r="C1897" s="122"/>
      <c r="D1897" s="75"/>
      <c r="E1897" s="395"/>
      <c r="F1897" s="395"/>
      <c r="G1897" s="395"/>
      <c r="H1897" s="67"/>
      <c r="I1897" s="69"/>
      <c r="J1897" s="134"/>
      <c r="K1897" s="324">
        <v>0.2999</v>
      </c>
      <c r="L1897" s="191">
        <f>L365</f>
        <v>1.4842</v>
      </c>
      <c r="M1897" s="401"/>
      <c r="N1897" s="86"/>
    </row>
    <row r="1898" spans="1:14" s="64" customFormat="1" x14ac:dyDescent="0.2">
      <c r="A1898" s="63"/>
      <c r="B1898" s="396"/>
      <c r="C1898" s="122"/>
      <c r="D1898" s="75"/>
      <c r="E1898" s="395"/>
      <c r="F1898" s="395"/>
      <c r="G1898" s="395"/>
      <c r="H1898" s="67"/>
      <c r="I1898" s="69"/>
      <c r="J1898" s="134"/>
      <c r="K1898" s="324">
        <v>0.2999</v>
      </c>
      <c r="L1898" s="191">
        <f>L366</f>
        <v>1.4842</v>
      </c>
      <c r="M1898" s="401"/>
      <c r="N1898" s="86"/>
    </row>
    <row r="1899" spans="1:14" s="64" customFormat="1" x14ac:dyDescent="0.2">
      <c r="A1899" s="63"/>
      <c r="B1899" s="396"/>
      <c r="C1899" s="122"/>
      <c r="D1899" s="75"/>
      <c r="E1899" s="395"/>
      <c r="F1899" s="395"/>
      <c r="G1899" s="395"/>
      <c r="H1899" s="67"/>
      <c r="I1899" s="69"/>
      <c r="J1899" s="134"/>
      <c r="K1899" s="324">
        <v>0.2999</v>
      </c>
      <c r="L1899" s="191">
        <f>L367</f>
        <v>1.4842</v>
      </c>
      <c r="M1899" s="401"/>
      <c r="N1899" s="86"/>
    </row>
    <row r="1900" spans="1:14" s="64" customFormat="1" x14ac:dyDescent="0.2">
      <c r="A1900" s="63"/>
      <c r="B1900" s="396"/>
      <c r="C1900" s="122"/>
      <c r="D1900" s="75"/>
      <c r="E1900" s="395"/>
      <c r="F1900" s="395"/>
      <c r="G1900" s="395"/>
      <c r="H1900" s="67"/>
      <c r="I1900" s="69"/>
      <c r="J1900" s="134"/>
      <c r="K1900" s="324">
        <v>0.2999</v>
      </c>
      <c r="L1900" s="191">
        <f>L368</f>
        <v>1.4842</v>
      </c>
      <c r="M1900" s="401"/>
      <c r="N1900" s="86"/>
    </row>
    <row r="1901" spans="1:14" s="64" customFormat="1" x14ac:dyDescent="0.2">
      <c r="A1901" s="63"/>
      <c r="B1901" s="396"/>
      <c r="C1901" s="122"/>
      <c r="D1901" s="75"/>
      <c r="E1901" s="395"/>
      <c r="F1901" s="395"/>
      <c r="G1901" s="395"/>
      <c r="H1901" s="67"/>
      <c r="I1901" s="69"/>
      <c r="J1901" s="134"/>
      <c r="K1901" s="324">
        <v>0.2999</v>
      </c>
      <c r="L1901" s="191">
        <f>L369</f>
        <v>1.4842</v>
      </c>
      <c r="M1901" s="401"/>
      <c r="N1901" s="86"/>
    </row>
    <row r="1902" spans="1:14" s="64" customFormat="1" x14ac:dyDescent="0.2">
      <c r="A1902" s="63"/>
      <c r="B1902" s="396"/>
      <c r="C1902" s="122"/>
      <c r="D1902" s="75"/>
      <c r="E1902" s="395"/>
      <c r="F1902" s="395"/>
      <c r="G1902" s="395"/>
      <c r="H1902" s="67"/>
      <c r="I1902" s="69"/>
      <c r="J1902" s="134"/>
      <c r="K1902" s="324">
        <v>0.2999</v>
      </c>
      <c r="L1902" s="191">
        <f>L370</f>
        <v>1.4842</v>
      </c>
      <c r="M1902" s="401"/>
      <c r="N1902" s="86"/>
    </row>
    <row r="1903" spans="1:14" s="64" customFormat="1" x14ac:dyDescent="0.2">
      <c r="A1903" s="63"/>
      <c r="B1903" s="396"/>
      <c r="C1903" s="122"/>
      <c r="D1903" s="75"/>
      <c r="E1903" s="395"/>
      <c r="F1903" s="395"/>
      <c r="G1903" s="395"/>
      <c r="H1903" s="67"/>
      <c r="I1903" s="69"/>
      <c r="J1903" s="134"/>
      <c r="K1903" s="324">
        <v>0.2999</v>
      </c>
      <c r="L1903" s="191">
        <f>L371</f>
        <v>1.4842</v>
      </c>
      <c r="M1903" s="401"/>
      <c r="N1903" s="86"/>
    </row>
    <row r="1904" spans="1:14" s="64" customFormat="1" x14ac:dyDescent="0.2">
      <c r="A1904" s="63"/>
      <c r="B1904" s="396"/>
      <c r="C1904" s="122"/>
      <c r="D1904" s="75"/>
      <c r="E1904" s="395"/>
      <c r="F1904" s="395"/>
      <c r="G1904" s="395"/>
      <c r="H1904" s="67"/>
      <c r="I1904" s="69"/>
      <c r="J1904" s="134"/>
      <c r="K1904" s="324">
        <v>0.2999</v>
      </c>
      <c r="L1904" s="191">
        <f>L372</f>
        <v>1.4842</v>
      </c>
      <c r="M1904" s="401"/>
      <c r="N1904" s="86"/>
    </row>
    <row r="1905" spans="1:14" s="64" customFormat="1" x14ac:dyDescent="0.2">
      <c r="A1905" s="63"/>
      <c r="B1905" s="396"/>
      <c r="C1905" s="122"/>
      <c r="D1905" s="75"/>
      <c r="E1905" s="395"/>
      <c r="F1905" s="395"/>
      <c r="G1905" s="395"/>
      <c r="H1905" s="67"/>
      <c r="I1905" s="69"/>
      <c r="J1905" s="134"/>
      <c r="K1905" s="324">
        <v>0.2999</v>
      </c>
      <c r="L1905" s="191">
        <f>L373</f>
        <v>1.4842</v>
      </c>
      <c r="M1905" s="401"/>
      <c r="N1905" s="86"/>
    </row>
    <row r="1906" spans="1:14" s="64" customFormat="1" x14ac:dyDescent="0.2">
      <c r="A1906" s="63"/>
      <c r="B1906" s="396"/>
      <c r="C1906" s="122"/>
      <c r="D1906" s="75"/>
      <c r="E1906" s="395"/>
      <c r="F1906" s="395"/>
      <c r="G1906" s="395"/>
      <c r="H1906" s="67"/>
      <c r="I1906" s="69"/>
      <c r="J1906" s="134"/>
      <c r="K1906" s="324">
        <v>0.2999</v>
      </c>
      <c r="L1906" s="191">
        <f>L374</f>
        <v>1.4842</v>
      </c>
      <c r="M1906" s="401"/>
      <c r="N1906" s="86"/>
    </row>
    <row r="1907" spans="1:14" s="64" customFormat="1" x14ac:dyDescent="0.2">
      <c r="A1907" s="63"/>
      <c r="B1907" s="396"/>
      <c r="C1907" s="122"/>
      <c r="D1907" s="75"/>
      <c r="E1907" s="395"/>
      <c r="F1907" s="395"/>
      <c r="G1907" s="395"/>
      <c r="H1907" s="67"/>
      <c r="I1907" s="69"/>
      <c r="J1907" s="134"/>
      <c r="K1907" s="324">
        <v>0.2999</v>
      </c>
      <c r="L1907" s="191">
        <f>L375</f>
        <v>1.4842</v>
      </c>
      <c r="M1907" s="401"/>
      <c r="N1907" s="86"/>
    </row>
    <row r="1908" spans="1:14" s="64" customFormat="1" x14ac:dyDescent="0.2">
      <c r="A1908" s="63"/>
      <c r="B1908" s="396"/>
      <c r="C1908" s="122"/>
      <c r="D1908" s="75"/>
      <c r="E1908" s="395"/>
      <c r="F1908" s="395"/>
      <c r="G1908" s="395"/>
      <c r="H1908" s="67"/>
      <c r="I1908" s="69"/>
      <c r="J1908" s="134"/>
      <c r="K1908" s="324">
        <v>0.2999</v>
      </c>
      <c r="L1908" s="191">
        <f>L376</f>
        <v>1.4842</v>
      </c>
      <c r="M1908" s="401"/>
      <c r="N1908" s="86"/>
    </row>
    <row r="1909" spans="1:14" s="64" customFormat="1" x14ac:dyDescent="0.2">
      <c r="A1909" s="63"/>
      <c r="B1909" s="396"/>
      <c r="C1909" s="122"/>
      <c r="D1909" s="75"/>
      <c r="E1909" s="395"/>
      <c r="F1909" s="395"/>
      <c r="G1909" s="395"/>
      <c r="H1909" s="67"/>
      <c r="I1909" s="69"/>
      <c r="J1909" s="134"/>
      <c r="K1909" s="324">
        <v>0.2999</v>
      </c>
      <c r="L1909" s="191">
        <f>L377</f>
        <v>1.4842</v>
      </c>
      <c r="M1909" s="401"/>
      <c r="N1909" s="86"/>
    </row>
    <row r="1910" spans="1:14" s="64" customFormat="1" x14ac:dyDescent="0.2">
      <c r="A1910" s="63"/>
      <c r="B1910" s="396"/>
      <c r="C1910" s="122"/>
      <c r="D1910" s="75"/>
      <c r="E1910" s="395"/>
      <c r="F1910" s="395"/>
      <c r="G1910" s="395"/>
      <c r="H1910" s="67"/>
      <c r="I1910" s="69"/>
      <c r="J1910" s="134"/>
      <c r="K1910" s="324">
        <v>0.2999</v>
      </c>
      <c r="L1910" s="191">
        <f>L378</f>
        <v>1.4842</v>
      </c>
      <c r="M1910" s="401"/>
      <c r="N1910" s="86"/>
    </row>
    <row r="1911" spans="1:14" s="64" customFormat="1" x14ac:dyDescent="0.2">
      <c r="A1911" s="63"/>
      <c r="B1911" s="396"/>
      <c r="C1911" s="122"/>
      <c r="D1911" s="75"/>
      <c r="E1911" s="395"/>
      <c r="F1911" s="395"/>
      <c r="G1911" s="395"/>
      <c r="H1911" s="67"/>
      <c r="I1911" s="69"/>
      <c r="J1911" s="134"/>
      <c r="K1911" s="324">
        <v>0.2999</v>
      </c>
      <c r="L1911" s="191">
        <f>L379</f>
        <v>1.4842</v>
      </c>
      <c r="M1911" s="401"/>
      <c r="N1911" s="86"/>
    </row>
    <row r="1912" spans="1:14" s="64" customFormat="1" x14ac:dyDescent="0.2">
      <c r="A1912" s="63"/>
      <c r="B1912" s="396"/>
      <c r="C1912" s="122"/>
      <c r="D1912" s="75"/>
      <c r="E1912" s="395"/>
      <c r="F1912" s="395"/>
      <c r="G1912" s="395"/>
      <c r="H1912" s="67"/>
      <c r="I1912" s="69"/>
      <c r="J1912" s="134"/>
      <c r="K1912" s="324">
        <v>0.2999</v>
      </c>
      <c r="L1912" s="191">
        <f>L380</f>
        <v>1.4842</v>
      </c>
      <c r="M1912" s="401"/>
      <c r="N1912" s="86"/>
    </row>
    <row r="1913" spans="1:14" s="64" customFormat="1" x14ac:dyDescent="0.2">
      <c r="A1913" s="63"/>
      <c r="B1913" s="396"/>
      <c r="C1913" s="122"/>
      <c r="D1913" s="75"/>
      <c r="E1913" s="395"/>
      <c r="F1913" s="395"/>
      <c r="G1913" s="395"/>
      <c r="H1913" s="67"/>
      <c r="I1913" s="69"/>
      <c r="J1913" s="134"/>
      <c r="K1913" s="324">
        <v>0.2999</v>
      </c>
      <c r="L1913" s="191">
        <f>L381</f>
        <v>1.4842</v>
      </c>
      <c r="M1913" s="401"/>
      <c r="N1913" s="86"/>
    </row>
    <row r="1914" spans="1:14" s="64" customFormat="1" x14ac:dyDescent="0.2">
      <c r="A1914" s="63"/>
      <c r="B1914" s="396"/>
      <c r="C1914" s="122"/>
      <c r="D1914" s="75"/>
      <c r="E1914" s="395"/>
      <c r="F1914" s="395"/>
      <c r="G1914" s="395"/>
      <c r="H1914" s="67"/>
      <c r="I1914" s="69"/>
      <c r="J1914" s="134"/>
      <c r="K1914" s="324">
        <v>0.2999</v>
      </c>
      <c r="L1914" s="191">
        <f>L382</f>
        <v>1.4842</v>
      </c>
      <c r="M1914" s="401"/>
      <c r="N1914" s="86"/>
    </row>
    <row r="1915" spans="1:14" s="64" customFormat="1" x14ac:dyDescent="0.2">
      <c r="A1915" s="63"/>
      <c r="B1915" s="396"/>
      <c r="C1915" s="122"/>
      <c r="D1915" s="75"/>
      <c r="E1915" s="395"/>
      <c r="F1915" s="395"/>
      <c r="G1915" s="395"/>
      <c r="H1915" s="67"/>
      <c r="I1915" s="69"/>
      <c r="J1915" s="134"/>
      <c r="K1915" s="324">
        <v>0.2999</v>
      </c>
      <c r="L1915" s="191">
        <f>L383</f>
        <v>1.4842</v>
      </c>
      <c r="M1915" s="401"/>
      <c r="N1915" s="86"/>
    </row>
    <row r="1916" spans="1:14" s="64" customFormat="1" x14ac:dyDescent="0.2">
      <c r="A1916" s="63"/>
      <c r="B1916" s="396"/>
      <c r="C1916" s="122"/>
      <c r="D1916" s="75"/>
      <c r="E1916" s="395"/>
      <c r="F1916" s="395"/>
      <c r="G1916" s="395"/>
      <c r="H1916" s="67"/>
      <c r="I1916" s="69"/>
      <c r="J1916" s="134"/>
      <c r="K1916" s="324">
        <v>0.2999</v>
      </c>
      <c r="L1916" s="191">
        <f>L384</f>
        <v>1.4842</v>
      </c>
      <c r="M1916" s="401"/>
      <c r="N1916" s="86"/>
    </row>
    <row r="1917" spans="1:14" s="64" customFormat="1" x14ac:dyDescent="0.2">
      <c r="A1917" s="63"/>
      <c r="B1917" s="396"/>
      <c r="C1917" s="122"/>
      <c r="D1917" s="75"/>
      <c r="E1917" s="395"/>
      <c r="F1917" s="395"/>
      <c r="G1917" s="395"/>
      <c r="H1917" s="67"/>
      <c r="I1917" s="69"/>
      <c r="J1917" s="134"/>
      <c r="K1917" s="324">
        <v>0.2999</v>
      </c>
      <c r="L1917" s="191">
        <f>L385</f>
        <v>1.4842</v>
      </c>
      <c r="M1917" s="401"/>
      <c r="N1917" s="86"/>
    </row>
    <row r="1918" spans="1:14" s="64" customFormat="1" x14ac:dyDescent="0.2">
      <c r="A1918" s="63"/>
      <c r="B1918" s="396"/>
      <c r="C1918" s="122"/>
      <c r="D1918" s="75"/>
      <c r="E1918" s="395"/>
      <c r="F1918" s="395"/>
      <c r="G1918" s="395"/>
      <c r="H1918" s="67"/>
      <c r="I1918" s="69"/>
      <c r="J1918" s="134"/>
      <c r="K1918" s="324">
        <v>0.2999</v>
      </c>
      <c r="L1918" s="191">
        <f>L386</f>
        <v>1.4842</v>
      </c>
      <c r="M1918" s="401"/>
      <c r="N1918" s="86"/>
    </row>
    <row r="1919" spans="1:14" s="64" customFormat="1" x14ac:dyDescent="0.2">
      <c r="A1919" s="63"/>
      <c r="B1919" s="396"/>
      <c r="C1919" s="122"/>
      <c r="D1919" s="75"/>
      <c r="E1919" s="395"/>
      <c r="F1919" s="395"/>
      <c r="G1919" s="395"/>
      <c r="H1919" s="67"/>
      <c r="I1919" s="69"/>
      <c r="J1919" s="134"/>
      <c r="K1919" s="324">
        <v>0.2999</v>
      </c>
      <c r="L1919" s="191">
        <f>L387</f>
        <v>1.4842</v>
      </c>
      <c r="M1919" s="401"/>
      <c r="N1919" s="86"/>
    </row>
    <row r="1920" spans="1:14" s="64" customFormat="1" x14ac:dyDescent="0.2">
      <c r="A1920" s="63"/>
      <c r="B1920" s="396"/>
      <c r="C1920" s="122"/>
      <c r="D1920" s="75"/>
      <c r="E1920" s="395"/>
      <c r="F1920" s="395"/>
      <c r="G1920" s="395"/>
      <c r="H1920" s="67"/>
      <c r="I1920" s="69"/>
      <c r="J1920" s="134"/>
      <c r="K1920" s="324">
        <v>0.2999</v>
      </c>
      <c r="L1920" s="191">
        <f>L388</f>
        <v>1.4842</v>
      </c>
      <c r="M1920" s="401"/>
      <c r="N1920" s="86"/>
    </row>
    <row r="1921" spans="1:14" s="64" customFormat="1" x14ac:dyDescent="0.2">
      <c r="A1921" s="63"/>
      <c r="B1921" s="396"/>
      <c r="C1921" s="122"/>
      <c r="D1921" s="75"/>
      <c r="E1921" s="395"/>
      <c r="F1921" s="395"/>
      <c r="G1921" s="395"/>
      <c r="H1921" s="67"/>
      <c r="I1921" s="69"/>
      <c r="J1921" s="134"/>
      <c r="K1921" s="324">
        <v>0.2999</v>
      </c>
      <c r="L1921" s="191">
        <f>L389</f>
        <v>1.4842</v>
      </c>
      <c r="M1921" s="401"/>
      <c r="N1921" s="86"/>
    </row>
    <row r="1922" spans="1:14" s="64" customFormat="1" x14ac:dyDescent="0.2">
      <c r="A1922" s="63"/>
      <c r="B1922" s="396"/>
      <c r="C1922" s="122"/>
      <c r="D1922" s="75"/>
      <c r="E1922" s="395"/>
      <c r="F1922" s="395"/>
      <c r="G1922" s="395"/>
      <c r="H1922" s="67"/>
      <c r="I1922" s="69"/>
      <c r="J1922" s="134"/>
      <c r="K1922" s="324">
        <v>0.2999</v>
      </c>
      <c r="L1922" s="191">
        <f>L390</f>
        <v>1.4842</v>
      </c>
      <c r="M1922" s="401"/>
      <c r="N1922" s="86"/>
    </row>
    <row r="1923" spans="1:14" s="64" customFormat="1" x14ac:dyDescent="0.2">
      <c r="A1923" s="63"/>
      <c r="B1923" s="396"/>
      <c r="C1923" s="122"/>
      <c r="D1923" s="75"/>
      <c r="E1923" s="395"/>
      <c r="F1923" s="395"/>
      <c r="G1923" s="395"/>
      <c r="H1923" s="67"/>
      <c r="I1923" s="69"/>
      <c r="J1923" s="134"/>
      <c r="K1923" s="324">
        <v>0.2999</v>
      </c>
      <c r="L1923" s="191">
        <f>L391</f>
        <v>1.4842</v>
      </c>
      <c r="M1923" s="401"/>
      <c r="N1923" s="86"/>
    </row>
    <row r="1924" spans="1:14" s="64" customFormat="1" x14ac:dyDescent="0.2">
      <c r="A1924" s="63"/>
      <c r="B1924" s="396"/>
      <c r="C1924" s="122"/>
      <c r="D1924" s="75"/>
      <c r="E1924" s="395"/>
      <c r="F1924" s="395"/>
      <c r="G1924" s="395"/>
      <c r="H1924" s="67"/>
      <c r="I1924" s="69"/>
      <c r="J1924" s="134"/>
      <c r="K1924" s="324">
        <v>0.2999</v>
      </c>
      <c r="L1924" s="191">
        <f>L392</f>
        <v>1.4842</v>
      </c>
      <c r="M1924" s="401"/>
      <c r="N1924" s="86"/>
    </row>
    <row r="1925" spans="1:14" s="64" customFormat="1" x14ac:dyDescent="0.2">
      <c r="A1925" s="63"/>
      <c r="B1925" s="396"/>
      <c r="C1925" s="122"/>
      <c r="D1925" s="75"/>
      <c r="E1925" s="395"/>
      <c r="F1925" s="395"/>
      <c r="G1925" s="395"/>
      <c r="H1925" s="67"/>
      <c r="I1925" s="69"/>
      <c r="J1925" s="134"/>
      <c r="K1925" s="324">
        <v>0.2999</v>
      </c>
      <c r="L1925" s="191">
        <f>L393</f>
        <v>1.4842</v>
      </c>
      <c r="M1925" s="401"/>
      <c r="N1925" s="86"/>
    </row>
    <row r="1926" spans="1:14" s="64" customFormat="1" x14ac:dyDescent="0.2">
      <c r="A1926" s="63"/>
      <c r="B1926" s="396"/>
      <c r="C1926" s="122"/>
      <c r="D1926" s="75"/>
      <c r="E1926" s="395"/>
      <c r="F1926" s="395"/>
      <c r="G1926" s="395"/>
      <c r="H1926" s="67"/>
      <c r="I1926" s="69"/>
      <c r="J1926" s="134"/>
      <c r="K1926" s="324">
        <v>0.2999</v>
      </c>
      <c r="L1926" s="191">
        <f>L394</f>
        <v>1.4842</v>
      </c>
      <c r="M1926" s="401"/>
      <c r="N1926" s="86"/>
    </row>
    <row r="1927" spans="1:14" s="64" customFormat="1" x14ac:dyDescent="0.2">
      <c r="A1927" s="63"/>
      <c r="B1927" s="396"/>
      <c r="C1927" s="122"/>
      <c r="D1927" s="75"/>
      <c r="E1927" s="395"/>
      <c r="F1927" s="395"/>
      <c r="G1927" s="395"/>
      <c r="H1927" s="67"/>
      <c r="I1927" s="69"/>
      <c r="J1927" s="134"/>
      <c r="K1927" s="324">
        <v>0.2999</v>
      </c>
      <c r="L1927" s="191">
        <f>L395</f>
        <v>1.4842</v>
      </c>
      <c r="M1927" s="401"/>
      <c r="N1927" s="86"/>
    </row>
    <row r="1928" spans="1:14" s="64" customFormat="1" x14ac:dyDescent="0.2">
      <c r="A1928" s="63"/>
      <c r="B1928" s="396"/>
      <c r="C1928" s="122"/>
      <c r="D1928" s="75"/>
      <c r="E1928" s="395"/>
      <c r="F1928" s="395"/>
      <c r="G1928" s="395"/>
      <c r="H1928" s="67"/>
      <c r="I1928" s="69"/>
      <c r="J1928" s="134"/>
      <c r="K1928" s="324">
        <v>0.2999</v>
      </c>
      <c r="L1928" s="191">
        <f>L396</f>
        <v>1.4842</v>
      </c>
      <c r="M1928" s="401"/>
      <c r="N1928" s="86"/>
    </row>
    <row r="1929" spans="1:14" s="64" customFormat="1" x14ac:dyDescent="0.2">
      <c r="A1929" s="63"/>
      <c r="B1929" s="396"/>
      <c r="C1929" s="122"/>
      <c r="D1929" s="75"/>
      <c r="E1929" s="395"/>
      <c r="F1929" s="395"/>
      <c r="G1929" s="395"/>
      <c r="H1929" s="67"/>
      <c r="I1929" s="69"/>
      <c r="J1929" s="134"/>
      <c r="K1929" s="324">
        <v>0.2999</v>
      </c>
      <c r="L1929" s="191">
        <f>L397</f>
        <v>1.4842</v>
      </c>
      <c r="M1929" s="401"/>
      <c r="N1929" s="86"/>
    </row>
    <row r="1930" spans="1:14" s="64" customFormat="1" x14ac:dyDescent="0.2">
      <c r="A1930" s="63"/>
      <c r="B1930" s="396"/>
      <c r="C1930" s="122"/>
      <c r="D1930" s="75"/>
      <c r="E1930" s="395"/>
      <c r="F1930" s="395"/>
      <c r="G1930" s="395"/>
      <c r="H1930" s="67"/>
      <c r="I1930" s="69"/>
      <c r="J1930" s="134"/>
      <c r="K1930" s="324">
        <v>0.2999</v>
      </c>
      <c r="L1930" s="191">
        <f>L398</f>
        <v>1.4842</v>
      </c>
      <c r="M1930" s="401"/>
      <c r="N1930" s="86"/>
    </row>
    <row r="1931" spans="1:14" s="64" customFormat="1" x14ac:dyDescent="0.2">
      <c r="A1931" s="63"/>
      <c r="B1931" s="396"/>
      <c r="C1931" s="122"/>
      <c r="D1931" s="75"/>
      <c r="E1931" s="395"/>
      <c r="F1931" s="395"/>
      <c r="G1931" s="395"/>
      <c r="H1931" s="67"/>
      <c r="I1931" s="69"/>
      <c r="J1931" s="134"/>
      <c r="K1931" s="324">
        <v>0.2999</v>
      </c>
      <c r="L1931" s="191">
        <f>L399</f>
        <v>1.4842</v>
      </c>
      <c r="M1931" s="401"/>
      <c r="N1931" s="86"/>
    </row>
    <row r="1932" spans="1:14" s="64" customFormat="1" x14ac:dyDescent="0.2">
      <c r="A1932" s="63"/>
      <c r="B1932" s="396"/>
      <c r="C1932" s="122"/>
      <c r="D1932" s="75"/>
      <c r="E1932" s="395"/>
      <c r="F1932" s="395"/>
      <c r="G1932" s="395"/>
      <c r="H1932" s="67"/>
      <c r="I1932" s="69"/>
      <c r="J1932" s="134"/>
      <c r="K1932" s="324">
        <v>0.2999</v>
      </c>
      <c r="L1932" s="191">
        <f>L400</f>
        <v>1.4842</v>
      </c>
      <c r="M1932" s="401"/>
      <c r="N1932" s="86"/>
    </row>
    <row r="1933" spans="1:14" s="64" customFormat="1" x14ac:dyDescent="0.2">
      <c r="A1933" s="63"/>
      <c r="B1933" s="396"/>
      <c r="C1933" s="122"/>
      <c r="D1933" s="75"/>
      <c r="E1933" s="395"/>
      <c r="F1933" s="395"/>
      <c r="G1933" s="395"/>
      <c r="H1933" s="67"/>
      <c r="I1933" s="69"/>
      <c r="J1933" s="134"/>
      <c r="K1933" s="324">
        <v>0.2999</v>
      </c>
      <c r="L1933" s="191">
        <f>L401</f>
        <v>1.4842</v>
      </c>
      <c r="M1933" s="401"/>
      <c r="N1933" s="86"/>
    </row>
    <row r="1934" spans="1:14" s="64" customFormat="1" x14ac:dyDescent="0.2">
      <c r="A1934" s="63"/>
      <c r="B1934" s="396"/>
      <c r="C1934" s="122"/>
      <c r="D1934" s="75"/>
      <c r="E1934" s="395"/>
      <c r="F1934" s="395"/>
      <c r="G1934" s="395"/>
      <c r="H1934" s="67"/>
      <c r="I1934" s="69"/>
      <c r="J1934" s="134"/>
      <c r="K1934" s="324">
        <v>0.2999</v>
      </c>
      <c r="L1934" s="191">
        <f>L402</f>
        <v>1.4842</v>
      </c>
      <c r="M1934" s="401"/>
      <c r="N1934" s="86"/>
    </row>
    <row r="1935" spans="1:14" s="64" customFormat="1" x14ac:dyDescent="0.2">
      <c r="A1935" s="63"/>
      <c r="B1935" s="396"/>
      <c r="C1935" s="122"/>
      <c r="D1935" s="75"/>
      <c r="E1935" s="395"/>
      <c r="F1935" s="395"/>
      <c r="G1935" s="395"/>
      <c r="H1935" s="67"/>
      <c r="I1935" s="69"/>
      <c r="J1935" s="134"/>
      <c r="K1935" s="324">
        <v>0.2999</v>
      </c>
      <c r="L1935" s="191">
        <f>L403</f>
        <v>1.4842</v>
      </c>
      <c r="M1935" s="401"/>
      <c r="N1935" s="86"/>
    </row>
    <row r="1936" spans="1:14" s="64" customFormat="1" x14ac:dyDescent="0.2">
      <c r="A1936" s="63"/>
      <c r="B1936" s="396"/>
      <c r="C1936" s="122"/>
      <c r="D1936" s="75"/>
      <c r="E1936" s="395"/>
      <c r="F1936" s="395"/>
      <c r="G1936" s="395"/>
      <c r="H1936" s="67"/>
      <c r="I1936" s="69"/>
      <c r="J1936" s="134"/>
      <c r="K1936" s="324">
        <v>0.2999</v>
      </c>
      <c r="L1936" s="191">
        <f>L404</f>
        <v>1.4842</v>
      </c>
      <c r="M1936" s="401"/>
      <c r="N1936" s="86"/>
    </row>
    <row r="1937" spans="1:14" s="64" customFormat="1" x14ac:dyDescent="0.2">
      <c r="A1937" s="63"/>
      <c r="B1937" s="396"/>
      <c r="C1937" s="122"/>
      <c r="D1937" s="75"/>
      <c r="E1937" s="395"/>
      <c r="F1937" s="395"/>
      <c r="G1937" s="395"/>
      <c r="H1937" s="67"/>
      <c r="I1937" s="69"/>
      <c r="J1937" s="134"/>
      <c r="K1937" s="324">
        <v>0.2999</v>
      </c>
      <c r="L1937" s="191">
        <f>L405</f>
        <v>1.4842</v>
      </c>
      <c r="M1937" s="401"/>
      <c r="N1937" s="86"/>
    </row>
    <row r="1938" spans="1:14" s="64" customFormat="1" x14ac:dyDescent="0.2">
      <c r="A1938" s="63"/>
      <c r="B1938" s="396"/>
      <c r="C1938" s="122"/>
      <c r="D1938" s="75"/>
      <c r="E1938" s="395"/>
      <c r="F1938" s="395"/>
      <c r="G1938" s="395"/>
      <c r="H1938" s="67"/>
      <c r="I1938" s="69"/>
      <c r="J1938" s="134"/>
      <c r="K1938" s="324">
        <v>0.2999</v>
      </c>
      <c r="L1938" s="191">
        <f>L406</f>
        <v>1.4842</v>
      </c>
      <c r="M1938" s="401"/>
      <c r="N1938" s="86"/>
    </row>
    <row r="1939" spans="1:14" s="64" customFormat="1" x14ac:dyDescent="0.2">
      <c r="A1939" s="63"/>
      <c r="B1939" s="396"/>
      <c r="C1939" s="122"/>
      <c r="D1939" s="75"/>
      <c r="E1939" s="395"/>
      <c r="F1939" s="395"/>
      <c r="G1939" s="395"/>
      <c r="H1939" s="67"/>
      <c r="I1939" s="69"/>
      <c r="J1939" s="134"/>
      <c r="K1939" s="324">
        <v>0.2999</v>
      </c>
      <c r="L1939" s="191">
        <f>L407</f>
        <v>1.4842</v>
      </c>
      <c r="M1939" s="401"/>
      <c r="N1939" s="86"/>
    </row>
    <row r="1940" spans="1:14" s="64" customFormat="1" x14ac:dyDescent="0.2">
      <c r="A1940" s="63"/>
      <c r="B1940" s="396"/>
      <c r="C1940" s="122"/>
      <c r="D1940" s="75"/>
      <c r="E1940" s="395"/>
      <c r="F1940" s="395"/>
      <c r="G1940" s="395"/>
      <c r="H1940" s="67"/>
      <c r="I1940" s="69"/>
      <c r="J1940" s="134"/>
      <c r="K1940" s="324">
        <v>0.2999</v>
      </c>
      <c r="L1940" s="191">
        <f>L408</f>
        <v>1.4842</v>
      </c>
      <c r="M1940" s="401"/>
      <c r="N1940" s="86"/>
    </row>
    <row r="1941" spans="1:14" s="64" customFormat="1" x14ac:dyDescent="0.2">
      <c r="A1941" s="63"/>
      <c r="B1941" s="396"/>
      <c r="C1941" s="122"/>
      <c r="D1941" s="75"/>
      <c r="E1941" s="395"/>
      <c r="F1941" s="395"/>
      <c r="G1941" s="395"/>
      <c r="H1941" s="67"/>
      <c r="I1941" s="69"/>
      <c r="J1941" s="134"/>
      <c r="K1941" s="324">
        <v>0.2999</v>
      </c>
      <c r="L1941" s="191">
        <f>L409</f>
        <v>1.4842</v>
      </c>
      <c r="M1941" s="401"/>
      <c r="N1941" s="86"/>
    </row>
    <row r="1942" spans="1:14" s="64" customFormat="1" x14ac:dyDescent="0.2">
      <c r="A1942" s="63"/>
      <c r="B1942" s="396"/>
      <c r="C1942" s="122"/>
      <c r="D1942" s="75"/>
      <c r="E1942" s="395"/>
      <c r="F1942" s="395"/>
      <c r="G1942" s="395"/>
      <c r="H1942" s="67"/>
      <c r="I1942" s="69"/>
      <c r="J1942" s="134"/>
      <c r="K1942" s="324">
        <v>0.2999</v>
      </c>
      <c r="L1942" s="191">
        <f>L410</f>
        <v>1.4842</v>
      </c>
      <c r="M1942" s="401"/>
      <c r="N1942" s="86"/>
    </row>
    <row r="1943" spans="1:14" s="64" customFormat="1" x14ac:dyDescent="0.2">
      <c r="A1943" s="63"/>
      <c r="B1943" s="396"/>
      <c r="C1943" s="122"/>
      <c r="D1943" s="75"/>
      <c r="E1943" s="395"/>
      <c r="F1943" s="395"/>
      <c r="G1943" s="395"/>
      <c r="H1943" s="67"/>
      <c r="I1943" s="69"/>
      <c r="J1943" s="134"/>
      <c r="K1943" s="324">
        <v>0.2999</v>
      </c>
      <c r="L1943" s="191">
        <f>L411</f>
        <v>1.4842</v>
      </c>
      <c r="M1943" s="401"/>
      <c r="N1943" s="86"/>
    </row>
    <row r="1944" spans="1:14" s="64" customFormat="1" x14ac:dyDescent="0.2">
      <c r="A1944" s="63"/>
      <c r="B1944" s="396"/>
      <c r="C1944" s="122"/>
      <c r="D1944" s="75"/>
      <c r="E1944" s="395"/>
      <c r="F1944" s="395"/>
      <c r="G1944" s="395"/>
      <c r="H1944" s="67"/>
      <c r="I1944" s="69"/>
      <c r="J1944" s="134"/>
      <c r="K1944" s="324">
        <v>0.2999</v>
      </c>
      <c r="L1944" s="191">
        <f>L412</f>
        <v>1.4842</v>
      </c>
      <c r="M1944" s="401"/>
      <c r="N1944" s="86"/>
    </row>
    <row r="1945" spans="1:14" s="64" customFormat="1" x14ac:dyDescent="0.2">
      <c r="A1945" s="63"/>
      <c r="B1945" s="396"/>
      <c r="C1945" s="122"/>
      <c r="D1945" s="75"/>
      <c r="E1945" s="395"/>
      <c r="F1945" s="395"/>
      <c r="G1945" s="395"/>
      <c r="H1945" s="67"/>
      <c r="I1945" s="69"/>
      <c r="J1945" s="134"/>
      <c r="K1945" s="324">
        <v>0.2999</v>
      </c>
      <c r="L1945" s="191">
        <f>L413</f>
        <v>1.4842</v>
      </c>
      <c r="M1945" s="401"/>
      <c r="N1945" s="86"/>
    </row>
    <row r="1946" spans="1:14" s="64" customFormat="1" x14ac:dyDescent="0.2">
      <c r="A1946" s="63"/>
      <c r="B1946" s="396"/>
      <c r="C1946" s="122"/>
      <c r="D1946" s="75"/>
      <c r="E1946" s="395"/>
      <c r="F1946" s="395"/>
      <c r="G1946" s="395"/>
      <c r="H1946" s="67"/>
      <c r="I1946" s="69"/>
      <c r="J1946" s="134"/>
      <c r="K1946" s="324">
        <v>0.2999</v>
      </c>
      <c r="L1946" s="191">
        <f>L414</f>
        <v>1.4842</v>
      </c>
      <c r="M1946" s="401"/>
      <c r="N1946" s="86"/>
    </row>
    <row r="1947" spans="1:14" s="64" customFormat="1" x14ac:dyDescent="0.2">
      <c r="A1947" s="63"/>
      <c r="B1947" s="396"/>
      <c r="C1947" s="122"/>
      <c r="D1947" s="75"/>
      <c r="E1947" s="395"/>
      <c r="F1947" s="395"/>
      <c r="G1947" s="395"/>
      <c r="H1947" s="67"/>
      <c r="I1947" s="69"/>
      <c r="J1947" s="134"/>
      <c r="K1947" s="324">
        <v>0.2999</v>
      </c>
      <c r="L1947" s="191">
        <f>L415</f>
        <v>1.4842</v>
      </c>
      <c r="M1947" s="401"/>
      <c r="N1947" s="86"/>
    </row>
    <row r="1948" spans="1:14" s="64" customFormat="1" x14ac:dyDescent="0.2">
      <c r="A1948" s="63"/>
      <c r="B1948" s="396"/>
      <c r="C1948" s="122"/>
      <c r="D1948" s="75"/>
      <c r="E1948" s="395"/>
      <c r="F1948" s="395"/>
      <c r="G1948" s="395"/>
      <c r="H1948" s="67"/>
      <c r="I1948" s="69"/>
      <c r="J1948" s="134"/>
      <c r="K1948" s="324">
        <v>0.2999</v>
      </c>
      <c r="L1948" s="191">
        <f>L416</f>
        <v>1.4842</v>
      </c>
      <c r="M1948" s="401"/>
      <c r="N1948" s="86"/>
    </row>
    <row r="1949" spans="1:14" s="64" customFormat="1" x14ac:dyDescent="0.2">
      <c r="A1949" s="63"/>
      <c r="B1949" s="396"/>
      <c r="C1949" s="122"/>
      <c r="D1949" s="75"/>
      <c r="E1949" s="395"/>
      <c r="F1949" s="395"/>
      <c r="G1949" s="395"/>
      <c r="H1949" s="67"/>
      <c r="I1949" s="69"/>
      <c r="J1949" s="134"/>
      <c r="K1949" s="324">
        <v>0.2999</v>
      </c>
      <c r="L1949" s="191">
        <f>L417</f>
        <v>1.4842</v>
      </c>
      <c r="M1949" s="401"/>
      <c r="N1949" s="86"/>
    </row>
    <row r="1950" spans="1:14" s="64" customFormat="1" x14ac:dyDescent="0.2">
      <c r="A1950" s="63"/>
      <c r="B1950" s="396"/>
      <c r="C1950" s="122"/>
      <c r="D1950" s="75"/>
      <c r="E1950" s="395"/>
      <c r="F1950" s="395"/>
      <c r="G1950" s="395"/>
      <c r="H1950" s="67"/>
      <c r="I1950" s="69"/>
      <c r="J1950" s="134"/>
      <c r="K1950" s="324">
        <v>0.2999</v>
      </c>
      <c r="L1950" s="191">
        <f>L418</f>
        <v>1.4842</v>
      </c>
      <c r="M1950" s="401"/>
      <c r="N1950" s="86"/>
    </row>
    <row r="1951" spans="1:14" s="64" customFormat="1" x14ac:dyDescent="0.2">
      <c r="A1951" s="63"/>
      <c r="B1951" s="396"/>
      <c r="C1951" s="122"/>
      <c r="D1951" s="75"/>
      <c r="E1951" s="395"/>
      <c r="F1951" s="395"/>
      <c r="G1951" s="395"/>
      <c r="H1951" s="67"/>
      <c r="I1951" s="69"/>
      <c r="J1951" s="134"/>
      <c r="K1951" s="324">
        <v>0.2999</v>
      </c>
      <c r="L1951" s="191">
        <f>L419</f>
        <v>1.4842</v>
      </c>
      <c r="M1951" s="401"/>
      <c r="N1951" s="86"/>
    </row>
    <row r="1952" spans="1:14" s="64" customFormat="1" x14ac:dyDescent="0.2">
      <c r="A1952" s="63"/>
      <c r="B1952" s="396"/>
      <c r="C1952" s="122"/>
      <c r="D1952" s="75"/>
      <c r="E1952" s="395"/>
      <c r="F1952" s="395"/>
      <c r="G1952" s="395"/>
      <c r="H1952" s="67"/>
      <c r="I1952" s="69"/>
      <c r="J1952" s="134"/>
      <c r="K1952" s="324">
        <v>0.2999</v>
      </c>
      <c r="L1952" s="191">
        <f>L420</f>
        <v>1.4842</v>
      </c>
      <c r="M1952" s="401"/>
      <c r="N1952" s="86"/>
    </row>
    <row r="1953" spans="1:14" s="64" customFormat="1" x14ac:dyDescent="0.2">
      <c r="A1953" s="63"/>
      <c r="B1953" s="396"/>
      <c r="C1953" s="122"/>
      <c r="D1953" s="75"/>
      <c r="E1953" s="395"/>
      <c r="F1953" s="395"/>
      <c r="G1953" s="395"/>
      <c r="H1953" s="67"/>
      <c r="I1953" s="69"/>
      <c r="J1953" s="134"/>
      <c r="K1953" s="324">
        <v>0.2999</v>
      </c>
      <c r="L1953" s="191">
        <f>L421</f>
        <v>1.4842</v>
      </c>
      <c r="M1953" s="401"/>
      <c r="N1953" s="86"/>
    </row>
    <row r="1954" spans="1:14" s="64" customFormat="1" x14ac:dyDescent="0.2">
      <c r="A1954" s="63"/>
      <c r="B1954" s="396"/>
      <c r="C1954" s="122"/>
      <c r="D1954" s="75"/>
      <c r="E1954" s="395"/>
      <c r="F1954" s="395"/>
      <c r="G1954" s="395"/>
      <c r="H1954" s="67"/>
      <c r="I1954" s="69"/>
      <c r="J1954" s="134"/>
      <c r="K1954" s="324">
        <v>0.2999</v>
      </c>
      <c r="L1954" s="191">
        <f>L422</f>
        <v>1.4842</v>
      </c>
      <c r="M1954" s="401"/>
      <c r="N1954" s="86"/>
    </row>
    <row r="1955" spans="1:14" s="64" customFormat="1" x14ac:dyDescent="0.2">
      <c r="A1955" s="63"/>
      <c r="B1955" s="396"/>
      <c r="C1955" s="122"/>
      <c r="D1955" s="75"/>
      <c r="E1955" s="395"/>
      <c r="F1955" s="395"/>
      <c r="G1955" s="395"/>
      <c r="H1955" s="67"/>
      <c r="I1955" s="69"/>
      <c r="J1955" s="134"/>
      <c r="K1955" s="324">
        <v>0.2999</v>
      </c>
      <c r="L1955" s="191">
        <f>L423</f>
        <v>1.4842</v>
      </c>
      <c r="M1955" s="401"/>
      <c r="N1955" s="86"/>
    </row>
    <row r="1956" spans="1:14" s="64" customFormat="1" x14ac:dyDescent="0.2">
      <c r="A1956" s="63"/>
      <c r="B1956" s="396"/>
      <c r="C1956" s="122"/>
      <c r="D1956" s="75"/>
      <c r="E1956" s="395"/>
      <c r="F1956" s="395"/>
      <c r="G1956" s="395"/>
      <c r="H1956" s="67"/>
      <c r="I1956" s="69"/>
      <c r="J1956" s="134"/>
      <c r="K1956" s="324">
        <v>0.2999</v>
      </c>
      <c r="L1956" s="191">
        <f>L424</f>
        <v>1.4842</v>
      </c>
      <c r="M1956" s="401"/>
      <c r="N1956" s="86"/>
    </row>
    <row r="1957" spans="1:14" s="64" customFormat="1" x14ac:dyDescent="0.2">
      <c r="A1957" s="63"/>
      <c r="B1957" s="396"/>
      <c r="C1957" s="122"/>
      <c r="D1957" s="75"/>
      <c r="E1957" s="395"/>
      <c r="F1957" s="395"/>
      <c r="G1957" s="395"/>
      <c r="H1957" s="67"/>
      <c r="I1957" s="69"/>
      <c r="J1957" s="134"/>
      <c r="K1957" s="324">
        <v>0.2999</v>
      </c>
      <c r="L1957" s="191">
        <f>L425</f>
        <v>1.4842</v>
      </c>
      <c r="M1957" s="401"/>
      <c r="N1957" s="86"/>
    </row>
    <row r="1958" spans="1:14" s="64" customFormat="1" x14ac:dyDescent="0.2">
      <c r="A1958" s="63"/>
      <c r="B1958" s="396"/>
      <c r="C1958" s="122"/>
      <c r="D1958" s="75"/>
      <c r="E1958" s="395"/>
      <c r="F1958" s="395"/>
      <c r="G1958" s="395"/>
      <c r="H1958" s="67"/>
      <c r="I1958" s="69"/>
      <c r="J1958" s="134"/>
      <c r="K1958" s="324">
        <v>0.2999</v>
      </c>
      <c r="L1958" s="191">
        <f>L426</f>
        <v>1.4842</v>
      </c>
      <c r="M1958" s="401"/>
      <c r="N1958" s="86"/>
    </row>
    <row r="1959" spans="1:14" s="64" customFormat="1" x14ac:dyDescent="0.2">
      <c r="A1959" s="63"/>
      <c r="B1959" s="396"/>
      <c r="C1959" s="122"/>
      <c r="D1959" s="75"/>
      <c r="E1959" s="395"/>
      <c r="F1959" s="395"/>
      <c r="G1959" s="395"/>
      <c r="H1959" s="67"/>
      <c r="I1959" s="69"/>
      <c r="J1959" s="134"/>
      <c r="K1959" s="324">
        <v>0.2999</v>
      </c>
      <c r="L1959" s="191">
        <f>L427</f>
        <v>1.4842</v>
      </c>
      <c r="M1959" s="401"/>
      <c r="N1959" s="86"/>
    </row>
    <row r="1960" spans="1:14" s="64" customFormat="1" x14ac:dyDescent="0.2">
      <c r="A1960" s="63"/>
      <c r="B1960" s="396"/>
      <c r="C1960" s="122"/>
      <c r="D1960" s="75"/>
      <c r="E1960" s="395"/>
      <c r="F1960" s="395"/>
      <c r="G1960" s="395"/>
      <c r="H1960" s="67"/>
      <c r="I1960" s="69"/>
      <c r="J1960" s="134"/>
      <c r="K1960" s="324">
        <v>0.2999</v>
      </c>
      <c r="L1960" s="191">
        <f>L428</f>
        <v>1.4842</v>
      </c>
      <c r="M1960" s="401"/>
      <c r="N1960" s="86"/>
    </row>
    <row r="1961" spans="1:14" s="64" customFormat="1" x14ac:dyDescent="0.2">
      <c r="A1961" s="63"/>
      <c r="B1961" s="396"/>
      <c r="C1961" s="122"/>
      <c r="D1961" s="75"/>
      <c r="E1961" s="395"/>
      <c r="F1961" s="395"/>
      <c r="G1961" s="395"/>
      <c r="H1961" s="67"/>
      <c r="I1961" s="69"/>
      <c r="J1961" s="134"/>
      <c r="K1961" s="324">
        <v>0.2999</v>
      </c>
      <c r="L1961" s="191">
        <f>L429</f>
        <v>1.4842</v>
      </c>
      <c r="M1961" s="401"/>
      <c r="N1961" s="86"/>
    </row>
    <row r="1962" spans="1:14" s="64" customFormat="1" x14ac:dyDescent="0.2">
      <c r="A1962" s="63"/>
      <c r="B1962" s="396"/>
      <c r="C1962" s="122"/>
      <c r="D1962" s="75"/>
      <c r="E1962" s="395"/>
      <c r="F1962" s="395"/>
      <c r="G1962" s="395"/>
      <c r="H1962" s="67"/>
      <c r="I1962" s="69"/>
      <c r="J1962" s="134"/>
      <c r="K1962" s="324">
        <v>0.2999</v>
      </c>
      <c r="L1962" s="191">
        <f>L430</f>
        <v>1.4842</v>
      </c>
      <c r="M1962" s="401"/>
      <c r="N1962" s="86"/>
    </row>
    <row r="1963" spans="1:14" s="64" customFormat="1" x14ac:dyDescent="0.2">
      <c r="A1963" s="63"/>
      <c r="B1963" s="396"/>
      <c r="C1963" s="122"/>
      <c r="D1963" s="75"/>
      <c r="E1963" s="395"/>
      <c r="F1963" s="395"/>
      <c r="G1963" s="395"/>
      <c r="H1963" s="67"/>
      <c r="I1963" s="69"/>
      <c r="J1963" s="134"/>
      <c r="K1963" s="324">
        <v>0.2999</v>
      </c>
      <c r="L1963" s="191">
        <f>L431</f>
        <v>1.4842</v>
      </c>
      <c r="M1963" s="401"/>
      <c r="N1963" s="86"/>
    </row>
    <row r="1964" spans="1:14" s="64" customFormat="1" x14ac:dyDescent="0.2">
      <c r="A1964" s="63"/>
      <c r="B1964" s="396"/>
      <c r="C1964" s="122"/>
      <c r="D1964" s="75"/>
      <c r="E1964" s="395"/>
      <c r="F1964" s="395"/>
      <c r="G1964" s="395"/>
      <c r="H1964" s="67"/>
      <c r="I1964" s="69"/>
      <c r="J1964" s="134"/>
      <c r="K1964" s="324">
        <v>0.2999</v>
      </c>
      <c r="L1964" s="191">
        <f>L432</f>
        <v>1.4842</v>
      </c>
      <c r="M1964" s="401"/>
      <c r="N1964" s="86"/>
    </row>
    <row r="1965" spans="1:14" s="64" customFormat="1" x14ac:dyDescent="0.2">
      <c r="A1965" s="63"/>
      <c r="B1965" s="396"/>
      <c r="C1965" s="122"/>
      <c r="D1965" s="75"/>
      <c r="E1965" s="395"/>
      <c r="F1965" s="395"/>
      <c r="G1965" s="395"/>
      <c r="H1965" s="67"/>
      <c r="I1965" s="69"/>
      <c r="J1965" s="134"/>
      <c r="K1965" s="324">
        <v>0.2999</v>
      </c>
      <c r="L1965" s="191">
        <f>L433</f>
        <v>1.4842</v>
      </c>
      <c r="M1965" s="401"/>
      <c r="N1965" s="86"/>
    </row>
    <row r="1966" spans="1:14" s="64" customFormat="1" x14ac:dyDescent="0.2">
      <c r="A1966" s="63"/>
      <c r="B1966" s="396"/>
      <c r="C1966" s="122"/>
      <c r="D1966" s="75"/>
      <c r="E1966" s="395"/>
      <c r="F1966" s="395"/>
      <c r="G1966" s="395"/>
      <c r="H1966" s="67"/>
      <c r="I1966" s="69"/>
      <c r="J1966" s="134"/>
      <c r="K1966" s="324">
        <v>0.2999</v>
      </c>
      <c r="L1966" s="191">
        <f>L434</f>
        <v>1.4842</v>
      </c>
      <c r="M1966" s="401"/>
      <c r="N1966" s="86"/>
    </row>
    <row r="1967" spans="1:14" s="64" customFormat="1" x14ac:dyDescent="0.2">
      <c r="A1967" s="63"/>
      <c r="B1967" s="396"/>
      <c r="C1967" s="122"/>
      <c r="D1967" s="75"/>
      <c r="E1967" s="395"/>
      <c r="F1967" s="395"/>
      <c r="G1967" s="395"/>
      <c r="H1967" s="67"/>
      <c r="I1967" s="69"/>
      <c r="J1967" s="134"/>
      <c r="K1967" s="324">
        <v>0.2999</v>
      </c>
      <c r="L1967" s="191">
        <f>L435</f>
        <v>1.4842</v>
      </c>
      <c r="M1967" s="401"/>
      <c r="N1967" s="86"/>
    </row>
    <row r="1968" spans="1:14" s="64" customFormat="1" x14ac:dyDescent="0.2">
      <c r="A1968" s="63"/>
      <c r="B1968" s="396"/>
      <c r="C1968" s="122"/>
      <c r="D1968" s="75"/>
      <c r="E1968" s="395"/>
      <c r="F1968" s="395"/>
      <c r="G1968" s="395"/>
      <c r="H1968" s="67"/>
      <c r="I1968" s="69"/>
      <c r="J1968" s="134"/>
      <c r="K1968" s="324">
        <v>0.2999</v>
      </c>
      <c r="L1968" s="191">
        <f>L436</f>
        <v>1.4842</v>
      </c>
      <c r="M1968" s="401"/>
      <c r="N1968" s="86"/>
    </row>
    <row r="1969" spans="1:14" s="64" customFormat="1" x14ac:dyDescent="0.2">
      <c r="A1969" s="63"/>
      <c r="B1969" s="396"/>
      <c r="C1969" s="122"/>
      <c r="D1969" s="75"/>
      <c r="E1969" s="395"/>
      <c r="F1969" s="395"/>
      <c r="G1969" s="395"/>
      <c r="H1969" s="67"/>
      <c r="I1969" s="69"/>
      <c r="J1969" s="134"/>
      <c r="K1969" s="324">
        <v>0.2999</v>
      </c>
      <c r="L1969" s="191">
        <f>L437</f>
        <v>1.4842</v>
      </c>
      <c r="M1969" s="401"/>
      <c r="N1969" s="86"/>
    </row>
    <row r="1970" spans="1:14" s="64" customFormat="1" x14ac:dyDescent="0.2">
      <c r="A1970" s="63"/>
      <c r="B1970" s="396"/>
      <c r="C1970" s="122"/>
      <c r="D1970" s="75"/>
      <c r="E1970" s="395"/>
      <c r="F1970" s="395"/>
      <c r="G1970" s="395"/>
      <c r="H1970" s="67"/>
      <c r="I1970" s="69"/>
      <c r="J1970" s="134"/>
      <c r="K1970" s="324">
        <v>0.2999</v>
      </c>
      <c r="L1970" s="191">
        <f>L438</f>
        <v>1.4842</v>
      </c>
      <c r="M1970" s="401"/>
      <c r="N1970" s="86"/>
    </row>
    <row r="1971" spans="1:14" s="64" customFormat="1" x14ac:dyDescent="0.2">
      <c r="A1971" s="63"/>
      <c r="B1971" s="396"/>
      <c r="C1971" s="122"/>
      <c r="D1971" s="75"/>
      <c r="E1971" s="395"/>
      <c r="F1971" s="395"/>
      <c r="G1971" s="395"/>
      <c r="H1971" s="67"/>
      <c r="I1971" s="69"/>
      <c r="J1971" s="134"/>
      <c r="K1971" s="324">
        <v>0.2999</v>
      </c>
      <c r="L1971" s="191">
        <f>L439</f>
        <v>1.4842</v>
      </c>
      <c r="M1971" s="401"/>
      <c r="N1971" s="86"/>
    </row>
    <row r="1972" spans="1:14" s="64" customFormat="1" x14ac:dyDescent="0.2">
      <c r="A1972" s="63"/>
      <c r="B1972" s="396"/>
      <c r="C1972" s="122"/>
      <c r="D1972" s="75"/>
      <c r="E1972" s="395"/>
      <c r="F1972" s="395"/>
      <c r="G1972" s="395"/>
      <c r="H1972" s="67"/>
      <c r="I1972" s="69"/>
      <c r="J1972" s="134"/>
      <c r="K1972" s="324">
        <v>0.2999</v>
      </c>
      <c r="L1972" s="191">
        <f>L440</f>
        <v>1.4842</v>
      </c>
      <c r="M1972" s="401"/>
      <c r="N1972" s="86"/>
    </row>
    <row r="1973" spans="1:14" s="64" customFormat="1" x14ac:dyDescent="0.2">
      <c r="A1973" s="63"/>
      <c r="B1973" s="396"/>
      <c r="C1973" s="122"/>
      <c r="D1973" s="75"/>
      <c r="E1973" s="395"/>
      <c r="F1973" s="395"/>
      <c r="G1973" s="395"/>
      <c r="H1973" s="67"/>
      <c r="I1973" s="69"/>
      <c r="J1973" s="134"/>
      <c r="K1973" s="324">
        <v>0.2999</v>
      </c>
      <c r="L1973" s="191">
        <f>L441</f>
        <v>1.4842</v>
      </c>
      <c r="M1973" s="401"/>
      <c r="N1973" s="86"/>
    </row>
    <row r="1974" spans="1:14" s="64" customFormat="1" x14ac:dyDescent="0.2">
      <c r="A1974" s="63"/>
      <c r="B1974" s="396"/>
      <c r="C1974" s="122"/>
      <c r="D1974" s="75"/>
      <c r="E1974" s="395"/>
      <c r="F1974" s="395"/>
      <c r="G1974" s="395"/>
      <c r="H1974" s="67"/>
      <c r="I1974" s="69"/>
      <c r="J1974" s="134"/>
      <c r="K1974" s="324">
        <v>0.2999</v>
      </c>
      <c r="L1974" s="191">
        <f>L442</f>
        <v>1.4842</v>
      </c>
      <c r="M1974" s="401"/>
      <c r="N1974" s="86"/>
    </row>
    <row r="1975" spans="1:14" s="64" customFormat="1" x14ac:dyDescent="0.2">
      <c r="A1975" s="63"/>
      <c r="B1975" s="396"/>
      <c r="C1975" s="122"/>
      <c r="D1975" s="75"/>
      <c r="E1975" s="395"/>
      <c r="F1975" s="395"/>
      <c r="G1975" s="395"/>
      <c r="H1975" s="67"/>
      <c r="I1975" s="69"/>
      <c r="J1975" s="134"/>
      <c r="K1975" s="324">
        <v>0.2999</v>
      </c>
      <c r="L1975" s="191">
        <f>L443</f>
        <v>1.4842</v>
      </c>
      <c r="M1975" s="401"/>
      <c r="N1975" s="86"/>
    </row>
    <row r="1976" spans="1:14" s="64" customFormat="1" x14ac:dyDescent="0.2">
      <c r="A1976" s="63"/>
      <c r="B1976" s="396"/>
      <c r="C1976" s="122"/>
      <c r="D1976" s="75"/>
      <c r="E1976" s="395"/>
      <c r="F1976" s="395"/>
      <c r="G1976" s="395"/>
      <c r="H1976" s="67"/>
      <c r="I1976" s="69"/>
      <c r="J1976" s="134"/>
      <c r="K1976" s="324">
        <v>0.2999</v>
      </c>
      <c r="L1976" s="191">
        <f>L444</f>
        <v>1.4842</v>
      </c>
      <c r="M1976" s="401"/>
      <c r="N1976" s="86"/>
    </row>
    <row r="1977" spans="1:14" s="64" customFormat="1" x14ac:dyDescent="0.2">
      <c r="A1977" s="63"/>
      <c r="B1977" s="396"/>
      <c r="C1977" s="122"/>
      <c r="D1977" s="75"/>
      <c r="E1977" s="395"/>
      <c r="F1977" s="395"/>
      <c r="G1977" s="395"/>
      <c r="H1977" s="67"/>
      <c r="I1977" s="69"/>
      <c r="J1977" s="134"/>
      <c r="K1977" s="324">
        <v>0.2999</v>
      </c>
      <c r="L1977" s="191">
        <f>L445</f>
        <v>1.4842</v>
      </c>
      <c r="M1977" s="401"/>
      <c r="N1977" s="86"/>
    </row>
    <row r="1978" spans="1:14" s="64" customFormat="1" x14ac:dyDescent="0.2">
      <c r="A1978" s="63"/>
      <c r="B1978" s="396"/>
      <c r="C1978" s="122"/>
      <c r="D1978" s="75"/>
      <c r="E1978" s="395"/>
      <c r="F1978" s="395"/>
      <c r="G1978" s="395"/>
      <c r="H1978" s="67"/>
      <c r="I1978" s="69"/>
      <c r="J1978" s="134"/>
      <c r="K1978" s="324">
        <v>0.2999</v>
      </c>
      <c r="L1978" s="191">
        <f>L446</f>
        <v>1.4842</v>
      </c>
      <c r="M1978" s="401"/>
      <c r="N1978" s="86"/>
    </row>
    <row r="1979" spans="1:14" s="64" customFormat="1" x14ac:dyDescent="0.2">
      <c r="A1979" s="63"/>
      <c r="B1979" s="396"/>
      <c r="C1979" s="122"/>
      <c r="D1979" s="75"/>
      <c r="E1979" s="395"/>
      <c r="F1979" s="395"/>
      <c r="G1979" s="395"/>
      <c r="H1979" s="67"/>
      <c r="I1979" s="69"/>
      <c r="J1979" s="134"/>
      <c r="K1979" s="324">
        <v>0.2999</v>
      </c>
      <c r="L1979" s="191">
        <f>L447</f>
        <v>1.4842</v>
      </c>
      <c r="M1979" s="401"/>
      <c r="N1979" s="86"/>
    </row>
    <row r="1980" spans="1:14" s="64" customFormat="1" x14ac:dyDescent="0.2">
      <c r="A1980" s="63"/>
      <c r="B1980" s="396"/>
      <c r="C1980" s="122"/>
      <c r="D1980" s="75"/>
      <c r="E1980" s="395"/>
      <c r="F1980" s="395"/>
      <c r="G1980" s="395"/>
      <c r="H1980" s="67"/>
      <c r="I1980" s="69"/>
      <c r="J1980" s="134"/>
      <c r="K1980" s="324">
        <v>0.2999</v>
      </c>
      <c r="L1980" s="191">
        <f>L448</f>
        <v>1.4842</v>
      </c>
      <c r="M1980" s="401"/>
      <c r="N1980" s="86"/>
    </row>
    <row r="1981" spans="1:14" s="64" customFormat="1" x14ac:dyDescent="0.2">
      <c r="A1981" s="63"/>
      <c r="B1981" s="396"/>
      <c r="C1981" s="122"/>
      <c r="D1981" s="75"/>
      <c r="E1981" s="395"/>
      <c r="F1981" s="395"/>
      <c r="G1981" s="395"/>
      <c r="H1981" s="67"/>
      <c r="I1981" s="69"/>
      <c r="J1981" s="134"/>
      <c r="K1981" s="324">
        <v>0.2999</v>
      </c>
      <c r="L1981" s="191">
        <f>L449</f>
        <v>1.4842</v>
      </c>
      <c r="M1981" s="401"/>
      <c r="N1981" s="86"/>
    </row>
    <row r="1982" spans="1:14" s="64" customFormat="1" x14ac:dyDescent="0.2">
      <c r="A1982" s="63"/>
      <c r="B1982" s="396"/>
      <c r="C1982" s="122"/>
      <c r="D1982" s="75"/>
      <c r="E1982" s="395"/>
      <c r="F1982" s="395"/>
      <c r="G1982" s="395"/>
      <c r="H1982" s="67"/>
      <c r="I1982" s="69"/>
      <c r="J1982" s="134"/>
      <c r="K1982" s="324">
        <v>0.2999</v>
      </c>
      <c r="L1982" s="191">
        <f>L450</f>
        <v>1.4842</v>
      </c>
      <c r="M1982" s="401"/>
      <c r="N1982" s="86"/>
    </row>
    <row r="1983" spans="1:14" s="64" customFormat="1" x14ac:dyDescent="0.2">
      <c r="A1983" s="63"/>
      <c r="B1983" s="396"/>
      <c r="C1983" s="122"/>
      <c r="D1983" s="75"/>
      <c r="E1983" s="395"/>
      <c r="F1983" s="395"/>
      <c r="G1983" s="395"/>
      <c r="H1983" s="67"/>
      <c r="I1983" s="69"/>
      <c r="J1983" s="134"/>
      <c r="K1983" s="324">
        <v>0.2999</v>
      </c>
      <c r="L1983" s="191">
        <f>L451</f>
        <v>1.4842</v>
      </c>
      <c r="M1983" s="401"/>
      <c r="N1983" s="86"/>
    </row>
    <row r="1984" spans="1:14" s="64" customFormat="1" x14ac:dyDescent="0.2">
      <c r="A1984" s="63"/>
      <c r="B1984" s="396"/>
      <c r="C1984" s="122"/>
      <c r="D1984" s="75"/>
      <c r="E1984" s="395"/>
      <c r="F1984" s="395"/>
      <c r="G1984" s="395"/>
      <c r="H1984" s="67"/>
      <c r="I1984" s="69"/>
      <c r="J1984" s="134"/>
      <c r="K1984" s="324">
        <v>0.2999</v>
      </c>
      <c r="L1984" s="191">
        <f>L452</f>
        <v>1.4842</v>
      </c>
      <c r="M1984" s="401"/>
      <c r="N1984" s="86"/>
    </row>
    <row r="1985" spans="1:14" s="64" customFormat="1" x14ac:dyDescent="0.2">
      <c r="A1985" s="63"/>
      <c r="B1985" s="396"/>
      <c r="C1985" s="122"/>
      <c r="D1985" s="75"/>
      <c r="E1985" s="395"/>
      <c r="F1985" s="395"/>
      <c r="G1985" s="395"/>
      <c r="H1985" s="67"/>
      <c r="I1985" s="69"/>
      <c r="J1985" s="134"/>
      <c r="K1985" s="324">
        <v>0.2999</v>
      </c>
      <c r="L1985" s="191">
        <f>L453</f>
        <v>1.4842</v>
      </c>
      <c r="M1985" s="401"/>
      <c r="N1985" s="86"/>
    </row>
    <row r="1986" spans="1:14" s="64" customFormat="1" x14ac:dyDescent="0.2">
      <c r="A1986" s="63"/>
      <c r="B1986" s="396"/>
      <c r="C1986" s="122"/>
      <c r="D1986" s="75"/>
      <c r="E1986" s="395"/>
      <c r="F1986" s="395"/>
      <c r="G1986" s="395"/>
      <c r="H1986" s="67"/>
      <c r="I1986" s="69"/>
      <c r="J1986" s="134"/>
      <c r="K1986" s="324">
        <v>0.2999</v>
      </c>
      <c r="L1986" s="191">
        <f>L454</f>
        <v>1.4842</v>
      </c>
      <c r="M1986" s="401"/>
      <c r="N1986" s="86"/>
    </row>
    <row r="1987" spans="1:14" s="64" customFormat="1" x14ac:dyDescent="0.2">
      <c r="A1987" s="63"/>
      <c r="B1987" s="396"/>
      <c r="C1987" s="122"/>
      <c r="D1987" s="75"/>
      <c r="E1987" s="395"/>
      <c r="F1987" s="395"/>
      <c r="G1987" s="395"/>
      <c r="H1987" s="67"/>
      <c r="I1987" s="69"/>
      <c r="J1987" s="134"/>
      <c r="K1987" s="324">
        <v>0.2999</v>
      </c>
      <c r="L1987" s="191">
        <f>L455</f>
        <v>1.4842</v>
      </c>
      <c r="M1987" s="401"/>
      <c r="N1987" s="86"/>
    </row>
    <row r="1988" spans="1:14" s="64" customFormat="1" x14ac:dyDescent="0.2">
      <c r="A1988" s="63"/>
      <c r="B1988" s="396"/>
      <c r="C1988" s="122"/>
      <c r="D1988" s="75"/>
      <c r="E1988" s="395"/>
      <c r="F1988" s="395"/>
      <c r="G1988" s="395"/>
      <c r="H1988" s="67"/>
      <c r="I1988" s="69"/>
      <c r="J1988" s="134"/>
      <c r="K1988" s="324">
        <v>0.2999</v>
      </c>
      <c r="L1988" s="191">
        <f>L456</f>
        <v>1.4842</v>
      </c>
      <c r="M1988" s="401"/>
      <c r="N1988" s="86"/>
    </row>
    <row r="1989" spans="1:14" s="64" customFormat="1" x14ac:dyDescent="0.2">
      <c r="A1989" s="63"/>
      <c r="B1989" s="396"/>
      <c r="C1989" s="122"/>
      <c r="D1989" s="75"/>
      <c r="E1989" s="395"/>
      <c r="F1989" s="395"/>
      <c r="G1989" s="395"/>
      <c r="H1989" s="67"/>
      <c r="I1989" s="69"/>
      <c r="J1989" s="134"/>
      <c r="K1989" s="324">
        <v>0.2999</v>
      </c>
      <c r="L1989" s="191">
        <f>L457</f>
        <v>1.4842</v>
      </c>
      <c r="M1989" s="401"/>
      <c r="N1989" s="86"/>
    </row>
    <row r="1990" spans="1:14" s="64" customFormat="1" x14ac:dyDescent="0.2">
      <c r="A1990" s="63"/>
      <c r="B1990" s="396"/>
      <c r="C1990" s="122"/>
      <c r="D1990" s="75"/>
      <c r="E1990" s="395"/>
      <c r="F1990" s="395"/>
      <c r="G1990" s="395"/>
      <c r="H1990" s="67"/>
      <c r="I1990" s="69"/>
      <c r="J1990" s="134"/>
      <c r="K1990" s="324">
        <v>0.2999</v>
      </c>
      <c r="L1990" s="191">
        <f>L458</f>
        <v>1.4842</v>
      </c>
      <c r="M1990" s="401"/>
      <c r="N1990" s="86"/>
    </row>
    <row r="1991" spans="1:14" s="64" customFormat="1" x14ac:dyDescent="0.2">
      <c r="A1991" s="63"/>
      <c r="B1991" s="396"/>
      <c r="C1991" s="122"/>
      <c r="D1991" s="75"/>
      <c r="E1991" s="395"/>
      <c r="F1991" s="395"/>
      <c r="G1991" s="395"/>
      <c r="H1991" s="67"/>
      <c r="I1991" s="69"/>
      <c r="J1991" s="134"/>
      <c r="K1991" s="324">
        <v>0.2999</v>
      </c>
      <c r="L1991" s="191">
        <f>L459</f>
        <v>1.4842</v>
      </c>
      <c r="M1991" s="401"/>
      <c r="N1991" s="86"/>
    </row>
    <row r="1992" spans="1:14" s="64" customFormat="1" x14ac:dyDescent="0.2">
      <c r="A1992" s="63"/>
      <c r="B1992" s="396"/>
      <c r="C1992" s="122"/>
      <c r="D1992" s="75"/>
      <c r="E1992" s="395"/>
      <c r="F1992" s="395"/>
      <c r="G1992" s="395"/>
      <c r="H1992" s="67"/>
      <c r="I1992" s="69"/>
      <c r="J1992" s="134"/>
      <c r="K1992" s="324">
        <v>0.2999</v>
      </c>
      <c r="L1992" s="191">
        <f>L460</f>
        <v>1.4842</v>
      </c>
      <c r="M1992" s="401"/>
      <c r="N1992" s="86"/>
    </row>
    <row r="1993" spans="1:14" s="64" customFormat="1" x14ac:dyDescent="0.2">
      <c r="A1993" s="63"/>
      <c r="B1993" s="396"/>
      <c r="C1993" s="122"/>
      <c r="D1993" s="75"/>
      <c r="E1993" s="395"/>
      <c r="F1993" s="395"/>
      <c r="G1993" s="395"/>
      <c r="H1993" s="67"/>
      <c r="I1993" s="69"/>
      <c r="J1993" s="134"/>
      <c r="K1993" s="324">
        <v>0.2999</v>
      </c>
      <c r="L1993" s="191">
        <f>L461</f>
        <v>1.4842</v>
      </c>
      <c r="M1993" s="401"/>
      <c r="N1993" s="86"/>
    </row>
    <row r="1994" spans="1:14" s="64" customFormat="1" x14ac:dyDescent="0.2">
      <c r="A1994" s="63"/>
      <c r="B1994" s="396"/>
      <c r="C1994" s="122"/>
      <c r="D1994" s="75"/>
      <c r="E1994" s="395"/>
      <c r="F1994" s="395"/>
      <c r="G1994" s="395"/>
      <c r="H1994" s="67"/>
      <c r="I1994" s="69"/>
      <c r="J1994" s="134"/>
      <c r="K1994" s="324">
        <v>0.2999</v>
      </c>
      <c r="L1994" s="191">
        <f>L462</f>
        <v>1.4842</v>
      </c>
      <c r="M1994" s="401"/>
      <c r="N1994" s="86"/>
    </row>
    <row r="1995" spans="1:14" s="64" customFormat="1" x14ac:dyDescent="0.2">
      <c r="A1995" s="63"/>
      <c r="B1995" s="396"/>
      <c r="C1995" s="122"/>
      <c r="D1995" s="75"/>
      <c r="E1995" s="395"/>
      <c r="F1995" s="395"/>
      <c r="G1995" s="395"/>
      <c r="H1995" s="67"/>
      <c r="I1995" s="69"/>
      <c r="J1995" s="134"/>
      <c r="K1995" s="324">
        <v>0.2999</v>
      </c>
      <c r="L1995" s="191">
        <f>L463</f>
        <v>1.4842</v>
      </c>
      <c r="M1995" s="401"/>
      <c r="N1995" s="86"/>
    </row>
    <row r="1996" spans="1:14" s="64" customFormat="1" x14ac:dyDescent="0.2">
      <c r="A1996" s="63"/>
      <c r="B1996" s="396"/>
      <c r="C1996" s="122"/>
      <c r="D1996" s="75"/>
      <c r="E1996" s="395"/>
      <c r="F1996" s="395"/>
      <c r="G1996" s="395"/>
      <c r="H1996" s="67"/>
      <c r="I1996" s="69"/>
      <c r="J1996" s="134"/>
      <c r="K1996" s="324">
        <v>0.2999</v>
      </c>
      <c r="L1996" s="191">
        <f>L464</f>
        <v>1.4842</v>
      </c>
      <c r="M1996" s="401"/>
      <c r="N1996" s="86"/>
    </row>
    <row r="1997" spans="1:14" s="64" customFormat="1" x14ac:dyDescent="0.2">
      <c r="A1997" s="63"/>
      <c r="B1997" s="396"/>
      <c r="C1997" s="122"/>
      <c r="D1997" s="75"/>
      <c r="E1997" s="395"/>
      <c r="F1997" s="395"/>
      <c r="G1997" s="395"/>
      <c r="H1997" s="67"/>
      <c r="I1997" s="69"/>
      <c r="J1997" s="134"/>
      <c r="K1997" s="324">
        <v>0.2999</v>
      </c>
      <c r="L1997" s="191">
        <f>L465</f>
        <v>1.4842</v>
      </c>
      <c r="M1997" s="401"/>
      <c r="N1997" s="86"/>
    </row>
    <row r="1998" spans="1:14" s="64" customFormat="1" x14ac:dyDescent="0.2">
      <c r="A1998" s="63"/>
      <c r="B1998" s="396"/>
      <c r="C1998" s="122"/>
      <c r="D1998" s="75"/>
      <c r="E1998" s="395"/>
      <c r="F1998" s="395"/>
      <c r="G1998" s="395"/>
      <c r="H1998" s="67"/>
      <c r="I1998" s="69"/>
      <c r="J1998" s="134"/>
      <c r="K1998" s="324">
        <v>0.2999</v>
      </c>
      <c r="L1998" s="191">
        <f>L466</f>
        <v>1.4842</v>
      </c>
      <c r="M1998" s="401"/>
      <c r="N1998" s="86"/>
    </row>
    <row r="1999" spans="1:14" s="64" customFormat="1" x14ac:dyDescent="0.2">
      <c r="A1999" s="63"/>
      <c r="B1999" s="396"/>
      <c r="C1999" s="122"/>
      <c r="D1999" s="75"/>
      <c r="E1999" s="395"/>
      <c r="F1999" s="395"/>
      <c r="G1999" s="395"/>
      <c r="H1999" s="67"/>
      <c r="I1999" s="69"/>
      <c r="J1999" s="134"/>
      <c r="K1999" s="324">
        <v>0.2999</v>
      </c>
      <c r="L1999" s="191">
        <f>L467</f>
        <v>1.4842</v>
      </c>
      <c r="M1999" s="401"/>
      <c r="N1999" s="86"/>
    </row>
    <row r="2000" spans="1:14" s="64" customFormat="1" x14ac:dyDescent="0.2">
      <c r="A2000" s="63"/>
      <c r="B2000" s="396"/>
      <c r="C2000" s="122"/>
      <c r="D2000" s="75"/>
      <c r="E2000" s="395"/>
      <c r="F2000" s="395"/>
      <c r="G2000" s="395"/>
      <c r="H2000" s="67"/>
      <c r="I2000" s="69"/>
      <c r="J2000" s="134"/>
      <c r="K2000" s="324">
        <v>0.2999</v>
      </c>
      <c r="L2000" s="191">
        <f>L468</f>
        <v>1.4842</v>
      </c>
      <c r="M2000" s="401"/>
      <c r="N2000" s="86"/>
    </row>
    <row r="2001" spans="1:14" s="64" customFormat="1" x14ac:dyDescent="0.2">
      <c r="A2001" s="63"/>
      <c r="B2001" s="396"/>
      <c r="C2001" s="122"/>
      <c r="D2001" s="75"/>
      <c r="E2001" s="395"/>
      <c r="F2001" s="395"/>
      <c r="G2001" s="395"/>
      <c r="H2001" s="67"/>
      <c r="I2001" s="69"/>
      <c r="J2001" s="134"/>
      <c r="K2001" s="324">
        <v>0.2999</v>
      </c>
      <c r="L2001" s="191">
        <f>L469</f>
        <v>1.4842</v>
      </c>
      <c r="M2001" s="401"/>
      <c r="N2001" s="86"/>
    </row>
    <row r="2002" spans="1:14" s="64" customFormat="1" x14ac:dyDescent="0.2">
      <c r="A2002" s="63"/>
      <c r="B2002" s="396"/>
      <c r="C2002" s="122"/>
      <c r="D2002" s="75"/>
      <c r="E2002" s="395"/>
      <c r="F2002" s="395"/>
      <c r="G2002" s="395"/>
      <c r="H2002" s="67"/>
      <c r="I2002" s="69"/>
      <c r="J2002" s="134"/>
      <c r="K2002" s="324">
        <v>0.2999</v>
      </c>
      <c r="L2002" s="191">
        <f>L470</f>
        <v>1.4842</v>
      </c>
      <c r="M2002" s="401"/>
      <c r="N2002" s="86"/>
    </row>
    <row r="2003" spans="1:14" s="64" customFormat="1" x14ac:dyDescent="0.2">
      <c r="A2003" s="63"/>
      <c r="B2003" s="396"/>
      <c r="C2003" s="122"/>
      <c r="D2003" s="75"/>
      <c r="E2003" s="395"/>
      <c r="F2003" s="395"/>
      <c r="G2003" s="395"/>
      <c r="H2003" s="67"/>
      <c r="I2003" s="69"/>
      <c r="J2003" s="134"/>
      <c r="K2003" s="324">
        <v>0.2999</v>
      </c>
      <c r="L2003" s="191">
        <f>L471</f>
        <v>1.4842</v>
      </c>
      <c r="M2003" s="401"/>
      <c r="N2003" s="86"/>
    </row>
    <row r="2004" spans="1:14" s="64" customFormat="1" x14ac:dyDescent="0.2">
      <c r="A2004" s="63"/>
      <c r="B2004" s="396"/>
      <c r="C2004" s="122"/>
      <c r="D2004" s="75"/>
      <c r="E2004" s="395"/>
      <c r="F2004" s="395"/>
      <c r="G2004" s="395"/>
      <c r="H2004" s="67"/>
      <c r="I2004" s="69"/>
      <c r="J2004" s="134"/>
      <c r="K2004" s="324">
        <v>0.2999</v>
      </c>
      <c r="L2004" s="191">
        <f>L472</f>
        <v>1.4842</v>
      </c>
      <c r="M2004" s="401"/>
      <c r="N2004" s="86"/>
    </row>
    <row r="2005" spans="1:14" s="64" customFormat="1" x14ac:dyDescent="0.2">
      <c r="A2005" s="63"/>
      <c r="B2005" s="396"/>
      <c r="C2005" s="122"/>
      <c r="D2005" s="75"/>
      <c r="E2005" s="395"/>
      <c r="F2005" s="395"/>
      <c r="G2005" s="395"/>
      <c r="H2005" s="67"/>
      <c r="I2005" s="69"/>
      <c r="J2005" s="134"/>
      <c r="K2005" s="324">
        <v>0.2999</v>
      </c>
      <c r="L2005" s="191">
        <f>L473</f>
        <v>1.4842</v>
      </c>
      <c r="M2005" s="401"/>
      <c r="N2005" s="86"/>
    </row>
    <row r="2006" spans="1:14" s="64" customFormat="1" x14ac:dyDescent="0.2">
      <c r="A2006" s="63"/>
      <c r="B2006" s="396"/>
      <c r="C2006" s="122"/>
      <c r="D2006" s="75"/>
      <c r="E2006" s="395"/>
      <c r="F2006" s="395"/>
      <c r="G2006" s="395"/>
      <c r="H2006" s="67"/>
      <c r="I2006" s="69"/>
      <c r="J2006" s="134"/>
      <c r="K2006" s="324">
        <v>0.2999</v>
      </c>
      <c r="L2006" s="191">
        <f>L474</f>
        <v>1.4842</v>
      </c>
      <c r="M2006" s="401"/>
      <c r="N2006" s="86"/>
    </row>
    <row r="2007" spans="1:14" s="64" customFormat="1" x14ac:dyDescent="0.2">
      <c r="A2007" s="63"/>
      <c r="B2007" s="396"/>
      <c r="C2007" s="122"/>
      <c r="D2007" s="75"/>
      <c r="E2007" s="395"/>
      <c r="F2007" s="395"/>
      <c r="G2007" s="395"/>
      <c r="H2007" s="67"/>
      <c r="I2007" s="69"/>
      <c r="J2007" s="134"/>
      <c r="K2007" s="324">
        <v>0.2999</v>
      </c>
      <c r="L2007" s="191">
        <f>L475</f>
        <v>1.4842</v>
      </c>
      <c r="M2007" s="401"/>
      <c r="N2007" s="86"/>
    </row>
    <row r="2008" spans="1:14" s="64" customFormat="1" x14ac:dyDescent="0.2">
      <c r="A2008" s="63"/>
      <c r="B2008" s="396"/>
      <c r="C2008" s="122"/>
      <c r="D2008" s="75"/>
      <c r="E2008" s="395"/>
      <c r="F2008" s="395"/>
      <c r="G2008" s="395"/>
      <c r="H2008" s="67"/>
      <c r="I2008" s="69"/>
      <c r="J2008" s="134"/>
      <c r="K2008" s="324">
        <v>0.2999</v>
      </c>
      <c r="L2008" s="191">
        <f>L476</f>
        <v>1.4842</v>
      </c>
      <c r="M2008" s="401"/>
      <c r="N2008" s="86"/>
    </row>
    <row r="2009" spans="1:14" s="64" customFormat="1" x14ac:dyDescent="0.2">
      <c r="A2009" s="63"/>
      <c r="B2009" s="396"/>
      <c r="C2009" s="122"/>
      <c r="D2009" s="75"/>
      <c r="E2009" s="395"/>
      <c r="F2009" s="395"/>
      <c r="G2009" s="395"/>
      <c r="H2009" s="67"/>
      <c r="I2009" s="69"/>
      <c r="J2009" s="134"/>
      <c r="K2009" s="324">
        <v>0.2999</v>
      </c>
      <c r="L2009" s="191">
        <f>L477</f>
        <v>1.4842</v>
      </c>
      <c r="M2009" s="401"/>
      <c r="N2009" s="86"/>
    </row>
    <row r="2010" spans="1:14" s="64" customFormat="1" x14ac:dyDescent="0.2">
      <c r="A2010" s="63"/>
      <c r="B2010" s="396"/>
      <c r="C2010" s="122"/>
      <c r="D2010" s="75"/>
      <c r="E2010" s="395"/>
      <c r="F2010" s="395"/>
      <c r="G2010" s="395"/>
      <c r="H2010" s="67"/>
      <c r="I2010" s="69"/>
      <c r="J2010" s="134"/>
      <c r="K2010" s="324">
        <v>0.2999</v>
      </c>
      <c r="L2010" s="191">
        <f>L478</f>
        <v>1.4842</v>
      </c>
      <c r="M2010" s="401"/>
      <c r="N2010" s="86"/>
    </row>
    <row r="2011" spans="1:14" s="64" customFormat="1" x14ac:dyDescent="0.2">
      <c r="A2011" s="63"/>
      <c r="B2011" s="396"/>
      <c r="C2011" s="122"/>
      <c r="D2011" s="75"/>
      <c r="E2011" s="395"/>
      <c r="F2011" s="395"/>
      <c r="G2011" s="395"/>
      <c r="H2011" s="67"/>
      <c r="I2011" s="69"/>
      <c r="J2011" s="134"/>
      <c r="K2011" s="324">
        <v>0.2999</v>
      </c>
      <c r="L2011" s="191">
        <f>L479</f>
        <v>1.4842</v>
      </c>
      <c r="M2011" s="401"/>
      <c r="N2011" s="86"/>
    </row>
    <row r="2012" spans="1:14" s="64" customFormat="1" x14ac:dyDescent="0.2">
      <c r="A2012" s="63"/>
      <c r="B2012" s="396"/>
      <c r="C2012" s="122"/>
      <c r="D2012" s="75"/>
      <c r="E2012" s="395"/>
      <c r="F2012" s="395"/>
      <c r="G2012" s="395"/>
      <c r="H2012" s="67"/>
      <c r="I2012" s="69"/>
      <c r="J2012" s="134"/>
      <c r="K2012" s="324">
        <v>0.2999</v>
      </c>
      <c r="L2012" s="191">
        <f>L480</f>
        <v>1.4842</v>
      </c>
      <c r="M2012" s="401"/>
      <c r="N2012" s="86"/>
    </row>
    <row r="2013" spans="1:14" s="64" customFormat="1" x14ac:dyDescent="0.2">
      <c r="A2013" s="63"/>
      <c r="B2013" s="396"/>
      <c r="C2013" s="122"/>
      <c r="D2013" s="75"/>
      <c r="E2013" s="395"/>
      <c r="F2013" s="395"/>
      <c r="G2013" s="395"/>
      <c r="H2013" s="67"/>
      <c r="I2013" s="69"/>
      <c r="J2013" s="134"/>
      <c r="K2013" s="324">
        <v>0.2999</v>
      </c>
      <c r="L2013" s="191">
        <f>L481</f>
        <v>1.4842</v>
      </c>
      <c r="M2013" s="401"/>
      <c r="N2013" s="86"/>
    </row>
    <row r="2014" spans="1:14" s="64" customFormat="1" x14ac:dyDescent="0.2">
      <c r="A2014" s="63"/>
      <c r="B2014" s="396"/>
      <c r="C2014" s="122"/>
      <c r="D2014" s="75"/>
      <c r="E2014" s="395"/>
      <c r="F2014" s="395"/>
      <c r="G2014" s="395"/>
      <c r="H2014" s="67"/>
      <c r="I2014" s="69"/>
      <c r="J2014" s="134"/>
      <c r="K2014" s="324">
        <v>0.2999</v>
      </c>
      <c r="L2014" s="191">
        <f>L482</f>
        <v>1.4842</v>
      </c>
      <c r="M2014" s="401"/>
      <c r="N2014" s="86"/>
    </row>
    <row r="2015" spans="1:14" s="64" customFormat="1" x14ac:dyDescent="0.2">
      <c r="A2015" s="63"/>
      <c r="B2015" s="396"/>
      <c r="C2015" s="122"/>
      <c r="D2015" s="75"/>
      <c r="E2015" s="395"/>
      <c r="F2015" s="395"/>
      <c r="G2015" s="395"/>
      <c r="H2015" s="67"/>
      <c r="I2015" s="69"/>
      <c r="J2015" s="134"/>
      <c r="K2015" s="324">
        <v>0.2999</v>
      </c>
      <c r="L2015" s="191">
        <f>L483</f>
        <v>1.4842</v>
      </c>
      <c r="M2015" s="401"/>
      <c r="N2015" s="86"/>
    </row>
    <row r="2016" spans="1:14" s="64" customFormat="1" x14ac:dyDescent="0.2">
      <c r="A2016" s="63"/>
      <c r="B2016" s="396"/>
      <c r="C2016" s="122"/>
      <c r="D2016" s="75"/>
      <c r="E2016" s="395"/>
      <c r="F2016" s="395"/>
      <c r="G2016" s="395"/>
      <c r="H2016" s="67"/>
      <c r="I2016" s="69"/>
      <c r="J2016" s="134"/>
      <c r="K2016" s="324">
        <v>0.2999</v>
      </c>
      <c r="L2016" s="191">
        <f>L484</f>
        <v>1.4842</v>
      </c>
      <c r="M2016" s="401"/>
      <c r="N2016" s="86"/>
    </row>
    <row r="2017" spans="1:14" s="64" customFormat="1" x14ac:dyDescent="0.2">
      <c r="A2017" s="63"/>
      <c r="B2017" s="396"/>
      <c r="C2017" s="122"/>
      <c r="D2017" s="75"/>
      <c r="E2017" s="395"/>
      <c r="F2017" s="395"/>
      <c r="G2017" s="395"/>
      <c r="H2017" s="67"/>
      <c r="I2017" s="69"/>
      <c r="J2017" s="134"/>
      <c r="K2017" s="324">
        <v>0.2999</v>
      </c>
      <c r="L2017" s="191">
        <f>L485</f>
        <v>1.4842</v>
      </c>
      <c r="M2017" s="401"/>
      <c r="N2017" s="86"/>
    </row>
    <row r="2018" spans="1:14" s="64" customFormat="1" x14ac:dyDescent="0.2">
      <c r="A2018" s="63"/>
      <c r="B2018" s="396"/>
      <c r="C2018" s="122"/>
      <c r="D2018" s="75"/>
      <c r="E2018" s="395"/>
      <c r="F2018" s="395"/>
      <c r="G2018" s="395"/>
      <c r="H2018" s="67"/>
      <c r="I2018" s="69"/>
      <c r="J2018" s="134"/>
      <c r="K2018" s="324">
        <v>0.2999</v>
      </c>
      <c r="L2018" s="191">
        <f>L486</f>
        <v>1.4842</v>
      </c>
      <c r="M2018" s="401"/>
      <c r="N2018" s="86"/>
    </row>
    <row r="2019" spans="1:14" s="64" customFormat="1" x14ac:dyDescent="0.2">
      <c r="A2019" s="63"/>
      <c r="B2019" s="396"/>
      <c r="C2019" s="122"/>
      <c r="D2019" s="75"/>
      <c r="E2019" s="395"/>
      <c r="F2019" s="395"/>
      <c r="G2019" s="395"/>
      <c r="H2019" s="67"/>
      <c r="I2019" s="69"/>
      <c r="J2019" s="134"/>
      <c r="K2019" s="324">
        <v>0.2999</v>
      </c>
      <c r="L2019" s="191">
        <f>L487</f>
        <v>1.4842</v>
      </c>
      <c r="M2019" s="401"/>
      <c r="N2019" s="86"/>
    </row>
    <row r="2020" spans="1:14" s="64" customFormat="1" x14ac:dyDescent="0.2">
      <c r="A2020" s="63"/>
      <c r="B2020" s="396"/>
      <c r="C2020" s="122"/>
      <c r="D2020" s="75"/>
      <c r="E2020" s="395"/>
      <c r="F2020" s="395"/>
      <c r="G2020" s="395"/>
      <c r="H2020" s="67"/>
      <c r="I2020" s="69"/>
      <c r="J2020" s="134"/>
      <c r="K2020" s="324">
        <v>0.2999</v>
      </c>
      <c r="L2020" s="191">
        <f>L488</f>
        <v>1.4842</v>
      </c>
      <c r="M2020" s="401"/>
      <c r="N2020" s="86"/>
    </row>
    <row r="2021" spans="1:14" s="64" customFormat="1" x14ac:dyDescent="0.2">
      <c r="A2021" s="63"/>
      <c r="B2021" s="396"/>
      <c r="C2021" s="122"/>
      <c r="D2021" s="75"/>
      <c r="E2021" s="395"/>
      <c r="F2021" s="395"/>
      <c r="G2021" s="395"/>
      <c r="H2021" s="67"/>
      <c r="I2021" s="69"/>
      <c r="J2021" s="134"/>
      <c r="K2021" s="324">
        <v>0.2999</v>
      </c>
      <c r="L2021" s="191">
        <f>L489</f>
        <v>1.4842</v>
      </c>
      <c r="M2021" s="401"/>
      <c r="N2021" s="86"/>
    </row>
    <row r="2022" spans="1:14" s="64" customFormat="1" x14ac:dyDescent="0.2">
      <c r="A2022" s="63"/>
      <c r="B2022" s="396"/>
      <c r="C2022" s="122"/>
      <c r="D2022" s="75"/>
      <c r="E2022" s="395"/>
      <c r="F2022" s="395"/>
      <c r="G2022" s="395"/>
      <c r="H2022" s="67"/>
      <c r="I2022" s="69"/>
      <c r="J2022" s="134"/>
      <c r="K2022" s="324">
        <v>0.2999</v>
      </c>
      <c r="L2022" s="191">
        <f>L490</f>
        <v>1.4842</v>
      </c>
      <c r="M2022" s="401"/>
      <c r="N2022" s="86"/>
    </row>
    <row r="2023" spans="1:14" s="64" customFormat="1" x14ac:dyDescent="0.2">
      <c r="A2023" s="63"/>
      <c r="B2023" s="396"/>
      <c r="C2023" s="122"/>
      <c r="D2023" s="75"/>
      <c r="E2023" s="395"/>
      <c r="F2023" s="395"/>
      <c r="G2023" s="395"/>
      <c r="H2023" s="67"/>
      <c r="I2023" s="69"/>
      <c r="J2023" s="134"/>
      <c r="K2023" s="324">
        <v>0.2999</v>
      </c>
      <c r="L2023" s="191">
        <f>L491</f>
        <v>1.4842</v>
      </c>
      <c r="M2023" s="401"/>
      <c r="N2023" s="86"/>
    </row>
    <row r="2024" spans="1:14" s="64" customFormat="1" x14ac:dyDescent="0.2">
      <c r="A2024" s="63"/>
      <c r="B2024" s="396"/>
      <c r="C2024" s="122"/>
      <c r="D2024" s="75"/>
      <c r="E2024" s="395"/>
      <c r="F2024" s="395"/>
      <c r="G2024" s="395"/>
      <c r="H2024" s="67"/>
      <c r="I2024" s="69"/>
      <c r="J2024" s="134"/>
      <c r="K2024" s="324">
        <v>0.2999</v>
      </c>
      <c r="L2024" s="191">
        <f>L492</f>
        <v>1.4842</v>
      </c>
      <c r="M2024" s="401"/>
      <c r="N2024" s="86"/>
    </row>
    <row r="2025" spans="1:14" s="64" customFormat="1" x14ac:dyDescent="0.2">
      <c r="A2025" s="63"/>
      <c r="B2025" s="396"/>
      <c r="C2025" s="122"/>
      <c r="D2025" s="75"/>
      <c r="E2025" s="395"/>
      <c r="F2025" s="395"/>
      <c r="G2025" s="395"/>
      <c r="H2025" s="67"/>
      <c r="I2025" s="69"/>
      <c r="J2025" s="134"/>
      <c r="K2025" s="324">
        <v>0.2999</v>
      </c>
      <c r="L2025" s="191">
        <f>L493</f>
        <v>1.4842</v>
      </c>
      <c r="M2025" s="401"/>
      <c r="N2025" s="86"/>
    </row>
    <row r="2026" spans="1:14" s="64" customFormat="1" x14ac:dyDescent="0.2">
      <c r="A2026" s="63"/>
      <c r="B2026" s="396"/>
      <c r="C2026" s="122"/>
      <c r="D2026" s="75"/>
      <c r="E2026" s="395"/>
      <c r="F2026" s="395"/>
      <c r="G2026" s="395"/>
      <c r="H2026" s="67"/>
      <c r="I2026" s="69"/>
      <c r="J2026" s="134"/>
      <c r="K2026" s="324">
        <v>0.2999</v>
      </c>
      <c r="L2026" s="191">
        <f>L494</f>
        <v>1.4842</v>
      </c>
      <c r="M2026" s="401"/>
      <c r="N2026" s="86"/>
    </row>
    <row r="2027" spans="1:14" s="64" customFormat="1" x14ac:dyDescent="0.2">
      <c r="A2027" s="63"/>
      <c r="B2027" s="396"/>
      <c r="C2027" s="122"/>
      <c r="D2027" s="75"/>
      <c r="E2027" s="395"/>
      <c r="F2027" s="395"/>
      <c r="G2027" s="395"/>
      <c r="H2027" s="67"/>
      <c r="I2027" s="69"/>
      <c r="J2027" s="134"/>
      <c r="K2027" s="324">
        <v>0.2999</v>
      </c>
      <c r="L2027" s="191">
        <f>L495</f>
        <v>1.4842</v>
      </c>
      <c r="M2027" s="401"/>
      <c r="N2027" s="86"/>
    </row>
    <row r="2028" spans="1:14" s="64" customFormat="1" x14ac:dyDescent="0.2">
      <c r="A2028" s="63"/>
      <c r="B2028" s="396"/>
      <c r="C2028" s="122"/>
      <c r="D2028" s="75"/>
      <c r="E2028" s="395"/>
      <c r="F2028" s="395"/>
      <c r="G2028" s="395"/>
      <c r="H2028" s="67"/>
      <c r="I2028" s="69"/>
      <c r="J2028" s="134"/>
      <c r="K2028" s="324">
        <v>0.2999</v>
      </c>
      <c r="L2028" s="191">
        <f>L496</f>
        <v>1.4842</v>
      </c>
      <c r="M2028" s="401"/>
      <c r="N2028" s="86"/>
    </row>
    <row r="2029" spans="1:14" s="64" customFormat="1" x14ac:dyDescent="0.2">
      <c r="A2029" s="63"/>
      <c r="B2029" s="396"/>
      <c r="C2029" s="122"/>
      <c r="D2029" s="75"/>
      <c r="E2029" s="395"/>
      <c r="F2029" s="395"/>
      <c r="G2029" s="395"/>
      <c r="H2029" s="67"/>
      <c r="I2029" s="69"/>
      <c r="J2029" s="134"/>
      <c r="K2029" s="324">
        <v>0.2999</v>
      </c>
      <c r="L2029" s="191">
        <f>L497</f>
        <v>1.4842</v>
      </c>
      <c r="M2029" s="401"/>
      <c r="N2029" s="86"/>
    </row>
    <row r="2030" spans="1:14" s="64" customFormat="1" x14ac:dyDescent="0.2">
      <c r="A2030" s="63"/>
      <c r="B2030" s="396"/>
      <c r="C2030" s="122"/>
      <c r="D2030" s="75"/>
      <c r="E2030" s="395"/>
      <c r="F2030" s="395"/>
      <c r="G2030" s="395"/>
      <c r="H2030" s="67"/>
      <c r="I2030" s="69"/>
      <c r="J2030" s="134"/>
      <c r="K2030" s="324">
        <v>0.2999</v>
      </c>
      <c r="L2030" s="191">
        <f>L498</f>
        <v>1.4842</v>
      </c>
      <c r="M2030" s="401"/>
      <c r="N2030" s="86"/>
    </row>
    <row r="2031" spans="1:14" s="64" customFormat="1" x14ac:dyDescent="0.2">
      <c r="A2031" s="63"/>
      <c r="B2031" s="396"/>
      <c r="C2031" s="122"/>
      <c r="D2031" s="75"/>
      <c r="E2031" s="395"/>
      <c r="F2031" s="395"/>
      <c r="G2031" s="395"/>
      <c r="H2031" s="67"/>
      <c r="I2031" s="69"/>
      <c r="J2031" s="134"/>
      <c r="K2031" s="324">
        <v>0.2999</v>
      </c>
      <c r="L2031" s="191">
        <f>L499</f>
        <v>1.4842</v>
      </c>
      <c r="M2031" s="401"/>
      <c r="N2031" s="86"/>
    </row>
    <row r="2032" spans="1:14" s="64" customFormat="1" x14ac:dyDescent="0.2">
      <c r="A2032" s="63"/>
      <c r="B2032" s="396"/>
      <c r="C2032" s="122"/>
      <c r="D2032" s="75"/>
      <c r="E2032" s="395"/>
      <c r="F2032" s="395"/>
      <c r="G2032" s="395"/>
      <c r="H2032" s="67"/>
      <c r="I2032" s="69"/>
      <c r="J2032" s="134"/>
      <c r="K2032" s="324">
        <v>0.2999</v>
      </c>
      <c r="L2032" s="191">
        <f>L500</f>
        <v>1.4842</v>
      </c>
      <c r="M2032" s="401"/>
      <c r="N2032" s="86"/>
    </row>
    <row r="2033" spans="1:14" s="64" customFormat="1" x14ac:dyDescent="0.2">
      <c r="A2033" s="63"/>
      <c r="B2033" s="396"/>
      <c r="C2033" s="122"/>
      <c r="D2033" s="75"/>
      <c r="E2033" s="395"/>
      <c r="F2033" s="395"/>
      <c r="G2033" s="395"/>
      <c r="H2033" s="67"/>
      <c r="I2033" s="69"/>
      <c r="J2033" s="134"/>
      <c r="K2033" s="324">
        <v>0.2999</v>
      </c>
      <c r="L2033" s="191">
        <f>L501</f>
        <v>1.4842</v>
      </c>
      <c r="M2033" s="401"/>
      <c r="N2033" s="86"/>
    </row>
    <row r="2034" spans="1:14" s="64" customFormat="1" x14ac:dyDescent="0.2">
      <c r="A2034" s="63"/>
      <c r="B2034" s="396"/>
      <c r="C2034" s="122"/>
      <c r="D2034" s="75"/>
      <c r="E2034" s="395"/>
      <c r="F2034" s="395"/>
      <c r="G2034" s="395"/>
      <c r="H2034" s="67"/>
      <c r="I2034" s="69"/>
      <c r="J2034" s="134"/>
      <c r="K2034" s="324">
        <v>0.2999</v>
      </c>
      <c r="L2034" s="191">
        <f>L502</f>
        <v>1.4842</v>
      </c>
      <c r="M2034" s="401"/>
      <c r="N2034" s="86"/>
    </row>
    <row r="2035" spans="1:14" s="64" customFormat="1" x14ac:dyDescent="0.2">
      <c r="A2035" s="63"/>
      <c r="B2035" s="396"/>
      <c r="C2035" s="122"/>
      <c r="D2035" s="75"/>
      <c r="E2035" s="395"/>
      <c r="F2035" s="395"/>
      <c r="G2035" s="395"/>
      <c r="H2035" s="67"/>
      <c r="I2035" s="69"/>
      <c r="J2035" s="134"/>
      <c r="K2035" s="324">
        <v>0.2999</v>
      </c>
      <c r="L2035" s="191">
        <f>L503</f>
        <v>1.4842</v>
      </c>
      <c r="M2035" s="401"/>
      <c r="N2035" s="86"/>
    </row>
    <row r="2036" spans="1:14" s="64" customFormat="1" x14ac:dyDescent="0.2">
      <c r="A2036" s="63"/>
      <c r="B2036" s="396"/>
      <c r="C2036" s="122"/>
      <c r="D2036" s="75"/>
      <c r="E2036" s="395"/>
      <c r="F2036" s="395"/>
      <c r="G2036" s="395"/>
      <c r="H2036" s="67"/>
      <c r="I2036" s="69"/>
      <c r="J2036" s="134"/>
      <c r="K2036" s="324">
        <v>0.2999</v>
      </c>
      <c r="L2036" s="191">
        <f>L504</f>
        <v>1.4842</v>
      </c>
      <c r="M2036" s="401"/>
      <c r="N2036" s="86"/>
    </row>
    <row r="2037" spans="1:14" s="64" customFormat="1" x14ac:dyDescent="0.2">
      <c r="A2037" s="63"/>
      <c r="B2037" s="396"/>
      <c r="C2037" s="122"/>
      <c r="D2037" s="75"/>
      <c r="E2037" s="395"/>
      <c r="F2037" s="395"/>
      <c r="G2037" s="395"/>
      <c r="H2037" s="67"/>
      <c r="I2037" s="69"/>
      <c r="J2037" s="134"/>
      <c r="K2037" s="324">
        <v>0.2999</v>
      </c>
      <c r="L2037" s="191">
        <f>L505</f>
        <v>1.4842</v>
      </c>
      <c r="M2037" s="401"/>
      <c r="N2037" s="86"/>
    </row>
    <row r="2038" spans="1:14" s="64" customFormat="1" x14ac:dyDescent="0.2">
      <c r="A2038" s="63"/>
      <c r="B2038" s="396"/>
      <c r="C2038" s="122"/>
      <c r="D2038" s="75"/>
      <c r="E2038" s="395"/>
      <c r="F2038" s="395"/>
      <c r="G2038" s="395"/>
      <c r="H2038" s="67"/>
      <c r="I2038" s="69"/>
      <c r="J2038" s="134"/>
      <c r="K2038" s="324">
        <v>0.2999</v>
      </c>
      <c r="L2038" s="191">
        <f>L506</f>
        <v>1.4842</v>
      </c>
      <c r="M2038" s="401"/>
      <c r="N2038" s="86"/>
    </row>
    <row r="2039" spans="1:14" s="64" customFormat="1" x14ac:dyDescent="0.2">
      <c r="A2039" s="63"/>
      <c r="B2039" s="396"/>
      <c r="C2039" s="122"/>
      <c r="D2039" s="75"/>
      <c r="E2039" s="395"/>
      <c r="F2039" s="395"/>
      <c r="G2039" s="395"/>
      <c r="H2039" s="67"/>
      <c r="I2039" s="69"/>
      <c r="J2039" s="134"/>
      <c r="K2039" s="324">
        <v>0.2999</v>
      </c>
      <c r="L2039" s="191">
        <f>L507</f>
        <v>1.4842</v>
      </c>
      <c r="M2039" s="401"/>
      <c r="N2039" s="86"/>
    </row>
    <row r="2040" spans="1:14" s="64" customFormat="1" x14ac:dyDescent="0.2">
      <c r="A2040" s="63"/>
      <c r="B2040" s="396"/>
      <c r="C2040" s="122"/>
      <c r="D2040" s="75"/>
      <c r="E2040" s="395"/>
      <c r="F2040" s="395"/>
      <c r="G2040" s="395"/>
      <c r="H2040" s="67"/>
      <c r="I2040" s="69"/>
      <c r="J2040" s="134"/>
      <c r="K2040" s="324">
        <v>0.2999</v>
      </c>
      <c r="L2040" s="191">
        <f>L508</f>
        <v>1.4842</v>
      </c>
      <c r="M2040" s="401"/>
      <c r="N2040" s="86"/>
    </row>
    <row r="2041" spans="1:14" s="64" customFormat="1" x14ac:dyDescent="0.2">
      <c r="A2041" s="63"/>
      <c r="B2041" s="396"/>
      <c r="C2041" s="122"/>
      <c r="D2041" s="75"/>
      <c r="E2041" s="395"/>
      <c r="F2041" s="395"/>
      <c r="G2041" s="395"/>
      <c r="H2041" s="67"/>
      <c r="I2041" s="69"/>
      <c r="J2041" s="134"/>
      <c r="K2041" s="324">
        <v>0.2999</v>
      </c>
      <c r="L2041" s="191">
        <f>L509</f>
        <v>1.4842</v>
      </c>
      <c r="M2041" s="401"/>
      <c r="N2041" s="86"/>
    </row>
    <row r="2042" spans="1:14" s="64" customFormat="1" x14ac:dyDescent="0.2">
      <c r="A2042" s="63"/>
      <c r="B2042" s="396"/>
      <c r="C2042" s="122"/>
      <c r="D2042" s="75"/>
      <c r="E2042" s="395"/>
      <c r="F2042" s="395"/>
      <c r="G2042" s="395"/>
      <c r="H2042" s="67"/>
      <c r="I2042" s="69"/>
      <c r="J2042" s="134"/>
      <c r="K2042" s="324">
        <v>0.2999</v>
      </c>
      <c r="L2042" s="191">
        <f>L510</f>
        <v>1.4842</v>
      </c>
      <c r="M2042" s="401"/>
      <c r="N2042" s="86"/>
    </row>
    <row r="2043" spans="1:14" s="64" customFormat="1" x14ac:dyDescent="0.2">
      <c r="A2043" s="63"/>
      <c r="B2043" s="396"/>
      <c r="C2043" s="122"/>
      <c r="D2043" s="75"/>
      <c r="E2043" s="395"/>
      <c r="F2043" s="395"/>
      <c r="G2043" s="395"/>
      <c r="H2043" s="67"/>
      <c r="I2043" s="69"/>
      <c r="J2043" s="134"/>
      <c r="K2043" s="324">
        <v>0.2999</v>
      </c>
      <c r="L2043" s="191">
        <f>L511</f>
        <v>1.4842</v>
      </c>
      <c r="M2043" s="401"/>
      <c r="N2043" s="86"/>
    </row>
    <row r="2044" spans="1:14" s="64" customFormat="1" x14ac:dyDescent="0.2">
      <c r="A2044" s="63"/>
      <c r="B2044" s="396"/>
      <c r="C2044" s="122"/>
      <c r="D2044" s="75"/>
      <c r="E2044" s="395"/>
      <c r="F2044" s="395"/>
      <c r="G2044" s="395"/>
      <c r="H2044" s="67"/>
      <c r="I2044" s="69"/>
      <c r="J2044" s="134"/>
      <c r="K2044" s="324">
        <v>0.2999</v>
      </c>
      <c r="L2044" s="191">
        <f>L512</f>
        <v>1.4842</v>
      </c>
      <c r="M2044" s="401"/>
      <c r="N2044" s="86"/>
    </row>
    <row r="2045" spans="1:14" s="64" customFormat="1" x14ac:dyDescent="0.2">
      <c r="A2045" s="63"/>
      <c r="B2045" s="396"/>
      <c r="C2045" s="122"/>
      <c r="D2045" s="75"/>
      <c r="E2045" s="395"/>
      <c r="F2045" s="395"/>
      <c r="G2045" s="395"/>
      <c r="H2045" s="67"/>
      <c r="I2045" s="69"/>
      <c r="J2045" s="134"/>
      <c r="K2045" s="324">
        <v>0.2999</v>
      </c>
      <c r="L2045" s="191">
        <f>L513</f>
        <v>1.4842</v>
      </c>
      <c r="M2045" s="401"/>
      <c r="N2045" s="86"/>
    </row>
    <row r="2046" spans="1:14" s="64" customFormat="1" x14ac:dyDescent="0.2">
      <c r="A2046" s="63"/>
      <c r="B2046" s="396"/>
      <c r="C2046" s="122"/>
      <c r="D2046" s="75"/>
      <c r="E2046" s="395"/>
      <c r="F2046" s="395"/>
      <c r="G2046" s="395"/>
      <c r="H2046" s="67"/>
      <c r="I2046" s="69"/>
      <c r="J2046" s="134"/>
      <c r="K2046" s="324">
        <v>0.2999</v>
      </c>
      <c r="L2046" s="191">
        <f>L514</f>
        <v>1.4842</v>
      </c>
      <c r="M2046" s="401"/>
      <c r="N2046" s="86"/>
    </row>
    <row r="2047" spans="1:14" s="64" customFormat="1" x14ac:dyDescent="0.2">
      <c r="A2047" s="63"/>
      <c r="B2047" s="396"/>
      <c r="C2047" s="122"/>
      <c r="D2047" s="75"/>
      <c r="E2047" s="395"/>
      <c r="F2047" s="395"/>
      <c r="G2047" s="395"/>
      <c r="H2047" s="67"/>
      <c r="I2047" s="69"/>
      <c r="J2047" s="134"/>
      <c r="K2047" s="324">
        <v>0.2999</v>
      </c>
      <c r="L2047" s="191">
        <f>L515</f>
        <v>1.4842</v>
      </c>
      <c r="M2047" s="401"/>
      <c r="N2047" s="86"/>
    </row>
    <row r="2048" spans="1:14" s="64" customFormat="1" x14ac:dyDescent="0.2">
      <c r="A2048" s="63"/>
      <c r="B2048" s="396"/>
      <c r="C2048" s="122"/>
      <c r="D2048" s="75"/>
      <c r="E2048" s="395"/>
      <c r="F2048" s="395"/>
      <c r="G2048" s="395"/>
      <c r="H2048" s="67"/>
      <c r="I2048" s="69"/>
      <c r="J2048" s="134"/>
      <c r="K2048" s="324">
        <v>0.2999</v>
      </c>
      <c r="L2048" s="191">
        <f>L516</f>
        <v>1.4842</v>
      </c>
      <c r="M2048" s="401"/>
      <c r="N2048" s="86"/>
    </row>
    <row r="2049" spans="1:14" s="64" customFormat="1" x14ac:dyDescent="0.2">
      <c r="A2049" s="63"/>
      <c r="B2049" s="396"/>
      <c r="C2049" s="122"/>
      <c r="D2049" s="75"/>
      <c r="E2049" s="395"/>
      <c r="F2049" s="395"/>
      <c r="G2049" s="395"/>
      <c r="H2049" s="67"/>
      <c r="I2049" s="69"/>
      <c r="J2049" s="134"/>
      <c r="K2049" s="324">
        <v>0.2999</v>
      </c>
      <c r="L2049" s="191">
        <f>L517</f>
        <v>1.4842</v>
      </c>
      <c r="M2049" s="401"/>
      <c r="N2049" s="86"/>
    </row>
    <row r="2050" spans="1:14" s="64" customFormat="1" x14ac:dyDescent="0.2">
      <c r="A2050" s="63"/>
      <c r="B2050" s="396"/>
      <c r="C2050" s="122"/>
      <c r="D2050" s="75"/>
      <c r="E2050" s="395"/>
      <c r="F2050" s="395"/>
      <c r="G2050" s="395"/>
      <c r="H2050" s="67"/>
      <c r="I2050" s="69"/>
      <c r="J2050" s="134"/>
      <c r="K2050" s="324">
        <v>0.2999</v>
      </c>
      <c r="L2050" s="191">
        <f>L518</f>
        <v>1.4842</v>
      </c>
      <c r="M2050" s="401"/>
      <c r="N2050" s="86"/>
    </row>
    <row r="2051" spans="1:14" s="64" customFormat="1" x14ac:dyDescent="0.2">
      <c r="A2051" s="63"/>
      <c r="B2051" s="396"/>
      <c r="C2051" s="122"/>
      <c r="D2051" s="75"/>
      <c r="E2051" s="395"/>
      <c r="F2051" s="395"/>
      <c r="G2051" s="395"/>
      <c r="H2051" s="67"/>
      <c r="I2051" s="69"/>
      <c r="J2051" s="134"/>
      <c r="K2051" s="324">
        <v>0.2999</v>
      </c>
      <c r="L2051" s="191">
        <f>L519</f>
        <v>1.4842</v>
      </c>
      <c r="M2051" s="401"/>
      <c r="N2051" s="86"/>
    </row>
    <row r="2052" spans="1:14" s="64" customFormat="1" x14ac:dyDescent="0.2">
      <c r="A2052" s="63"/>
      <c r="B2052" s="396"/>
      <c r="C2052" s="122"/>
      <c r="D2052" s="75"/>
      <c r="E2052" s="395"/>
      <c r="F2052" s="395"/>
      <c r="G2052" s="395"/>
      <c r="H2052" s="67"/>
      <c r="I2052" s="69"/>
      <c r="J2052" s="134"/>
      <c r="K2052" s="324">
        <v>0.2999</v>
      </c>
      <c r="L2052" s="191">
        <f>L520</f>
        <v>1.4842</v>
      </c>
      <c r="M2052" s="401"/>
      <c r="N2052" s="86"/>
    </row>
    <row r="2053" spans="1:14" s="64" customFormat="1" x14ac:dyDescent="0.2">
      <c r="A2053" s="63"/>
      <c r="B2053" s="396"/>
      <c r="C2053" s="122"/>
      <c r="D2053" s="75"/>
      <c r="E2053" s="395"/>
      <c r="F2053" s="395"/>
      <c r="G2053" s="395"/>
      <c r="H2053" s="67"/>
      <c r="I2053" s="69"/>
      <c r="J2053" s="134"/>
      <c r="K2053" s="324">
        <v>0.2999</v>
      </c>
      <c r="L2053" s="191">
        <f>L521</f>
        <v>1.4842</v>
      </c>
      <c r="M2053" s="401"/>
      <c r="N2053" s="86"/>
    </row>
    <row r="2054" spans="1:14" s="64" customFormat="1" x14ac:dyDescent="0.2">
      <c r="A2054" s="63"/>
      <c r="B2054" s="396"/>
      <c r="C2054" s="122"/>
      <c r="D2054" s="75"/>
      <c r="E2054" s="395"/>
      <c r="F2054" s="395"/>
      <c r="G2054" s="395"/>
      <c r="H2054" s="67"/>
      <c r="I2054" s="69"/>
      <c r="J2054" s="134"/>
      <c r="K2054" s="324">
        <v>0.2999</v>
      </c>
      <c r="L2054" s="191">
        <f>L522</f>
        <v>1.4842</v>
      </c>
      <c r="M2054" s="401"/>
      <c r="N2054" s="86"/>
    </row>
    <row r="2055" spans="1:14" s="64" customFormat="1" x14ac:dyDescent="0.2">
      <c r="A2055" s="63"/>
      <c r="B2055" s="396"/>
      <c r="C2055" s="122"/>
      <c r="D2055" s="75"/>
      <c r="E2055" s="395"/>
      <c r="F2055" s="395"/>
      <c r="G2055" s="395"/>
      <c r="H2055" s="67"/>
      <c r="I2055" s="69"/>
      <c r="J2055" s="134"/>
      <c r="K2055" s="324">
        <v>0.2999</v>
      </c>
      <c r="L2055" s="191">
        <f>L523</f>
        <v>1.4842</v>
      </c>
      <c r="M2055" s="401"/>
      <c r="N2055" s="86"/>
    </row>
    <row r="2056" spans="1:14" s="64" customFormat="1" x14ac:dyDescent="0.2">
      <c r="A2056" s="63"/>
      <c r="B2056" s="396"/>
      <c r="C2056" s="122"/>
      <c r="D2056" s="75"/>
      <c r="E2056" s="395"/>
      <c r="F2056" s="395"/>
      <c r="G2056" s="395"/>
      <c r="H2056" s="67"/>
      <c r="I2056" s="69"/>
      <c r="J2056" s="134"/>
      <c r="K2056" s="324">
        <v>0.2999</v>
      </c>
      <c r="L2056" s="191">
        <f>L524</f>
        <v>1.4842</v>
      </c>
      <c r="M2056" s="401"/>
      <c r="N2056" s="86"/>
    </row>
    <row r="2057" spans="1:14" s="64" customFormat="1" x14ac:dyDescent="0.2">
      <c r="A2057" s="63"/>
      <c r="B2057" s="396"/>
      <c r="C2057" s="122"/>
      <c r="D2057" s="75"/>
      <c r="E2057" s="395"/>
      <c r="F2057" s="395"/>
      <c r="G2057" s="395"/>
      <c r="H2057" s="67"/>
      <c r="I2057" s="69"/>
      <c r="J2057" s="134"/>
      <c r="K2057" s="324">
        <v>0.2999</v>
      </c>
      <c r="L2057" s="191">
        <f>L525</f>
        <v>1.4842</v>
      </c>
      <c r="M2057" s="401"/>
      <c r="N2057" s="86"/>
    </row>
    <row r="2058" spans="1:14" s="64" customFormat="1" x14ac:dyDescent="0.2">
      <c r="A2058" s="63"/>
      <c r="B2058" s="396"/>
      <c r="C2058" s="122"/>
      <c r="D2058" s="75"/>
      <c r="E2058" s="395"/>
      <c r="F2058" s="395"/>
      <c r="G2058" s="395"/>
      <c r="H2058" s="67"/>
      <c r="I2058" s="69"/>
      <c r="J2058" s="134"/>
      <c r="K2058" s="324">
        <v>0.2999</v>
      </c>
      <c r="L2058" s="191">
        <f>L526</f>
        <v>1.4842</v>
      </c>
      <c r="M2058" s="401"/>
      <c r="N2058" s="86"/>
    </row>
    <row r="2059" spans="1:14" s="64" customFormat="1" x14ac:dyDescent="0.2">
      <c r="A2059" s="63"/>
      <c r="B2059" s="396"/>
      <c r="C2059" s="122"/>
      <c r="D2059" s="75"/>
      <c r="E2059" s="395"/>
      <c r="F2059" s="395"/>
      <c r="G2059" s="395"/>
      <c r="H2059" s="67"/>
      <c r="I2059" s="69"/>
      <c r="J2059" s="134"/>
      <c r="K2059" s="324">
        <v>0.2999</v>
      </c>
      <c r="L2059" s="191">
        <f>L527</f>
        <v>1.4842</v>
      </c>
      <c r="M2059" s="401"/>
      <c r="N2059" s="86"/>
    </row>
    <row r="2060" spans="1:14" s="64" customFormat="1" x14ac:dyDescent="0.2">
      <c r="A2060" s="63"/>
      <c r="B2060" s="396"/>
      <c r="C2060" s="122"/>
      <c r="D2060" s="75"/>
      <c r="E2060" s="395"/>
      <c r="F2060" s="395"/>
      <c r="G2060" s="395"/>
      <c r="H2060" s="67"/>
      <c r="I2060" s="69"/>
      <c r="J2060" s="134"/>
      <c r="K2060" s="324">
        <v>0.2999</v>
      </c>
      <c r="L2060" s="191">
        <f>L528</f>
        <v>1.4842</v>
      </c>
      <c r="M2060" s="401"/>
      <c r="N2060" s="86"/>
    </row>
    <row r="2061" spans="1:14" s="64" customFormat="1" x14ac:dyDescent="0.2">
      <c r="A2061" s="63"/>
      <c r="B2061" s="396"/>
      <c r="C2061" s="122"/>
      <c r="D2061" s="75"/>
      <c r="E2061" s="395"/>
      <c r="F2061" s="395"/>
      <c r="G2061" s="395"/>
      <c r="H2061" s="67"/>
      <c r="I2061" s="69"/>
      <c r="J2061" s="134"/>
      <c r="K2061" s="324">
        <v>0.2999</v>
      </c>
      <c r="L2061" s="191">
        <f>L529</f>
        <v>1.4842</v>
      </c>
      <c r="M2061" s="401"/>
      <c r="N2061" s="86"/>
    </row>
    <row r="2062" spans="1:14" s="64" customFormat="1" x14ac:dyDescent="0.2">
      <c r="A2062" s="63"/>
      <c r="B2062" s="396"/>
      <c r="C2062" s="122"/>
      <c r="D2062" s="75"/>
      <c r="E2062" s="395"/>
      <c r="F2062" s="395"/>
      <c r="G2062" s="395"/>
      <c r="H2062" s="67"/>
      <c r="I2062" s="69"/>
      <c r="J2062" s="134"/>
      <c r="K2062" s="324">
        <v>0.2999</v>
      </c>
      <c r="L2062" s="191">
        <f>L530</f>
        <v>1.4842</v>
      </c>
      <c r="M2062" s="401"/>
      <c r="N2062" s="86"/>
    </row>
    <row r="2063" spans="1:14" s="64" customFormat="1" x14ac:dyDescent="0.2">
      <c r="A2063" s="63"/>
      <c r="B2063" s="396"/>
      <c r="C2063" s="122"/>
      <c r="D2063" s="75"/>
      <c r="E2063" s="395"/>
      <c r="F2063" s="395"/>
      <c r="G2063" s="395"/>
      <c r="H2063" s="67"/>
      <c r="I2063" s="69"/>
      <c r="J2063" s="134"/>
      <c r="K2063" s="324">
        <v>0.2999</v>
      </c>
      <c r="L2063" s="191">
        <f>L531</f>
        <v>1.4842</v>
      </c>
      <c r="M2063" s="401"/>
      <c r="N2063" s="86"/>
    </row>
    <row r="2064" spans="1:14" s="64" customFormat="1" x14ac:dyDescent="0.2">
      <c r="A2064" s="63"/>
      <c r="B2064" s="396"/>
      <c r="C2064" s="122"/>
      <c r="D2064" s="75"/>
      <c r="E2064" s="395"/>
      <c r="F2064" s="395"/>
      <c r="G2064" s="395"/>
      <c r="H2064" s="67"/>
      <c r="I2064" s="69"/>
      <c r="J2064" s="134"/>
      <c r="K2064" s="324">
        <v>0.2999</v>
      </c>
      <c r="L2064" s="191">
        <f>L532</f>
        <v>1.4842</v>
      </c>
      <c r="M2064" s="401"/>
      <c r="N2064" s="86"/>
    </row>
    <row r="2065" spans="1:14" s="64" customFormat="1" x14ac:dyDescent="0.2">
      <c r="A2065" s="63"/>
      <c r="B2065" s="396"/>
      <c r="C2065" s="122"/>
      <c r="D2065" s="75"/>
      <c r="E2065" s="395"/>
      <c r="F2065" s="395"/>
      <c r="G2065" s="395"/>
      <c r="H2065" s="67"/>
      <c r="I2065" s="69"/>
      <c r="J2065" s="134"/>
      <c r="K2065" s="324">
        <v>0.2999</v>
      </c>
      <c r="L2065" s="191">
        <f>L533</f>
        <v>1.4842</v>
      </c>
      <c r="M2065" s="401"/>
      <c r="N2065" s="86"/>
    </row>
    <row r="2066" spans="1:14" s="64" customFormat="1" x14ac:dyDescent="0.2">
      <c r="A2066" s="63"/>
      <c r="B2066" s="396"/>
      <c r="C2066" s="122"/>
      <c r="D2066" s="75"/>
      <c r="E2066" s="395"/>
      <c r="F2066" s="395"/>
      <c r="G2066" s="395"/>
      <c r="H2066" s="67"/>
      <c r="I2066" s="69"/>
      <c r="J2066" s="134"/>
      <c r="K2066" s="324">
        <v>0.2999</v>
      </c>
      <c r="L2066" s="191">
        <f>L534</f>
        <v>1.4842</v>
      </c>
      <c r="M2066" s="401"/>
      <c r="N2066" s="86"/>
    </row>
    <row r="2067" spans="1:14" s="64" customFormat="1" x14ac:dyDescent="0.2">
      <c r="A2067" s="63"/>
      <c r="B2067" s="396"/>
      <c r="C2067" s="122"/>
      <c r="D2067" s="75"/>
      <c r="E2067" s="395"/>
      <c r="F2067" s="395"/>
      <c r="G2067" s="395"/>
      <c r="H2067" s="67"/>
      <c r="I2067" s="69"/>
      <c r="J2067" s="134"/>
      <c r="K2067" s="324">
        <v>0.2999</v>
      </c>
      <c r="L2067" s="191">
        <f>L535</f>
        <v>1.4842</v>
      </c>
      <c r="M2067" s="401"/>
      <c r="N2067" s="86"/>
    </row>
    <row r="2068" spans="1:14" s="64" customFormat="1" x14ac:dyDescent="0.2">
      <c r="A2068" s="63"/>
      <c r="B2068" s="396"/>
      <c r="C2068" s="122"/>
      <c r="D2068" s="75"/>
      <c r="E2068" s="395"/>
      <c r="F2068" s="395"/>
      <c r="G2068" s="395"/>
      <c r="H2068" s="67"/>
      <c r="I2068" s="69"/>
      <c r="J2068" s="134"/>
      <c r="K2068" s="324">
        <v>0.2999</v>
      </c>
      <c r="L2068" s="191">
        <f>L536</f>
        <v>1.4842</v>
      </c>
      <c r="M2068" s="401"/>
      <c r="N2068" s="86"/>
    </row>
    <row r="2069" spans="1:14" s="64" customFormat="1" x14ac:dyDescent="0.2">
      <c r="A2069" s="63"/>
      <c r="B2069" s="396"/>
      <c r="C2069" s="122"/>
      <c r="D2069" s="75"/>
      <c r="E2069" s="395"/>
      <c r="F2069" s="395"/>
      <c r="G2069" s="395"/>
      <c r="H2069" s="67"/>
      <c r="I2069" s="69"/>
      <c r="J2069" s="134"/>
      <c r="K2069" s="324">
        <v>0.2999</v>
      </c>
      <c r="L2069" s="191">
        <f>L537</f>
        <v>1.4842</v>
      </c>
      <c r="M2069" s="401"/>
      <c r="N2069" s="86"/>
    </row>
    <row r="2070" spans="1:14" s="64" customFormat="1" x14ac:dyDescent="0.2">
      <c r="A2070" s="63"/>
      <c r="B2070" s="396"/>
      <c r="C2070" s="122"/>
      <c r="D2070" s="75"/>
      <c r="E2070" s="395"/>
      <c r="F2070" s="395"/>
      <c r="G2070" s="395"/>
      <c r="H2070" s="67"/>
      <c r="I2070" s="69"/>
      <c r="J2070" s="134"/>
      <c r="K2070" s="324">
        <v>0.2999</v>
      </c>
      <c r="L2070" s="191">
        <f>L538</f>
        <v>1.4842</v>
      </c>
      <c r="M2070" s="401"/>
      <c r="N2070" s="86"/>
    </row>
    <row r="2071" spans="1:14" s="64" customFormat="1" x14ac:dyDescent="0.2">
      <c r="A2071" s="63"/>
      <c r="B2071" s="396"/>
      <c r="C2071" s="122"/>
      <c r="D2071" s="75"/>
      <c r="E2071" s="395"/>
      <c r="F2071" s="395"/>
      <c r="G2071" s="395"/>
      <c r="H2071" s="67"/>
      <c r="I2071" s="69"/>
      <c r="J2071" s="134"/>
      <c r="K2071" s="324">
        <v>0.2999</v>
      </c>
      <c r="L2071" s="191">
        <f>L539</f>
        <v>1.4842</v>
      </c>
      <c r="M2071" s="401"/>
      <c r="N2071" s="86"/>
    </row>
    <row r="2072" spans="1:14" s="64" customFormat="1" x14ac:dyDescent="0.2">
      <c r="A2072" s="63"/>
      <c r="B2072" s="396"/>
      <c r="C2072" s="122"/>
      <c r="D2072" s="75"/>
      <c r="E2072" s="395"/>
      <c r="F2072" s="395"/>
      <c r="G2072" s="395"/>
      <c r="H2072" s="67"/>
      <c r="I2072" s="69"/>
      <c r="J2072" s="134"/>
      <c r="K2072" s="324">
        <v>0.2999</v>
      </c>
      <c r="L2072" s="191">
        <f>L540</f>
        <v>1.4842</v>
      </c>
      <c r="M2072" s="401"/>
      <c r="N2072" s="86"/>
    </row>
    <row r="2073" spans="1:14" s="64" customFormat="1" x14ac:dyDescent="0.2">
      <c r="A2073" s="63"/>
      <c r="B2073" s="396"/>
      <c r="C2073" s="122"/>
      <c r="D2073" s="75"/>
      <c r="E2073" s="395"/>
      <c r="F2073" s="395"/>
      <c r="G2073" s="395"/>
      <c r="H2073" s="67"/>
      <c r="I2073" s="69"/>
      <c r="J2073" s="134"/>
      <c r="K2073" s="324">
        <v>0.2999</v>
      </c>
      <c r="L2073" s="191">
        <f>L541</f>
        <v>1.4842</v>
      </c>
      <c r="M2073" s="401"/>
      <c r="N2073" s="86"/>
    </row>
    <row r="2074" spans="1:14" s="64" customFormat="1" x14ac:dyDescent="0.2">
      <c r="A2074" s="63"/>
      <c r="B2074" s="396"/>
      <c r="C2074" s="122"/>
      <c r="D2074" s="75"/>
      <c r="E2074" s="395"/>
      <c r="F2074" s="395"/>
      <c r="G2074" s="395"/>
      <c r="H2074" s="67"/>
      <c r="I2074" s="69"/>
      <c r="J2074" s="134"/>
      <c r="K2074" s="324">
        <v>0.2999</v>
      </c>
      <c r="L2074" s="191">
        <f>L542</f>
        <v>1.4842</v>
      </c>
      <c r="M2074" s="401"/>
      <c r="N2074" s="86"/>
    </row>
    <row r="2075" spans="1:14" s="64" customFormat="1" x14ac:dyDescent="0.2">
      <c r="A2075" s="63"/>
      <c r="B2075" s="396"/>
      <c r="C2075" s="122"/>
      <c r="D2075" s="75"/>
      <c r="E2075" s="395"/>
      <c r="F2075" s="395"/>
      <c r="G2075" s="395"/>
      <c r="H2075" s="67"/>
      <c r="I2075" s="69"/>
      <c r="J2075" s="134"/>
      <c r="K2075" s="324">
        <v>0.2999</v>
      </c>
      <c r="L2075" s="191">
        <f>L543</f>
        <v>1.4842</v>
      </c>
      <c r="M2075" s="401"/>
      <c r="N2075" s="86"/>
    </row>
    <row r="2076" spans="1:14" s="64" customFormat="1" x14ac:dyDescent="0.2">
      <c r="A2076" s="63"/>
      <c r="B2076" s="396"/>
      <c r="C2076" s="122"/>
      <c r="D2076" s="75"/>
      <c r="E2076" s="395"/>
      <c r="F2076" s="395"/>
      <c r="G2076" s="395"/>
      <c r="H2076" s="67"/>
      <c r="I2076" s="69"/>
      <c r="J2076" s="134"/>
      <c r="K2076" s="324">
        <v>0.2999</v>
      </c>
      <c r="L2076" s="191">
        <f>L544</f>
        <v>1.4842</v>
      </c>
      <c r="M2076" s="401"/>
      <c r="N2076" s="86"/>
    </row>
    <row r="2077" spans="1:14" s="64" customFormat="1" x14ac:dyDescent="0.2">
      <c r="A2077" s="63"/>
      <c r="B2077" s="396"/>
      <c r="C2077" s="122"/>
      <c r="D2077" s="75"/>
      <c r="E2077" s="395"/>
      <c r="F2077" s="395"/>
      <c r="G2077" s="395"/>
      <c r="H2077" s="67"/>
      <c r="I2077" s="69"/>
      <c r="J2077" s="134"/>
      <c r="K2077" s="324">
        <v>0.2999</v>
      </c>
      <c r="L2077" s="191">
        <f>L545</f>
        <v>1.4842</v>
      </c>
      <c r="M2077" s="401"/>
      <c r="N2077" s="86"/>
    </row>
    <row r="2078" spans="1:14" s="64" customFormat="1" x14ac:dyDescent="0.2">
      <c r="A2078" s="63"/>
      <c r="B2078" s="396"/>
      <c r="C2078" s="122"/>
      <c r="D2078" s="75"/>
      <c r="E2078" s="395"/>
      <c r="F2078" s="395"/>
      <c r="G2078" s="395"/>
      <c r="H2078" s="67"/>
      <c r="I2078" s="69"/>
      <c r="J2078" s="134"/>
      <c r="K2078" s="324">
        <v>0.2999</v>
      </c>
      <c r="L2078" s="191">
        <f>L546</f>
        <v>1.4842</v>
      </c>
      <c r="M2078" s="401"/>
      <c r="N2078" s="86"/>
    </row>
    <row r="2079" spans="1:14" s="64" customFormat="1" x14ac:dyDescent="0.2">
      <c r="A2079" s="63"/>
      <c r="B2079" s="396"/>
      <c r="C2079" s="122"/>
      <c r="D2079" s="75"/>
      <c r="E2079" s="395"/>
      <c r="F2079" s="395"/>
      <c r="G2079" s="395"/>
      <c r="H2079" s="67"/>
      <c r="I2079" s="69"/>
      <c r="J2079" s="134"/>
      <c r="K2079" s="324">
        <v>0.2999</v>
      </c>
      <c r="L2079" s="191">
        <f>L547</f>
        <v>1.4842</v>
      </c>
      <c r="M2079" s="401"/>
      <c r="N2079" s="86"/>
    </row>
    <row r="2080" spans="1:14" s="64" customFormat="1" x14ac:dyDescent="0.2">
      <c r="A2080" s="63"/>
      <c r="B2080" s="396"/>
      <c r="C2080" s="122"/>
      <c r="D2080" s="75"/>
      <c r="E2080" s="395"/>
      <c r="F2080" s="395"/>
      <c r="G2080" s="395"/>
      <c r="H2080" s="67"/>
      <c r="I2080" s="69"/>
      <c r="J2080" s="134"/>
      <c r="K2080" s="324">
        <v>0.2999</v>
      </c>
      <c r="L2080" s="191">
        <f>L548</f>
        <v>1.4842</v>
      </c>
      <c r="M2080" s="401"/>
      <c r="N2080" s="86"/>
    </row>
    <row r="2081" spans="1:14" s="64" customFormat="1" x14ac:dyDescent="0.2">
      <c r="A2081" s="63"/>
      <c r="B2081" s="396"/>
      <c r="C2081" s="122"/>
      <c r="D2081" s="75"/>
      <c r="E2081" s="395"/>
      <c r="F2081" s="395"/>
      <c r="G2081" s="395"/>
      <c r="H2081" s="67"/>
      <c r="I2081" s="69"/>
      <c r="J2081" s="134"/>
      <c r="K2081" s="324">
        <v>0.2999</v>
      </c>
      <c r="L2081" s="191">
        <f>L549</f>
        <v>1.4842</v>
      </c>
      <c r="M2081" s="401"/>
      <c r="N2081" s="86"/>
    </row>
    <row r="2082" spans="1:14" s="64" customFormat="1" x14ac:dyDescent="0.2">
      <c r="A2082" s="63"/>
      <c r="B2082" s="396"/>
      <c r="C2082" s="122"/>
      <c r="D2082" s="75"/>
      <c r="E2082" s="395"/>
      <c r="F2082" s="395"/>
      <c r="G2082" s="395"/>
      <c r="H2082" s="67"/>
      <c r="I2082" s="69"/>
      <c r="J2082" s="134"/>
      <c r="K2082" s="324">
        <v>0.2999</v>
      </c>
      <c r="L2082" s="191">
        <f>L550</f>
        <v>1.4842</v>
      </c>
      <c r="M2082" s="401"/>
      <c r="N2082" s="86"/>
    </row>
    <row r="2083" spans="1:14" s="64" customFormat="1" x14ac:dyDescent="0.2">
      <c r="A2083" s="63"/>
      <c r="B2083" s="396"/>
      <c r="C2083" s="122"/>
      <c r="D2083" s="75"/>
      <c r="E2083" s="395"/>
      <c r="F2083" s="395"/>
      <c r="G2083" s="395"/>
      <c r="H2083" s="67"/>
      <c r="I2083" s="69"/>
      <c r="J2083" s="134"/>
      <c r="K2083" s="324">
        <v>0.2999</v>
      </c>
      <c r="L2083" s="191">
        <f>L551</f>
        <v>1.4842</v>
      </c>
      <c r="M2083" s="401"/>
      <c r="N2083" s="86"/>
    </row>
    <row r="2084" spans="1:14" s="64" customFormat="1" x14ac:dyDescent="0.2">
      <c r="A2084" s="63"/>
      <c r="B2084" s="396"/>
      <c r="C2084" s="122"/>
      <c r="D2084" s="75"/>
      <c r="E2084" s="395"/>
      <c r="F2084" s="395"/>
      <c r="G2084" s="395"/>
      <c r="H2084" s="67"/>
      <c r="I2084" s="69"/>
      <c r="J2084" s="134"/>
      <c r="K2084" s="324">
        <v>0.2999</v>
      </c>
      <c r="L2084" s="191">
        <f>L552</f>
        <v>1.4842</v>
      </c>
      <c r="M2084" s="401"/>
      <c r="N2084" s="86"/>
    </row>
    <row r="2085" spans="1:14" s="64" customFormat="1" x14ac:dyDescent="0.2">
      <c r="A2085" s="63"/>
      <c r="B2085" s="396"/>
      <c r="C2085" s="122"/>
      <c r="D2085" s="75"/>
      <c r="E2085" s="395"/>
      <c r="F2085" s="395"/>
      <c r="G2085" s="395"/>
      <c r="H2085" s="67"/>
      <c r="I2085" s="69"/>
      <c r="J2085" s="134"/>
      <c r="K2085" s="324">
        <v>0.2999</v>
      </c>
      <c r="L2085" s="191">
        <f>L553</f>
        <v>1.4842</v>
      </c>
      <c r="M2085" s="401"/>
      <c r="N2085" s="86"/>
    </row>
    <row r="2086" spans="1:14" s="64" customFormat="1" x14ac:dyDescent="0.2">
      <c r="A2086" s="63"/>
      <c r="B2086" s="396"/>
      <c r="C2086" s="122"/>
      <c r="D2086" s="75"/>
      <c r="E2086" s="395"/>
      <c r="F2086" s="395"/>
      <c r="G2086" s="395"/>
      <c r="H2086" s="67"/>
      <c r="I2086" s="69"/>
      <c r="J2086" s="134"/>
      <c r="K2086" s="324">
        <v>0.2999</v>
      </c>
      <c r="L2086" s="191">
        <f>L554</f>
        <v>1.4842</v>
      </c>
      <c r="M2086" s="401"/>
      <c r="N2086" s="86"/>
    </row>
    <row r="2087" spans="1:14" s="64" customFormat="1" x14ac:dyDescent="0.2">
      <c r="A2087" s="63"/>
      <c r="B2087" s="396"/>
      <c r="C2087" s="122"/>
      <c r="D2087" s="75"/>
      <c r="E2087" s="395"/>
      <c r="F2087" s="395"/>
      <c r="G2087" s="395"/>
      <c r="H2087" s="67"/>
      <c r="I2087" s="69"/>
      <c r="J2087" s="134"/>
      <c r="K2087" s="324">
        <v>0.2999</v>
      </c>
      <c r="L2087" s="191">
        <f>L555</f>
        <v>1.4842</v>
      </c>
      <c r="M2087" s="401"/>
      <c r="N2087" s="86"/>
    </row>
    <row r="2088" spans="1:14" s="64" customFormat="1" x14ac:dyDescent="0.2">
      <c r="A2088" s="63"/>
      <c r="B2088" s="396"/>
      <c r="C2088" s="122"/>
      <c r="D2088" s="75"/>
      <c r="E2088" s="395"/>
      <c r="F2088" s="395"/>
      <c r="G2088" s="395"/>
      <c r="H2088" s="67"/>
      <c r="I2088" s="69"/>
      <c r="J2088" s="134"/>
      <c r="K2088" s="324">
        <v>0.2999</v>
      </c>
      <c r="L2088" s="191">
        <f>L556</f>
        <v>1.4842</v>
      </c>
      <c r="M2088" s="401"/>
      <c r="N2088" s="86"/>
    </row>
    <row r="2089" spans="1:14" s="64" customFormat="1" x14ac:dyDescent="0.2">
      <c r="A2089" s="63"/>
      <c r="B2089" s="396"/>
      <c r="C2089" s="122"/>
      <c r="D2089" s="75"/>
      <c r="E2089" s="395"/>
      <c r="F2089" s="395"/>
      <c r="G2089" s="395"/>
      <c r="H2089" s="67"/>
      <c r="I2089" s="69"/>
      <c r="J2089" s="134"/>
      <c r="K2089" s="324">
        <v>0.2999</v>
      </c>
      <c r="L2089" s="191">
        <f>L557</f>
        <v>1.4842</v>
      </c>
      <c r="M2089" s="401"/>
      <c r="N2089" s="86"/>
    </row>
    <row r="2090" spans="1:14" s="64" customFormat="1" x14ac:dyDescent="0.2">
      <c r="A2090" s="63"/>
      <c r="B2090" s="396"/>
      <c r="C2090" s="122"/>
      <c r="D2090" s="75"/>
      <c r="E2090" s="395"/>
      <c r="F2090" s="395"/>
      <c r="G2090" s="395"/>
      <c r="H2090" s="67"/>
      <c r="I2090" s="69"/>
      <c r="J2090" s="134"/>
      <c r="K2090" s="324">
        <v>0.2999</v>
      </c>
      <c r="L2090" s="191">
        <f>L558</f>
        <v>1.4842</v>
      </c>
      <c r="M2090" s="401"/>
      <c r="N2090" s="86"/>
    </row>
    <row r="2091" spans="1:14" s="64" customFormat="1" x14ac:dyDescent="0.2">
      <c r="A2091" s="63"/>
      <c r="B2091" s="396"/>
      <c r="C2091" s="122"/>
      <c r="D2091" s="75"/>
      <c r="E2091" s="395"/>
      <c r="F2091" s="395"/>
      <c r="G2091" s="395"/>
      <c r="H2091" s="67"/>
      <c r="I2091" s="69"/>
      <c r="J2091" s="134"/>
      <c r="K2091" s="324">
        <v>0.2999</v>
      </c>
      <c r="L2091" s="191">
        <f>L559</f>
        <v>1.4842</v>
      </c>
      <c r="M2091" s="401"/>
      <c r="N2091" s="86"/>
    </row>
    <row r="2092" spans="1:14" s="64" customFormat="1" x14ac:dyDescent="0.2">
      <c r="A2092" s="63"/>
      <c r="B2092" s="396"/>
      <c r="C2092" s="122"/>
      <c r="D2092" s="75"/>
      <c r="E2092" s="395"/>
      <c r="F2092" s="395"/>
      <c r="G2092" s="395"/>
      <c r="H2092" s="67"/>
      <c r="I2092" s="69"/>
      <c r="J2092" s="134"/>
      <c r="K2092" s="324">
        <v>0.2999</v>
      </c>
      <c r="L2092" s="191">
        <f>L560</f>
        <v>1.4842</v>
      </c>
      <c r="M2092" s="401"/>
      <c r="N2092" s="86"/>
    </row>
    <row r="2093" spans="1:14" s="64" customFormat="1" x14ac:dyDescent="0.2">
      <c r="A2093" s="63"/>
      <c r="B2093" s="396"/>
      <c r="C2093" s="122"/>
      <c r="D2093" s="75"/>
      <c r="E2093" s="395"/>
      <c r="F2093" s="395"/>
      <c r="G2093" s="395"/>
      <c r="H2093" s="67"/>
      <c r="I2093" s="69"/>
      <c r="J2093" s="134"/>
      <c r="K2093" s="324">
        <v>0.2999</v>
      </c>
      <c r="L2093" s="191">
        <f>L561</f>
        <v>1.4842</v>
      </c>
      <c r="M2093" s="401"/>
      <c r="N2093" s="86"/>
    </row>
    <row r="2094" spans="1:14" s="64" customFormat="1" x14ac:dyDescent="0.2">
      <c r="A2094" s="63"/>
      <c r="B2094" s="396"/>
      <c r="C2094" s="122"/>
      <c r="D2094" s="75"/>
      <c r="E2094" s="395"/>
      <c r="F2094" s="395"/>
      <c r="G2094" s="395"/>
      <c r="H2094" s="67"/>
      <c r="I2094" s="69"/>
      <c r="J2094" s="134"/>
      <c r="K2094" s="324">
        <v>0.2999</v>
      </c>
      <c r="L2094" s="191">
        <f>L562</f>
        <v>1.4842</v>
      </c>
      <c r="M2094" s="401"/>
      <c r="N2094" s="86"/>
    </row>
    <row r="2095" spans="1:14" s="64" customFormat="1" x14ac:dyDescent="0.2">
      <c r="A2095" s="63"/>
      <c r="B2095" s="396"/>
      <c r="C2095" s="122"/>
      <c r="D2095" s="75"/>
      <c r="E2095" s="395"/>
      <c r="F2095" s="395"/>
      <c r="G2095" s="395"/>
      <c r="H2095" s="67"/>
      <c r="I2095" s="69"/>
      <c r="J2095" s="134"/>
      <c r="K2095" s="324">
        <v>0.2999</v>
      </c>
      <c r="L2095" s="191">
        <f>L563</f>
        <v>1.4842</v>
      </c>
      <c r="M2095" s="401"/>
      <c r="N2095" s="86"/>
    </row>
    <row r="2096" spans="1:14" s="64" customFormat="1" x14ac:dyDescent="0.2">
      <c r="A2096" s="63"/>
      <c r="B2096" s="396"/>
      <c r="C2096" s="122"/>
      <c r="D2096" s="75"/>
      <c r="E2096" s="395"/>
      <c r="F2096" s="395"/>
      <c r="G2096" s="395"/>
      <c r="H2096" s="67"/>
      <c r="I2096" s="69"/>
      <c r="J2096" s="134"/>
      <c r="K2096" s="324">
        <v>0.2999</v>
      </c>
      <c r="L2096" s="191">
        <f>L564</f>
        <v>1.4842</v>
      </c>
      <c r="M2096" s="401"/>
      <c r="N2096" s="86"/>
    </row>
    <row r="2097" spans="1:14" s="64" customFormat="1" x14ac:dyDescent="0.2">
      <c r="A2097" s="63"/>
      <c r="B2097" s="396"/>
      <c r="C2097" s="122"/>
      <c r="D2097" s="75"/>
      <c r="E2097" s="395"/>
      <c r="F2097" s="395"/>
      <c r="G2097" s="395"/>
      <c r="H2097" s="67"/>
      <c r="I2097" s="69"/>
      <c r="J2097" s="134"/>
      <c r="K2097" s="324">
        <v>0.2999</v>
      </c>
      <c r="L2097" s="191">
        <f>L565</f>
        <v>1.4842</v>
      </c>
      <c r="M2097" s="401"/>
      <c r="N2097" s="86"/>
    </row>
    <row r="2098" spans="1:14" s="64" customFormat="1" x14ac:dyDescent="0.2">
      <c r="A2098" s="63"/>
      <c r="B2098" s="396"/>
      <c r="C2098" s="122"/>
      <c r="D2098" s="75"/>
      <c r="E2098" s="395"/>
      <c r="F2098" s="395"/>
      <c r="G2098" s="395"/>
      <c r="H2098" s="67"/>
      <c r="I2098" s="69"/>
      <c r="J2098" s="134"/>
      <c r="K2098" s="324">
        <v>0.2999</v>
      </c>
      <c r="L2098" s="191">
        <f>L566</f>
        <v>1.4842</v>
      </c>
      <c r="M2098" s="401"/>
      <c r="N2098" s="86"/>
    </row>
    <row r="2099" spans="1:14" s="64" customFormat="1" x14ac:dyDescent="0.2">
      <c r="A2099" s="63"/>
      <c r="B2099" s="396"/>
      <c r="C2099" s="122"/>
      <c r="D2099" s="75"/>
      <c r="E2099" s="395"/>
      <c r="F2099" s="395"/>
      <c r="G2099" s="395"/>
      <c r="H2099" s="67"/>
      <c r="I2099" s="69"/>
      <c r="J2099" s="134"/>
      <c r="K2099" s="324">
        <v>0.2999</v>
      </c>
      <c r="L2099" s="191">
        <f>L567</f>
        <v>1.4842</v>
      </c>
      <c r="M2099" s="401"/>
      <c r="N2099" s="86"/>
    </row>
    <row r="2100" spans="1:14" s="64" customFormat="1" x14ac:dyDescent="0.2">
      <c r="A2100" s="63"/>
      <c r="B2100" s="396"/>
      <c r="C2100" s="122"/>
      <c r="D2100" s="75"/>
      <c r="E2100" s="395"/>
      <c r="F2100" s="395"/>
      <c r="G2100" s="395"/>
      <c r="H2100" s="67"/>
      <c r="I2100" s="69"/>
      <c r="J2100" s="134"/>
      <c r="K2100" s="324">
        <v>0.2999</v>
      </c>
      <c r="L2100" s="191">
        <f>L568</f>
        <v>1.4842</v>
      </c>
      <c r="M2100" s="401"/>
      <c r="N2100" s="86"/>
    </row>
    <row r="2101" spans="1:14" s="64" customFormat="1" x14ac:dyDescent="0.2">
      <c r="A2101" s="63"/>
      <c r="B2101" s="396"/>
      <c r="C2101" s="122"/>
      <c r="D2101" s="75"/>
      <c r="E2101" s="395"/>
      <c r="F2101" s="395"/>
      <c r="G2101" s="395"/>
      <c r="H2101" s="67"/>
      <c r="I2101" s="69"/>
      <c r="J2101" s="134"/>
      <c r="K2101" s="324">
        <v>0.2999</v>
      </c>
      <c r="L2101" s="191">
        <f>L569</f>
        <v>1.4842</v>
      </c>
      <c r="M2101" s="401"/>
      <c r="N2101" s="86"/>
    </row>
    <row r="2102" spans="1:14" s="64" customFormat="1" x14ac:dyDescent="0.2">
      <c r="A2102" s="63"/>
      <c r="B2102" s="396"/>
      <c r="C2102" s="122"/>
      <c r="D2102" s="75"/>
      <c r="E2102" s="395"/>
      <c r="F2102" s="395"/>
      <c r="G2102" s="395"/>
      <c r="H2102" s="67"/>
      <c r="I2102" s="69"/>
      <c r="J2102" s="134"/>
      <c r="K2102" s="324">
        <v>0.2999</v>
      </c>
      <c r="L2102" s="191">
        <f>L570</f>
        <v>1.4842</v>
      </c>
      <c r="M2102" s="401"/>
      <c r="N2102" s="86"/>
    </row>
    <row r="2103" spans="1:14" s="64" customFormat="1" x14ac:dyDescent="0.2">
      <c r="A2103" s="63"/>
      <c r="B2103" s="396"/>
      <c r="C2103" s="122"/>
      <c r="D2103" s="75"/>
      <c r="E2103" s="395"/>
      <c r="F2103" s="395"/>
      <c r="G2103" s="395"/>
      <c r="H2103" s="67"/>
      <c r="I2103" s="69"/>
      <c r="J2103" s="134"/>
      <c r="K2103" s="324">
        <v>0.2999</v>
      </c>
      <c r="L2103" s="191">
        <f>L571</f>
        <v>1.4842</v>
      </c>
      <c r="M2103" s="401"/>
      <c r="N2103" s="86"/>
    </row>
    <row r="2104" spans="1:14" s="64" customFormat="1" x14ac:dyDescent="0.2">
      <c r="A2104" s="63"/>
      <c r="B2104" s="396"/>
      <c r="C2104" s="122"/>
      <c r="D2104" s="75"/>
      <c r="E2104" s="395"/>
      <c r="F2104" s="395"/>
      <c r="G2104" s="395"/>
      <c r="H2104" s="67"/>
      <c r="I2104" s="69"/>
      <c r="J2104" s="134"/>
      <c r="K2104" s="324">
        <v>0.2999</v>
      </c>
      <c r="L2104" s="191">
        <f>L572</f>
        <v>1.4842</v>
      </c>
      <c r="M2104" s="401"/>
      <c r="N2104" s="86"/>
    </row>
    <row r="2105" spans="1:14" s="64" customFormat="1" x14ac:dyDescent="0.2">
      <c r="A2105" s="63"/>
      <c r="B2105" s="396"/>
      <c r="C2105" s="122"/>
      <c r="D2105" s="75"/>
      <c r="E2105" s="395"/>
      <c r="F2105" s="395"/>
      <c r="G2105" s="395"/>
      <c r="H2105" s="67"/>
      <c r="I2105" s="69"/>
      <c r="J2105" s="134"/>
      <c r="K2105" s="324">
        <v>0.2999</v>
      </c>
      <c r="L2105" s="191">
        <f>L573</f>
        <v>1.4842</v>
      </c>
      <c r="M2105" s="401"/>
      <c r="N2105" s="86"/>
    </row>
    <row r="2106" spans="1:14" s="64" customFormat="1" x14ac:dyDescent="0.2">
      <c r="A2106" s="63"/>
      <c r="B2106" s="396"/>
      <c r="C2106" s="122"/>
      <c r="D2106" s="75"/>
      <c r="E2106" s="395"/>
      <c r="F2106" s="395"/>
      <c r="G2106" s="395"/>
      <c r="H2106" s="67"/>
      <c r="I2106" s="69"/>
      <c r="J2106" s="134"/>
      <c r="K2106" s="324">
        <v>0.2999</v>
      </c>
      <c r="L2106" s="191">
        <f>L574</f>
        <v>1.4842</v>
      </c>
      <c r="M2106" s="401"/>
      <c r="N2106" s="86"/>
    </row>
    <row r="2107" spans="1:14" s="64" customFormat="1" x14ac:dyDescent="0.2">
      <c r="A2107" s="63"/>
      <c r="B2107" s="396"/>
      <c r="C2107" s="122"/>
      <c r="D2107" s="75"/>
      <c r="E2107" s="395"/>
      <c r="F2107" s="395"/>
      <c r="G2107" s="395"/>
      <c r="H2107" s="67"/>
      <c r="I2107" s="69"/>
      <c r="J2107" s="134"/>
      <c r="K2107" s="324">
        <v>0.2999</v>
      </c>
      <c r="L2107" s="191">
        <f>L575</f>
        <v>1.4842</v>
      </c>
      <c r="M2107" s="401"/>
      <c r="N2107" s="86"/>
    </row>
    <row r="2108" spans="1:14" s="64" customFormat="1" x14ac:dyDescent="0.2">
      <c r="A2108" s="63"/>
      <c r="B2108" s="396"/>
      <c r="C2108" s="122"/>
      <c r="D2108" s="75"/>
      <c r="E2108" s="395"/>
      <c r="F2108" s="395"/>
      <c r="G2108" s="395"/>
      <c r="H2108" s="67"/>
      <c r="I2108" s="69"/>
      <c r="J2108" s="134"/>
      <c r="K2108" s="324">
        <v>0.2999</v>
      </c>
      <c r="L2108" s="191">
        <f>L576</f>
        <v>1.4842</v>
      </c>
      <c r="M2108" s="401"/>
      <c r="N2108" s="86"/>
    </row>
    <row r="2109" spans="1:14" s="64" customFormat="1" x14ac:dyDescent="0.2">
      <c r="A2109" s="63"/>
      <c r="B2109" s="396"/>
      <c r="C2109" s="122"/>
      <c r="D2109" s="75"/>
      <c r="E2109" s="395"/>
      <c r="F2109" s="395"/>
      <c r="G2109" s="395"/>
      <c r="H2109" s="67"/>
      <c r="I2109" s="69"/>
      <c r="J2109" s="134"/>
      <c r="K2109" s="324">
        <v>0.2999</v>
      </c>
      <c r="L2109" s="191">
        <f>L577</f>
        <v>1.4842</v>
      </c>
      <c r="M2109" s="401"/>
      <c r="N2109" s="86"/>
    </row>
    <row r="2110" spans="1:14" s="64" customFormat="1" x14ac:dyDescent="0.2">
      <c r="A2110" s="63"/>
      <c r="B2110" s="396"/>
      <c r="C2110" s="122"/>
      <c r="D2110" s="75"/>
      <c r="E2110" s="395"/>
      <c r="F2110" s="395"/>
      <c r="G2110" s="395"/>
      <c r="H2110" s="67"/>
      <c r="I2110" s="69"/>
      <c r="J2110" s="134"/>
      <c r="K2110" s="324">
        <v>0.2999</v>
      </c>
      <c r="L2110" s="191">
        <f>L578</f>
        <v>1.4842</v>
      </c>
      <c r="M2110" s="401"/>
      <c r="N2110" s="86"/>
    </row>
    <row r="2111" spans="1:14" s="64" customFormat="1" x14ac:dyDescent="0.2">
      <c r="A2111" s="63"/>
      <c r="B2111" s="396"/>
      <c r="C2111" s="122"/>
      <c r="D2111" s="75"/>
      <c r="E2111" s="395"/>
      <c r="F2111" s="395"/>
      <c r="G2111" s="395"/>
      <c r="H2111" s="67"/>
      <c r="I2111" s="69"/>
      <c r="J2111" s="134"/>
      <c r="K2111" s="324">
        <v>0.2999</v>
      </c>
      <c r="L2111" s="191">
        <f>L579</f>
        <v>1.4842</v>
      </c>
      <c r="M2111" s="401"/>
      <c r="N2111" s="86"/>
    </row>
    <row r="2112" spans="1:14" s="64" customFormat="1" x14ac:dyDescent="0.2">
      <c r="A2112" s="63"/>
      <c r="B2112" s="396"/>
      <c r="C2112" s="122"/>
      <c r="D2112" s="75"/>
      <c r="E2112" s="395"/>
      <c r="F2112" s="395"/>
      <c r="G2112" s="395"/>
      <c r="H2112" s="67"/>
      <c r="I2112" s="69"/>
      <c r="J2112" s="134"/>
      <c r="K2112" s="324">
        <v>0.2999</v>
      </c>
      <c r="L2112" s="191">
        <f>L580</f>
        <v>1.4842</v>
      </c>
      <c r="M2112" s="401"/>
      <c r="N2112" s="86"/>
    </row>
    <row r="2113" spans="1:14" s="64" customFormat="1" x14ac:dyDescent="0.2">
      <c r="A2113" s="63"/>
      <c r="B2113" s="396"/>
      <c r="C2113" s="122"/>
      <c r="D2113" s="75"/>
      <c r="E2113" s="395"/>
      <c r="F2113" s="395"/>
      <c r="G2113" s="395"/>
      <c r="H2113" s="67"/>
      <c r="I2113" s="69"/>
      <c r="J2113" s="134"/>
      <c r="K2113" s="324">
        <v>0.2999</v>
      </c>
      <c r="L2113" s="191">
        <f>L581</f>
        <v>1.4842</v>
      </c>
      <c r="M2113" s="401"/>
      <c r="N2113" s="86"/>
    </row>
    <row r="2114" spans="1:14" s="64" customFormat="1" x14ac:dyDescent="0.2">
      <c r="A2114" s="63"/>
      <c r="B2114" s="396"/>
      <c r="C2114" s="122"/>
      <c r="D2114" s="75"/>
      <c r="E2114" s="395"/>
      <c r="F2114" s="395"/>
      <c r="G2114" s="395"/>
      <c r="H2114" s="67"/>
      <c r="I2114" s="69"/>
      <c r="J2114" s="134"/>
      <c r="K2114" s="324">
        <v>0.2999</v>
      </c>
      <c r="L2114" s="191">
        <f>L582</f>
        <v>1.4842</v>
      </c>
      <c r="M2114" s="401"/>
      <c r="N2114" s="86"/>
    </row>
    <row r="2115" spans="1:14" s="64" customFormat="1" x14ac:dyDescent="0.2">
      <c r="A2115" s="63"/>
      <c r="B2115" s="396"/>
      <c r="C2115" s="122"/>
      <c r="D2115" s="75"/>
      <c r="E2115" s="395"/>
      <c r="F2115" s="395"/>
      <c r="G2115" s="395"/>
      <c r="H2115" s="67"/>
      <c r="I2115" s="69"/>
      <c r="J2115" s="134"/>
      <c r="K2115" s="324">
        <v>0.2999</v>
      </c>
      <c r="L2115" s="191">
        <f>L583</f>
        <v>1.4842</v>
      </c>
      <c r="M2115" s="401"/>
      <c r="N2115" s="86"/>
    </row>
    <row r="2116" spans="1:14" s="64" customFormat="1" x14ac:dyDescent="0.2">
      <c r="A2116" s="63"/>
      <c r="B2116" s="396"/>
      <c r="C2116" s="122"/>
      <c r="D2116" s="75"/>
      <c r="E2116" s="395"/>
      <c r="F2116" s="395"/>
      <c r="G2116" s="395"/>
      <c r="H2116" s="67"/>
      <c r="I2116" s="69"/>
      <c r="J2116" s="134"/>
      <c r="K2116" s="324">
        <v>0.2999</v>
      </c>
      <c r="L2116" s="191">
        <f>L584</f>
        <v>1.4842</v>
      </c>
      <c r="M2116" s="401"/>
      <c r="N2116" s="86"/>
    </row>
    <row r="2117" spans="1:14" s="64" customFormat="1" x14ac:dyDescent="0.2">
      <c r="A2117" s="63"/>
      <c r="B2117" s="396"/>
      <c r="C2117" s="122"/>
      <c r="D2117" s="75"/>
      <c r="E2117" s="395"/>
      <c r="F2117" s="395"/>
      <c r="G2117" s="395"/>
      <c r="H2117" s="67"/>
      <c r="I2117" s="69"/>
      <c r="J2117" s="134"/>
      <c r="K2117" s="324">
        <v>0.2999</v>
      </c>
      <c r="L2117" s="191">
        <f>L585</f>
        <v>1.4842</v>
      </c>
      <c r="M2117" s="401"/>
      <c r="N2117" s="86"/>
    </row>
    <row r="2118" spans="1:14" s="64" customFormat="1" x14ac:dyDescent="0.2">
      <c r="A2118" s="63"/>
      <c r="B2118" s="396"/>
      <c r="C2118" s="122"/>
      <c r="D2118" s="75"/>
      <c r="E2118" s="395"/>
      <c r="F2118" s="395"/>
      <c r="G2118" s="395"/>
      <c r="H2118" s="67"/>
      <c r="I2118" s="69"/>
      <c r="J2118" s="134"/>
      <c r="K2118" s="324">
        <v>0.2999</v>
      </c>
      <c r="L2118" s="191">
        <f>L586</f>
        <v>1.4842</v>
      </c>
      <c r="M2118" s="401"/>
      <c r="N2118" s="86"/>
    </row>
    <row r="2119" spans="1:14" s="64" customFormat="1" x14ac:dyDescent="0.2">
      <c r="A2119" s="63"/>
      <c r="B2119" s="396"/>
      <c r="C2119" s="122"/>
      <c r="D2119" s="75"/>
      <c r="E2119" s="395"/>
      <c r="F2119" s="395"/>
      <c r="G2119" s="395"/>
      <c r="H2119" s="67"/>
      <c r="I2119" s="69"/>
      <c r="J2119" s="134"/>
      <c r="K2119" s="324">
        <v>0.2999</v>
      </c>
      <c r="L2119" s="191">
        <f>L587</f>
        <v>1.4842</v>
      </c>
      <c r="M2119" s="401"/>
      <c r="N2119" s="86"/>
    </row>
    <row r="2120" spans="1:14" s="64" customFormat="1" x14ac:dyDescent="0.2">
      <c r="A2120" s="63"/>
      <c r="B2120" s="396"/>
      <c r="C2120" s="122"/>
      <c r="D2120" s="75"/>
      <c r="E2120" s="395"/>
      <c r="F2120" s="395"/>
      <c r="G2120" s="395"/>
      <c r="H2120" s="67"/>
      <c r="I2120" s="69"/>
      <c r="J2120" s="134"/>
      <c r="K2120" s="324">
        <v>0.2999</v>
      </c>
      <c r="L2120" s="191">
        <f>L588</f>
        <v>1.4842</v>
      </c>
      <c r="M2120" s="401"/>
      <c r="N2120" s="86"/>
    </row>
    <row r="2121" spans="1:14" s="64" customFormat="1" x14ac:dyDescent="0.2">
      <c r="A2121" s="63"/>
      <c r="B2121" s="396"/>
      <c r="C2121" s="122"/>
      <c r="D2121" s="75"/>
      <c r="E2121" s="395"/>
      <c r="F2121" s="395"/>
      <c r="G2121" s="395"/>
      <c r="H2121" s="67"/>
      <c r="I2121" s="69"/>
      <c r="J2121" s="134"/>
      <c r="K2121" s="324">
        <v>0.2999</v>
      </c>
      <c r="L2121" s="191">
        <f>L589</f>
        <v>1.4842</v>
      </c>
      <c r="M2121" s="401"/>
      <c r="N2121" s="86"/>
    </row>
    <row r="2122" spans="1:14" s="64" customFormat="1" x14ac:dyDescent="0.2">
      <c r="A2122" s="63"/>
      <c r="B2122" s="396"/>
      <c r="C2122" s="122"/>
      <c r="D2122" s="75"/>
      <c r="E2122" s="395"/>
      <c r="F2122" s="395"/>
      <c r="G2122" s="395"/>
      <c r="H2122" s="67"/>
      <c r="I2122" s="69"/>
      <c r="J2122" s="134"/>
      <c r="K2122" s="324">
        <v>0.2999</v>
      </c>
      <c r="L2122" s="191">
        <f>L590</f>
        <v>1.4842</v>
      </c>
      <c r="M2122" s="401"/>
      <c r="N2122" s="86"/>
    </row>
    <row r="2123" spans="1:14" s="64" customFormat="1" x14ac:dyDescent="0.2">
      <c r="A2123" s="63"/>
      <c r="B2123" s="396"/>
      <c r="C2123" s="122"/>
      <c r="D2123" s="75"/>
      <c r="E2123" s="395"/>
      <c r="F2123" s="395"/>
      <c r="G2123" s="395"/>
      <c r="H2123" s="67"/>
      <c r="I2123" s="69"/>
      <c r="J2123" s="134"/>
      <c r="K2123" s="324">
        <v>0.2999</v>
      </c>
      <c r="L2123" s="191">
        <f>L591</f>
        <v>1.4842</v>
      </c>
      <c r="M2123" s="401"/>
      <c r="N2123" s="86"/>
    </row>
    <row r="2124" spans="1:14" s="64" customFormat="1" x14ac:dyDescent="0.2">
      <c r="A2124" s="63"/>
      <c r="B2124" s="396"/>
      <c r="C2124" s="122"/>
      <c r="D2124" s="75"/>
      <c r="E2124" s="395"/>
      <c r="F2124" s="395"/>
      <c r="G2124" s="395"/>
      <c r="H2124" s="67"/>
      <c r="I2124" s="69"/>
      <c r="J2124" s="134"/>
      <c r="K2124" s="324">
        <v>0.2999</v>
      </c>
      <c r="L2124" s="191">
        <f>L592</f>
        <v>1.4842</v>
      </c>
      <c r="M2124" s="401"/>
      <c r="N2124" s="86"/>
    </row>
    <row r="2125" spans="1:14" s="64" customFormat="1" x14ac:dyDescent="0.2">
      <c r="A2125" s="63"/>
      <c r="B2125" s="396"/>
      <c r="C2125" s="122"/>
      <c r="D2125" s="75"/>
      <c r="E2125" s="395"/>
      <c r="F2125" s="395"/>
      <c r="G2125" s="395"/>
      <c r="H2125" s="67"/>
      <c r="I2125" s="69"/>
      <c r="J2125" s="134"/>
      <c r="K2125" s="324">
        <v>0.2999</v>
      </c>
      <c r="L2125" s="191">
        <f>L593</f>
        <v>1.4842</v>
      </c>
      <c r="M2125" s="401"/>
      <c r="N2125" s="86"/>
    </row>
    <row r="2126" spans="1:14" s="64" customFormat="1" x14ac:dyDescent="0.2">
      <c r="A2126" s="63"/>
      <c r="B2126" s="396"/>
      <c r="C2126" s="122"/>
      <c r="D2126" s="75"/>
      <c r="E2126" s="395"/>
      <c r="F2126" s="395"/>
      <c r="G2126" s="395"/>
      <c r="H2126" s="67"/>
      <c r="I2126" s="69"/>
      <c r="J2126" s="134"/>
      <c r="K2126" s="324">
        <v>0.2999</v>
      </c>
      <c r="L2126" s="191">
        <f>L594</f>
        <v>1.4842</v>
      </c>
      <c r="M2126" s="401"/>
      <c r="N2126" s="86"/>
    </row>
    <row r="2127" spans="1:14" s="64" customFormat="1" x14ac:dyDescent="0.2">
      <c r="A2127" s="63"/>
      <c r="B2127" s="396"/>
      <c r="C2127" s="122"/>
      <c r="D2127" s="75"/>
      <c r="E2127" s="395"/>
      <c r="F2127" s="395"/>
      <c r="G2127" s="395"/>
      <c r="H2127" s="67"/>
      <c r="I2127" s="69"/>
      <c r="J2127" s="134"/>
      <c r="K2127" s="324">
        <v>0.2999</v>
      </c>
      <c r="L2127" s="191">
        <f>L595</f>
        <v>1.4842</v>
      </c>
      <c r="M2127" s="401"/>
      <c r="N2127" s="86"/>
    </row>
    <row r="2128" spans="1:14" s="64" customFormat="1" x14ac:dyDescent="0.2">
      <c r="A2128" s="63"/>
      <c r="B2128" s="396"/>
      <c r="C2128" s="122"/>
      <c r="D2128" s="75"/>
      <c r="E2128" s="395"/>
      <c r="F2128" s="395"/>
      <c r="G2128" s="395"/>
      <c r="H2128" s="67"/>
      <c r="I2128" s="69"/>
      <c r="J2128" s="134"/>
      <c r="K2128" s="324">
        <v>0.2999</v>
      </c>
      <c r="L2128" s="191">
        <f>L596</f>
        <v>1.4842</v>
      </c>
      <c r="M2128" s="401"/>
      <c r="N2128" s="86"/>
    </row>
    <row r="2129" spans="1:14" s="64" customFormat="1" x14ac:dyDescent="0.2">
      <c r="A2129" s="63"/>
      <c r="B2129" s="396"/>
      <c r="C2129" s="122"/>
      <c r="D2129" s="75"/>
      <c r="E2129" s="395"/>
      <c r="F2129" s="395"/>
      <c r="G2129" s="395"/>
      <c r="H2129" s="67"/>
      <c r="I2129" s="69"/>
      <c r="J2129" s="134"/>
      <c r="K2129" s="324">
        <v>0.2999</v>
      </c>
      <c r="L2129" s="191">
        <f>L597</f>
        <v>1.4842</v>
      </c>
      <c r="M2129" s="401"/>
      <c r="N2129" s="86"/>
    </row>
    <row r="2130" spans="1:14" s="64" customFormat="1" x14ac:dyDescent="0.2">
      <c r="A2130" s="63"/>
      <c r="B2130" s="396"/>
      <c r="C2130" s="122"/>
      <c r="D2130" s="75"/>
      <c r="E2130" s="395"/>
      <c r="F2130" s="395"/>
      <c r="G2130" s="395"/>
      <c r="H2130" s="67"/>
      <c r="I2130" s="69"/>
      <c r="J2130" s="134"/>
      <c r="K2130" s="324">
        <v>0.2999</v>
      </c>
      <c r="L2130" s="191">
        <f>L598</f>
        <v>1.4842</v>
      </c>
      <c r="M2130" s="401"/>
      <c r="N2130" s="86"/>
    </row>
    <row r="2131" spans="1:14" s="64" customFormat="1" x14ac:dyDescent="0.2">
      <c r="A2131" s="63"/>
      <c r="B2131" s="396"/>
      <c r="C2131" s="122"/>
      <c r="D2131" s="75"/>
      <c r="E2131" s="395"/>
      <c r="F2131" s="395"/>
      <c r="G2131" s="395"/>
      <c r="H2131" s="67"/>
      <c r="I2131" s="69"/>
      <c r="J2131" s="134"/>
      <c r="K2131" s="324">
        <v>0.2999</v>
      </c>
      <c r="L2131" s="191">
        <f>L599</f>
        <v>1.4842</v>
      </c>
      <c r="M2131" s="401"/>
      <c r="N2131" s="86"/>
    </row>
    <row r="2132" spans="1:14" s="64" customFormat="1" x14ac:dyDescent="0.2">
      <c r="A2132" s="63"/>
      <c r="B2132" s="396"/>
      <c r="C2132" s="122"/>
      <c r="D2132" s="75"/>
      <c r="E2132" s="395"/>
      <c r="F2132" s="395"/>
      <c r="G2132" s="395"/>
      <c r="H2132" s="67"/>
      <c r="I2132" s="69"/>
      <c r="J2132" s="134"/>
      <c r="K2132" s="324">
        <v>0.2999</v>
      </c>
      <c r="L2132" s="191">
        <f>L600</f>
        <v>1.4842</v>
      </c>
      <c r="M2132" s="401"/>
      <c r="N2132" s="86"/>
    </row>
    <row r="2133" spans="1:14" s="64" customFormat="1" x14ac:dyDescent="0.2">
      <c r="A2133" s="63"/>
      <c r="B2133" s="396"/>
      <c r="C2133" s="122"/>
      <c r="D2133" s="75"/>
      <c r="E2133" s="395"/>
      <c r="F2133" s="395"/>
      <c r="G2133" s="395"/>
      <c r="H2133" s="67"/>
      <c r="I2133" s="69"/>
      <c r="J2133" s="134"/>
      <c r="K2133" s="324">
        <v>0.2999</v>
      </c>
      <c r="L2133" s="191">
        <f>L601</f>
        <v>1.4842</v>
      </c>
      <c r="M2133" s="401"/>
      <c r="N2133" s="86"/>
    </row>
    <row r="2134" spans="1:14" s="64" customFormat="1" x14ac:dyDescent="0.2">
      <c r="A2134" s="63"/>
      <c r="B2134" s="396"/>
      <c r="C2134" s="122"/>
      <c r="D2134" s="75"/>
      <c r="E2134" s="395"/>
      <c r="F2134" s="395"/>
      <c r="G2134" s="395"/>
      <c r="H2134" s="67"/>
      <c r="I2134" s="69"/>
      <c r="J2134" s="134"/>
      <c r="K2134" s="324">
        <v>0.2999</v>
      </c>
      <c r="L2134" s="191">
        <f>L602</f>
        <v>1.4842</v>
      </c>
      <c r="M2134" s="401"/>
      <c r="N2134" s="86"/>
    </row>
    <row r="2135" spans="1:14" s="64" customFormat="1" x14ac:dyDescent="0.2">
      <c r="A2135" s="63"/>
      <c r="B2135" s="396"/>
      <c r="C2135" s="122"/>
      <c r="D2135" s="75"/>
      <c r="E2135" s="395"/>
      <c r="F2135" s="395"/>
      <c r="G2135" s="395"/>
      <c r="H2135" s="67"/>
      <c r="I2135" s="69"/>
      <c r="J2135" s="134"/>
      <c r="K2135" s="324">
        <v>0.2999</v>
      </c>
      <c r="L2135" s="191">
        <f>L603</f>
        <v>1.4842</v>
      </c>
      <c r="M2135" s="401"/>
      <c r="N2135" s="86"/>
    </row>
    <row r="2136" spans="1:14" s="64" customFormat="1" x14ac:dyDescent="0.2">
      <c r="A2136" s="63"/>
      <c r="B2136" s="396"/>
      <c r="C2136" s="122"/>
      <c r="D2136" s="75"/>
      <c r="E2136" s="395"/>
      <c r="F2136" s="395"/>
      <c r="G2136" s="395"/>
      <c r="H2136" s="67"/>
      <c r="I2136" s="69"/>
      <c r="J2136" s="134"/>
      <c r="K2136" s="324">
        <v>0.2999</v>
      </c>
      <c r="L2136" s="191">
        <f>L604</f>
        <v>1.4842</v>
      </c>
      <c r="M2136" s="401"/>
      <c r="N2136" s="86"/>
    </row>
    <row r="2137" spans="1:14" s="64" customFormat="1" x14ac:dyDescent="0.2">
      <c r="A2137" s="63"/>
      <c r="B2137" s="396"/>
      <c r="C2137" s="122"/>
      <c r="D2137" s="75"/>
      <c r="E2137" s="395"/>
      <c r="F2137" s="395"/>
      <c r="G2137" s="395"/>
      <c r="H2137" s="67"/>
      <c r="I2137" s="69"/>
      <c r="J2137" s="134"/>
      <c r="K2137" s="324">
        <v>0.2999</v>
      </c>
      <c r="L2137" s="191">
        <f>L605</f>
        <v>1.4842</v>
      </c>
      <c r="M2137" s="401"/>
      <c r="N2137" s="86"/>
    </row>
    <row r="2138" spans="1:14" s="64" customFormat="1" x14ac:dyDescent="0.2">
      <c r="A2138" s="63"/>
      <c r="B2138" s="396"/>
      <c r="C2138" s="122"/>
      <c r="D2138" s="75"/>
      <c r="E2138" s="395"/>
      <c r="F2138" s="395"/>
      <c r="G2138" s="395"/>
      <c r="H2138" s="67"/>
      <c r="I2138" s="69"/>
      <c r="J2138" s="134"/>
      <c r="K2138" s="324">
        <v>0.2999</v>
      </c>
      <c r="L2138" s="191">
        <f>L606</f>
        <v>1.4842</v>
      </c>
      <c r="M2138" s="401"/>
      <c r="N2138" s="86"/>
    </row>
    <row r="2139" spans="1:14" s="64" customFormat="1" x14ac:dyDescent="0.2">
      <c r="A2139" s="63"/>
      <c r="B2139" s="396"/>
      <c r="C2139" s="122"/>
      <c r="D2139" s="75"/>
      <c r="E2139" s="395"/>
      <c r="F2139" s="395"/>
      <c r="G2139" s="395"/>
      <c r="H2139" s="67"/>
      <c r="I2139" s="69"/>
      <c r="J2139" s="134"/>
      <c r="K2139" s="324">
        <v>0.2999</v>
      </c>
      <c r="L2139" s="191">
        <f>L607</f>
        <v>1.4842</v>
      </c>
      <c r="M2139" s="401"/>
      <c r="N2139" s="86"/>
    </row>
    <row r="2140" spans="1:14" s="64" customFormat="1" x14ac:dyDescent="0.2">
      <c r="A2140" s="63"/>
      <c r="B2140" s="396"/>
      <c r="C2140" s="122"/>
      <c r="D2140" s="75"/>
      <c r="E2140" s="395"/>
      <c r="F2140" s="395"/>
      <c r="G2140" s="395"/>
      <c r="H2140" s="67"/>
      <c r="I2140" s="69"/>
      <c r="J2140" s="134"/>
      <c r="K2140" s="324">
        <v>0.2999</v>
      </c>
      <c r="L2140" s="191">
        <f>L608</f>
        <v>1.4842</v>
      </c>
      <c r="M2140" s="401"/>
      <c r="N2140" s="86"/>
    </row>
    <row r="2141" spans="1:14" s="64" customFormat="1" x14ac:dyDescent="0.2">
      <c r="A2141" s="63"/>
      <c r="B2141" s="396"/>
      <c r="C2141" s="122"/>
      <c r="D2141" s="75"/>
      <c r="E2141" s="395"/>
      <c r="F2141" s="395"/>
      <c r="G2141" s="395"/>
      <c r="H2141" s="67"/>
      <c r="I2141" s="69"/>
      <c r="J2141" s="134"/>
      <c r="K2141" s="324">
        <v>0.2999</v>
      </c>
      <c r="L2141" s="191">
        <f>L609</f>
        <v>1.4842</v>
      </c>
      <c r="M2141" s="401"/>
      <c r="N2141" s="86"/>
    </row>
    <row r="2142" spans="1:14" s="64" customFormat="1" x14ac:dyDescent="0.2">
      <c r="A2142" s="63"/>
      <c r="B2142" s="396"/>
      <c r="C2142" s="122"/>
      <c r="D2142" s="75"/>
      <c r="E2142" s="395"/>
      <c r="F2142" s="395"/>
      <c r="G2142" s="395"/>
      <c r="H2142" s="67"/>
      <c r="I2142" s="69"/>
      <c r="J2142" s="134"/>
      <c r="K2142" s="324">
        <v>0.2999</v>
      </c>
      <c r="L2142" s="191">
        <f>L610</f>
        <v>1.4842</v>
      </c>
      <c r="M2142" s="401"/>
      <c r="N2142" s="86"/>
    </row>
    <row r="2143" spans="1:14" s="64" customFormat="1" x14ac:dyDescent="0.2">
      <c r="A2143" s="63"/>
      <c r="B2143" s="396"/>
      <c r="C2143" s="122"/>
      <c r="D2143" s="75"/>
      <c r="E2143" s="395"/>
      <c r="F2143" s="395"/>
      <c r="G2143" s="395"/>
      <c r="H2143" s="67"/>
      <c r="I2143" s="69"/>
      <c r="J2143" s="134"/>
      <c r="K2143" s="324">
        <v>0.2999</v>
      </c>
      <c r="L2143" s="191">
        <f>L611</f>
        <v>1.4842</v>
      </c>
      <c r="M2143" s="401"/>
      <c r="N2143" s="86"/>
    </row>
    <row r="2144" spans="1:14" s="64" customFormat="1" x14ac:dyDescent="0.2">
      <c r="A2144" s="63"/>
      <c r="B2144" s="396"/>
      <c r="C2144" s="122"/>
      <c r="D2144" s="75"/>
      <c r="E2144" s="395"/>
      <c r="F2144" s="395"/>
      <c r="G2144" s="395"/>
      <c r="H2144" s="67"/>
      <c r="I2144" s="69"/>
      <c r="J2144" s="134"/>
      <c r="K2144" s="324">
        <v>0.2999</v>
      </c>
      <c r="L2144" s="191">
        <f>L612</f>
        <v>1.4842</v>
      </c>
      <c r="M2144" s="401"/>
      <c r="N2144" s="86"/>
    </row>
    <row r="2145" spans="1:14" s="64" customFormat="1" x14ac:dyDescent="0.2">
      <c r="A2145" s="63"/>
      <c r="B2145" s="396"/>
      <c r="C2145" s="122"/>
      <c r="D2145" s="75"/>
      <c r="E2145" s="395"/>
      <c r="F2145" s="395"/>
      <c r="G2145" s="395"/>
      <c r="H2145" s="67"/>
      <c r="I2145" s="69"/>
      <c r="J2145" s="134"/>
      <c r="K2145" s="324">
        <v>0.2999</v>
      </c>
      <c r="L2145" s="191">
        <f>L613</f>
        <v>1.4842</v>
      </c>
      <c r="M2145" s="401"/>
      <c r="N2145" s="86"/>
    </row>
    <row r="2146" spans="1:14" s="64" customFormat="1" x14ac:dyDescent="0.2">
      <c r="A2146" s="63"/>
      <c r="B2146" s="396"/>
      <c r="C2146" s="122"/>
      <c r="D2146" s="75"/>
      <c r="E2146" s="395"/>
      <c r="F2146" s="395"/>
      <c r="G2146" s="395"/>
      <c r="H2146" s="67"/>
      <c r="I2146" s="69"/>
      <c r="J2146" s="134"/>
      <c r="K2146" s="324">
        <v>0.2999</v>
      </c>
      <c r="L2146" s="191">
        <f>L614</f>
        <v>1.4842</v>
      </c>
      <c r="M2146" s="401"/>
      <c r="N2146" s="86"/>
    </row>
    <row r="2147" spans="1:14" s="64" customFormat="1" x14ac:dyDescent="0.2">
      <c r="A2147" s="63"/>
      <c r="B2147" s="396"/>
      <c r="C2147" s="122"/>
      <c r="D2147" s="75"/>
      <c r="E2147" s="395"/>
      <c r="F2147" s="395"/>
      <c r="G2147" s="395"/>
      <c r="H2147" s="67"/>
      <c r="I2147" s="69"/>
      <c r="J2147" s="134"/>
      <c r="K2147" s="324">
        <v>0.2999</v>
      </c>
      <c r="L2147" s="191">
        <f>L615</f>
        <v>1.4842</v>
      </c>
      <c r="M2147" s="401"/>
      <c r="N2147" s="86"/>
    </row>
    <row r="2148" spans="1:14" s="64" customFormat="1" x14ac:dyDescent="0.2">
      <c r="A2148" s="63"/>
      <c r="B2148" s="396"/>
      <c r="C2148" s="122"/>
      <c r="D2148" s="75"/>
      <c r="E2148" s="395"/>
      <c r="F2148" s="395"/>
      <c r="G2148" s="395"/>
      <c r="H2148" s="67"/>
      <c r="I2148" s="69"/>
      <c r="J2148" s="134"/>
      <c r="K2148" s="324">
        <v>0.2999</v>
      </c>
      <c r="L2148" s="191">
        <f>L616</f>
        <v>1.4842</v>
      </c>
      <c r="M2148" s="401"/>
      <c r="N2148" s="86"/>
    </row>
    <row r="2149" spans="1:14" s="64" customFormat="1" x14ac:dyDescent="0.2">
      <c r="A2149" s="63"/>
      <c r="B2149" s="396"/>
      <c r="C2149" s="122"/>
      <c r="D2149" s="75"/>
      <c r="E2149" s="395"/>
      <c r="F2149" s="395"/>
      <c r="G2149" s="395"/>
      <c r="H2149" s="67"/>
      <c r="I2149" s="69"/>
      <c r="J2149" s="134"/>
      <c r="K2149" s="324">
        <v>0.2999</v>
      </c>
      <c r="L2149" s="191">
        <f>L617</f>
        <v>1.4842</v>
      </c>
      <c r="M2149" s="401"/>
      <c r="N2149" s="86"/>
    </row>
    <row r="2150" spans="1:14" s="64" customFormat="1" x14ac:dyDescent="0.2">
      <c r="A2150" s="63"/>
      <c r="B2150" s="396"/>
      <c r="C2150" s="122"/>
      <c r="D2150" s="75"/>
      <c r="E2150" s="395"/>
      <c r="F2150" s="395"/>
      <c r="G2150" s="395"/>
      <c r="H2150" s="67"/>
      <c r="I2150" s="69"/>
      <c r="J2150" s="134"/>
      <c r="K2150" s="324">
        <v>0.2999</v>
      </c>
      <c r="L2150" s="191">
        <f>L618</f>
        <v>1.4842</v>
      </c>
      <c r="M2150" s="401"/>
      <c r="N2150" s="86"/>
    </row>
    <row r="2151" spans="1:14" s="64" customFormat="1" x14ac:dyDescent="0.2">
      <c r="A2151" s="63"/>
      <c r="B2151" s="396"/>
      <c r="C2151" s="122"/>
      <c r="D2151" s="75"/>
      <c r="E2151" s="395"/>
      <c r="F2151" s="395"/>
      <c r="G2151" s="395"/>
      <c r="H2151" s="67"/>
      <c r="I2151" s="69"/>
      <c r="J2151" s="134"/>
      <c r="K2151" s="324">
        <v>0.2999</v>
      </c>
      <c r="L2151" s="191">
        <f>L619</f>
        <v>1.4842</v>
      </c>
      <c r="M2151" s="401"/>
      <c r="N2151" s="86"/>
    </row>
    <row r="2152" spans="1:14" s="64" customFormat="1" x14ac:dyDescent="0.2">
      <c r="A2152" s="63"/>
      <c r="B2152" s="396"/>
      <c r="C2152" s="122"/>
      <c r="D2152" s="75"/>
      <c r="E2152" s="395"/>
      <c r="F2152" s="395"/>
      <c r="G2152" s="395"/>
      <c r="H2152" s="67"/>
      <c r="I2152" s="69"/>
      <c r="J2152" s="134"/>
      <c r="K2152" s="324">
        <v>0.2999</v>
      </c>
      <c r="L2152" s="191">
        <f>L620</f>
        <v>1.4842</v>
      </c>
      <c r="M2152" s="401"/>
      <c r="N2152" s="86"/>
    </row>
    <row r="2153" spans="1:14" s="64" customFormat="1" x14ac:dyDescent="0.2">
      <c r="A2153" s="63"/>
      <c r="B2153" s="396"/>
      <c r="C2153" s="122"/>
      <c r="D2153" s="75"/>
      <c r="E2153" s="395"/>
      <c r="F2153" s="395"/>
      <c r="G2153" s="395"/>
      <c r="H2153" s="67"/>
      <c r="I2153" s="69"/>
      <c r="J2153" s="134"/>
      <c r="K2153" s="324">
        <v>0.2999</v>
      </c>
      <c r="L2153" s="191">
        <f>L621</f>
        <v>1.4842</v>
      </c>
      <c r="M2153" s="401"/>
      <c r="N2153" s="86"/>
    </row>
    <row r="2154" spans="1:14" s="64" customFormat="1" x14ac:dyDescent="0.2">
      <c r="A2154" s="63"/>
      <c r="B2154" s="396"/>
      <c r="C2154" s="122"/>
      <c r="D2154" s="75"/>
      <c r="E2154" s="395"/>
      <c r="F2154" s="395"/>
      <c r="G2154" s="395"/>
      <c r="H2154" s="67"/>
      <c r="I2154" s="69"/>
      <c r="J2154" s="134"/>
      <c r="K2154" s="324">
        <v>0.2999</v>
      </c>
      <c r="L2154" s="191">
        <f>L622</f>
        <v>1.4842</v>
      </c>
      <c r="M2154" s="401"/>
      <c r="N2154" s="86"/>
    </row>
    <row r="2155" spans="1:14" s="64" customFormat="1" x14ac:dyDescent="0.2">
      <c r="A2155" s="63"/>
      <c r="B2155" s="396"/>
      <c r="C2155" s="122"/>
      <c r="D2155" s="75"/>
      <c r="E2155" s="395"/>
      <c r="F2155" s="395"/>
      <c r="G2155" s="395"/>
      <c r="H2155" s="67"/>
      <c r="I2155" s="69"/>
      <c r="J2155" s="134"/>
      <c r="K2155" s="324">
        <v>0.2999</v>
      </c>
      <c r="L2155" s="191">
        <f>L623</f>
        <v>1.4842</v>
      </c>
      <c r="M2155" s="401"/>
      <c r="N2155" s="86"/>
    </row>
    <row r="2156" spans="1:14" s="64" customFormat="1" x14ac:dyDescent="0.2">
      <c r="A2156" s="63"/>
      <c r="B2156" s="396"/>
      <c r="C2156" s="122"/>
      <c r="D2156" s="75"/>
      <c r="E2156" s="395"/>
      <c r="F2156" s="395"/>
      <c r="G2156" s="395"/>
      <c r="H2156" s="67"/>
      <c r="I2156" s="69"/>
      <c r="J2156" s="134"/>
      <c r="K2156" s="324">
        <v>0.2999</v>
      </c>
      <c r="L2156" s="191">
        <f>L624</f>
        <v>1.4842</v>
      </c>
      <c r="M2156" s="401"/>
      <c r="N2156" s="86"/>
    </row>
    <row r="2157" spans="1:14" s="64" customFormat="1" x14ac:dyDescent="0.2">
      <c r="A2157" s="63"/>
      <c r="B2157" s="396"/>
      <c r="C2157" s="122"/>
      <c r="D2157" s="75"/>
      <c r="E2157" s="395"/>
      <c r="F2157" s="395"/>
      <c r="G2157" s="395"/>
      <c r="H2157" s="67"/>
      <c r="I2157" s="69"/>
      <c r="J2157" s="134"/>
      <c r="K2157" s="324">
        <v>0.2999</v>
      </c>
      <c r="L2157" s="191">
        <f>L625</f>
        <v>1.4842</v>
      </c>
      <c r="M2157" s="401"/>
      <c r="N2157" s="86"/>
    </row>
    <row r="2158" spans="1:14" s="64" customFormat="1" x14ac:dyDescent="0.2">
      <c r="A2158" s="63"/>
      <c r="B2158" s="396"/>
      <c r="C2158" s="122"/>
      <c r="D2158" s="75"/>
      <c r="E2158" s="395"/>
      <c r="F2158" s="395"/>
      <c r="G2158" s="395"/>
      <c r="H2158" s="67"/>
      <c r="I2158" s="69"/>
      <c r="J2158" s="134"/>
      <c r="K2158" s="324">
        <v>0.2999</v>
      </c>
      <c r="L2158" s="191">
        <f>L626</f>
        <v>1.4842</v>
      </c>
      <c r="M2158" s="401"/>
      <c r="N2158" s="86"/>
    </row>
    <row r="2159" spans="1:14" s="64" customFormat="1" x14ac:dyDescent="0.2">
      <c r="A2159" s="63"/>
      <c r="B2159" s="396"/>
      <c r="C2159" s="122"/>
      <c r="D2159" s="75"/>
      <c r="E2159" s="395"/>
      <c r="F2159" s="395"/>
      <c r="G2159" s="395"/>
      <c r="H2159" s="67"/>
      <c r="I2159" s="69"/>
      <c r="J2159" s="134"/>
      <c r="K2159" s="324">
        <v>0.2999</v>
      </c>
      <c r="L2159" s="191">
        <f>L627</f>
        <v>1.4842</v>
      </c>
      <c r="M2159" s="401"/>
      <c r="N2159" s="86"/>
    </row>
    <row r="2160" spans="1:14" s="64" customFormat="1" x14ac:dyDescent="0.2">
      <c r="A2160" s="63"/>
      <c r="B2160" s="396"/>
      <c r="C2160" s="122"/>
      <c r="D2160" s="75"/>
      <c r="E2160" s="395"/>
      <c r="F2160" s="395"/>
      <c r="G2160" s="395"/>
      <c r="H2160" s="67"/>
      <c r="I2160" s="69"/>
      <c r="J2160" s="134"/>
      <c r="K2160" s="324">
        <v>0.2999</v>
      </c>
      <c r="L2160" s="191">
        <f>L628</f>
        <v>1.4842</v>
      </c>
      <c r="M2160" s="401"/>
      <c r="N2160" s="86"/>
    </row>
    <row r="2161" spans="1:14" s="64" customFormat="1" x14ac:dyDescent="0.2">
      <c r="A2161" s="63"/>
      <c r="B2161" s="396"/>
      <c r="C2161" s="122"/>
      <c r="D2161" s="75"/>
      <c r="E2161" s="395"/>
      <c r="F2161" s="395"/>
      <c r="G2161" s="395"/>
      <c r="H2161" s="67"/>
      <c r="I2161" s="69"/>
      <c r="J2161" s="134"/>
      <c r="K2161" s="324">
        <v>0.2999</v>
      </c>
      <c r="L2161" s="191">
        <f>L629</f>
        <v>1.4842</v>
      </c>
      <c r="M2161" s="401"/>
      <c r="N2161" s="86"/>
    </row>
    <row r="2162" spans="1:14" s="64" customFormat="1" x14ac:dyDescent="0.2">
      <c r="A2162" s="63"/>
      <c r="B2162" s="396"/>
      <c r="C2162" s="122"/>
      <c r="D2162" s="75"/>
      <c r="E2162" s="395"/>
      <c r="F2162" s="395"/>
      <c r="G2162" s="395"/>
      <c r="H2162" s="67"/>
      <c r="I2162" s="69"/>
      <c r="J2162" s="134"/>
      <c r="K2162" s="324">
        <v>0.2999</v>
      </c>
      <c r="L2162" s="191">
        <f>L630</f>
        <v>1.4842</v>
      </c>
      <c r="M2162" s="401"/>
      <c r="N2162" s="86"/>
    </row>
    <row r="2163" spans="1:14" s="64" customFormat="1" x14ac:dyDescent="0.2">
      <c r="A2163" s="63"/>
      <c r="B2163" s="396"/>
      <c r="C2163" s="122"/>
      <c r="D2163" s="75"/>
      <c r="E2163" s="395"/>
      <c r="F2163" s="395"/>
      <c r="G2163" s="395"/>
      <c r="H2163" s="67"/>
      <c r="I2163" s="69"/>
      <c r="J2163" s="134"/>
      <c r="K2163" s="324">
        <v>0.2999</v>
      </c>
      <c r="L2163" s="191">
        <f>L631</f>
        <v>1.4842</v>
      </c>
      <c r="M2163" s="401"/>
      <c r="N2163" s="86"/>
    </row>
    <row r="2164" spans="1:14" s="64" customFormat="1" x14ac:dyDescent="0.2">
      <c r="A2164" s="63"/>
      <c r="B2164" s="396"/>
      <c r="C2164" s="122"/>
      <c r="D2164" s="75"/>
      <c r="E2164" s="395"/>
      <c r="F2164" s="395"/>
      <c r="G2164" s="395"/>
      <c r="H2164" s="67"/>
      <c r="I2164" s="69"/>
      <c r="J2164" s="134"/>
      <c r="K2164" s="324">
        <v>0.2999</v>
      </c>
      <c r="L2164" s="191">
        <f>L632</f>
        <v>1.4842</v>
      </c>
      <c r="M2164" s="401"/>
      <c r="N2164" s="86"/>
    </row>
    <row r="2165" spans="1:14" s="64" customFormat="1" x14ac:dyDescent="0.2">
      <c r="A2165" s="63"/>
      <c r="B2165" s="396"/>
      <c r="C2165" s="122"/>
      <c r="D2165" s="75"/>
      <c r="E2165" s="395"/>
      <c r="F2165" s="395"/>
      <c r="G2165" s="395"/>
      <c r="H2165" s="67"/>
      <c r="I2165" s="69"/>
      <c r="J2165" s="134"/>
      <c r="K2165" s="324">
        <v>0.2999</v>
      </c>
      <c r="L2165" s="191">
        <f>L633</f>
        <v>1.4842</v>
      </c>
      <c r="M2165" s="401"/>
      <c r="N2165" s="86"/>
    </row>
    <row r="2166" spans="1:14" s="64" customFormat="1" x14ac:dyDescent="0.2">
      <c r="A2166" s="63"/>
      <c r="B2166" s="396"/>
      <c r="C2166" s="122"/>
      <c r="D2166" s="75"/>
      <c r="E2166" s="395"/>
      <c r="F2166" s="395"/>
      <c r="G2166" s="395"/>
      <c r="H2166" s="67"/>
      <c r="I2166" s="69"/>
      <c r="J2166" s="134"/>
      <c r="K2166" s="324">
        <v>0.2999</v>
      </c>
      <c r="L2166" s="191">
        <f>L634</f>
        <v>1.4842</v>
      </c>
      <c r="M2166" s="401"/>
      <c r="N2166" s="86"/>
    </row>
    <row r="2167" spans="1:14" s="64" customFormat="1" x14ac:dyDescent="0.2">
      <c r="A2167" s="63"/>
      <c r="B2167" s="396"/>
      <c r="C2167" s="122"/>
      <c r="D2167" s="75"/>
      <c r="E2167" s="395"/>
      <c r="F2167" s="395"/>
      <c r="G2167" s="395"/>
      <c r="H2167" s="67"/>
      <c r="I2167" s="69"/>
      <c r="J2167" s="134"/>
      <c r="K2167" s="324">
        <v>0.2999</v>
      </c>
      <c r="L2167" s="191">
        <f>L635</f>
        <v>1.4842</v>
      </c>
      <c r="M2167" s="401"/>
      <c r="N2167" s="86"/>
    </row>
    <row r="2168" spans="1:14" s="64" customFormat="1" x14ac:dyDescent="0.2">
      <c r="A2168" s="63"/>
      <c r="B2168" s="396"/>
      <c r="C2168" s="122"/>
      <c r="D2168" s="75"/>
      <c r="E2168" s="395"/>
      <c r="F2168" s="395"/>
      <c r="G2168" s="395"/>
      <c r="H2168" s="67"/>
      <c r="I2168" s="69"/>
      <c r="J2168" s="134"/>
      <c r="K2168" s="324">
        <v>0.2999</v>
      </c>
      <c r="L2168" s="191">
        <f>L636</f>
        <v>1.4842</v>
      </c>
      <c r="M2168" s="401"/>
      <c r="N2168" s="86"/>
    </row>
    <row r="2169" spans="1:14" s="64" customFormat="1" x14ac:dyDescent="0.2">
      <c r="A2169" s="63"/>
      <c r="B2169" s="396"/>
      <c r="C2169" s="122"/>
      <c r="D2169" s="75"/>
      <c r="E2169" s="395"/>
      <c r="F2169" s="395"/>
      <c r="G2169" s="395"/>
      <c r="H2169" s="67"/>
      <c r="I2169" s="69"/>
      <c r="J2169" s="134"/>
      <c r="K2169" s="324">
        <v>0.2999</v>
      </c>
      <c r="L2169" s="191">
        <f>L637</f>
        <v>1.4842</v>
      </c>
      <c r="M2169" s="401"/>
      <c r="N2169" s="86"/>
    </row>
    <row r="2170" spans="1:14" s="64" customFormat="1" x14ac:dyDescent="0.2">
      <c r="A2170" s="63"/>
      <c r="B2170" s="396"/>
      <c r="C2170" s="122"/>
      <c r="D2170" s="75"/>
      <c r="E2170" s="395"/>
      <c r="F2170" s="395"/>
      <c r="G2170" s="395"/>
      <c r="H2170" s="67"/>
      <c r="I2170" s="69"/>
      <c r="J2170" s="134"/>
      <c r="K2170" s="324">
        <v>0.2999</v>
      </c>
      <c r="L2170" s="191">
        <f>L638</f>
        <v>1.4842</v>
      </c>
      <c r="M2170" s="401"/>
      <c r="N2170" s="86"/>
    </row>
    <row r="2171" spans="1:14" s="64" customFormat="1" x14ac:dyDescent="0.2">
      <c r="A2171" s="63"/>
      <c r="B2171" s="396"/>
      <c r="C2171" s="122"/>
      <c r="D2171" s="75"/>
      <c r="E2171" s="395"/>
      <c r="F2171" s="395"/>
      <c r="G2171" s="395"/>
      <c r="H2171" s="67"/>
      <c r="I2171" s="69"/>
      <c r="J2171" s="134"/>
      <c r="K2171" s="324">
        <v>0.2999</v>
      </c>
      <c r="L2171" s="191">
        <f>L639</f>
        <v>1.4842</v>
      </c>
      <c r="M2171" s="401"/>
      <c r="N2171" s="86"/>
    </row>
    <row r="2172" spans="1:14" s="64" customFormat="1" x14ac:dyDescent="0.2">
      <c r="A2172" s="63"/>
      <c r="B2172" s="396"/>
      <c r="C2172" s="122"/>
      <c r="D2172" s="75"/>
      <c r="E2172" s="395"/>
      <c r="F2172" s="395"/>
      <c r="G2172" s="395"/>
      <c r="H2172" s="67"/>
      <c r="I2172" s="69"/>
      <c r="J2172" s="134"/>
      <c r="K2172" s="324">
        <v>0.2999</v>
      </c>
      <c r="L2172" s="191">
        <f>L640</f>
        <v>1.4842</v>
      </c>
      <c r="M2172" s="401"/>
      <c r="N2172" s="86"/>
    </row>
    <row r="2173" spans="1:14" s="64" customFormat="1" x14ac:dyDescent="0.2">
      <c r="A2173" s="63"/>
      <c r="B2173" s="396"/>
      <c r="C2173" s="122"/>
      <c r="D2173" s="75"/>
      <c r="E2173" s="395"/>
      <c r="F2173" s="395"/>
      <c r="G2173" s="395"/>
      <c r="H2173" s="67"/>
      <c r="I2173" s="69"/>
      <c r="J2173" s="134"/>
      <c r="K2173" s="324">
        <v>0.2999</v>
      </c>
      <c r="L2173" s="191">
        <f>L641</f>
        <v>1.4842</v>
      </c>
      <c r="M2173" s="401"/>
      <c r="N2173" s="86"/>
    </row>
    <row r="2174" spans="1:14" s="64" customFormat="1" x14ac:dyDescent="0.2">
      <c r="A2174" s="63"/>
      <c r="B2174" s="396"/>
      <c r="C2174" s="122"/>
      <c r="D2174" s="75"/>
      <c r="E2174" s="395"/>
      <c r="F2174" s="395"/>
      <c r="G2174" s="395"/>
      <c r="H2174" s="67"/>
      <c r="I2174" s="69"/>
      <c r="J2174" s="134"/>
      <c r="K2174" s="324">
        <v>0.2999</v>
      </c>
      <c r="L2174" s="191">
        <f>L642</f>
        <v>1.4842</v>
      </c>
      <c r="M2174" s="401"/>
      <c r="N2174" s="86"/>
    </row>
    <row r="2175" spans="1:14" s="64" customFormat="1" x14ac:dyDescent="0.2">
      <c r="A2175" s="63"/>
      <c r="B2175" s="396"/>
      <c r="C2175" s="122"/>
      <c r="D2175" s="75"/>
      <c r="E2175" s="395"/>
      <c r="F2175" s="395"/>
      <c r="G2175" s="395"/>
      <c r="H2175" s="67"/>
      <c r="I2175" s="69"/>
      <c r="J2175" s="134"/>
      <c r="K2175" s="324">
        <v>0.2999</v>
      </c>
      <c r="L2175" s="191">
        <f>L643</f>
        <v>1.4842</v>
      </c>
      <c r="M2175" s="401"/>
      <c r="N2175" s="86"/>
    </row>
    <row r="2176" spans="1:14" s="64" customFormat="1" x14ac:dyDescent="0.2">
      <c r="A2176" s="63"/>
      <c r="B2176" s="396"/>
      <c r="C2176" s="122"/>
      <c r="D2176" s="75"/>
      <c r="E2176" s="395"/>
      <c r="F2176" s="395"/>
      <c r="G2176" s="395"/>
      <c r="H2176" s="67"/>
      <c r="I2176" s="69"/>
      <c r="J2176" s="134"/>
      <c r="K2176" s="324">
        <v>0.2999</v>
      </c>
      <c r="L2176" s="191">
        <f>L644</f>
        <v>1.4842</v>
      </c>
      <c r="M2176" s="401"/>
      <c r="N2176" s="86"/>
    </row>
    <row r="2177" spans="1:14" s="64" customFormat="1" x14ac:dyDescent="0.2">
      <c r="A2177" s="63"/>
      <c r="B2177" s="396"/>
      <c r="C2177" s="122"/>
      <c r="D2177" s="75"/>
      <c r="E2177" s="395"/>
      <c r="F2177" s="395"/>
      <c r="G2177" s="395"/>
      <c r="H2177" s="67"/>
      <c r="I2177" s="69"/>
      <c r="J2177" s="134"/>
      <c r="K2177" s="324">
        <v>0.2999</v>
      </c>
      <c r="L2177" s="191">
        <f>L645</f>
        <v>1.4842</v>
      </c>
      <c r="M2177" s="401"/>
      <c r="N2177" s="86"/>
    </row>
    <row r="2178" spans="1:14" s="64" customFormat="1" x14ac:dyDescent="0.2">
      <c r="A2178" s="63"/>
      <c r="B2178" s="396"/>
      <c r="C2178" s="122"/>
      <c r="D2178" s="75"/>
      <c r="E2178" s="395"/>
      <c r="F2178" s="395"/>
      <c r="G2178" s="395"/>
      <c r="H2178" s="67"/>
      <c r="I2178" s="69"/>
      <c r="J2178" s="134"/>
      <c r="K2178" s="324">
        <v>0.2999</v>
      </c>
      <c r="L2178" s="191">
        <f>L646</f>
        <v>1.4842</v>
      </c>
      <c r="M2178" s="401"/>
      <c r="N2178" s="86"/>
    </row>
    <row r="2179" spans="1:14" s="64" customFormat="1" x14ac:dyDescent="0.2">
      <c r="A2179" s="63"/>
      <c r="B2179" s="396"/>
      <c r="C2179" s="122"/>
      <c r="D2179" s="75"/>
      <c r="E2179" s="395"/>
      <c r="F2179" s="395"/>
      <c r="G2179" s="395"/>
      <c r="H2179" s="67"/>
      <c r="I2179" s="69"/>
      <c r="J2179" s="134"/>
      <c r="K2179" s="324">
        <v>0.2999</v>
      </c>
      <c r="L2179" s="191">
        <f>L647</f>
        <v>1.4842</v>
      </c>
      <c r="M2179" s="401"/>
      <c r="N2179" s="86"/>
    </row>
    <row r="2180" spans="1:14" s="64" customFormat="1" x14ac:dyDescent="0.2">
      <c r="A2180" s="63"/>
      <c r="B2180" s="396"/>
      <c r="C2180" s="122"/>
      <c r="D2180" s="75"/>
      <c r="E2180" s="395"/>
      <c r="F2180" s="395"/>
      <c r="G2180" s="395"/>
      <c r="H2180" s="67"/>
      <c r="I2180" s="69"/>
      <c r="J2180" s="134"/>
      <c r="K2180" s="324">
        <v>0.2999</v>
      </c>
      <c r="L2180" s="191">
        <f>L648</f>
        <v>1.4842</v>
      </c>
      <c r="M2180" s="401"/>
      <c r="N2180" s="86"/>
    </row>
    <row r="2181" spans="1:14" s="64" customFormat="1" x14ac:dyDescent="0.2">
      <c r="A2181" s="63"/>
      <c r="B2181" s="396"/>
      <c r="C2181" s="122"/>
      <c r="D2181" s="75"/>
      <c r="E2181" s="395"/>
      <c r="F2181" s="395"/>
      <c r="G2181" s="395"/>
      <c r="H2181" s="67"/>
      <c r="I2181" s="69"/>
      <c r="J2181" s="134"/>
      <c r="K2181" s="324">
        <v>0.2999</v>
      </c>
      <c r="L2181" s="191">
        <f>L649</f>
        <v>1.4842</v>
      </c>
      <c r="M2181" s="401"/>
      <c r="N2181" s="86"/>
    </row>
    <row r="2182" spans="1:14" s="64" customFormat="1" x14ac:dyDescent="0.2">
      <c r="A2182" s="63"/>
      <c r="B2182" s="396"/>
      <c r="C2182" s="122"/>
      <c r="D2182" s="75"/>
      <c r="E2182" s="395"/>
      <c r="F2182" s="395"/>
      <c r="G2182" s="395"/>
      <c r="H2182" s="67"/>
      <c r="I2182" s="69"/>
      <c r="J2182" s="134"/>
      <c r="K2182" s="324">
        <v>0.2999</v>
      </c>
      <c r="L2182" s="191">
        <f>L650</f>
        <v>1.4842</v>
      </c>
      <c r="M2182" s="401"/>
      <c r="N2182" s="86"/>
    </row>
    <row r="2183" spans="1:14" s="64" customFormat="1" x14ac:dyDescent="0.2">
      <c r="A2183" s="63"/>
      <c r="B2183" s="396"/>
      <c r="C2183" s="122"/>
      <c r="D2183" s="75"/>
      <c r="E2183" s="395"/>
      <c r="F2183" s="395"/>
      <c r="G2183" s="395"/>
      <c r="H2183" s="67"/>
      <c r="I2183" s="69"/>
      <c r="J2183" s="134"/>
      <c r="K2183" s="324">
        <v>0.2999</v>
      </c>
      <c r="L2183" s="191">
        <f>L651</f>
        <v>1.4842</v>
      </c>
      <c r="M2183" s="401"/>
      <c r="N2183" s="86"/>
    </row>
    <row r="2184" spans="1:14" s="64" customFormat="1" x14ac:dyDescent="0.2">
      <c r="A2184" s="63"/>
      <c r="B2184" s="396"/>
      <c r="C2184" s="122"/>
      <c r="D2184" s="75"/>
      <c r="E2184" s="395"/>
      <c r="F2184" s="395"/>
      <c r="G2184" s="395"/>
      <c r="H2184" s="67"/>
      <c r="I2184" s="69"/>
      <c r="J2184" s="134"/>
      <c r="K2184" s="324">
        <v>0.2999</v>
      </c>
      <c r="L2184" s="191">
        <f>L652</f>
        <v>1.4842</v>
      </c>
      <c r="M2184" s="401"/>
      <c r="N2184" s="86"/>
    </row>
    <row r="2185" spans="1:14" s="64" customFormat="1" x14ac:dyDescent="0.2">
      <c r="A2185" s="63"/>
      <c r="B2185" s="396"/>
      <c r="C2185" s="122"/>
      <c r="D2185" s="75"/>
      <c r="E2185" s="395"/>
      <c r="F2185" s="395"/>
      <c r="G2185" s="395"/>
      <c r="H2185" s="67"/>
      <c r="I2185" s="69"/>
      <c r="J2185" s="134"/>
      <c r="K2185" s="324">
        <v>0.2999</v>
      </c>
      <c r="L2185" s="191">
        <f>L653</f>
        <v>1.4842</v>
      </c>
      <c r="M2185" s="401"/>
      <c r="N2185" s="86"/>
    </row>
    <row r="2186" spans="1:14" s="64" customFormat="1" x14ac:dyDescent="0.2">
      <c r="A2186" s="63"/>
      <c r="B2186" s="396"/>
      <c r="C2186" s="122"/>
      <c r="D2186" s="75"/>
      <c r="E2186" s="395"/>
      <c r="F2186" s="395"/>
      <c r="G2186" s="395"/>
      <c r="H2186" s="67"/>
      <c r="I2186" s="69"/>
      <c r="J2186" s="134"/>
      <c r="K2186" s="324">
        <v>0.2999</v>
      </c>
      <c r="L2186" s="191">
        <f>L654</f>
        <v>1.4842</v>
      </c>
      <c r="M2186" s="401"/>
      <c r="N2186" s="86"/>
    </row>
    <row r="2187" spans="1:14" s="64" customFormat="1" x14ac:dyDescent="0.2">
      <c r="A2187" s="63"/>
      <c r="B2187" s="396"/>
      <c r="C2187" s="122"/>
      <c r="D2187" s="75"/>
      <c r="E2187" s="395"/>
      <c r="F2187" s="395"/>
      <c r="G2187" s="395"/>
      <c r="H2187" s="67"/>
      <c r="I2187" s="69"/>
      <c r="J2187" s="134"/>
      <c r="K2187" s="324">
        <v>0.2999</v>
      </c>
      <c r="L2187" s="191">
        <f>L655</f>
        <v>1.4842</v>
      </c>
      <c r="M2187" s="401"/>
      <c r="N2187" s="86"/>
    </row>
    <row r="2188" spans="1:14" s="64" customFormat="1" x14ac:dyDescent="0.2">
      <c r="A2188" s="63"/>
      <c r="B2188" s="396"/>
      <c r="C2188" s="122"/>
      <c r="D2188" s="75"/>
      <c r="E2188" s="395"/>
      <c r="F2188" s="395"/>
      <c r="G2188" s="395"/>
      <c r="H2188" s="67"/>
      <c r="I2188" s="69"/>
      <c r="J2188" s="134"/>
      <c r="K2188" s="324">
        <v>0.2999</v>
      </c>
      <c r="L2188" s="191">
        <f>L656</f>
        <v>1.4842</v>
      </c>
      <c r="M2188" s="401"/>
      <c r="N2188" s="86"/>
    </row>
    <row r="2189" spans="1:14" s="64" customFormat="1" x14ac:dyDescent="0.2">
      <c r="A2189" s="63"/>
      <c r="B2189" s="396"/>
      <c r="C2189" s="122"/>
      <c r="D2189" s="75"/>
      <c r="E2189" s="395"/>
      <c r="F2189" s="395"/>
      <c r="G2189" s="395"/>
      <c r="H2189" s="67"/>
      <c r="I2189" s="69"/>
      <c r="J2189" s="134"/>
      <c r="K2189" s="324">
        <v>0.2999</v>
      </c>
      <c r="L2189" s="191">
        <f>L657</f>
        <v>1.4842</v>
      </c>
      <c r="M2189" s="401"/>
      <c r="N2189" s="86"/>
    </row>
    <row r="2190" spans="1:14" s="64" customFormat="1" x14ac:dyDescent="0.2">
      <c r="A2190" s="63"/>
      <c r="B2190" s="396"/>
      <c r="C2190" s="122"/>
      <c r="D2190" s="75"/>
      <c r="E2190" s="395"/>
      <c r="F2190" s="395"/>
      <c r="G2190" s="395"/>
      <c r="H2190" s="67"/>
      <c r="I2190" s="69"/>
      <c r="J2190" s="134"/>
      <c r="K2190" s="324">
        <v>0.2999</v>
      </c>
      <c r="L2190" s="191">
        <f>L658</f>
        <v>1.4842</v>
      </c>
      <c r="M2190" s="401"/>
      <c r="N2190" s="86"/>
    </row>
    <row r="2191" spans="1:14" s="64" customFormat="1" x14ac:dyDescent="0.2">
      <c r="A2191" s="63"/>
      <c r="B2191" s="396"/>
      <c r="C2191" s="122"/>
      <c r="D2191" s="75"/>
      <c r="E2191" s="395"/>
      <c r="F2191" s="395"/>
      <c r="G2191" s="395"/>
      <c r="H2191" s="67"/>
      <c r="I2191" s="69"/>
      <c r="J2191" s="134"/>
      <c r="K2191" s="324">
        <v>0.2999</v>
      </c>
      <c r="L2191" s="191">
        <f>L659</f>
        <v>1.4842</v>
      </c>
      <c r="M2191" s="401"/>
      <c r="N2191" s="86"/>
    </row>
    <row r="2192" spans="1:14" s="64" customFormat="1" x14ac:dyDescent="0.2">
      <c r="A2192" s="63"/>
      <c r="B2192" s="396"/>
      <c r="C2192" s="122"/>
      <c r="D2192" s="75"/>
      <c r="E2192" s="395"/>
      <c r="F2192" s="395"/>
      <c r="G2192" s="395"/>
      <c r="H2192" s="67"/>
      <c r="I2192" s="69"/>
      <c r="J2192" s="134"/>
      <c r="K2192" s="324">
        <v>0.2999</v>
      </c>
      <c r="L2192" s="191">
        <f>L660</f>
        <v>1.4842</v>
      </c>
      <c r="M2192" s="401"/>
      <c r="N2192" s="86"/>
    </row>
    <row r="2193" spans="1:14" s="64" customFormat="1" x14ac:dyDescent="0.2">
      <c r="A2193" s="63"/>
      <c r="B2193" s="396"/>
      <c r="C2193" s="122"/>
      <c r="D2193" s="75"/>
      <c r="E2193" s="395"/>
      <c r="F2193" s="395"/>
      <c r="G2193" s="395"/>
      <c r="H2193" s="67"/>
      <c r="I2193" s="69"/>
      <c r="J2193" s="134"/>
      <c r="K2193" s="324">
        <v>0.2999</v>
      </c>
      <c r="L2193" s="191">
        <f>L661</f>
        <v>1.4842</v>
      </c>
      <c r="M2193" s="401"/>
      <c r="N2193" s="86"/>
    </row>
    <row r="2194" spans="1:14" s="64" customFormat="1" x14ac:dyDescent="0.2">
      <c r="A2194" s="63"/>
      <c r="B2194" s="396"/>
      <c r="C2194" s="122"/>
      <c r="D2194" s="75"/>
      <c r="E2194" s="395"/>
      <c r="F2194" s="395"/>
      <c r="G2194" s="395"/>
      <c r="H2194" s="67"/>
      <c r="I2194" s="69"/>
      <c r="J2194" s="134"/>
      <c r="K2194" s="324">
        <v>0.2999</v>
      </c>
      <c r="L2194" s="191">
        <f>L662</f>
        <v>1.4842</v>
      </c>
      <c r="M2194" s="401"/>
      <c r="N2194" s="86"/>
    </row>
    <row r="2195" spans="1:14" s="64" customFormat="1" x14ac:dyDescent="0.2">
      <c r="A2195" s="63"/>
      <c r="B2195" s="396"/>
      <c r="C2195" s="122"/>
      <c r="D2195" s="75"/>
      <c r="E2195" s="395"/>
      <c r="F2195" s="395"/>
      <c r="G2195" s="395"/>
      <c r="H2195" s="67"/>
      <c r="I2195" s="69"/>
      <c r="J2195" s="134"/>
      <c r="K2195" s="324">
        <v>0.2999</v>
      </c>
      <c r="L2195" s="191">
        <f>L663</f>
        <v>1.4842</v>
      </c>
      <c r="M2195" s="401"/>
      <c r="N2195" s="86"/>
    </row>
    <row r="2196" spans="1:14" s="64" customFormat="1" x14ac:dyDescent="0.2">
      <c r="A2196" s="63"/>
      <c r="B2196" s="396"/>
      <c r="C2196" s="122"/>
      <c r="D2196" s="75"/>
      <c r="E2196" s="395"/>
      <c r="F2196" s="395"/>
      <c r="G2196" s="395"/>
      <c r="H2196" s="67"/>
      <c r="I2196" s="69"/>
      <c r="J2196" s="134"/>
      <c r="K2196" s="324">
        <v>0.2999</v>
      </c>
      <c r="L2196" s="191">
        <f>L664</f>
        <v>1.4842</v>
      </c>
      <c r="M2196" s="401"/>
      <c r="N2196" s="86"/>
    </row>
    <row r="2197" spans="1:14" s="64" customFormat="1" x14ac:dyDescent="0.2">
      <c r="A2197" s="63"/>
      <c r="B2197" s="396"/>
      <c r="C2197" s="122"/>
      <c r="D2197" s="75"/>
      <c r="E2197" s="395"/>
      <c r="F2197" s="395"/>
      <c r="G2197" s="395"/>
      <c r="H2197" s="67"/>
      <c r="I2197" s="69"/>
      <c r="J2197" s="134"/>
      <c r="K2197" s="324">
        <v>0.2999</v>
      </c>
      <c r="L2197" s="191">
        <f>L665</f>
        <v>1.4842</v>
      </c>
      <c r="M2197" s="401"/>
      <c r="N2197" s="86"/>
    </row>
    <row r="2198" spans="1:14" s="64" customFormat="1" x14ac:dyDescent="0.2">
      <c r="A2198" s="63"/>
      <c r="B2198" s="396"/>
      <c r="C2198" s="122"/>
      <c r="D2198" s="75"/>
      <c r="E2198" s="395"/>
      <c r="F2198" s="395"/>
      <c r="G2198" s="395"/>
      <c r="H2198" s="67"/>
      <c r="I2198" s="69"/>
      <c r="J2198" s="134"/>
      <c r="K2198" s="324">
        <v>0.2999</v>
      </c>
      <c r="L2198" s="191">
        <f>L666</f>
        <v>1.4842</v>
      </c>
      <c r="M2198" s="401"/>
      <c r="N2198" s="86"/>
    </row>
    <row r="2199" spans="1:14" s="64" customFormat="1" x14ac:dyDescent="0.2">
      <c r="A2199" s="63"/>
      <c r="B2199" s="396"/>
      <c r="C2199" s="122"/>
      <c r="D2199" s="75"/>
      <c r="E2199" s="395"/>
      <c r="F2199" s="395"/>
      <c r="G2199" s="395"/>
      <c r="H2199" s="67"/>
      <c r="I2199" s="69"/>
      <c r="J2199" s="134"/>
      <c r="K2199" s="324">
        <v>0.2999</v>
      </c>
      <c r="L2199" s="191">
        <f>L667</f>
        <v>1.4842</v>
      </c>
      <c r="M2199" s="401"/>
      <c r="N2199" s="86"/>
    </row>
    <row r="2200" spans="1:14" s="64" customFormat="1" x14ac:dyDescent="0.2">
      <c r="A2200" s="63"/>
      <c r="B2200" s="396"/>
      <c r="C2200" s="122"/>
      <c r="D2200" s="75"/>
      <c r="E2200" s="395"/>
      <c r="F2200" s="395"/>
      <c r="G2200" s="395"/>
      <c r="H2200" s="67"/>
      <c r="I2200" s="69"/>
      <c r="J2200" s="134"/>
      <c r="K2200" s="324">
        <v>0.2999</v>
      </c>
      <c r="L2200" s="191">
        <f>L668</f>
        <v>1.4842</v>
      </c>
      <c r="M2200" s="401"/>
      <c r="N2200" s="86"/>
    </row>
    <row r="2201" spans="1:14" s="64" customFormat="1" x14ac:dyDescent="0.2">
      <c r="A2201" s="63"/>
      <c r="B2201" s="396"/>
      <c r="C2201" s="122"/>
      <c r="D2201" s="75"/>
      <c r="E2201" s="395"/>
      <c r="F2201" s="395"/>
      <c r="G2201" s="395"/>
      <c r="H2201" s="67"/>
      <c r="I2201" s="69"/>
      <c r="J2201" s="134"/>
      <c r="K2201" s="324">
        <v>0.2999</v>
      </c>
      <c r="L2201" s="191">
        <f>L669</f>
        <v>1.4842</v>
      </c>
      <c r="M2201" s="401"/>
      <c r="N2201" s="86"/>
    </row>
    <row r="2202" spans="1:14" s="64" customFormat="1" x14ac:dyDescent="0.2">
      <c r="A2202" s="63"/>
      <c r="B2202" s="396"/>
      <c r="C2202" s="122"/>
      <c r="D2202" s="75"/>
      <c r="E2202" s="395"/>
      <c r="F2202" s="395"/>
      <c r="G2202" s="395"/>
      <c r="H2202" s="67"/>
      <c r="I2202" s="69"/>
      <c r="J2202" s="134"/>
      <c r="K2202" s="324">
        <v>0.2999</v>
      </c>
      <c r="L2202" s="191">
        <f>L670</f>
        <v>1.4842</v>
      </c>
      <c r="M2202" s="401"/>
      <c r="N2202" s="86"/>
    </row>
    <row r="2203" spans="1:14" s="64" customFormat="1" x14ac:dyDescent="0.2">
      <c r="A2203" s="63"/>
      <c r="B2203" s="396"/>
      <c r="C2203" s="122"/>
      <c r="D2203" s="75"/>
      <c r="E2203" s="395"/>
      <c r="F2203" s="395"/>
      <c r="G2203" s="395"/>
      <c r="H2203" s="67"/>
      <c r="I2203" s="69"/>
      <c r="J2203" s="134"/>
      <c r="K2203" s="324">
        <v>0.2999</v>
      </c>
      <c r="L2203" s="191">
        <f>L671</f>
        <v>1.4842</v>
      </c>
      <c r="M2203" s="401"/>
      <c r="N2203" s="86"/>
    </row>
    <row r="2204" spans="1:14" s="64" customFormat="1" x14ac:dyDescent="0.2">
      <c r="A2204" s="63"/>
      <c r="B2204" s="396"/>
      <c r="C2204" s="122"/>
      <c r="D2204" s="75"/>
      <c r="E2204" s="395"/>
      <c r="F2204" s="395"/>
      <c r="G2204" s="395"/>
      <c r="H2204" s="67"/>
      <c r="I2204" s="69"/>
      <c r="J2204" s="134"/>
      <c r="K2204" s="324">
        <v>0.2999</v>
      </c>
      <c r="L2204" s="191">
        <f>L672</f>
        <v>1.4842</v>
      </c>
      <c r="M2204" s="401"/>
      <c r="N2204" s="86"/>
    </row>
    <row r="2205" spans="1:14" s="64" customFormat="1" x14ac:dyDescent="0.2">
      <c r="A2205" s="63"/>
      <c r="B2205" s="396"/>
      <c r="C2205" s="122"/>
      <c r="D2205" s="75"/>
      <c r="E2205" s="395"/>
      <c r="F2205" s="395"/>
      <c r="G2205" s="395"/>
      <c r="H2205" s="67"/>
      <c r="I2205" s="69"/>
      <c r="J2205" s="134"/>
      <c r="K2205" s="324">
        <v>0.2999</v>
      </c>
      <c r="L2205" s="191">
        <f>L673</f>
        <v>1.4842</v>
      </c>
      <c r="M2205" s="401"/>
      <c r="N2205" s="86"/>
    </row>
    <row r="2206" spans="1:14" s="64" customFormat="1" x14ac:dyDescent="0.2">
      <c r="A2206" s="63"/>
      <c r="B2206" s="396"/>
      <c r="C2206" s="122"/>
      <c r="D2206" s="75"/>
      <c r="E2206" s="395"/>
      <c r="F2206" s="395"/>
      <c r="G2206" s="395"/>
      <c r="H2206" s="67"/>
      <c r="I2206" s="69"/>
      <c r="J2206" s="134"/>
      <c r="K2206" s="324">
        <v>0.2999</v>
      </c>
      <c r="L2206" s="191">
        <f>L674</f>
        <v>1.4842</v>
      </c>
      <c r="M2206" s="401"/>
      <c r="N2206" s="86"/>
    </row>
    <row r="2207" spans="1:14" s="64" customFormat="1" x14ac:dyDescent="0.2">
      <c r="A2207" s="63"/>
      <c r="B2207" s="396"/>
      <c r="C2207" s="122"/>
      <c r="D2207" s="75"/>
      <c r="E2207" s="395"/>
      <c r="F2207" s="395"/>
      <c r="G2207" s="395"/>
      <c r="H2207" s="67"/>
      <c r="I2207" s="69"/>
      <c r="J2207" s="134"/>
      <c r="K2207" s="324">
        <v>0.2999</v>
      </c>
      <c r="L2207" s="191">
        <f>L675</f>
        <v>1.4842</v>
      </c>
      <c r="M2207" s="401"/>
      <c r="N2207" s="86"/>
    </row>
    <row r="2208" spans="1:14" s="64" customFormat="1" x14ac:dyDescent="0.2">
      <c r="A2208" s="63"/>
      <c r="B2208" s="396"/>
      <c r="C2208" s="122"/>
      <c r="D2208" s="75"/>
      <c r="E2208" s="395"/>
      <c r="F2208" s="395"/>
      <c r="G2208" s="395"/>
      <c r="H2208" s="67"/>
      <c r="I2208" s="69"/>
      <c r="J2208" s="134"/>
      <c r="K2208" s="324">
        <v>0.2999</v>
      </c>
      <c r="L2208" s="191">
        <f>L676</f>
        <v>1.4842</v>
      </c>
      <c r="M2208" s="401"/>
      <c r="N2208" s="86"/>
    </row>
    <row r="2209" spans="1:14" s="64" customFormat="1" x14ac:dyDescent="0.2">
      <c r="A2209" s="63"/>
      <c r="B2209" s="396"/>
      <c r="C2209" s="122"/>
      <c r="D2209" s="75"/>
      <c r="E2209" s="395"/>
      <c r="F2209" s="395"/>
      <c r="G2209" s="395"/>
      <c r="H2209" s="67"/>
      <c r="I2209" s="69"/>
      <c r="J2209" s="134"/>
      <c r="K2209" s="324">
        <v>0.2999</v>
      </c>
      <c r="L2209" s="191">
        <f>L677</f>
        <v>1.4842</v>
      </c>
      <c r="M2209" s="401"/>
      <c r="N2209" s="86"/>
    </row>
    <row r="2210" spans="1:14" s="64" customFormat="1" x14ac:dyDescent="0.2">
      <c r="A2210" s="63"/>
      <c r="B2210" s="396"/>
      <c r="C2210" s="122"/>
      <c r="D2210" s="75"/>
      <c r="E2210" s="395"/>
      <c r="F2210" s="395"/>
      <c r="G2210" s="395"/>
      <c r="H2210" s="67"/>
      <c r="I2210" s="69"/>
      <c r="J2210" s="134"/>
      <c r="K2210" s="324">
        <v>0.2999</v>
      </c>
      <c r="L2210" s="191">
        <f>L678</f>
        <v>1.4842</v>
      </c>
      <c r="M2210" s="401"/>
      <c r="N2210" s="86"/>
    </row>
    <row r="2211" spans="1:14" s="64" customFormat="1" x14ac:dyDescent="0.2">
      <c r="A2211" s="63"/>
      <c r="B2211" s="396"/>
      <c r="C2211" s="122"/>
      <c r="D2211" s="75"/>
      <c r="E2211" s="395"/>
      <c r="F2211" s="395"/>
      <c r="G2211" s="395"/>
      <c r="H2211" s="67"/>
      <c r="I2211" s="69"/>
      <c r="J2211" s="134"/>
      <c r="K2211" s="324">
        <v>0.2999</v>
      </c>
      <c r="L2211" s="191">
        <f>L679</f>
        <v>1.4842</v>
      </c>
      <c r="M2211" s="401"/>
      <c r="N2211" s="86"/>
    </row>
    <row r="2212" spans="1:14" s="64" customFormat="1" x14ac:dyDescent="0.2">
      <c r="A2212" s="63"/>
      <c r="B2212" s="396"/>
      <c r="C2212" s="122"/>
      <c r="D2212" s="75"/>
      <c r="E2212" s="395"/>
      <c r="F2212" s="395"/>
      <c r="G2212" s="395"/>
      <c r="H2212" s="67"/>
      <c r="I2212" s="69"/>
      <c r="J2212" s="134"/>
      <c r="K2212" s="324">
        <v>0.2999</v>
      </c>
      <c r="L2212" s="191">
        <f>L680</f>
        <v>1.4842</v>
      </c>
      <c r="M2212" s="401"/>
      <c r="N2212" s="86"/>
    </row>
    <row r="2213" spans="1:14" s="64" customFormat="1" x14ac:dyDescent="0.2">
      <c r="A2213" s="63"/>
      <c r="B2213" s="396"/>
      <c r="C2213" s="122"/>
      <c r="D2213" s="75"/>
      <c r="E2213" s="395"/>
      <c r="F2213" s="395"/>
      <c r="G2213" s="395"/>
      <c r="H2213" s="67"/>
      <c r="I2213" s="69"/>
      <c r="J2213" s="134"/>
      <c r="K2213" s="324">
        <v>0.2999</v>
      </c>
      <c r="L2213" s="191">
        <f>L681</f>
        <v>1.4842</v>
      </c>
      <c r="M2213" s="401"/>
      <c r="N2213" s="86"/>
    </row>
    <row r="2214" spans="1:14" s="64" customFormat="1" x14ac:dyDescent="0.2">
      <c r="A2214" s="63"/>
      <c r="B2214" s="396"/>
      <c r="C2214" s="122"/>
      <c r="D2214" s="75"/>
      <c r="E2214" s="395"/>
      <c r="F2214" s="395"/>
      <c r="G2214" s="395"/>
      <c r="H2214" s="67"/>
      <c r="I2214" s="69"/>
      <c r="J2214" s="134"/>
      <c r="K2214" s="324">
        <v>0.2999</v>
      </c>
      <c r="L2214" s="191">
        <f>L682</f>
        <v>1.4842</v>
      </c>
      <c r="M2214" s="401"/>
      <c r="N2214" s="86"/>
    </row>
    <row r="2215" spans="1:14" s="64" customFormat="1" x14ac:dyDescent="0.2">
      <c r="A2215" s="63"/>
      <c r="B2215" s="396"/>
      <c r="C2215" s="122"/>
      <c r="D2215" s="75"/>
      <c r="E2215" s="395"/>
      <c r="F2215" s="395"/>
      <c r="G2215" s="395"/>
      <c r="H2215" s="67"/>
      <c r="I2215" s="69"/>
      <c r="J2215" s="134"/>
      <c r="K2215" s="324">
        <v>0.2999</v>
      </c>
      <c r="L2215" s="191">
        <f>L683</f>
        <v>1.4842</v>
      </c>
      <c r="M2215" s="401"/>
      <c r="N2215" s="86"/>
    </row>
    <row r="2216" spans="1:14" s="64" customFormat="1" x14ac:dyDescent="0.2">
      <c r="A2216" s="63"/>
      <c r="B2216" s="396"/>
      <c r="C2216" s="122"/>
      <c r="D2216" s="75"/>
      <c r="E2216" s="395"/>
      <c r="F2216" s="395"/>
      <c r="G2216" s="395"/>
      <c r="H2216" s="67"/>
      <c r="I2216" s="69"/>
      <c r="J2216" s="134"/>
      <c r="K2216" s="324">
        <v>0.2999</v>
      </c>
      <c r="L2216" s="191">
        <f>L684</f>
        <v>1.4842</v>
      </c>
      <c r="M2216" s="401"/>
      <c r="N2216" s="86"/>
    </row>
    <row r="2217" spans="1:14" s="64" customFormat="1" x14ac:dyDescent="0.2">
      <c r="A2217" s="63"/>
      <c r="B2217" s="396"/>
      <c r="C2217" s="122"/>
      <c r="D2217" s="75"/>
      <c r="E2217" s="395"/>
      <c r="F2217" s="395"/>
      <c r="G2217" s="395"/>
      <c r="H2217" s="67"/>
      <c r="I2217" s="69"/>
      <c r="J2217" s="134"/>
      <c r="K2217" s="324">
        <v>0.2999</v>
      </c>
      <c r="L2217" s="191">
        <f>L685</f>
        <v>1.4842</v>
      </c>
      <c r="M2217" s="401"/>
      <c r="N2217" s="86"/>
    </row>
    <row r="2218" spans="1:14" s="64" customFormat="1" x14ac:dyDescent="0.2">
      <c r="A2218" s="63"/>
      <c r="B2218" s="396"/>
      <c r="C2218" s="122"/>
      <c r="D2218" s="75"/>
      <c r="E2218" s="395"/>
      <c r="F2218" s="395"/>
      <c r="G2218" s="395"/>
      <c r="H2218" s="67"/>
      <c r="I2218" s="69"/>
      <c r="J2218" s="134"/>
      <c r="K2218" s="324">
        <v>0.2999</v>
      </c>
      <c r="L2218" s="191">
        <f>L686</f>
        <v>1.4842</v>
      </c>
      <c r="M2218" s="401"/>
      <c r="N2218" s="86"/>
    </row>
    <row r="2219" spans="1:14" s="64" customFormat="1" x14ac:dyDescent="0.2">
      <c r="A2219" s="63"/>
      <c r="B2219" s="396"/>
      <c r="C2219" s="122"/>
      <c r="D2219" s="75"/>
      <c r="E2219" s="395"/>
      <c r="F2219" s="395"/>
      <c r="G2219" s="395"/>
      <c r="H2219" s="67"/>
      <c r="I2219" s="69"/>
      <c r="J2219" s="134"/>
      <c r="K2219" s="324">
        <v>0.2999</v>
      </c>
      <c r="L2219" s="191">
        <f>L687</f>
        <v>1.4842</v>
      </c>
      <c r="M2219" s="401"/>
      <c r="N2219" s="86"/>
    </row>
    <row r="2220" spans="1:14" s="64" customFormat="1" x14ac:dyDescent="0.2">
      <c r="A2220" s="63"/>
      <c r="B2220" s="396"/>
      <c r="C2220" s="122"/>
      <c r="D2220" s="75"/>
      <c r="E2220" s="395"/>
      <c r="F2220" s="395"/>
      <c r="G2220" s="395"/>
      <c r="H2220" s="67"/>
      <c r="I2220" s="69"/>
      <c r="J2220" s="134"/>
      <c r="K2220" s="324">
        <v>0.2999</v>
      </c>
      <c r="L2220" s="191">
        <f>L688</f>
        <v>1.4842</v>
      </c>
      <c r="M2220" s="401"/>
      <c r="N2220" s="86"/>
    </row>
    <row r="2221" spans="1:14" s="64" customFormat="1" x14ac:dyDescent="0.2">
      <c r="A2221" s="63"/>
      <c r="B2221" s="396"/>
      <c r="C2221" s="122"/>
      <c r="D2221" s="75"/>
      <c r="E2221" s="395"/>
      <c r="F2221" s="395"/>
      <c r="G2221" s="395"/>
      <c r="H2221" s="67"/>
      <c r="I2221" s="69"/>
      <c r="J2221" s="134"/>
      <c r="K2221" s="324">
        <v>0.2999</v>
      </c>
      <c r="L2221" s="191">
        <f>L689</f>
        <v>1.4842</v>
      </c>
      <c r="M2221" s="401"/>
      <c r="N2221" s="86"/>
    </row>
    <row r="2222" spans="1:14" s="64" customFormat="1" x14ac:dyDescent="0.2">
      <c r="A2222" s="63"/>
      <c r="B2222" s="396"/>
      <c r="C2222" s="122"/>
      <c r="D2222" s="75"/>
      <c r="E2222" s="395"/>
      <c r="F2222" s="395"/>
      <c r="G2222" s="395"/>
      <c r="H2222" s="67"/>
      <c r="I2222" s="69"/>
      <c r="J2222" s="134"/>
      <c r="K2222" s="324">
        <v>0.2999</v>
      </c>
      <c r="L2222" s="191">
        <f>L690</f>
        <v>1.4842</v>
      </c>
      <c r="M2222" s="401"/>
      <c r="N2222" s="86"/>
    </row>
    <row r="2223" spans="1:14" s="64" customFormat="1" x14ac:dyDescent="0.2">
      <c r="A2223" s="63"/>
      <c r="B2223" s="396"/>
      <c r="C2223" s="122"/>
      <c r="D2223" s="75"/>
      <c r="E2223" s="395"/>
      <c r="F2223" s="395"/>
      <c r="G2223" s="395"/>
      <c r="H2223" s="67"/>
      <c r="I2223" s="69"/>
      <c r="J2223" s="134"/>
      <c r="K2223" s="324">
        <v>0.2999</v>
      </c>
      <c r="L2223" s="191">
        <f>L691</f>
        <v>1.4842</v>
      </c>
      <c r="M2223" s="401"/>
      <c r="N2223" s="86"/>
    </row>
    <row r="2224" spans="1:14" s="64" customFormat="1" x14ac:dyDescent="0.2">
      <c r="A2224" s="63"/>
      <c r="B2224" s="396"/>
      <c r="C2224" s="122"/>
      <c r="D2224" s="75"/>
      <c r="E2224" s="395"/>
      <c r="F2224" s="395"/>
      <c r="G2224" s="395"/>
      <c r="H2224" s="67"/>
      <c r="I2224" s="69"/>
      <c r="J2224" s="134"/>
      <c r="K2224" s="324">
        <v>0.2999</v>
      </c>
      <c r="L2224" s="191">
        <f>L692</f>
        <v>1.4842</v>
      </c>
      <c r="M2224" s="401"/>
      <c r="N2224" s="86"/>
    </row>
    <row r="2225" spans="1:14" s="64" customFormat="1" x14ac:dyDescent="0.2">
      <c r="A2225" s="63"/>
      <c r="B2225" s="396"/>
      <c r="C2225" s="122"/>
      <c r="D2225" s="75"/>
      <c r="E2225" s="395"/>
      <c r="F2225" s="395"/>
      <c r="G2225" s="395"/>
      <c r="H2225" s="67"/>
      <c r="I2225" s="69"/>
      <c r="J2225" s="134"/>
      <c r="K2225" s="324">
        <v>0.2999</v>
      </c>
      <c r="L2225" s="191">
        <f>L693</f>
        <v>1.4842</v>
      </c>
      <c r="M2225" s="401"/>
      <c r="N2225" s="86"/>
    </row>
    <row r="2226" spans="1:14" s="64" customFormat="1" x14ac:dyDescent="0.2">
      <c r="A2226" s="63"/>
      <c r="B2226" s="396"/>
      <c r="C2226" s="122"/>
      <c r="D2226" s="75"/>
      <c r="E2226" s="395"/>
      <c r="F2226" s="395"/>
      <c r="G2226" s="395"/>
      <c r="H2226" s="67"/>
      <c r="I2226" s="69"/>
      <c r="J2226" s="134"/>
      <c r="K2226" s="324">
        <v>0.2999</v>
      </c>
      <c r="L2226" s="191">
        <f>L694</f>
        <v>1.4842</v>
      </c>
      <c r="M2226" s="401"/>
      <c r="N2226" s="86"/>
    </row>
    <row r="2227" spans="1:14" s="64" customFormat="1" x14ac:dyDescent="0.2">
      <c r="A2227" s="63"/>
      <c r="B2227" s="396"/>
      <c r="C2227" s="122"/>
      <c r="D2227" s="75"/>
      <c r="E2227" s="395"/>
      <c r="F2227" s="395"/>
      <c r="G2227" s="395"/>
      <c r="H2227" s="67"/>
      <c r="I2227" s="69"/>
      <c r="J2227" s="134"/>
      <c r="K2227" s="324">
        <v>0.2999</v>
      </c>
      <c r="L2227" s="191">
        <f>L695</f>
        <v>1.4842</v>
      </c>
      <c r="M2227" s="401"/>
      <c r="N2227" s="86"/>
    </row>
    <row r="2228" spans="1:14" s="64" customFormat="1" x14ac:dyDescent="0.2">
      <c r="A2228" s="63"/>
      <c r="B2228" s="396"/>
      <c r="C2228" s="122"/>
      <c r="D2228" s="75"/>
      <c r="E2228" s="395"/>
      <c r="F2228" s="395"/>
      <c r="G2228" s="395"/>
      <c r="H2228" s="67"/>
      <c r="I2228" s="69"/>
      <c r="J2228" s="134"/>
      <c r="K2228" s="324">
        <v>0.2999</v>
      </c>
      <c r="L2228" s="191">
        <f>L696</f>
        <v>1.4842</v>
      </c>
      <c r="M2228" s="401"/>
      <c r="N2228" s="86"/>
    </row>
    <row r="2229" spans="1:14" s="64" customFormat="1" x14ac:dyDescent="0.2">
      <c r="A2229" s="63"/>
      <c r="B2229" s="396"/>
      <c r="C2229" s="122"/>
      <c r="D2229" s="75"/>
      <c r="E2229" s="395"/>
      <c r="F2229" s="395"/>
      <c r="G2229" s="395"/>
      <c r="H2229" s="67"/>
      <c r="I2229" s="69"/>
      <c r="J2229" s="134"/>
      <c r="K2229" s="324">
        <v>0.2999</v>
      </c>
      <c r="L2229" s="191">
        <f>L697</f>
        <v>1.4842</v>
      </c>
      <c r="M2229" s="401"/>
      <c r="N2229" s="86"/>
    </row>
    <row r="2230" spans="1:14" s="64" customFormat="1" x14ac:dyDescent="0.2">
      <c r="A2230" s="63"/>
      <c r="B2230" s="396"/>
      <c r="C2230" s="122"/>
      <c r="D2230" s="75"/>
      <c r="E2230" s="395"/>
      <c r="F2230" s="395"/>
      <c r="G2230" s="395"/>
      <c r="H2230" s="67"/>
      <c r="I2230" s="69"/>
      <c r="J2230" s="134"/>
      <c r="K2230" s="324">
        <v>0.2999</v>
      </c>
      <c r="L2230" s="191">
        <f>L698</f>
        <v>1.4842</v>
      </c>
      <c r="M2230" s="401"/>
      <c r="N2230" s="86"/>
    </row>
    <row r="2231" spans="1:14" s="64" customFormat="1" x14ac:dyDescent="0.2">
      <c r="A2231" s="63"/>
      <c r="B2231" s="396"/>
      <c r="C2231" s="122"/>
      <c r="D2231" s="75"/>
      <c r="E2231" s="395"/>
      <c r="F2231" s="395"/>
      <c r="G2231" s="395"/>
      <c r="H2231" s="67"/>
      <c r="I2231" s="69"/>
      <c r="J2231" s="134"/>
      <c r="K2231" s="324">
        <v>0.2999</v>
      </c>
      <c r="L2231" s="191">
        <f>L699</f>
        <v>1.4842</v>
      </c>
      <c r="M2231" s="401"/>
      <c r="N2231" s="86"/>
    </row>
    <row r="2232" spans="1:14" s="64" customFormat="1" x14ac:dyDescent="0.2">
      <c r="A2232" s="63"/>
      <c r="B2232" s="396"/>
      <c r="C2232" s="122"/>
      <c r="D2232" s="75"/>
      <c r="E2232" s="395"/>
      <c r="F2232" s="395"/>
      <c r="G2232" s="395"/>
      <c r="H2232" s="67"/>
      <c r="I2232" s="69"/>
      <c r="J2232" s="134"/>
      <c r="K2232" s="324">
        <v>0.2999</v>
      </c>
      <c r="L2232" s="191">
        <f>L700</f>
        <v>1.4842</v>
      </c>
      <c r="M2232" s="401"/>
      <c r="N2232" s="86"/>
    </row>
    <row r="2233" spans="1:14" s="64" customFormat="1" x14ac:dyDescent="0.2">
      <c r="A2233" s="63"/>
      <c r="B2233" s="396"/>
      <c r="C2233" s="122"/>
      <c r="D2233" s="75"/>
      <c r="E2233" s="395"/>
      <c r="F2233" s="395"/>
      <c r="G2233" s="395"/>
      <c r="H2233" s="67"/>
      <c r="I2233" s="69"/>
      <c r="J2233" s="134"/>
      <c r="K2233" s="324">
        <v>0.2999</v>
      </c>
      <c r="L2233" s="191">
        <f>L701</f>
        <v>1.4842</v>
      </c>
      <c r="M2233" s="401"/>
      <c r="N2233" s="86"/>
    </row>
    <row r="2234" spans="1:14" s="64" customFormat="1" x14ac:dyDescent="0.2">
      <c r="A2234" s="63"/>
      <c r="B2234" s="396"/>
      <c r="C2234" s="122"/>
      <c r="D2234" s="75"/>
      <c r="E2234" s="395"/>
      <c r="F2234" s="395"/>
      <c r="G2234" s="395"/>
      <c r="H2234" s="67"/>
      <c r="I2234" s="69"/>
      <c r="J2234" s="134"/>
      <c r="K2234" s="324">
        <v>0.2999</v>
      </c>
      <c r="L2234" s="191">
        <f>L702</f>
        <v>1.4842</v>
      </c>
      <c r="M2234" s="401"/>
      <c r="N2234" s="86"/>
    </row>
    <row r="2235" spans="1:14" s="64" customFormat="1" x14ac:dyDescent="0.2">
      <c r="A2235" s="63"/>
      <c r="B2235" s="396"/>
      <c r="C2235" s="122"/>
      <c r="D2235" s="75"/>
      <c r="E2235" s="395"/>
      <c r="F2235" s="395"/>
      <c r="G2235" s="395"/>
      <c r="H2235" s="67"/>
      <c r="I2235" s="69"/>
      <c r="J2235" s="134"/>
      <c r="K2235" s="324">
        <v>0.2999</v>
      </c>
      <c r="L2235" s="191">
        <f>L703</f>
        <v>1.4842</v>
      </c>
      <c r="M2235" s="401"/>
      <c r="N2235" s="86"/>
    </row>
    <row r="2236" spans="1:14" s="64" customFormat="1" x14ac:dyDescent="0.2">
      <c r="A2236" s="63"/>
      <c r="B2236" s="396"/>
      <c r="C2236" s="122"/>
      <c r="D2236" s="75"/>
      <c r="E2236" s="395"/>
      <c r="F2236" s="395"/>
      <c r="G2236" s="395"/>
      <c r="H2236" s="67"/>
      <c r="I2236" s="69"/>
      <c r="J2236" s="134"/>
      <c r="K2236" s="324">
        <v>0.2999</v>
      </c>
      <c r="L2236" s="191">
        <f>L704</f>
        <v>1.4842</v>
      </c>
      <c r="M2236" s="401"/>
      <c r="N2236" s="86"/>
    </row>
    <row r="2237" spans="1:14" s="64" customFormat="1" x14ac:dyDescent="0.2">
      <c r="A2237" s="63"/>
      <c r="B2237" s="396"/>
      <c r="C2237" s="122"/>
      <c r="D2237" s="75"/>
      <c r="E2237" s="395"/>
      <c r="F2237" s="395"/>
      <c r="G2237" s="395"/>
      <c r="H2237" s="67"/>
      <c r="I2237" s="69"/>
      <c r="J2237" s="134"/>
      <c r="K2237" s="324">
        <v>0.2999</v>
      </c>
      <c r="L2237" s="191">
        <f>L705</f>
        <v>1.4842</v>
      </c>
      <c r="M2237" s="401"/>
      <c r="N2237" s="86"/>
    </row>
    <row r="2238" spans="1:14" s="64" customFormat="1" x14ac:dyDescent="0.2">
      <c r="A2238" s="63"/>
      <c r="B2238" s="396"/>
      <c r="C2238" s="122"/>
      <c r="D2238" s="75"/>
      <c r="E2238" s="395"/>
      <c r="F2238" s="395"/>
      <c r="G2238" s="395"/>
      <c r="H2238" s="67"/>
      <c r="I2238" s="69"/>
      <c r="J2238" s="134"/>
      <c r="K2238" s="324">
        <v>0.2999</v>
      </c>
      <c r="L2238" s="191">
        <f>L706</f>
        <v>1.4842</v>
      </c>
      <c r="M2238" s="401"/>
      <c r="N2238" s="86"/>
    </row>
    <row r="2239" spans="1:14" s="64" customFormat="1" x14ac:dyDescent="0.2">
      <c r="A2239" s="63"/>
      <c r="B2239" s="396"/>
      <c r="C2239" s="122"/>
      <c r="D2239" s="75"/>
      <c r="E2239" s="395"/>
      <c r="F2239" s="395"/>
      <c r="G2239" s="395"/>
      <c r="H2239" s="67"/>
      <c r="I2239" s="69"/>
      <c r="J2239" s="134"/>
      <c r="K2239" s="324">
        <v>0.2999</v>
      </c>
      <c r="L2239" s="191">
        <f>L707</f>
        <v>1.4842</v>
      </c>
      <c r="M2239" s="401"/>
      <c r="N2239" s="86"/>
    </row>
    <row r="2240" spans="1:14" s="64" customFormat="1" x14ac:dyDescent="0.2">
      <c r="A2240" s="63"/>
      <c r="B2240" s="396"/>
      <c r="C2240" s="122"/>
      <c r="D2240" s="75"/>
      <c r="E2240" s="395"/>
      <c r="F2240" s="395"/>
      <c r="G2240" s="395"/>
      <c r="H2240" s="67"/>
      <c r="I2240" s="69"/>
      <c r="J2240" s="134"/>
      <c r="K2240" s="324">
        <v>0.2999</v>
      </c>
      <c r="L2240" s="191">
        <f>L708</f>
        <v>1.4842</v>
      </c>
      <c r="M2240" s="401"/>
      <c r="N2240" s="86"/>
    </row>
    <row r="2241" spans="1:14" s="64" customFormat="1" x14ac:dyDescent="0.2">
      <c r="A2241" s="63"/>
      <c r="B2241" s="396"/>
      <c r="C2241" s="122"/>
      <c r="D2241" s="75"/>
      <c r="E2241" s="395"/>
      <c r="F2241" s="395"/>
      <c r="G2241" s="395"/>
      <c r="H2241" s="67"/>
      <c r="I2241" s="69"/>
      <c r="J2241" s="134"/>
      <c r="K2241" s="324">
        <v>0.2999</v>
      </c>
      <c r="L2241" s="191">
        <f>L709</f>
        <v>1.4842</v>
      </c>
      <c r="M2241" s="401"/>
      <c r="N2241" s="86"/>
    </row>
    <row r="2242" spans="1:14" s="64" customFormat="1" x14ac:dyDescent="0.2">
      <c r="A2242" s="63"/>
      <c r="B2242" s="396"/>
      <c r="C2242" s="122"/>
      <c r="D2242" s="75"/>
      <c r="E2242" s="395"/>
      <c r="F2242" s="395"/>
      <c r="G2242" s="395"/>
      <c r="H2242" s="67"/>
      <c r="I2242" s="69"/>
      <c r="J2242" s="134"/>
      <c r="K2242" s="324">
        <v>0.2999</v>
      </c>
      <c r="L2242" s="191">
        <f>L710</f>
        <v>1.4842</v>
      </c>
      <c r="M2242" s="401"/>
      <c r="N2242" s="86"/>
    </row>
    <row r="2243" spans="1:14" s="64" customFormat="1" x14ac:dyDescent="0.2">
      <c r="A2243" s="63"/>
      <c r="B2243" s="396"/>
      <c r="C2243" s="122"/>
      <c r="D2243" s="75"/>
      <c r="E2243" s="395"/>
      <c r="F2243" s="395"/>
      <c r="G2243" s="395"/>
      <c r="H2243" s="67"/>
      <c r="I2243" s="69"/>
      <c r="J2243" s="134"/>
      <c r="K2243" s="324">
        <v>0.2999</v>
      </c>
      <c r="L2243" s="191">
        <f>L711</f>
        <v>1.4842</v>
      </c>
      <c r="M2243" s="401"/>
      <c r="N2243" s="86"/>
    </row>
    <row r="2244" spans="1:14" s="64" customFormat="1" x14ac:dyDescent="0.2">
      <c r="A2244" s="63"/>
      <c r="B2244" s="396"/>
      <c r="C2244" s="122"/>
      <c r="D2244" s="75"/>
      <c r="E2244" s="395"/>
      <c r="F2244" s="395"/>
      <c r="G2244" s="395"/>
      <c r="H2244" s="67"/>
      <c r="I2244" s="69"/>
      <c r="J2244" s="134"/>
      <c r="K2244" s="324">
        <v>0.2999</v>
      </c>
      <c r="L2244" s="191">
        <f>L712</f>
        <v>1.4842</v>
      </c>
      <c r="M2244" s="401"/>
      <c r="N2244" s="86"/>
    </row>
    <row r="2245" spans="1:14" s="64" customFormat="1" x14ac:dyDescent="0.2">
      <c r="A2245" s="63"/>
      <c r="B2245" s="396"/>
      <c r="C2245" s="122"/>
      <c r="D2245" s="75"/>
      <c r="E2245" s="395"/>
      <c r="F2245" s="395"/>
      <c r="G2245" s="395"/>
      <c r="H2245" s="67"/>
      <c r="I2245" s="69"/>
      <c r="J2245" s="134"/>
      <c r="K2245" s="324">
        <v>0.2999</v>
      </c>
      <c r="L2245" s="191">
        <f>L713</f>
        <v>1.4842</v>
      </c>
      <c r="M2245" s="401"/>
      <c r="N2245" s="86"/>
    </row>
    <row r="2246" spans="1:14" s="64" customFormat="1" x14ac:dyDescent="0.2">
      <c r="A2246" s="63"/>
      <c r="B2246" s="396"/>
      <c r="C2246" s="122"/>
      <c r="D2246" s="75"/>
      <c r="E2246" s="395"/>
      <c r="F2246" s="395"/>
      <c r="G2246" s="395"/>
      <c r="H2246" s="67"/>
      <c r="I2246" s="69"/>
      <c r="J2246" s="134"/>
      <c r="K2246" s="324">
        <v>0.2999</v>
      </c>
      <c r="L2246" s="191">
        <f>L714</f>
        <v>1.4842</v>
      </c>
      <c r="M2246" s="401"/>
      <c r="N2246" s="86"/>
    </row>
    <row r="2247" spans="1:14" s="64" customFormat="1" x14ac:dyDescent="0.2">
      <c r="A2247" s="63"/>
      <c r="B2247" s="396"/>
      <c r="C2247" s="122"/>
      <c r="D2247" s="75"/>
      <c r="E2247" s="395"/>
      <c r="F2247" s="395"/>
      <c r="G2247" s="395"/>
      <c r="H2247" s="67"/>
      <c r="I2247" s="69"/>
      <c r="J2247" s="134"/>
      <c r="K2247" s="324">
        <v>0.2999</v>
      </c>
      <c r="L2247" s="191">
        <f>L715</f>
        <v>1.4842</v>
      </c>
      <c r="M2247" s="401"/>
      <c r="N2247" s="86"/>
    </row>
    <row r="2248" spans="1:14" s="64" customFormat="1" x14ac:dyDescent="0.2">
      <c r="A2248" s="63"/>
      <c r="B2248" s="396"/>
      <c r="C2248" s="122"/>
      <c r="D2248" s="75"/>
      <c r="E2248" s="395"/>
      <c r="F2248" s="395"/>
      <c r="G2248" s="395"/>
      <c r="H2248" s="67"/>
      <c r="I2248" s="69"/>
      <c r="J2248" s="134"/>
      <c r="K2248" s="324">
        <v>0.2999</v>
      </c>
      <c r="L2248" s="191">
        <f>L716</f>
        <v>1.4842</v>
      </c>
      <c r="M2248" s="401"/>
      <c r="N2248" s="86"/>
    </row>
    <row r="2249" spans="1:14" s="64" customFormat="1" x14ac:dyDescent="0.2">
      <c r="A2249" s="63"/>
      <c r="B2249" s="396"/>
      <c r="C2249" s="122"/>
      <c r="D2249" s="75"/>
      <c r="E2249" s="395"/>
      <c r="F2249" s="395"/>
      <c r="G2249" s="395"/>
      <c r="H2249" s="67"/>
      <c r="I2249" s="69"/>
      <c r="J2249" s="134"/>
      <c r="K2249" s="324">
        <v>0.2999</v>
      </c>
      <c r="L2249" s="191">
        <f>L717</f>
        <v>1.4842</v>
      </c>
      <c r="M2249" s="401"/>
      <c r="N2249" s="86"/>
    </row>
    <row r="2250" spans="1:14" s="64" customFormat="1" x14ac:dyDescent="0.2">
      <c r="A2250" s="63"/>
      <c r="B2250" s="396"/>
      <c r="C2250" s="122"/>
      <c r="D2250" s="75"/>
      <c r="E2250" s="395"/>
      <c r="F2250" s="395"/>
      <c r="G2250" s="395"/>
      <c r="H2250" s="67"/>
      <c r="I2250" s="69"/>
      <c r="J2250" s="134"/>
      <c r="K2250" s="324">
        <v>0.2999</v>
      </c>
      <c r="L2250" s="191">
        <f>L718</f>
        <v>1.4842</v>
      </c>
      <c r="M2250" s="401"/>
      <c r="N2250" s="86"/>
    </row>
    <row r="2251" spans="1:14" s="64" customFormat="1" x14ac:dyDescent="0.2">
      <c r="A2251" s="63"/>
      <c r="B2251" s="396"/>
      <c r="C2251" s="122"/>
      <c r="D2251" s="75"/>
      <c r="E2251" s="395"/>
      <c r="F2251" s="395"/>
      <c r="G2251" s="395"/>
      <c r="H2251" s="67"/>
      <c r="I2251" s="69"/>
      <c r="J2251" s="134"/>
      <c r="K2251" s="324">
        <v>0.2999</v>
      </c>
      <c r="L2251" s="191">
        <f>L719</f>
        <v>1.4842</v>
      </c>
      <c r="M2251" s="401"/>
      <c r="N2251" s="86"/>
    </row>
    <row r="2252" spans="1:14" s="64" customFormat="1" x14ac:dyDescent="0.2">
      <c r="A2252" s="63"/>
      <c r="B2252" s="396"/>
      <c r="C2252" s="122"/>
      <c r="D2252" s="75"/>
      <c r="E2252" s="395"/>
      <c r="F2252" s="395"/>
      <c r="G2252" s="395"/>
      <c r="H2252" s="67"/>
      <c r="I2252" s="69"/>
      <c r="J2252" s="134"/>
      <c r="K2252" s="324">
        <v>0.2999</v>
      </c>
      <c r="L2252" s="191">
        <f>L720</f>
        <v>1.4842</v>
      </c>
      <c r="M2252" s="401"/>
      <c r="N2252" s="86"/>
    </row>
    <row r="2253" spans="1:14" s="64" customFormat="1" x14ac:dyDescent="0.2">
      <c r="A2253" s="63"/>
      <c r="B2253" s="396"/>
      <c r="C2253" s="122"/>
      <c r="D2253" s="75"/>
      <c r="E2253" s="395"/>
      <c r="F2253" s="395"/>
      <c r="G2253" s="395"/>
      <c r="H2253" s="67"/>
      <c r="I2253" s="69"/>
      <c r="J2253" s="134"/>
      <c r="K2253" s="324">
        <v>0.2999</v>
      </c>
      <c r="L2253" s="191">
        <f>L721</f>
        <v>1.4842</v>
      </c>
      <c r="M2253" s="401"/>
      <c r="N2253" s="86"/>
    </row>
    <row r="2254" spans="1:14" s="64" customFormat="1" x14ac:dyDescent="0.2">
      <c r="A2254" s="63"/>
      <c r="B2254" s="396"/>
      <c r="C2254" s="122"/>
      <c r="D2254" s="75"/>
      <c r="E2254" s="395"/>
      <c r="F2254" s="395"/>
      <c r="G2254" s="395"/>
      <c r="H2254" s="67"/>
      <c r="I2254" s="69"/>
      <c r="J2254" s="134"/>
      <c r="K2254" s="324">
        <v>0.2999</v>
      </c>
      <c r="L2254" s="191">
        <f>L722</f>
        <v>1.4842</v>
      </c>
      <c r="M2254" s="401"/>
      <c r="N2254" s="86"/>
    </row>
    <row r="2255" spans="1:14" s="64" customFormat="1" x14ac:dyDescent="0.2">
      <c r="A2255" s="63"/>
      <c r="B2255" s="396"/>
      <c r="C2255" s="122"/>
      <c r="D2255" s="75"/>
      <c r="E2255" s="395"/>
      <c r="F2255" s="395"/>
      <c r="G2255" s="395"/>
      <c r="H2255" s="67"/>
      <c r="I2255" s="69"/>
      <c r="J2255" s="134"/>
      <c r="K2255" s="324">
        <v>0.2999</v>
      </c>
      <c r="L2255" s="191">
        <f>L723</f>
        <v>1.4842</v>
      </c>
      <c r="M2255" s="401"/>
      <c r="N2255" s="86"/>
    </row>
    <row r="2256" spans="1:14" s="64" customFormat="1" x14ac:dyDescent="0.2">
      <c r="A2256" s="63"/>
      <c r="B2256" s="396"/>
      <c r="C2256" s="122"/>
      <c r="D2256" s="75"/>
      <c r="E2256" s="395"/>
      <c r="F2256" s="395"/>
      <c r="G2256" s="395"/>
      <c r="H2256" s="67"/>
      <c r="I2256" s="69"/>
      <c r="J2256" s="134"/>
      <c r="K2256" s="324">
        <v>0.2999</v>
      </c>
      <c r="L2256" s="191">
        <f>L724</f>
        <v>1.4842</v>
      </c>
      <c r="M2256" s="401"/>
      <c r="N2256" s="86"/>
    </row>
    <row r="2257" spans="1:14" s="64" customFormat="1" x14ac:dyDescent="0.2">
      <c r="A2257" s="63"/>
      <c r="B2257" s="396"/>
      <c r="C2257" s="122"/>
      <c r="D2257" s="75"/>
      <c r="E2257" s="395"/>
      <c r="F2257" s="395"/>
      <c r="G2257" s="395"/>
      <c r="H2257" s="67"/>
      <c r="I2257" s="69"/>
      <c r="J2257" s="134"/>
      <c r="K2257" s="324">
        <v>0.2999</v>
      </c>
      <c r="L2257" s="191">
        <f>L725</f>
        <v>1.4842</v>
      </c>
      <c r="M2257" s="401"/>
      <c r="N2257" s="86"/>
    </row>
    <row r="2258" spans="1:14" s="64" customFormat="1" x14ac:dyDescent="0.2">
      <c r="A2258" s="63"/>
      <c r="B2258" s="396"/>
      <c r="C2258" s="122"/>
      <c r="D2258" s="75"/>
      <c r="E2258" s="395"/>
      <c r="F2258" s="395"/>
      <c r="G2258" s="395"/>
      <c r="H2258" s="67"/>
      <c r="I2258" s="69"/>
      <c r="J2258" s="134"/>
      <c r="K2258" s="324">
        <v>0.2999</v>
      </c>
      <c r="L2258" s="191">
        <f>L726</f>
        <v>1.4842</v>
      </c>
      <c r="M2258" s="401"/>
      <c r="N2258" s="86"/>
    </row>
    <row r="2259" spans="1:14" s="64" customFormat="1" x14ac:dyDescent="0.2">
      <c r="A2259" s="63"/>
      <c r="B2259" s="396"/>
      <c r="C2259" s="122"/>
      <c r="D2259" s="75"/>
      <c r="E2259" s="395"/>
      <c r="F2259" s="395"/>
      <c r="G2259" s="395"/>
      <c r="H2259" s="67"/>
      <c r="I2259" s="69"/>
      <c r="J2259" s="134"/>
      <c r="K2259" s="324">
        <v>0.2999</v>
      </c>
      <c r="L2259" s="191">
        <f>L727</f>
        <v>1.4842</v>
      </c>
      <c r="M2259" s="401"/>
      <c r="N2259" s="86"/>
    </row>
    <row r="2260" spans="1:14" s="64" customFormat="1" x14ac:dyDescent="0.2">
      <c r="A2260" s="63"/>
      <c r="B2260" s="396"/>
      <c r="C2260" s="122"/>
      <c r="D2260" s="75"/>
      <c r="E2260" s="395"/>
      <c r="F2260" s="395"/>
      <c r="G2260" s="395"/>
      <c r="H2260" s="67"/>
      <c r="I2260" s="69"/>
      <c r="J2260" s="134"/>
      <c r="K2260" s="324">
        <v>0.2999</v>
      </c>
      <c r="L2260" s="191">
        <f>L728</f>
        <v>1.4842</v>
      </c>
      <c r="M2260" s="401"/>
      <c r="N2260" s="86"/>
    </row>
    <row r="2261" spans="1:14" s="64" customFormat="1" x14ac:dyDescent="0.2">
      <c r="A2261" s="63"/>
      <c r="B2261" s="396"/>
      <c r="C2261" s="122"/>
      <c r="D2261" s="75"/>
      <c r="E2261" s="395"/>
      <c r="F2261" s="395"/>
      <c r="G2261" s="395"/>
      <c r="H2261" s="67"/>
      <c r="I2261" s="69"/>
      <c r="J2261" s="134"/>
      <c r="K2261" s="324">
        <v>0.2999</v>
      </c>
      <c r="L2261" s="191">
        <f>L729</f>
        <v>1.4842</v>
      </c>
      <c r="M2261" s="401"/>
      <c r="N2261" s="86"/>
    </row>
    <row r="2262" spans="1:14" s="64" customFormat="1" x14ac:dyDescent="0.2">
      <c r="A2262" s="63"/>
      <c r="B2262" s="396"/>
      <c r="C2262" s="122"/>
      <c r="D2262" s="75"/>
      <c r="E2262" s="395"/>
      <c r="F2262" s="395"/>
      <c r="G2262" s="395"/>
      <c r="H2262" s="67"/>
      <c r="I2262" s="69"/>
      <c r="J2262" s="134"/>
      <c r="K2262" s="324">
        <v>0.2999</v>
      </c>
      <c r="L2262" s="191">
        <f>L730</f>
        <v>1.4842</v>
      </c>
      <c r="M2262" s="401"/>
      <c r="N2262" s="86"/>
    </row>
    <row r="2263" spans="1:14" s="64" customFormat="1" x14ac:dyDescent="0.2">
      <c r="A2263" s="63"/>
      <c r="B2263" s="396"/>
      <c r="C2263" s="122"/>
      <c r="D2263" s="75"/>
      <c r="E2263" s="395"/>
      <c r="F2263" s="395"/>
      <c r="G2263" s="395"/>
      <c r="H2263" s="67"/>
      <c r="I2263" s="69"/>
      <c r="J2263" s="134"/>
      <c r="K2263" s="324">
        <v>0.2999</v>
      </c>
      <c r="L2263" s="191">
        <f>L731</f>
        <v>1.4842</v>
      </c>
      <c r="M2263" s="401"/>
      <c r="N2263" s="86"/>
    </row>
    <row r="2264" spans="1:14" s="64" customFormat="1" x14ac:dyDescent="0.2">
      <c r="A2264" s="63"/>
      <c r="B2264" s="396"/>
      <c r="C2264" s="122"/>
      <c r="D2264" s="75"/>
      <c r="E2264" s="395"/>
      <c r="F2264" s="395"/>
      <c r="G2264" s="395"/>
      <c r="H2264" s="67"/>
      <c r="I2264" s="69"/>
      <c r="J2264" s="134"/>
      <c r="K2264" s="324">
        <v>0.2999</v>
      </c>
      <c r="L2264" s="191">
        <f>L732</f>
        <v>1.4842</v>
      </c>
      <c r="M2264" s="401"/>
      <c r="N2264" s="86"/>
    </row>
    <row r="2265" spans="1:14" s="64" customFormat="1" x14ac:dyDescent="0.2">
      <c r="A2265" s="63"/>
      <c r="B2265" s="396"/>
      <c r="C2265" s="122"/>
      <c r="D2265" s="75"/>
      <c r="E2265" s="395"/>
      <c r="F2265" s="395"/>
      <c r="G2265" s="395"/>
      <c r="H2265" s="67"/>
      <c r="I2265" s="69"/>
      <c r="J2265" s="134"/>
      <c r="K2265" s="324">
        <v>0.2999</v>
      </c>
      <c r="L2265" s="191">
        <f>L733</f>
        <v>1.4842</v>
      </c>
      <c r="M2265" s="401"/>
      <c r="N2265" s="86"/>
    </row>
    <row r="2266" spans="1:14" s="64" customFormat="1" x14ac:dyDescent="0.2">
      <c r="A2266" s="63"/>
      <c r="B2266" s="396"/>
      <c r="C2266" s="122"/>
      <c r="D2266" s="75"/>
      <c r="E2266" s="395"/>
      <c r="F2266" s="395"/>
      <c r="G2266" s="395"/>
      <c r="H2266" s="67"/>
      <c r="I2266" s="69"/>
      <c r="J2266" s="134"/>
      <c r="K2266" s="324">
        <v>0.2999</v>
      </c>
      <c r="L2266" s="191">
        <f>L734</f>
        <v>1.4842</v>
      </c>
      <c r="M2266" s="401"/>
      <c r="N2266" s="86"/>
    </row>
    <row r="2267" spans="1:14" s="64" customFormat="1" x14ac:dyDescent="0.2">
      <c r="A2267" s="63"/>
      <c r="B2267" s="396"/>
      <c r="C2267" s="122"/>
      <c r="D2267" s="75"/>
      <c r="E2267" s="395"/>
      <c r="F2267" s="395"/>
      <c r="G2267" s="395"/>
      <c r="H2267" s="67"/>
      <c r="I2267" s="69"/>
      <c r="J2267" s="134"/>
      <c r="K2267" s="324">
        <v>0.2999</v>
      </c>
      <c r="L2267" s="191">
        <f>L735</f>
        <v>1.4842</v>
      </c>
      <c r="M2267" s="401"/>
      <c r="N2267" s="86"/>
    </row>
    <row r="2268" spans="1:14" s="64" customFormat="1" x14ac:dyDescent="0.2">
      <c r="A2268" s="63"/>
      <c r="B2268" s="396"/>
      <c r="C2268" s="122"/>
      <c r="D2268" s="75"/>
      <c r="E2268" s="395"/>
      <c r="F2268" s="395"/>
      <c r="G2268" s="395"/>
      <c r="H2268" s="67"/>
      <c r="I2268" s="69"/>
      <c r="J2268" s="134"/>
      <c r="K2268" s="324">
        <v>0.2999</v>
      </c>
      <c r="L2268" s="191">
        <f>L736</f>
        <v>1.4842</v>
      </c>
      <c r="M2268" s="401"/>
      <c r="N2268" s="86"/>
    </row>
    <row r="2269" spans="1:14" s="64" customFormat="1" x14ac:dyDescent="0.2">
      <c r="A2269" s="63"/>
      <c r="B2269" s="396"/>
      <c r="C2269" s="122"/>
      <c r="D2269" s="75"/>
      <c r="E2269" s="395"/>
      <c r="F2269" s="395"/>
      <c r="G2269" s="395"/>
      <c r="H2269" s="67"/>
      <c r="I2269" s="69"/>
      <c r="J2269" s="134"/>
      <c r="K2269" s="324">
        <v>0.2999</v>
      </c>
      <c r="L2269" s="191">
        <f>L737</f>
        <v>1.4842</v>
      </c>
      <c r="M2269" s="401"/>
      <c r="N2269" s="86"/>
    </row>
    <row r="2270" spans="1:14" s="64" customFormat="1" x14ac:dyDescent="0.2">
      <c r="A2270" s="63"/>
      <c r="B2270" s="396"/>
      <c r="C2270" s="122"/>
      <c r="D2270" s="75"/>
      <c r="E2270" s="395"/>
      <c r="F2270" s="395"/>
      <c r="G2270" s="395"/>
      <c r="H2270" s="67"/>
      <c r="I2270" s="69"/>
      <c r="J2270" s="134"/>
      <c r="K2270" s="324">
        <v>0.2999</v>
      </c>
      <c r="L2270" s="191">
        <f>L738</f>
        <v>1.4842</v>
      </c>
      <c r="M2270" s="401"/>
      <c r="N2270" s="86"/>
    </row>
    <row r="2271" spans="1:14" s="64" customFormat="1" x14ac:dyDescent="0.2">
      <c r="A2271" s="63"/>
      <c r="B2271" s="396"/>
      <c r="C2271" s="122"/>
      <c r="D2271" s="75"/>
      <c r="E2271" s="395"/>
      <c r="F2271" s="395"/>
      <c r="G2271" s="395"/>
      <c r="H2271" s="67"/>
      <c r="I2271" s="69"/>
      <c r="J2271" s="134"/>
      <c r="K2271" s="324">
        <v>0.2999</v>
      </c>
      <c r="L2271" s="191">
        <f>L739</f>
        <v>1.4842</v>
      </c>
      <c r="M2271" s="401"/>
      <c r="N2271" s="86"/>
    </row>
    <row r="2272" spans="1:14" s="64" customFormat="1" x14ac:dyDescent="0.2">
      <c r="A2272" s="63"/>
      <c r="B2272" s="396"/>
      <c r="C2272" s="122"/>
      <c r="D2272" s="75"/>
      <c r="E2272" s="395"/>
      <c r="F2272" s="395"/>
      <c r="G2272" s="395"/>
      <c r="H2272" s="67"/>
      <c r="I2272" s="69"/>
      <c r="J2272" s="134"/>
      <c r="K2272" s="324">
        <v>0.2999</v>
      </c>
      <c r="L2272" s="191">
        <f>L740</f>
        <v>1.4842</v>
      </c>
      <c r="M2272" s="401"/>
      <c r="N2272" s="86"/>
    </row>
    <row r="2273" spans="1:14" s="64" customFormat="1" x14ac:dyDescent="0.2">
      <c r="A2273" s="63"/>
      <c r="B2273" s="396"/>
      <c r="C2273" s="122"/>
      <c r="D2273" s="75"/>
      <c r="E2273" s="395"/>
      <c r="F2273" s="395"/>
      <c r="G2273" s="395"/>
      <c r="H2273" s="67"/>
      <c r="I2273" s="69"/>
      <c r="J2273" s="134"/>
      <c r="K2273" s="324">
        <v>0.2999</v>
      </c>
      <c r="L2273" s="191">
        <f>L741</f>
        <v>1.4842</v>
      </c>
      <c r="M2273" s="401"/>
      <c r="N2273" s="86"/>
    </row>
    <row r="2274" spans="1:14" s="64" customFormat="1" x14ac:dyDescent="0.2">
      <c r="A2274" s="63"/>
      <c r="B2274" s="396"/>
      <c r="C2274" s="122"/>
      <c r="D2274" s="75"/>
      <c r="E2274" s="395"/>
      <c r="F2274" s="395"/>
      <c r="G2274" s="395"/>
      <c r="H2274" s="67"/>
      <c r="I2274" s="69"/>
      <c r="J2274" s="134"/>
      <c r="K2274" s="324">
        <v>0.2999</v>
      </c>
      <c r="L2274" s="191">
        <f>L742</f>
        <v>1.4842</v>
      </c>
      <c r="M2274" s="401"/>
      <c r="N2274" s="86"/>
    </row>
    <row r="2275" spans="1:14" s="64" customFormat="1" x14ac:dyDescent="0.2">
      <c r="A2275" s="63"/>
      <c r="B2275" s="396"/>
      <c r="C2275" s="122"/>
      <c r="D2275" s="75"/>
      <c r="E2275" s="395"/>
      <c r="F2275" s="395"/>
      <c r="G2275" s="395"/>
      <c r="H2275" s="67"/>
      <c r="I2275" s="69"/>
      <c r="J2275" s="134"/>
      <c r="K2275" s="324">
        <v>0.2999</v>
      </c>
      <c r="L2275" s="191">
        <f>L743</f>
        <v>1.4842</v>
      </c>
      <c r="M2275" s="401"/>
      <c r="N2275" s="86"/>
    </row>
    <row r="2276" spans="1:14" s="64" customFormat="1" x14ac:dyDescent="0.2">
      <c r="A2276" s="63"/>
      <c r="B2276" s="396"/>
      <c r="C2276" s="122"/>
      <c r="D2276" s="75"/>
      <c r="E2276" s="395"/>
      <c r="F2276" s="395"/>
      <c r="G2276" s="395"/>
      <c r="H2276" s="67"/>
      <c r="I2276" s="69"/>
      <c r="J2276" s="134"/>
      <c r="K2276" s="324">
        <v>0.2999</v>
      </c>
      <c r="L2276" s="191">
        <f>L744</f>
        <v>1.4842</v>
      </c>
      <c r="M2276" s="401"/>
      <c r="N2276" s="86"/>
    </row>
    <row r="2277" spans="1:14" s="64" customFormat="1" x14ac:dyDescent="0.2">
      <c r="A2277" s="63"/>
      <c r="B2277" s="396"/>
      <c r="C2277" s="122"/>
      <c r="D2277" s="75"/>
      <c r="E2277" s="395"/>
      <c r="F2277" s="395"/>
      <c r="G2277" s="395"/>
      <c r="H2277" s="67"/>
      <c r="I2277" s="69"/>
      <c r="J2277" s="134"/>
      <c r="K2277" s="324">
        <v>0.2999</v>
      </c>
      <c r="L2277" s="191">
        <f>L745</f>
        <v>1.4842</v>
      </c>
      <c r="M2277" s="401"/>
      <c r="N2277" s="86"/>
    </row>
    <row r="2278" spans="1:14" s="64" customFormat="1" x14ac:dyDescent="0.2">
      <c r="A2278" s="63"/>
      <c r="B2278" s="396"/>
      <c r="C2278" s="122"/>
      <c r="D2278" s="75"/>
      <c r="E2278" s="395"/>
      <c r="F2278" s="395"/>
      <c r="G2278" s="395"/>
      <c r="H2278" s="67"/>
      <c r="I2278" s="69"/>
      <c r="J2278" s="134"/>
      <c r="K2278" s="324">
        <v>0.2999</v>
      </c>
      <c r="L2278" s="191">
        <f>L746</f>
        <v>1.4842</v>
      </c>
      <c r="M2278" s="401"/>
      <c r="N2278" s="86"/>
    </row>
    <row r="2279" spans="1:14" s="64" customFormat="1" x14ac:dyDescent="0.2">
      <c r="A2279" s="63"/>
      <c r="B2279" s="396"/>
      <c r="C2279" s="122"/>
      <c r="D2279" s="75"/>
      <c r="E2279" s="395"/>
      <c r="F2279" s="395"/>
      <c r="G2279" s="395"/>
      <c r="H2279" s="67"/>
      <c r="I2279" s="69"/>
      <c r="J2279" s="134"/>
      <c r="K2279" s="324">
        <v>0.2999</v>
      </c>
      <c r="L2279" s="191">
        <f>L747</f>
        <v>1.4842</v>
      </c>
      <c r="M2279" s="401"/>
      <c r="N2279" s="86"/>
    </row>
    <row r="2280" spans="1:14" s="64" customFormat="1" x14ac:dyDescent="0.2">
      <c r="A2280" s="63"/>
      <c r="B2280" s="396"/>
      <c r="C2280" s="122"/>
      <c r="D2280" s="75"/>
      <c r="E2280" s="395"/>
      <c r="F2280" s="395"/>
      <c r="G2280" s="395"/>
      <c r="H2280" s="67"/>
      <c r="I2280" s="69"/>
      <c r="J2280" s="134"/>
      <c r="K2280" s="324">
        <v>0.2999</v>
      </c>
      <c r="L2280" s="191">
        <f>L748</f>
        <v>1.4842</v>
      </c>
      <c r="M2280" s="401"/>
      <c r="N2280" s="86"/>
    </row>
    <row r="2281" spans="1:14" s="64" customFormat="1" x14ac:dyDescent="0.2">
      <c r="A2281" s="63"/>
      <c r="B2281" s="396"/>
      <c r="C2281" s="122"/>
      <c r="D2281" s="75"/>
      <c r="E2281" s="395"/>
      <c r="F2281" s="395"/>
      <c r="G2281" s="395"/>
      <c r="H2281" s="67"/>
      <c r="I2281" s="69"/>
      <c r="J2281" s="134"/>
      <c r="K2281" s="324">
        <v>0.2999</v>
      </c>
      <c r="L2281" s="191">
        <f>L749</f>
        <v>1.4842</v>
      </c>
      <c r="M2281" s="401"/>
      <c r="N2281" s="86"/>
    </row>
    <row r="2282" spans="1:14" s="64" customFormat="1" x14ac:dyDescent="0.2">
      <c r="A2282" s="63"/>
      <c r="B2282" s="396"/>
      <c r="C2282" s="122"/>
      <c r="D2282" s="75"/>
      <c r="E2282" s="395"/>
      <c r="F2282" s="395"/>
      <c r="G2282" s="395"/>
      <c r="H2282" s="67"/>
      <c r="I2282" s="69"/>
      <c r="J2282" s="134"/>
      <c r="K2282" s="324">
        <v>0.2999</v>
      </c>
      <c r="L2282" s="191">
        <f>L750</f>
        <v>1.4842</v>
      </c>
      <c r="M2282" s="401"/>
      <c r="N2282" s="86"/>
    </row>
    <row r="2283" spans="1:14" s="64" customFormat="1" x14ac:dyDescent="0.2">
      <c r="A2283" s="63"/>
      <c r="B2283" s="396"/>
      <c r="C2283" s="122"/>
      <c r="D2283" s="75"/>
      <c r="E2283" s="395"/>
      <c r="F2283" s="395"/>
      <c r="G2283" s="395"/>
      <c r="H2283" s="67"/>
      <c r="I2283" s="69"/>
      <c r="J2283" s="134"/>
      <c r="K2283" s="324">
        <v>0.2999</v>
      </c>
      <c r="L2283" s="191">
        <f>L751</f>
        <v>1.4842</v>
      </c>
      <c r="M2283" s="401"/>
      <c r="N2283" s="86"/>
    </row>
    <row r="2284" spans="1:14" s="64" customFormat="1" x14ac:dyDescent="0.2">
      <c r="A2284" s="63"/>
      <c r="B2284" s="396"/>
      <c r="C2284" s="122"/>
      <c r="D2284" s="75"/>
      <c r="E2284" s="395"/>
      <c r="F2284" s="395"/>
      <c r="G2284" s="395"/>
      <c r="H2284" s="67"/>
      <c r="I2284" s="69"/>
      <c r="J2284" s="134"/>
      <c r="K2284" s="324">
        <v>0.2999</v>
      </c>
      <c r="L2284" s="191">
        <f>L752</f>
        <v>1.4842</v>
      </c>
      <c r="M2284" s="401"/>
      <c r="N2284" s="86"/>
    </row>
    <row r="2285" spans="1:14" s="64" customFormat="1" x14ac:dyDescent="0.2">
      <c r="A2285" s="63"/>
      <c r="B2285" s="396"/>
      <c r="C2285" s="122"/>
      <c r="D2285" s="75"/>
      <c r="E2285" s="395"/>
      <c r="F2285" s="395"/>
      <c r="G2285" s="395"/>
      <c r="H2285" s="67"/>
      <c r="I2285" s="69"/>
      <c r="J2285" s="134"/>
      <c r="K2285" s="324">
        <v>0.2999</v>
      </c>
      <c r="L2285" s="191">
        <f>L753</f>
        <v>1.4842</v>
      </c>
      <c r="M2285" s="401"/>
      <c r="N2285" s="86"/>
    </row>
    <row r="2286" spans="1:14" s="64" customFormat="1" x14ac:dyDescent="0.2">
      <c r="A2286" s="63"/>
      <c r="B2286" s="396"/>
      <c r="C2286" s="122"/>
      <c r="D2286" s="75"/>
      <c r="E2286" s="395"/>
      <c r="F2286" s="395"/>
      <c r="G2286" s="395"/>
      <c r="H2286" s="67"/>
      <c r="I2286" s="69"/>
      <c r="J2286" s="134"/>
      <c r="K2286" s="324">
        <v>0.2999</v>
      </c>
      <c r="L2286" s="191">
        <f>L754</f>
        <v>1.4842</v>
      </c>
      <c r="M2286" s="401"/>
      <c r="N2286" s="86"/>
    </row>
    <row r="2287" spans="1:14" s="64" customFormat="1" x14ac:dyDescent="0.2">
      <c r="A2287" s="63"/>
      <c r="B2287" s="396"/>
      <c r="C2287" s="122"/>
      <c r="D2287" s="75"/>
      <c r="E2287" s="395"/>
      <c r="F2287" s="395"/>
      <c r="G2287" s="395"/>
      <c r="H2287" s="67"/>
      <c r="I2287" s="69"/>
      <c r="J2287" s="134"/>
      <c r="K2287" s="324">
        <v>0.2999</v>
      </c>
      <c r="L2287" s="191">
        <f>L755</f>
        <v>1.4842</v>
      </c>
      <c r="M2287" s="401"/>
      <c r="N2287" s="86"/>
    </row>
    <row r="2288" spans="1:14" s="64" customFormat="1" x14ac:dyDescent="0.2">
      <c r="A2288" s="63"/>
      <c r="B2288" s="396"/>
      <c r="C2288" s="122"/>
      <c r="D2288" s="75"/>
      <c r="E2288" s="395"/>
      <c r="F2288" s="395"/>
      <c r="G2288" s="395"/>
      <c r="H2288" s="67"/>
      <c r="I2288" s="69"/>
      <c r="J2288" s="134"/>
      <c r="K2288" s="324">
        <v>0.2999</v>
      </c>
      <c r="L2288" s="191">
        <f>L756</f>
        <v>1.4842</v>
      </c>
      <c r="M2288" s="401"/>
      <c r="N2288" s="86"/>
    </row>
    <row r="2289" spans="1:14" s="64" customFormat="1" x14ac:dyDescent="0.2">
      <c r="A2289" s="63"/>
      <c r="B2289" s="396"/>
      <c r="C2289" s="122"/>
      <c r="D2289" s="75"/>
      <c r="E2289" s="395"/>
      <c r="F2289" s="395"/>
      <c r="G2289" s="395"/>
      <c r="H2289" s="67"/>
      <c r="I2289" s="69"/>
      <c r="J2289" s="134"/>
      <c r="K2289" s="324">
        <v>0.2999</v>
      </c>
      <c r="L2289" s="191">
        <f>L757</f>
        <v>1.4842</v>
      </c>
      <c r="M2289" s="401"/>
      <c r="N2289" s="86"/>
    </row>
    <row r="2290" spans="1:14" s="64" customFormat="1" x14ac:dyDescent="0.2">
      <c r="A2290" s="63"/>
      <c r="B2290" s="396"/>
      <c r="C2290" s="122"/>
      <c r="D2290" s="75"/>
      <c r="E2290" s="395"/>
      <c r="F2290" s="395"/>
      <c r="G2290" s="395"/>
      <c r="H2290" s="67"/>
      <c r="I2290" s="69"/>
      <c r="J2290" s="134"/>
      <c r="K2290" s="324">
        <v>0.2999</v>
      </c>
      <c r="L2290" s="191">
        <f>L758</f>
        <v>1.4842</v>
      </c>
      <c r="M2290" s="401"/>
      <c r="N2290" s="86"/>
    </row>
    <row r="2291" spans="1:14" s="64" customFormat="1" x14ac:dyDescent="0.2">
      <c r="A2291" s="63"/>
      <c r="B2291" s="396"/>
      <c r="C2291" s="122"/>
      <c r="D2291" s="75"/>
      <c r="E2291" s="395"/>
      <c r="F2291" s="395"/>
      <c r="G2291" s="395"/>
      <c r="H2291" s="67"/>
      <c r="I2291" s="69"/>
      <c r="J2291" s="134"/>
      <c r="K2291" s="324">
        <v>0.2999</v>
      </c>
      <c r="L2291" s="191">
        <f>L759</f>
        <v>1.4842</v>
      </c>
      <c r="M2291" s="401"/>
      <c r="N2291" s="86"/>
    </row>
    <row r="2292" spans="1:14" s="64" customFormat="1" x14ac:dyDescent="0.2">
      <c r="A2292" s="63"/>
      <c r="B2292" s="396"/>
      <c r="C2292" s="122"/>
      <c r="D2292" s="75"/>
      <c r="E2292" s="395"/>
      <c r="F2292" s="395"/>
      <c r="G2292" s="395"/>
      <c r="H2292" s="67"/>
      <c r="I2292" s="69"/>
      <c r="J2292" s="134"/>
      <c r="K2292" s="324">
        <v>0.2999</v>
      </c>
      <c r="L2292" s="191">
        <f>L760</f>
        <v>1.4842</v>
      </c>
      <c r="M2292" s="401"/>
      <c r="N2292" s="86"/>
    </row>
    <row r="2293" spans="1:14" s="64" customFormat="1" x14ac:dyDescent="0.2">
      <c r="A2293" s="63"/>
      <c r="B2293" s="396"/>
      <c r="C2293" s="122"/>
      <c r="D2293" s="75"/>
      <c r="E2293" s="395"/>
      <c r="F2293" s="395"/>
      <c r="G2293" s="395"/>
      <c r="H2293" s="67"/>
      <c r="I2293" s="69"/>
      <c r="J2293" s="134"/>
      <c r="K2293" s="324">
        <v>0.2999</v>
      </c>
      <c r="L2293" s="191">
        <f>L761</f>
        <v>1.4842</v>
      </c>
      <c r="M2293" s="401"/>
      <c r="N2293" s="86"/>
    </row>
    <row r="2294" spans="1:14" s="64" customFormat="1" x14ac:dyDescent="0.2">
      <c r="A2294" s="63"/>
      <c r="B2294" s="396"/>
      <c r="C2294" s="122"/>
      <c r="D2294" s="75"/>
      <c r="E2294" s="395"/>
      <c r="F2294" s="395"/>
      <c r="G2294" s="395"/>
      <c r="H2294" s="67"/>
      <c r="I2294" s="69"/>
      <c r="J2294" s="134"/>
      <c r="K2294" s="324">
        <v>0.2999</v>
      </c>
      <c r="L2294" s="191">
        <f>L762</f>
        <v>1.4842</v>
      </c>
      <c r="M2294" s="401"/>
      <c r="N2294" s="86"/>
    </row>
    <row r="2295" spans="1:14" s="64" customFormat="1" x14ac:dyDescent="0.2">
      <c r="A2295" s="63"/>
      <c r="B2295" s="396"/>
      <c r="C2295" s="122"/>
      <c r="D2295" s="75"/>
      <c r="E2295" s="395"/>
      <c r="F2295" s="395"/>
      <c r="G2295" s="395"/>
      <c r="H2295" s="67"/>
      <c r="I2295" s="69"/>
      <c r="J2295" s="134"/>
      <c r="K2295" s="324">
        <v>0.2999</v>
      </c>
      <c r="L2295" s="191">
        <f>L763</f>
        <v>1.4842</v>
      </c>
      <c r="M2295" s="401"/>
      <c r="N2295" s="86"/>
    </row>
    <row r="2296" spans="1:14" s="64" customFormat="1" x14ac:dyDescent="0.2">
      <c r="A2296" s="63"/>
      <c r="B2296" s="396"/>
      <c r="C2296" s="122"/>
      <c r="D2296" s="75"/>
      <c r="E2296" s="395"/>
      <c r="F2296" s="395"/>
      <c r="G2296" s="395"/>
      <c r="H2296" s="67"/>
      <c r="I2296" s="69"/>
      <c r="J2296" s="134"/>
      <c r="K2296" s="324">
        <v>0.2999</v>
      </c>
      <c r="L2296" s="191">
        <f>L764</f>
        <v>1.4842</v>
      </c>
      <c r="M2296" s="401"/>
      <c r="N2296" s="86"/>
    </row>
    <row r="2297" spans="1:14" s="64" customFormat="1" x14ac:dyDescent="0.2">
      <c r="A2297" s="63"/>
      <c r="B2297" s="396"/>
      <c r="C2297" s="122"/>
      <c r="D2297" s="75"/>
      <c r="E2297" s="395"/>
      <c r="F2297" s="395"/>
      <c r="G2297" s="395"/>
      <c r="H2297" s="67"/>
      <c r="I2297" s="69"/>
      <c r="J2297" s="134"/>
      <c r="K2297" s="324">
        <v>0.2999</v>
      </c>
      <c r="L2297" s="191">
        <f>L765</f>
        <v>1.4842</v>
      </c>
      <c r="M2297" s="401"/>
      <c r="N2297" s="86"/>
    </row>
    <row r="2298" spans="1:14" s="64" customFormat="1" x14ac:dyDescent="0.2">
      <c r="A2298" s="63"/>
      <c r="B2298" s="396"/>
      <c r="C2298" s="122"/>
      <c r="D2298" s="75"/>
      <c r="E2298" s="395"/>
      <c r="F2298" s="395"/>
      <c r="G2298" s="395"/>
      <c r="H2298" s="67"/>
      <c r="I2298" s="69"/>
      <c r="J2298" s="134"/>
      <c r="K2298" s="324">
        <v>0.2999</v>
      </c>
      <c r="L2298" s="191">
        <f>L766</f>
        <v>1.4842</v>
      </c>
      <c r="M2298" s="401"/>
      <c r="N2298" s="86"/>
    </row>
    <row r="2299" spans="1:14" s="64" customFormat="1" x14ac:dyDescent="0.2">
      <c r="A2299" s="63"/>
      <c r="B2299" s="396"/>
      <c r="C2299" s="122"/>
      <c r="D2299" s="75"/>
      <c r="E2299" s="395"/>
      <c r="F2299" s="395"/>
      <c r="G2299" s="395"/>
      <c r="H2299" s="67"/>
      <c r="I2299" s="69"/>
      <c r="J2299" s="134"/>
      <c r="K2299" s="324">
        <v>0.2999</v>
      </c>
      <c r="L2299" s="191">
        <f>L767</f>
        <v>1.4842</v>
      </c>
      <c r="M2299" s="401"/>
      <c r="N2299" s="86"/>
    </row>
    <row r="2300" spans="1:14" s="64" customFormat="1" x14ac:dyDescent="0.2">
      <c r="A2300" s="63"/>
      <c r="B2300" s="396"/>
      <c r="C2300" s="122"/>
      <c r="D2300" s="75"/>
      <c r="E2300" s="395"/>
      <c r="F2300" s="395"/>
      <c r="G2300" s="395"/>
      <c r="H2300" s="67"/>
      <c r="I2300" s="69"/>
      <c r="J2300" s="134"/>
      <c r="K2300" s="324">
        <v>0.2999</v>
      </c>
      <c r="L2300" s="191">
        <f>L768</f>
        <v>1.4842</v>
      </c>
      <c r="M2300" s="401"/>
      <c r="N2300" s="86"/>
    </row>
    <row r="2301" spans="1:14" s="64" customFormat="1" x14ac:dyDescent="0.2">
      <c r="A2301" s="63"/>
      <c r="B2301" s="396"/>
      <c r="C2301" s="122"/>
      <c r="D2301" s="75"/>
      <c r="E2301" s="395"/>
      <c r="F2301" s="395"/>
      <c r="G2301" s="395"/>
      <c r="H2301" s="67"/>
      <c r="I2301" s="69"/>
      <c r="J2301" s="134"/>
      <c r="K2301" s="324">
        <v>0.2999</v>
      </c>
      <c r="L2301" s="191">
        <f>L769</f>
        <v>1.4842</v>
      </c>
      <c r="M2301" s="401"/>
      <c r="N2301" s="86"/>
    </row>
    <row r="2302" spans="1:14" s="64" customFormat="1" x14ac:dyDescent="0.2">
      <c r="A2302" s="63"/>
      <c r="B2302" s="396"/>
      <c r="C2302" s="122"/>
      <c r="D2302" s="75"/>
      <c r="E2302" s="395"/>
      <c r="F2302" s="395"/>
      <c r="G2302" s="395"/>
      <c r="H2302" s="67"/>
      <c r="I2302" s="69"/>
      <c r="J2302" s="134"/>
      <c r="K2302" s="324">
        <v>0.2999</v>
      </c>
      <c r="L2302" s="191">
        <f>L770</f>
        <v>1.4842</v>
      </c>
      <c r="M2302" s="401"/>
      <c r="N2302" s="86"/>
    </row>
    <row r="2303" spans="1:14" s="64" customFormat="1" x14ac:dyDescent="0.2">
      <c r="A2303" s="63"/>
      <c r="B2303" s="396"/>
      <c r="C2303" s="122"/>
      <c r="D2303" s="75"/>
      <c r="E2303" s="395"/>
      <c r="F2303" s="395"/>
      <c r="G2303" s="395"/>
      <c r="H2303" s="67"/>
      <c r="I2303" s="69"/>
      <c r="J2303" s="134"/>
      <c r="K2303" s="324">
        <v>0.2999</v>
      </c>
      <c r="L2303" s="191">
        <f>L771</f>
        <v>1.4842</v>
      </c>
      <c r="M2303" s="401"/>
      <c r="N2303" s="86"/>
    </row>
    <row r="2304" spans="1:14" s="64" customFormat="1" x14ac:dyDescent="0.2">
      <c r="A2304" s="63"/>
      <c r="B2304" s="396"/>
      <c r="C2304" s="122"/>
      <c r="D2304" s="75"/>
      <c r="E2304" s="395"/>
      <c r="F2304" s="395"/>
      <c r="G2304" s="395"/>
      <c r="H2304" s="67"/>
      <c r="I2304" s="69"/>
      <c r="J2304" s="134"/>
      <c r="K2304" s="324">
        <v>0.2999</v>
      </c>
      <c r="L2304" s="191">
        <f>L772</f>
        <v>1.4842</v>
      </c>
      <c r="M2304" s="401"/>
      <c r="N2304" s="86"/>
    </row>
    <row r="2305" spans="1:14" s="64" customFormat="1" x14ac:dyDescent="0.2">
      <c r="A2305" s="63"/>
      <c r="B2305" s="396"/>
      <c r="C2305" s="122"/>
      <c r="D2305" s="75"/>
      <c r="E2305" s="395"/>
      <c r="F2305" s="395"/>
      <c r="G2305" s="395"/>
      <c r="H2305" s="67"/>
      <c r="I2305" s="69"/>
      <c r="J2305" s="134"/>
      <c r="K2305" s="324">
        <v>0.2999</v>
      </c>
      <c r="L2305" s="191">
        <f>L773</f>
        <v>1.4842</v>
      </c>
      <c r="M2305" s="401"/>
      <c r="N2305" s="86"/>
    </row>
    <row r="2306" spans="1:14" s="64" customFormat="1" x14ac:dyDescent="0.2">
      <c r="A2306" s="63"/>
      <c r="B2306" s="396"/>
      <c r="C2306" s="122"/>
      <c r="D2306" s="75"/>
      <c r="E2306" s="395"/>
      <c r="F2306" s="395"/>
      <c r="G2306" s="395"/>
      <c r="H2306" s="67"/>
      <c r="I2306" s="69"/>
      <c r="J2306" s="134"/>
      <c r="K2306" s="324">
        <v>0.2999</v>
      </c>
      <c r="L2306" s="191">
        <f>L774</f>
        <v>1.4842</v>
      </c>
      <c r="M2306" s="401"/>
      <c r="N2306" s="86"/>
    </row>
    <row r="2307" spans="1:14" s="64" customFormat="1" x14ac:dyDescent="0.2">
      <c r="A2307" s="63"/>
      <c r="B2307" s="396"/>
      <c r="C2307" s="122"/>
      <c r="D2307" s="75"/>
      <c r="E2307" s="395"/>
      <c r="F2307" s="395"/>
      <c r="G2307" s="395"/>
      <c r="H2307" s="67"/>
      <c r="I2307" s="69"/>
      <c r="J2307" s="134"/>
      <c r="K2307" s="324">
        <v>0.2999</v>
      </c>
      <c r="L2307" s="191">
        <f>L775</f>
        <v>1.4842</v>
      </c>
      <c r="M2307" s="401"/>
      <c r="N2307" s="86"/>
    </row>
    <row r="2308" spans="1:14" s="64" customFormat="1" x14ac:dyDescent="0.2">
      <c r="A2308" s="63"/>
      <c r="B2308" s="396"/>
      <c r="C2308" s="122"/>
      <c r="D2308" s="75"/>
      <c r="E2308" s="395"/>
      <c r="F2308" s="395"/>
      <c r="G2308" s="395"/>
      <c r="H2308" s="67"/>
      <c r="I2308" s="69"/>
      <c r="J2308" s="134"/>
      <c r="K2308" s="324">
        <v>0.2999</v>
      </c>
      <c r="L2308" s="191">
        <f>L776</f>
        <v>1.4842</v>
      </c>
      <c r="M2308" s="401"/>
      <c r="N2308" s="86"/>
    </row>
    <row r="2309" spans="1:14" s="64" customFormat="1" x14ac:dyDescent="0.2">
      <c r="A2309" s="63"/>
      <c r="B2309" s="396"/>
      <c r="C2309" s="122"/>
      <c r="D2309" s="75"/>
      <c r="E2309" s="395"/>
      <c r="F2309" s="395"/>
      <c r="G2309" s="395"/>
      <c r="H2309" s="67"/>
      <c r="I2309" s="69"/>
      <c r="J2309" s="134"/>
      <c r="K2309" s="324">
        <v>0.2999</v>
      </c>
      <c r="L2309" s="191">
        <f>L777</f>
        <v>1.4842</v>
      </c>
      <c r="M2309" s="401"/>
      <c r="N2309" s="86"/>
    </row>
    <row r="2310" spans="1:14" s="64" customFormat="1" x14ac:dyDescent="0.2">
      <c r="A2310" s="63"/>
      <c r="B2310" s="396"/>
      <c r="C2310" s="122"/>
      <c r="D2310" s="75"/>
      <c r="E2310" s="395"/>
      <c r="F2310" s="395"/>
      <c r="G2310" s="395"/>
      <c r="H2310" s="67"/>
      <c r="I2310" s="69"/>
      <c r="J2310" s="134"/>
      <c r="K2310" s="324">
        <v>0.2999</v>
      </c>
      <c r="L2310" s="191">
        <f>L778</f>
        <v>1.4842</v>
      </c>
      <c r="M2310" s="401"/>
      <c r="N2310" s="86"/>
    </row>
    <row r="2311" spans="1:14" s="64" customFormat="1" x14ac:dyDescent="0.2">
      <c r="A2311" s="63"/>
      <c r="B2311" s="396"/>
      <c r="C2311" s="122"/>
      <c r="D2311" s="75"/>
      <c r="E2311" s="395"/>
      <c r="F2311" s="395"/>
      <c r="G2311" s="395"/>
      <c r="H2311" s="67"/>
      <c r="I2311" s="69"/>
      <c r="J2311" s="134"/>
      <c r="K2311" s="324">
        <v>0.2999</v>
      </c>
      <c r="L2311" s="191">
        <f>L779</f>
        <v>1.4842</v>
      </c>
      <c r="M2311" s="401"/>
      <c r="N2311" s="86"/>
    </row>
    <row r="2312" spans="1:14" s="64" customFormat="1" x14ac:dyDescent="0.2">
      <c r="A2312" s="63"/>
      <c r="B2312" s="396"/>
      <c r="C2312" s="122"/>
      <c r="D2312" s="75"/>
      <c r="E2312" s="395"/>
      <c r="F2312" s="395"/>
      <c r="G2312" s="395"/>
      <c r="H2312" s="67"/>
      <c r="I2312" s="69"/>
      <c r="J2312" s="134"/>
      <c r="K2312" s="324">
        <v>0.2999</v>
      </c>
      <c r="L2312" s="191">
        <f>L780</f>
        <v>1.4842</v>
      </c>
      <c r="M2312" s="401"/>
      <c r="N2312" s="86"/>
    </row>
    <row r="2313" spans="1:14" s="64" customFormat="1" x14ac:dyDescent="0.2">
      <c r="A2313" s="63"/>
      <c r="B2313" s="396"/>
      <c r="C2313" s="122"/>
      <c r="D2313" s="75"/>
      <c r="E2313" s="395"/>
      <c r="F2313" s="395"/>
      <c r="G2313" s="395"/>
      <c r="H2313" s="67"/>
      <c r="I2313" s="69"/>
      <c r="J2313" s="134"/>
      <c r="K2313" s="324">
        <v>0.2999</v>
      </c>
      <c r="L2313" s="191">
        <f>L781</f>
        <v>1.4842</v>
      </c>
      <c r="M2313" s="401"/>
      <c r="N2313" s="86"/>
    </row>
    <row r="2314" spans="1:14" s="64" customFormat="1" x14ac:dyDescent="0.2">
      <c r="A2314" s="63"/>
      <c r="B2314" s="396"/>
      <c r="C2314" s="122"/>
      <c r="D2314" s="75"/>
      <c r="E2314" s="395"/>
      <c r="F2314" s="395"/>
      <c r="G2314" s="395"/>
      <c r="H2314" s="67"/>
      <c r="I2314" s="69"/>
      <c r="J2314" s="134"/>
      <c r="K2314" s="324">
        <v>0.2999</v>
      </c>
      <c r="L2314" s="191">
        <f>L782</f>
        <v>1.4842</v>
      </c>
      <c r="M2314" s="401"/>
      <c r="N2314" s="86"/>
    </row>
    <row r="2315" spans="1:14" s="64" customFormat="1" x14ac:dyDescent="0.2">
      <c r="A2315" s="63"/>
      <c r="B2315" s="396"/>
      <c r="C2315" s="122"/>
      <c r="D2315" s="75"/>
      <c r="E2315" s="395"/>
      <c r="F2315" s="395"/>
      <c r="G2315" s="395"/>
      <c r="H2315" s="67"/>
      <c r="I2315" s="69"/>
      <c r="J2315" s="134"/>
      <c r="K2315" s="324">
        <v>0.2999</v>
      </c>
      <c r="L2315" s="191">
        <f>L783</f>
        <v>1.4842</v>
      </c>
      <c r="M2315" s="401"/>
      <c r="N2315" s="86"/>
    </row>
    <row r="2316" spans="1:14" s="64" customFormat="1" x14ac:dyDescent="0.2">
      <c r="A2316" s="63"/>
      <c r="B2316" s="396"/>
      <c r="C2316" s="122"/>
      <c r="D2316" s="75"/>
      <c r="E2316" s="395"/>
      <c r="F2316" s="395"/>
      <c r="G2316" s="395"/>
      <c r="H2316" s="67"/>
      <c r="I2316" s="69"/>
      <c r="J2316" s="134"/>
      <c r="K2316" s="324">
        <v>0.2999</v>
      </c>
      <c r="L2316" s="191">
        <f>L784</f>
        <v>1.4842</v>
      </c>
      <c r="M2316" s="401"/>
      <c r="N2316" s="86"/>
    </row>
    <row r="2317" spans="1:14" s="64" customFormat="1" x14ac:dyDescent="0.2">
      <c r="A2317" s="63"/>
      <c r="B2317" s="396"/>
      <c r="C2317" s="122"/>
      <c r="D2317" s="75"/>
      <c r="E2317" s="395"/>
      <c r="F2317" s="395"/>
      <c r="G2317" s="395"/>
      <c r="H2317" s="67"/>
      <c r="I2317" s="69"/>
      <c r="J2317" s="134"/>
      <c r="K2317" s="324">
        <v>0.2999</v>
      </c>
      <c r="L2317" s="191">
        <f>L785</f>
        <v>1.4842</v>
      </c>
      <c r="M2317" s="401"/>
      <c r="N2317" s="86"/>
    </row>
    <row r="2318" spans="1:14" s="64" customFormat="1" x14ac:dyDescent="0.2">
      <c r="A2318" s="63"/>
      <c r="B2318" s="396"/>
      <c r="C2318" s="122"/>
      <c r="D2318" s="75"/>
      <c r="E2318" s="395"/>
      <c r="F2318" s="395"/>
      <c r="G2318" s="395"/>
      <c r="H2318" s="67"/>
      <c r="I2318" s="69"/>
      <c r="J2318" s="134"/>
      <c r="K2318" s="324">
        <v>0.2999</v>
      </c>
      <c r="L2318" s="191">
        <f>L786</f>
        <v>1.4842</v>
      </c>
      <c r="M2318" s="401"/>
      <c r="N2318" s="86"/>
    </row>
    <row r="2319" spans="1:14" s="64" customFormat="1" x14ac:dyDescent="0.2">
      <c r="A2319" s="63"/>
      <c r="B2319" s="396"/>
      <c r="C2319" s="122"/>
      <c r="D2319" s="75"/>
      <c r="E2319" s="395"/>
      <c r="F2319" s="395"/>
      <c r="G2319" s="395"/>
      <c r="H2319" s="67"/>
      <c r="I2319" s="69"/>
      <c r="J2319" s="134"/>
      <c r="K2319" s="324">
        <v>0.2999</v>
      </c>
      <c r="L2319" s="191">
        <f>L787</f>
        <v>1.4842</v>
      </c>
      <c r="M2319" s="401"/>
      <c r="N2319" s="86"/>
    </row>
    <row r="2320" spans="1:14" s="64" customFormat="1" x14ac:dyDescent="0.2">
      <c r="A2320" s="63"/>
      <c r="B2320" s="396"/>
      <c r="C2320" s="122"/>
      <c r="D2320" s="75"/>
      <c r="E2320" s="395"/>
      <c r="F2320" s="395"/>
      <c r="G2320" s="395"/>
      <c r="H2320" s="67"/>
      <c r="I2320" s="69"/>
      <c r="J2320" s="134"/>
      <c r="K2320" s="324">
        <v>0.2999</v>
      </c>
      <c r="L2320" s="191">
        <f>L788</f>
        <v>1.4842</v>
      </c>
      <c r="M2320" s="401"/>
      <c r="N2320" s="86"/>
    </row>
    <row r="2321" spans="1:14" s="64" customFormat="1" x14ac:dyDescent="0.2">
      <c r="A2321" s="63"/>
      <c r="B2321" s="396"/>
      <c r="C2321" s="122"/>
      <c r="D2321" s="75"/>
      <c r="E2321" s="395"/>
      <c r="F2321" s="395"/>
      <c r="G2321" s="395"/>
      <c r="H2321" s="67"/>
      <c r="I2321" s="69"/>
      <c r="J2321" s="134"/>
      <c r="K2321" s="324">
        <v>0.2999</v>
      </c>
      <c r="L2321" s="191">
        <f>L789</f>
        <v>1.4842</v>
      </c>
      <c r="M2321" s="401"/>
      <c r="N2321" s="86"/>
    </row>
    <row r="2322" spans="1:14" s="64" customFormat="1" x14ac:dyDescent="0.2">
      <c r="A2322" s="63"/>
      <c r="B2322" s="396"/>
      <c r="C2322" s="122"/>
      <c r="D2322" s="75"/>
      <c r="E2322" s="395"/>
      <c r="F2322" s="395"/>
      <c r="G2322" s="395"/>
      <c r="H2322" s="67"/>
      <c r="I2322" s="69"/>
      <c r="J2322" s="134"/>
      <c r="K2322" s="324">
        <v>0.2999</v>
      </c>
      <c r="L2322" s="191">
        <f>L790</f>
        <v>1.4842</v>
      </c>
      <c r="M2322" s="401"/>
      <c r="N2322" s="86"/>
    </row>
    <row r="2323" spans="1:14" s="64" customFormat="1" x14ac:dyDescent="0.2">
      <c r="A2323" s="63"/>
      <c r="B2323" s="396"/>
      <c r="C2323" s="122"/>
      <c r="D2323" s="75"/>
      <c r="E2323" s="395"/>
      <c r="F2323" s="395"/>
      <c r="G2323" s="395"/>
      <c r="H2323" s="67"/>
      <c r="I2323" s="69"/>
      <c r="J2323" s="134"/>
      <c r="K2323" s="324">
        <v>0.2999</v>
      </c>
      <c r="L2323" s="191">
        <f>L791</f>
        <v>1.4842</v>
      </c>
      <c r="M2323" s="401"/>
      <c r="N2323" s="86"/>
    </row>
    <row r="2324" spans="1:14" s="64" customFormat="1" x14ac:dyDescent="0.2">
      <c r="A2324" s="63"/>
      <c r="B2324" s="396"/>
      <c r="C2324" s="122"/>
      <c r="D2324" s="75"/>
      <c r="E2324" s="395"/>
      <c r="F2324" s="395"/>
      <c r="G2324" s="395"/>
      <c r="H2324" s="67"/>
      <c r="I2324" s="69"/>
      <c r="J2324" s="134"/>
      <c r="K2324" s="324">
        <v>0.2999</v>
      </c>
      <c r="L2324" s="191">
        <f>L792</f>
        <v>1.4842</v>
      </c>
      <c r="M2324" s="401"/>
      <c r="N2324" s="86"/>
    </row>
    <row r="2325" spans="1:14" s="64" customFormat="1" x14ac:dyDescent="0.2">
      <c r="A2325" s="63"/>
      <c r="B2325" s="396"/>
      <c r="C2325" s="122"/>
      <c r="D2325" s="75"/>
      <c r="E2325" s="395"/>
      <c r="F2325" s="395"/>
      <c r="G2325" s="395"/>
      <c r="H2325" s="67"/>
      <c r="I2325" s="69"/>
      <c r="J2325" s="134"/>
      <c r="K2325" s="324">
        <v>0.2999</v>
      </c>
      <c r="L2325" s="191">
        <f>L793</f>
        <v>1.4842</v>
      </c>
      <c r="M2325" s="401"/>
      <c r="N2325" s="86"/>
    </row>
    <row r="2326" spans="1:14" s="64" customFormat="1" x14ac:dyDescent="0.2">
      <c r="A2326" s="63"/>
      <c r="B2326" s="396"/>
      <c r="C2326" s="122"/>
      <c r="D2326" s="75"/>
      <c r="E2326" s="395"/>
      <c r="F2326" s="395"/>
      <c r="G2326" s="395"/>
      <c r="H2326" s="67"/>
      <c r="I2326" s="69"/>
      <c r="J2326" s="134"/>
      <c r="K2326" s="324">
        <v>0.2999</v>
      </c>
      <c r="L2326" s="191">
        <f>L794</f>
        <v>1.4842</v>
      </c>
      <c r="M2326" s="401"/>
      <c r="N2326" s="86"/>
    </row>
    <row r="2327" spans="1:14" s="64" customFormat="1" x14ac:dyDescent="0.2">
      <c r="A2327" s="63"/>
      <c r="B2327" s="396"/>
      <c r="C2327" s="122"/>
      <c r="D2327" s="75"/>
      <c r="E2327" s="395"/>
      <c r="F2327" s="395"/>
      <c r="G2327" s="395"/>
      <c r="H2327" s="67"/>
      <c r="I2327" s="69"/>
      <c r="J2327" s="134"/>
      <c r="K2327" s="324">
        <v>0.2999</v>
      </c>
      <c r="L2327" s="191">
        <f>L795</f>
        <v>1.4842</v>
      </c>
      <c r="M2327" s="401"/>
      <c r="N2327" s="86"/>
    </row>
    <row r="2328" spans="1:14" s="64" customFormat="1" x14ac:dyDescent="0.2">
      <c r="A2328" s="63"/>
      <c r="B2328" s="396"/>
      <c r="C2328" s="122"/>
      <c r="D2328" s="75"/>
      <c r="E2328" s="395"/>
      <c r="F2328" s="395"/>
      <c r="G2328" s="395"/>
      <c r="H2328" s="67"/>
      <c r="I2328" s="69"/>
      <c r="J2328" s="134"/>
      <c r="K2328" s="324">
        <v>0.2999</v>
      </c>
      <c r="L2328" s="191">
        <f>L796</f>
        <v>1.4842</v>
      </c>
      <c r="M2328" s="401"/>
      <c r="N2328" s="86"/>
    </row>
    <row r="2329" spans="1:14" s="64" customFormat="1" x14ac:dyDescent="0.2">
      <c r="A2329" s="63"/>
      <c r="B2329" s="396"/>
      <c r="C2329" s="122"/>
      <c r="D2329" s="75"/>
      <c r="E2329" s="395"/>
      <c r="F2329" s="395"/>
      <c r="G2329" s="395"/>
      <c r="H2329" s="67"/>
      <c r="I2329" s="69"/>
      <c r="J2329" s="134"/>
      <c r="K2329" s="324">
        <v>0.2999</v>
      </c>
      <c r="L2329" s="191">
        <f>L797</f>
        <v>1.4842</v>
      </c>
      <c r="M2329" s="401"/>
      <c r="N2329" s="86"/>
    </row>
    <row r="2330" spans="1:14" s="64" customFormat="1" x14ac:dyDescent="0.2">
      <c r="A2330" s="63"/>
      <c r="B2330" s="396"/>
      <c r="C2330" s="122"/>
      <c r="D2330" s="75"/>
      <c r="E2330" s="395"/>
      <c r="F2330" s="395"/>
      <c r="G2330" s="395"/>
      <c r="H2330" s="67"/>
      <c r="I2330" s="69"/>
      <c r="J2330" s="134"/>
      <c r="K2330" s="324">
        <v>0.2999</v>
      </c>
      <c r="L2330" s="191">
        <f>L798</f>
        <v>1.4842</v>
      </c>
      <c r="M2330" s="401"/>
      <c r="N2330" s="86"/>
    </row>
    <row r="2331" spans="1:14" s="64" customFormat="1" x14ac:dyDescent="0.2">
      <c r="A2331" s="63"/>
      <c r="B2331" s="396"/>
      <c r="C2331" s="122"/>
      <c r="D2331" s="75"/>
      <c r="E2331" s="395"/>
      <c r="F2331" s="395"/>
      <c r="G2331" s="395"/>
      <c r="H2331" s="67"/>
      <c r="I2331" s="69"/>
      <c r="J2331" s="134"/>
      <c r="K2331" s="324">
        <v>0.2999</v>
      </c>
      <c r="L2331" s="191">
        <f>L799</f>
        <v>1.4842</v>
      </c>
      <c r="M2331" s="401"/>
      <c r="N2331" s="86"/>
    </row>
    <row r="2332" spans="1:14" s="64" customFormat="1" x14ac:dyDescent="0.2">
      <c r="A2332" s="63"/>
      <c r="B2332" s="396"/>
      <c r="C2332" s="122"/>
      <c r="D2332" s="75"/>
      <c r="E2332" s="395"/>
      <c r="F2332" s="395"/>
      <c r="G2332" s="395"/>
      <c r="H2332" s="67"/>
      <c r="I2332" s="69"/>
      <c r="J2332" s="134"/>
      <c r="K2332" s="324">
        <v>0.2999</v>
      </c>
      <c r="L2332" s="191">
        <f>L800</f>
        <v>1.4842</v>
      </c>
      <c r="M2332" s="401"/>
      <c r="N2332" s="86"/>
    </row>
    <row r="2333" spans="1:14" s="64" customFormat="1" x14ac:dyDescent="0.2">
      <c r="A2333" s="63"/>
      <c r="B2333" s="396"/>
      <c r="C2333" s="122"/>
      <c r="D2333" s="75"/>
      <c r="E2333" s="395"/>
      <c r="F2333" s="395"/>
      <c r="G2333" s="395"/>
      <c r="H2333" s="67"/>
      <c r="I2333" s="69"/>
      <c r="J2333" s="134"/>
      <c r="K2333" s="324">
        <v>0.2999</v>
      </c>
      <c r="L2333" s="191">
        <f>L801</f>
        <v>1.4842</v>
      </c>
      <c r="M2333" s="401"/>
      <c r="N2333" s="86"/>
    </row>
    <row r="2334" spans="1:14" s="64" customFormat="1" x14ac:dyDescent="0.2">
      <c r="A2334" s="63"/>
      <c r="B2334" s="396"/>
      <c r="C2334" s="122"/>
      <c r="D2334" s="75"/>
      <c r="E2334" s="395"/>
      <c r="F2334" s="395"/>
      <c r="G2334" s="395"/>
      <c r="H2334" s="67"/>
      <c r="I2334" s="69"/>
      <c r="J2334" s="134"/>
      <c r="K2334" s="324">
        <v>0.2999</v>
      </c>
      <c r="L2334" s="191">
        <f>L802</f>
        <v>1.4842</v>
      </c>
      <c r="M2334" s="401"/>
      <c r="N2334" s="86"/>
    </row>
    <row r="2335" spans="1:14" s="64" customFormat="1" x14ac:dyDescent="0.2">
      <c r="A2335" s="63"/>
      <c r="B2335" s="396"/>
      <c r="C2335" s="122"/>
      <c r="D2335" s="75"/>
      <c r="E2335" s="395"/>
      <c r="F2335" s="395"/>
      <c r="G2335" s="395"/>
      <c r="H2335" s="67"/>
      <c r="I2335" s="69"/>
      <c r="J2335" s="134"/>
      <c r="K2335" s="324">
        <v>0.2999</v>
      </c>
      <c r="L2335" s="191">
        <f>L803</f>
        <v>1.4842</v>
      </c>
      <c r="M2335" s="401"/>
      <c r="N2335" s="86"/>
    </row>
    <row r="2336" spans="1:14" s="64" customFormat="1" x14ac:dyDescent="0.2">
      <c r="A2336" s="63"/>
      <c r="B2336" s="396"/>
      <c r="C2336" s="122"/>
      <c r="D2336" s="75"/>
      <c r="E2336" s="395"/>
      <c r="F2336" s="395"/>
      <c r="G2336" s="395"/>
      <c r="H2336" s="67"/>
      <c r="I2336" s="69"/>
      <c r="J2336" s="134"/>
      <c r="K2336" s="324">
        <v>0.2999</v>
      </c>
      <c r="L2336" s="191">
        <f>L804</f>
        <v>1.4842</v>
      </c>
      <c r="M2336" s="401"/>
      <c r="N2336" s="86"/>
    </row>
    <row r="2337" spans="1:14" s="64" customFormat="1" x14ac:dyDescent="0.2">
      <c r="A2337" s="63"/>
      <c r="B2337" s="396"/>
      <c r="C2337" s="122"/>
      <c r="D2337" s="75"/>
      <c r="E2337" s="395"/>
      <c r="F2337" s="395"/>
      <c r="G2337" s="395"/>
      <c r="H2337" s="67"/>
      <c r="I2337" s="69"/>
      <c r="J2337" s="134"/>
      <c r="K2337" s="324">
        <v>0.2999</v>
      </c>
      <c r="L2337" s="191">
        <f>L805</f>
        <v>1.4842</v>
      </c>
      <c r="M2337" s="401"/>
      <c r="N2337" s="86"/>
    </row>
    <row r="2338" spans="1:14" s="64" customFormat="1" x14ac:dyDescent="0.2">
      <c r="A2338" s="63"/>
      <c r="B2338" s="396"/>
      <c r="C2338" s="122"/>
      <c r="D2338" s="75"/>
      <c r="E2338" s="395"/>
      <c r="F2338" s="395"/>
      <c r="G2338" s="395"/>
      <c r="H2338" s="67"/>
      <c r="I2338" s="69"/>
      <c r="J2338" s="134"/>
      <c r="K2338" s="324">
        <v>0.2999</v>
      </c>
      <c r="L2338" s="191">
        <f>L806</f>
        <v>1.4842</v>
      </c>
      <c r="M2338" s="401"/>
      <c r="N2338" s="86"/>
    </row>
    <row r="2339" spans="1:14" s="64" customFormat="1" x14ac:dyDescent="0.2">
      <c r="A2339" s="63"/>
      <c r="B2339" s="396"/>
      <c r="C2339" s="122"/>
      <c r="D2339" s="75"/>
      <c r="E2339" s="395"/>
      <c r="F2339" s="395"/>
      <c r="G2339" s="395"/>
      <c r="H2339" s="67"/>
      <c r="I2339" s="69"/>
      <c r="J2339" s="134"/>
      <c r="K2339" s="324">
        <v>0.2999</v>
      </c>
      <c r="L2339" s="191">
        <f>L807</f>
        <v>1.4842</v>
      </c>
      <c r="M2339" s="401"/>
      <c r="N2339" s="86"/>
    </row>
    <row r="2340" spans="1:14" s="64" customFormat="1" x14ac:dyDescent="0.2">
      <c r="A2340" s="63"/>
      <c r="B2340" s="396"/>
      <c r="C2340" s="122"/>
      <c r="D2340" s="75"/>
      <c r="E2340" s="395"/>
      <c r="F2340" s="395"/>
      <c r="G2340" s="395"/>
      <c r="H2340" s="67"/>
      <c r="I2340" s="69"/>
      <c r="J2340" s="134"/>
      <c r="K2340" s="324">
        <v>0.2999</v>
      </c>
      <c r="L2340" s="191">
        <f>L808</f>
        <v>1.4842</v>
      </c>
      <c r="M2340" s="401"/>
      <c r="N2340" s="86"/>
    </row>
    <row r="2341" spans="1:14" s="64" customFormat="1" x14ac:dyDescent="0.2">
      <c r="A2341" s="63"/>
      <c r="B2341" s="396"/>
      <c r="C2341" s="122"/>
      <c r="D2341" s="75"/>
      <c r="E2341" s="395"/>
      <c r="F2341" s="395"/>
      <c r="G2341" s="395"/>
      <c r="H2341" s="67"/>
      <c r="I2341" s="69"/>
      <c r="J2341" s="134"/>
      <c r="K2341" s="324">
        <v>0.2999</v>
      </c>
      <c r="L2341" s="191">
        <f>L809</f>
        <v>1.4842</v>
      </c>
      <c r="M2341" s="401"/>
      <c r="N2341" s="86"/>
    </row>
    <row r="2342" spans="1:14" s="64" customFormat="1" x14ac:dyDescent="0.2">
      <c r="A2342" s="63"/>
      <c r="B2342" s="396"/>
      <c r="C2342" s="122"/>
      <c r="D2342" s="75"/>
      <c r="E2342" s="395"/>
      <c r="F2342" s="395"/>
      <c r="G2342" s="395"/>
      <c r="H2342" s="67"/>
      <c r="I2342" s="69"/>
      <c r="J2342" s="134"/>
      <c r="K2342" s="324">
        <v>0.2999</v>
      </c>
      <c r="L2342" s="191">
        <f>L810</f>
        <v>1.4842</v>
      </c>
      <c r="M2342" s="401"/>
      <c r="N2342" s="86"/>
    </row>
    <row r="2343" spans="1:14" s="64" customFormat="1" x14ac:dyDescent="0.2">
      <c r="A2343" s="63"/>
      <c r="B2343" s="396"/>
      <c r="C2343" s="122"/>
      <c r="D2343" s="75"/>
      <c r="E2343" s="395"/>
      <c r="F2343" s="395"/>
      <c r="G2343" s="395"/>
      <c r="H2343" s="67"/>
      <c r="I2343" s="69"/>
      <c r="J2343" s="134"/>
      <c r="K2343" s="324">
        <v>0.2999</v>
      </c>
      <c r="L2343" s="191">
        <f>L811</f>
        <v>1.4842</v>
      </c>
      <c r="M2343" s="401"/>
      <c r="N2343" s="86"/>
    </row>
    <row r="2344" spans="1:14" s="64" customFormat="1" x14ac:dyDescent="0.2">
      <c r="A2344" s="63"/>
      <c r="B2344" s="396"/>
      <c r="C2344" s="122"/>
      <c r="D2344" s="75"/>
      <c r="E2344" s="395"/>
      <c r="F2344" s="395"/>
      <c r="G2344" s="395"/>
      <c r="H2344" s="67"/>
      <c r="I2344" s="69"/>
      <c r="J2344" s="134"/>
      <c r="K2344" s="324">
        <v>0.2999</v>
      </c>
      <c r="L2344" s="191">
        <f>L812</f>
        <v>1.4842</v>
      </c>
      <c r="M2344" s="401"/>
      <c r="N2344" s="86"/>
    </row>
    <row r="2345" spans="1:14" s="64" customFormat="1" x14ac:dyDescent="0.2">
      <c r="A2345" s="63"/>
      <c r="B2345" s="396"/>
      <c r="C2345" s="122"/>
      <c r="D2345" s="75"/>
      <c r="E2345" s="395"/>
      <c r="F2345" s="395"/>
      <c r="G2345" s="395"/>
      <c r="H2345" s="67"/>
      <c r="I2345" s="69"/>
      <c r="J2345" s="134"/>
      <c r="K2345" s="324">
        <v>0.2999</v>
      </c>
      <c r="L2345" s="191">
        <f>L813</f>
        <v>1.4842</v>
      </c>
      <c r="M2345" s="401"/>
      <c r="N2345" s="86"/>
    </row>
    <row r="2346" spans="1:14" s="64" customFormat="1" x14ac:dyDescent="0.2">
      <c r="A2346" s="63"/>
      <c r="B2346" s="396"/>
      <c r="C2346" s="122"/>
      <c r="D2346" s="75"/>
      <c r="E2346" s="395"/>
      <c r="F2346" s="395"/>
      <c r="G2346" s="395"/>
      <c r="H2346" s="67"/>
      <c r="I2346" s="69"/>
      <c r="J2346" s="134"/>
      <c r="K2346" s="324">
        <v>0.2999</v>
      </c>
      <c r="L2346" s="191">
        <f>L814</f>
        <v>1.4842</v>
      </c>
      <c r="M2346" s="401"/>
      <c r="N2346" s="86"/>
    </row>
    <row r="2347" spans="1:14" s="64" customFormat="1" x14ac:dyDescent="0.2">
      <c r="A2347" s="63"/>
      <c r="B2347" s="396"/>
      <c r="C2347" s="122"/>
      <c r="D2347" s="75"/>
      <c r="E2347" s="395"/>
      <c r="F2347" s="395"/>
      <c r="G2347" s="395"/>
      <c r="H2347" s="67"/>
      <c r="I2347" s="69"/>
      <c r="J2347" s="134"/>
      <c r="K2347" s="324">
        <v>0.2999</v>
      </c>
      <c r="L2347" s="191">
        <f>L815</f>
        <v>1.4842</v>
      </c>
      <c r="M2347" s="401"/>
      <c r="N2347" s="86"/>
    </row>
    <row r="2348" spans="1:14" s="64" customFormat="1" x14ac:dyDescent="0.2">
      <c r="A2348" s="63"/>
      <c r="B2348" s="396"/>
      <c r="C2348" s="122"/>
      <c r="D2348" s="75"/>
      <c r="E2348" s="395"/>
      <c r="F2348" s="395"/>
      <c r="G2348" s="395"/>
      <c r="H2348" s="67"/>
      <c r="I2348" s="69"/>
      <c r="J2348" s="134"/>
      <c r="K2348" s="324">
        <v>0.2999</v>
      </c>
      <c r="L2348" s="191">
        <f>L816</f>
        <v>1.4842</v>
      </c>
      <c r="M2348" s="401"/>
      <c r="N2348" s="86"/>
    </row>
    <row r="2349" spans="1:14" s="64" customFormat="1" x14ac:dyDescent="0.2">
      <c r="A2349" s="63"/>
      <c r="B2349" s="396"/>
      <c r="C2349" s="122"/>
      <c r="D2349" s="75"/>
      <c r="E2349" s="395"/>
      <c r="F2349" s="395"/>
      <c r="G2349" s="395"/>
      <c r="H2349" s="67"/>
      <c r="I2349" s="69"/>
      <c r="J2349" s="134"/>
      <c r="K2349" s="324">
        <v>0.2999</v>
      </c>
      <c r="L2349" s="191">
        <f>L817</f>
        <v>1.4842</v>
      </c>
      <c r="M2349" s="401"/>
      <c r="N2349" s="86"/>
    </row>
    <row r="2350" spans="1:14" s="64" customFormat="1" x14ac:dyDescent="0.2">
      <c r="A2350" s="63"/>
      <c r="B2350" s="396"/>
      <c r="C2350" s="122"/>
      <c r="D2350" s="75"/>
      <c r="E2350" s="395"/>
      <c r="F2350" s="395"/>
      <c r="G2350" s="395"/>
      <c r="H2350" s="67"/>
      <c r="I2350" s="69"/>
      <c r="J2350" s="134"/>
      <c r="K2350" s="324">
        <v>0.2999</v>
      </c>
      <c r="L2350" s="191">
        <f>L818</f>
        <v>1.4842</v>
      </c>
      <c r="M2350" s="401"/>
      <c r="N2350" s="86"/>
    </row>
    <row r="2351" spans="1:14" s="64" customFormat="1" x14ac:dyDescent="0.2">
      <c r="A2351" s="63"/>
      <c r="B2351" s="396"/>
      <c r="C2351" s="122"/>
      <c r="D2351" s="75"/>
      <c r="E2351" s="395"/>
      <c r="F2351" s="395"/>
      <c r="G2351" s="395"/>
      <c r="H2351" s="67"/>
      <c r="I2351" s="69"/>
      <c r="J2351" s="134"/>
      <c r="K2351" s="324">
        <v>0.2999</v>
      </c>
      <c r="L2351" s="191">
        <f>L819</f>
        <v>1.4842</v>
      </c>
      <c r="M2351" s="401"/>
      <c r="N2351" s="86"/>
    </row>
    <row r="2352" spans="1:14" s="64" customFormat="1" x14ac:dyDescent="0.2">
      <c r="A2352" s="63"/>
      <c r="B2352" s="396"/>
      <c r="C2352" s="122"/>
      <c r="D2352" s="75"/>
      <c r="E2352" s="395"/>
      <c r="F2352" s="395"/>
      <c r="G2352" s="395"/>
      <c r="H2352" s="67"/>
      <c r="I2352" s="69"/>
      <c r="J2352" s="134"/>
      <c r="K2352" s="324">
        <v>0.2999</v>
      </c>
      <c r="L2352" s="191">
        <f>L820</f>
        <v>1.4842</v>
      </c>
      <c r="M2352" s="401"/>
      <c r="N2352" s="86"/>
    </row>
    <row r="2353" spans="1:14" s="64" customFormat="1" x14ac:dyDescent="0.2">
      <c r="A2353" s="63"/>
      <c r="B2353" s="396"/>
      <c r="C2353" s="122"/>
      <c r="D2353" s="75"/>
      <c r="E2353" s="395"/>
      <c r="F2353" s="395"/>
      <c r="G2353" s="395"/>
      <c r="H2353" s="67"/>
      <c r="I2353" s="69"/>
      <c r="J2353" s="134"/>
      <c r="K2353" s="324">
        <v>0.2999</v>
      </c>
      <c r="L2353" s="191">
        <f>L821</f>
        <v>1.4842</v>
      </c>
      <c r="M2353" s="401"/>
      <c r="N2353" s="86"/>
    </row>
    <row r="2354" spans="1:14" s="64" customFormat="1" x14ac:dyDescent="0.2">
      <c r="A2354" s="63"/>
      <c r="B2354" s="396"/>
      <c r="C2354" s="122"/>
      <c r="D2354" s="75"/>
      <c r="E2354" s="395"/>
      <c r="F2354" s="395"/>
      <c r="G2354" s="395"/>
      <c r="H2354" s="67"/>
      <c r="I2354" s="69"/>
      <c r="J2354" s="134"/>
      <c r="K2354" s="324">
        <v>0.2999</v>
      </c>
      <c r="L2354" s="191">
        <f>L822</f>
        <v>1.4842</v>
      </c>
      <c r="M2354" s="401"/>
      <c r="N2354" s="86"/>
    </row>
    <row r="2355" spans="1:14" s="64" customFormat="1" x14ac:dyDescent="0.2">
      <c r="A2355" s="63"/>
      <c r="B2355" s="396"/>
      <c r="C2355" s="122"/>
      <c r="D2355" s="75"/>
      <c r="E2355" s="395"/>
      <c r="F2355" s="395"/>
      <c r="G2355" s="395"/>
      <c r="H2355" s="67"/>
      <c r="I2355" s="69"/>
      <c r="J2355" s="134"/>
      <c r="K2355" s="324">
        <v>0.2999</v>
      </c>
      <c r="L2355" s="191">
        <f>L823</f>
        <v>1.4842</v>
      </c>
      <c r="M2355" s="401"/>
      <c r="N2355" s="86"/>
    </row>
    <row r="2356" spans="1:14" s="64" customFormat="1" x14ac:dyDescent="0.2">
      <c r="A2356" s="63"/>
      <c r="B2356" s="396"/>
      <c r="C2356" s="122"/>
      <c r="D2356" s="75"/>
      <c r="E2356" s="395"/>
      <c r="F2356" s="395"/>
      <c r="G2356" s="395"/>
      <c r="H2356" s="67"/>
      <c r="I2356" s="69"/>
      <c r="J2356" s="134"/>
      <c r="K2356" s="324">
        <v>0.2999</v>
      </c>
      <c r="L2356" s="191">
        <f>L824</f>
        <v>1.4842</v>
      </c>
      <c r="M2356" s="401"/>
      <c r="N2356" s="86"/>
    </row>
    <row r="2357" spans="1:14" s="64" customFormat="1" x14ac:dyDescent="0.2">
      <c r="A2357" s="63"/>
      <c r="B2357" s="396"/>
      <c r="C2357" s="122"/>
      <c r="D2357" s="75"/>
      <c r="E2357" s="395"/>
      <c r="F2357" s="395"/>
      <c r="G2357" s="395"/>
      <c r="H2357" s="67"/>
      <c r="I2357" s="69"/>
      <c r="J2357" s="134"/>
      <c r="K2357" s="324">
        <v>0.2999</v>
      </c>
      <c r="L2357" s="191">
        <f>L825</f>
        <v>1.4842</v>
      </c>
      <c r="M2357" s="401"/>
      <c r="N2357" s="86"/>
    </row>
    <row r="2358" spans="1:14" s="64" customFormat="1" x14ac:dyDescent="0.2">
      <c r="A2358" s="63"/>
      <c r="B2358" s="396"/>
      <c r="C2358" s="122"/>
      <c r="D2358" s="75"/>
      <c r="E2358" s="395"/>
      <c r="F2358" s="395"/>
      <c r="G2358" s="395"/>
      <c r="H2358" s="67"/>
      <c r="I2358" s="69"/>
      <c r="J2358" s="134"/>
      <c r="K2358" s="324">
        <v>0.2999</v>
      </c>
      <c r="L2358" s="191">
        <f>L826</f>
        <v>1.4842</v>
      </c>
      <c r="M2358" s="401"/>
      <c r="N2358" s="86"/>
    </row>
    <row r="2359" spans="1:14" s="64" customFormat="1" x14ac:dyDescent="0.2">
      <c r="A2359" s="63"/>
      <c r="B2359" s="396"/>
      <c r="C2359" s="122"/>
      <c r="D2359" s="75"/>
      <c r="E2359" s="395"/>
      <c r="F2359" s="395"/>
      <c r="G2359" s="395"/>
      <c r="H2359" s="67"/>
      <c r="I2359" s="69"/>
      <c r="J2359" s="134"/>
      <c r="K2359" s="324">
        <v>0.2999</v>
      </c>
      <c r="L2359" s="191">
        <f>L827</f>
        <v>1.4842</v>
      </c>
      <c r="M2359" s="401"/>
      <c r="N2359" s="86"/>
    </row>
    <row r="2360" spans="1:14" s="64" customFormat="1" x14ac:dyDescent="0.2">
      <c r="A2360" s="63"/>
      <c r="B2360" s="396"/>
      <c r="C2360" s="122"/>
      <c r="D2360" s="75"/>
      <c r="E2360" s="395"/>
      <c r="F2360" s="395"/>
      <c r="G2360" s="395"/>
      <c r="H2360" s="67"/>
      <c r="I2360" s="69"/>
      <c r="J2360" s="134"/>
      <c r="K2360" s="324">
        <v>0.2999</v>
      </c>
      <c r="L2360" s="191">
        <f>L828</f>
        <v>1.4842</v>
      </c>
      <c r="M2360" s="401"/>
      <c r="N2360" s="86"/>
    </row>
    <row r="2361" spans="1:14" s="64" customFormat="1" x14ac:dyDescent="0.2">
      <c r="A2361" s="63"/>
      <c r="B2361" s="396"/>
      <c r="C2361" s="122"/>
      <c r="D2361" s="75"/>
      <c r="E2361" s="395"/>
      <c r="F2361" s="395"/>
      <c r="G2361" s="395"/>
      <c r="H2361" s="67"/>
      <c r="I2361" s="69"/>
      <c r="J2361" s="134"/>
      <c r="K2361" s="324">
        <v>0.2999</v>
      </c>
      <c r="L2361" s="191">
        <f>L829</f>
        <v>1.4842</v>
      </c>
      <c r="M2361" s="401"/>
      <c r="N2361" s="86"/>
    </row>
    <row r="2362" spans="1:14" s="64" customFormat="1" x14ac:dyDescent="0.2">
      <c r="A2362" s="63"/>
      <c r="B2362" s="396"/>
      <c r="C2362" s="122"/>
      <c r="D2362" s="75"/>
      <c r="E2362" s="395"/>
      <c r="F2362" s="395"/>
      <c r="G2362" s="395"/>
      <c r="H2362" s="67"/>
      <c r="I2362" s="69"/>
      <c r="J2362" s="134"/>
      <c r="K2362" s="324">
        <v>0.2999</v>
      </c>
      <c r="L2362" s="191">
        <f>L830</f>
        <v>1.4842</v>
      </c>
      <c r="M2362" s="401"/>
      <c r="N2362" s="86"/>
    </row>
    <row r="2363" spans="1:14" s="64" customFormat="1" x14ac:dyDescent="0.2">
      <c r="A2363" s="63"/>
      <c r="B2363" s="396"/>
      <c r="C2363" s="122"/>
      <c r="D2363" s="75"/>
      <c r="E2363" s="395"/>
      <c r="F2363" s="395"/>
      <c r="G2363" s="395"/>
      <c r="H2363" s="67"/>
      <c r="I2363" s="69"/>
      <c r="J2363" s="134"/>
      <c r="K2363" s="324">
        <v>0.2999</v>
      </c>
      <c r="L2363" s="191">
        <f>L831</f>
        <v>1.4842</v>
      </c>
      <c r="M2363" s="401"/>
      <c r="N2363" s="86"/>
    </row>
    <row r="2364" spans="1:14" s="64" customFormat="1" x14ac:dyDescent="0.2">
      <c r="A2364" s="63"/>
      <c r="B2364" s="396"/>
      <c r="C2364" s="122"/>
      <c r="D2364" s="75"/>
      <c r="E2364" s="395"/>
      <c r="F2364" s="395"/>
      <c r="G2364" s="395"/>
      <c r="H2364" s="67"/>
      <c r="I2364" s="69"/>
      <c r="J2364" s="134"/>
      <c r="K2364" s="324">
        <v>0.2999</v>
      </c>
      <c r="L2364" s="191">
        <f>L832</f>
        <v>1.4842</v>
      </c>
      <c r="M2364" s="401"/>
      <c r="N2364" s="86"/>
    </row>
    <row r="2365" spans="1:14" s="64" customFormat="1" x14ac:dyDescent="0.2">
      <c r="A2365" s="63"/>
      <c r="B2365" s="396"/>
      <c r="C2365" s="122"/>
      <c r="D2365" s="75"/>
      <c r="E2365" s="395"/>
      <c r="F2365" s="395"/>
      <c r="G2365" s="395"/>
      <c r="H2365" s="67"/>
      <c r="I2365" s="69"/>
      <c r="J2365" s="134"/>
      <c r="K2365" s="324">
        <v>0.2999</v>
      </c>
      <c r="L2365" s="191">
        <f>L833</f>
        <v>1.4842</v>
      </c>
      <c r="M2365" s="401"/>
      <c r="N2365" s="86"/>
    </row>
    <row r="2366" spans="1:14" s="64" customFormat="1" x14ac:dyDescent="0.2">
      <c r="A2366" s="63"/>
      <c r="B2366" s="396"/>
      <c r="C2366" s="122"/>
      <c r="D2366" s="75"/>
      <c r="E2366" s="395"/>
      <c r="F2366" s="395"/>
      <c r="G2366" s="395"/>
      <c r="H2366" s="67"/>
      <c r="I2366" s="69"/>
      <c r="J2366" s="134"/>
      <c r="K2366" s="324">
        <v>0.2999</v>
      </c>
      <c r="L2366" s="191">
        <f>L834</f>
        <v>1.4842</v>
      </c>
      <c r="M2366" s="401"/>
      <c r="N2366" s="86"/>
    </row>
    <row r="2367" spans="1:14" s="64" customFormat="1" x14ac:dyDescent="0.2">
      <c r="A2367" s="63"/>
      <c r="B2367" s="396"/>
      <c r="C2367" s="122"/>
      <c r="D2367" s="75"/>
      <c r="E2367" s="395"/>
      <c r="F2367" s="395"/>
      <c r="G2367" s="395"/>
      <c r="H2367" s="67"/>
      <c r="I2367" s="69"/>
      <c r="J2367" s="134"/>
      <c r="K2367" s="324">
        <v>0.2999</v>
      </c>
      <c r="L2367" s="191">
        <f>L835</f>
        <v>1.4842</v>
      </c>
      <c r="M2367" s="401"/>
      <c r="N2367" s="86"/>
    </row>
    <row r="2368" spans="1:14" s="64" customFormat="1" x14ac:dyDescent="0.2">
      <c r="A2368" s="63"/>
      <c r="B2368" s="396"/>
      <c r="C2368" s="122"/>
      <c r="D2368" s="75"/>
      <c r="E2368" s="395"/>
      <c r="F2368" s="395"/>
      <c r="G2368" s="395"/>
      <c r="H2368" s="67"/>
      <c r="I2368" s="69"/>
      <c r="J2368" s="134"/>
      <c r="K2368" s="324">
        <v>0.2999</v>
      </c>
      <c r="L2368" s="191">
        <f>L836</f>
        <v>1.4842</v>
      </c>
      <c r="M2368" s="401"/>
      <c r="N2368" s="86"/>
    </row>
    <row r="2369" spans="1:14" s="64" customFormat="1" x14ac:dyDescent="0.2">
      <c r="A2369" s="63"/>
      <c r="B2369" s="396"/>
      <c r="C2369" s="122"/>
      <c r="D2369" s="75"/>
      <c r="E2369" s="395"/>
      <c r="F2369" s="395"/>
      <c r="G2369" s="395"/>
      <c r="H2369" s="67"/>
      <c r="I2369" s="69"/>
      <c r="J2369" s="134"/>
      <c r="K2369" s="324">
        <v>0.2999</v>
      </c>
      <c r="L2369" s="191">
        <f>L837</f>
        <v>1.4842</v>
      </c>
      <c r="M2369" s="401"/>
      <c r="N2369" s="86"/>
    </row>
    <row r="2370" spans="1:14" s="64" customFormat="1" x14ac:dyDescent="0.2">
      <c r="A2370" s="63"/>
      <c r="B2370" s="396"/>
      <c r="C2370" s="122"/>
      <c r="D2370" s="75"/>
      <c r="E2370" s="395"/>
      <c r="F2370" s="395"/>
      <c r="G2370" s="395"/>
      <c r="H2370" s="67"/>
      <c r="I2370" s="69"/>
      <c r="J2370" s="134"/>
      <c r="K2370" s="324">
        <v>0.2999</v>
      </c>
      <c r="L2370" s="191">
        <f>L838</f>
        <v>1.4842</v>
      </c>
      <c r="M2370" s="401"/>
      <c r="N2370" s="86"/>
    </row>
    <row r="2371" spans="1:14" s="64" customFormat="1" x14ac:dyDescent="0.2">
      <c r="A2371" s="63"/>
      <c r="B2371" s="396"/>
      <c r="C2371" s="122"/>
      <c r="D2371" s="75"/>
      <c r="E2371" s="395"/>
      <c r="F2371" s="395"/>
      <c r="G2371" s="395"/>
      <c r="H2371" s="67"/>
      <c r="I2371" s="69"/>
      <c r="J2371" s="134"/>
      <c r="K2371" s="324">
        <v>0.2999</v>
      </c>
      <c r="L2371" s="191">
        <f>L839</f>
        <v>1.4842</v>
      </c>
      <c r="M2371" s="401"/>
      <c r="N2371" s="86"/>
    </row>
    <row r="2372" spans="1:14" s="64" customFormat="1" x14ac:dyDescent="0.2">
      <c r="A2372" s="63"/>
      <c r="B2372" s="396"/>
      <c r="C2372" s="122"/>
      <c r="D2372" s="75"/>
      <c r="E2372" s="395"/>
      <c r="F2372" s="395"/>
      <c r="G2372" s="395"/>
      <c r="H2372" s="67"/>
      <c r="I2372" s="69"/>
      <c r="J2372" s="134"/>
      <c r="K2372" s="324">
        <v>0.2999</v>
      </c>
      <c r="L2372" s="191">
        <f>L840</f>
        <v>1.4842</v>
      </c>
      <c r="M2372" s="401"/>
      <c r="N2372" s="86"/>
    </row>
    <row r="2373" spans="1:14" s="64" customFormat="1" x14ac:dyDescent="0.2">
      <c r="A2373" s="63"/>
      <c r="B2373" s="396"/>
      <c r="C2373" s="122"/>
      <c r="D2373" s="75"/>
      <c r="E2373" s="395"/>
      <c r="F2373" s="395"/>
      <c r="G2373" s="395"/>
      <c r="H2373" s="67"/>
      <c r="I2373" s="69"/>
      <c r="J2373" s="134"/>
      <c r="K2373" s="324">
        <v>0.2999</v>
      </c>
      <c r="L2373" s="191">
        <f>L841</f>
        <v>1.4842</v>
      </c>
      <c r="M2373" s="401"/>
      <c r="N2373" s="86"/>
    </row>
    <row r="2374" spans="1:14" s="64" customFormat="1" x14ac:dyDescent="0.2">
      <c r="A2374" s="63"/>
      <c r="B2374" s="396"/>
      <c r="C2374" s="122"/>
      <c r="D2374" s="75"/>
      <c r="E2374" s="395"/>
      <c r="F2374" s="395"/>
      <c r="G2374" s="395"/>
      <c r="H2374" s="67"/>
      <c r="I2374" s="69"/>
      <c r="J2374" s="134"/>
      <c r="K2374" s="324">
        <v>0.2999</v>
      </c>
      <c r="L2374" s="191">
        <f>L842</f>
        <v>1.4842</v>
      </c>
      <c r="M2374" s="401"/>
      <c r="N2374" s="86"/>
    </row>
    <row r="2375" spans="1:14" s="64" customFormat="1" x14ac:dyDescent="0.2">
      <c r="A2375" s="63"/>
      <c r="B2375" s="396"/>
      <c r="C2375" s="122"/>
      <c r="D2375" s="75"/>
      <c r="E2375" s="395"/>
      <c r="F2375" s="395"/>
      <c r="G2375" s="395"/>
      <c r="H2375" s="67"/>
      <c r="I2375" s="69"/>
      <c r="J2375" s="134"/>
      <c r="K2375" s="324">
        <v>0.2999</v>
      </c>
      <c r="L2375" s="191">
        <f>L843</f>
        <v>1.4842</v>
      </c>
      <c r="M2375" s="401"/>
      <c r="N2375" s="86"/>
    </row>
    <row r="2376" spans="1:14" s="64" customFormat="1" x14ac:dyDescent="0.2">
      <c r="A2376" s="63"/>
      <c r="B2376" s="396"/>
      <c r="C2376" s="122"/>
      <c r="D2376" s="75"/>
      <c r="E2376" s="395"/>
      <c r="F2376" s="395"/>
      <c r="G2376" s="395"/>
      <c r="H2376" s="67"/>
      <c r="I2376" s="69"/>
      <c r="J2376" s="134"/>
      <c r="K2376" s="324">
        <v>0.2999</v>
      </c>
      <c r="L2376" s="191">
        <f>L844</f>
        <v>1.4842</v>
      </c>
      <c r="M2376" s="401"/>
      <c r="N2376" s="86"/>
    </row>
    <row r="2377" spans="1:14" s="64" customFormat="1" x14ac:dyDescent="0.2">
      <c r="A2377" s="63"/>
      <c r="B2377" s="396"/>
      <c r="C2377" s="122"/>
      <c r="D2377" s="75"/>
      <c r="E2377" s="395"/>
      <c r="F2377" s="395"/>
      <c r="G2377" s="395"/>
      <c r="H2377" s="67"/>
      <c r="I2377" s="69"/>
      <c r="J2377" s="134"/>
      <c r="K2377" s="324">
        <v>0.2999</v>
      </c>
      <c r="L2377" s="191">
        <f>L845</f>
        <v>1.4842</v>
      </c>
      <c r="M2377" s="401"/>
      <c r="N2377" s="86"/>
    </row>
    <row r="2378" spans="1:14" s="64" customFormat="1" x14ac:dyDescent="0.2">
      <c r="A2378" s="63"/>
      <c r="B2378" s="396"/>
      <c r="C2378" s="122"/>
      <c r="D2378" s="75"/>
      <c r="E2378" s="395"/>
      <c r="F2378" s="395"/>
      <c r="G2378" s="395"/>
      <c r="H2378" s="67"/>
      <c r="I2378" s="69"/>
      <c r="J2378" s="134"/>
      <c r="K2378" s="324">
        <v>0.2999</v>
      </c>
      <c r="L2378" s="191">
        <f>L846</f>
        <v>1.4842</v>
      </c>
      <c r="M2378" s="401"/>
      <c r="N2378" s="86"/>
    </row>
    <row r="2379" spans="1:14" s="64" customFormat="1" x14ac:dyDescent="0.2">
      <c r="A2379" s="63"/>
      <c r="B2379" s="396"/>
      <c r="C2379" s="122"/>
      <c r="D2379" s="75"/>
      <c r="E2379" s="395"/>
      <c r="F2379" s="395"/>
      <c r="G2379" s="395"/>
      <c r="H2379" s="67"/>
      <c r="I2379" s="69"/>
      <c r="J2379" s="134"/>
      <c r="K2379" s="324">
        <v>0.2999</v>
      </c>
      <c r="L2379" s="191">
        <f>L847</f>
        <v>1.4842</v>
      </c>
      <c r="M2379" s="401"/>
      <c r="N2379" s="86"/>
    </row>
    <row r="2380" spans="1:14" s="64" customFormat="1" x14ac:dyDescent="0.2">
      <c r="A2380" s="63"/>
      <c r="B2380" s="396"/>
      <c r="C2380" s="122"/>
      <c r="D2380" s="75"/>
      <c r="E2380" s="395"/>
      <c r="F2380" s="395"/>
      <c r="G2380" s="395"/>
      <c r="H2380" s="67"/>
      <c r="I2380" s="69"/>
      <c r="J2380" s="134"/>
      <c r="K2380" s="324">
        <v>0.2999</v>
      </c>
      <c r="L2380" s="191">
        <f>L848</f>
        <v>1.4842</v>
      </c>
      <c r="M2380" s="401"/>
      <c r="N2380" s="86"/>
    </row>
    <row r="2381" spans="1:14" s="64" customFormat="1" x14ac:dyDescent="0.2">
      <c r="A2381" s="63"/>
      <c r="B2381" s="396"/>
      <c r="C2381" s="122"/>
      <c r="D2381" s="75"/>
      <c r="E2381" s="395"/>
      <c r="F2381" s="395"/>
      <c r="G2381" s="395"/>
      <c r="H2381" s="67"/>
      <c r="I2381" s="69"/>
      <c r="J2381" s="134"/>
      <c r="K2381" s="324">
        <v>0.2999</v>
      </c>
      <c r="L2381" s="191">
        <f>L849</f>
        <v>1.4842</v>
      </c>
      <c r="M2381" s="401"/>
      <c r="N2381" s="86"/>
    </row>
    <row r="2382" spans="1:14" s="64" customFormat="1" x14ac:dyDescent="0.2">
      <c r="A2382" s="63"/>
      <c r="B2382" s="396"/>
      <c r="C2382" s="122"/>
      <c r="D2382" s="75"/>
      <c r="E2382" s="395"/>
      <c r="F2382" s="395"/>
      <c r="G2382" s="395"/>
      <c r="H2382" s="67"/>
      <c r="I2382" s="69"/>
      <c r="J2382" s="134"/>
      <c r="K2382" s="324">
        <v>0.2999</v>
      </c>
      <c r="L2382" s="191">
        <f>L850</f>
        <v>1.4842</v>
      </c>
      <c r="M2382" s="401"/>
      <c r="N2382" s="86"/>
    </row>
    <row r="2383" spans="1:14" s="64" customFormat="1" x14ac:dyDescent="0.2">
      <c r="A2383" s="63"/>
      <c r="B2383" s="396"/>
      <c r="C2383" s="122"/>
      <c r="D2383" s="75"/>
      <c r="E2383" s="395"/>
      <c r="F2383" s="395"/>
      <c r="G2383" s="395"/>
      <c r="H2383" s="67"/>
      <c r="I2383" s="69"/>
      <c r="J2383" s="134"/>
      <c r="K2383" s="324">
        <v>0.2999</v>
      </c>
      <c r="L2383" s="191">
        <f>L851</f>
        <v>1.4842</v>
      </c>
      <c r="M2383" s="401"/>
      <c r="N2383" s="86"/>
    </row>
    <row r="2384" spans="1:14" s="64" customFormat="1" x14ac:dyDescent="0.2">
      <c r="A2384" s="63"/>
      <c r="B2384" s="396"/>
      <c r="C2384" s="122"/>
      <c r="D2384" s="75"/>
      <c r="E2384" s="395"/>
      <c r="F2384" s="395"/>
      <c r="G2384" s="395"/>
      <c r="H2384" s="67"/>
      <c r="I2384" s="69"/>
      <c r="J2384" s="134"/>
      <c r="K2384" s="324">
        <v>0.2999</v>
      </c>
      <c r="L2384" s="191">
        <f>L852</f>
        <v>1.4842</v>
      </c>
      <c r="M2384" s="401"/>
      <c r="N2384" s="86"/>
    </row>
    <row r="2385" spans="1:14" s="64" customFormat="1" x14ac:dyDescent="0.2">
      <c r="A2385" s="63"/>
      <c r="B2385" s="396"/>
      <c r="C2385" s="122"/>
      <c r="D2385" s="75"/>
      <c r="E2385" s="395"/>
      <c r="F2385" s="395"/>
      <c r="G2385" s="395"/>
      <c r="H2385" s="67"/>
      <c r="I2385" s="69"/>
      <c r="J2385" s="134"/>
      <c r="K2385" s="324">
        <v>0.2999</v>
      </c>
      <c r="L2385" s="191">
        <f>L853</f>
        <v>1.4842</v>
      </c>
      <c r="M2385" s="401"/>
      <c r="N2385" s="86"/>
    </row>
    <row r="2386" spans="1:14" s="64" customFormat="1" x14ac:dyDescent="0.2">
      <c r="A2386" s="63"/>
      <c r="B2386" s="396"/>
      <c r="C2386" s="122"/>
      <c r="D2386" s="75"/>
      <c r="E2386" s="395"/>
      <c r="F2386" s="395"/>
      <c r="G2386" s="395"/>
      <c r="H2386" s="67"/>
      <c r="I2386" s="69"/>
      <c r="J2386" s="134"/>
      <c r="K2386" s="324">
        <v>0.2999</v>
      </c>
      <c r="L2386" s="191">
        <f>L854</f>
        <v>1.4842</v>
      </c>
      <c r="M2386" s="401"/>
      <c r="N2386" s="86"/>
    </row>
    <row r="2387" spans="1:14" s="64" customFormat="1" x14ac:dyDescent="0.2">
      <c r="A2387" s="63"/>
      <c r="B2387" s="396"/>
      <c r="C2387" s="122"/>
      <c r="D2387" s="75"/>
      <c r="E2387" s="395"/>
      <c r="F2387" s="395"/>
      <c r="G2387" s="395"/>
      <c r="H2387" s="67"/>
      <c r="I2387" s="69"/>
      <c r="J2387" s="134"/>
      <c r="K2387" s="324">
        <v>0.2999</v>
      </c>
      <c r="L2387" s="191">
        <f>L855</f>
        <v>1.4842</v>
      </c>
      <c r="M2387" s="401"/>
      <c r="N2387" s="86"/>
    </row>
    <row r="2388" spans="1:14" s="64" customFormat="1" x14ac:dyDescent="0.2">
      <c r="A2388" s="63"/>
      <c r="B2388" s="396"/>
      <c r="C2388" s="122"/>
      <c r="D2388" s="75"/>
      <c r="E2388" s="395"/>
      <c r="F2388" s="395"/>
      <c r="G2388" s="395"/>
      <c r="H2388" s="67"/>
      <c r="I2388" s="69"/>
      <c r="J2388" s="134"/>
      <c r="K2388" s="324">
        <v>0.2999</v>
      </c>
      <c r="L2388" s="191">
        <f>L856</f>
        <v>1.4842</v>
      </c>
      <c r="M2388" s="401"/>
      <c r="N2388" s="86"/>
    </row>
    <row r="2389" spans="1:14" s="64" customFormat="1" x14ac:dyDescent="0.2">
      <c r="A2389" s="63"/>
      <c r="B2389" s="396"/>
      <c r="C2389" s="122"/>
      <c r="D2389" s="75"/>
      <c r="E2389" s="395"/>
      <c r="F2389" s="395"/>
      <c r="G2389" s="395"/>
      <c r="H2389" s="67"/>
      <c r="I2389" s="69"/>
      <c r="J2389" s="134"/>
      <c r="K2389" s="324">
        <v>0.2999</v>
      </c>
      <c r="L2389" s="191">
        <f>L857</f>
        <v>1.4842</v>
      </c>
      <c r="M2389" s="401"/>
      <c r="N2389" s="86"/>
    </row>
    <row r="2390" spans="1:14" s="64" customFormat="1" x14ac:dyDescent="0.2">
      <c r="A2390" s="63"/>
      <c r="B2390" s="396"/>
      <c r="C2390" s="122"/>
      <c r="D2390" s="75"/>
      <c r="E2390" s="395"/>
      <c r="F2390" s="395"/>
      <c r="G2390" s="395"/>
      <c r="H2390" s="67"/>
      <c r="I2390" s="69"/>
      <c r="J2390" s="134"/>
      <c r="K2390" s="324">
        <v>0.2999</v>
      </c>
      <c r="L2390" s="191">
        <f>L858</f>
        <v>1.4842</v>
      </c>
      <c r="M2390" s="401"/>
      <c r="N2390" s="86"/>
    </row>
    <row r="2391" spans="1:14" s="64" customFormat="1" x14ac:dyDescent="0.2">
      <c r="A2391" s="63"/>
      <c r="B2391" s="396"/>
      <c r="C2391" s="122"/>
      <c r="D2391" s="75"/>
      <c r="E2391" s="395"/>
      <c r="F2391" s="395"/>
      <c r="G2391" s="395"/>
      <c r="H2391" s="67"/>
      <c r="I2391" s="69"/>
      <c r="J2391" s="134"/>
      <c r="K2391" s="324">
        <v>0.2999</v>
      </c>
      <c r="L2391" s="191">
        <f>L859</f>
        <v>1.4842</v>
      </c>
      <c r="M2391" s="401"/>
      <c r="N2391" s="86"/>
    </row>
    <row r="2392" spans="1:14" s="64" customFormat="1" x14ac:dyDescent="0.2">
      <c r="A2392" s="63"/>
      <c r="B2392" s="396"/>
      <c r="C2392" s="122"/>
      <c r="D2392" s="75"/>
      <c r="E2392" s="395"/>
      <c r="F2392" s="395"/>
      <c r="G2392" s="395"/>
      <c r="H2392" s="67"/>
      <c r="I2392" s="69"/>
      <c r="J2392" s="134"/>
      <c r="K2392" s="324">
        <v>0.2999</v>
      </c>
      <c r="L2392" s="191">
        <f>L860</f>
        <v>1.4842</v>
      </c>
      <c r="M2392" s="401"/>
      <c r="N2392" s="86"/>
    </row>
    <row r="2393" spans="1:14" s="64" customFormat="1" x14ac:dyDescent="0.2">
      <c r="A2393" s="63"/>
      <c r="B2393" s="396"/>
      <c r="C2393" s="122"/>
      <c r="D2393" s="75"/>
      <c r="E2393" s="395"/>
      <c r="F2393" s="395"/>
      <c r="G2393" s="395"/>
      <c r="H2393" s="67"/>
      <c r="I2393" s="69"/>
      <c r="J2393" s="134"/>
      <c r="K2393" s="324">
        <v>0.2999</v>
      </c>
      <c r="L2393" s="191">
        <f>L861</f>
        <v>1.4842</v>
      </c>
      <c r="M2393" s="401"/>
      <c r="N2393" s="86"/>
    </row>
    <row r="2394" spans="1:14" s="64" customFormat="1" x14ac:dyDescent="0.2">
      <c r="A2394" s="63"/>
      <c r="B2394" s="396"/>
      <c r="C2394" s="122"/>
      <c r="D2394" s="75"/>
      <c r="E2394" s="395"/>
      <c r="F2394" s="395"/>
      <c r="G2394" s="395"/>
      <c r="H2394" s="67"/>
      <c r="I2394" s="69"/>
      <c r="J2394" s="134"/>
      <c r="K2394" s="324">
        <v>0.2999</v>
      </c>
      <c r="L2394" s="191">
        <f>L862</f>
        <v>1.4842</v>
      </c>
      <c r="M2394" s="401"/>
      <c r="N2394" s="86"/>
    </row>
    <row r="2395" spans="1:14" s="64" customFormat="1" x14ac:dyDescent="0.2">
      <c r="A2395" s="63"/>
      <c r="B2395" s="396"/>
      <c r="C2395" s="122"/>
      <c r="D2395" s="75"/>
      <c r="E2395" s="395"/>
      <c r="F2395" s="395"/>
      <c r="G2395" s="395"/>
      <c r="H2395" s="67"/>
      <c r="I2395" s="69"/>
      <c r="J2395" s="134"/>
      <c r="K2395" s="324">
        <v>0.2999</v>
      </c>
      <c r="L2395" s="191">
        <f>L863</f>
        <v>1.4842</v>
      </c>
      <c r="M2395" s="401"/>
      <c r="N2395" s="86"/>
    </row>
    <row r="2396" spans="1:14" s="64" customFormat="1" x14ac:dyDescent="0.2">
      <c r="A2396" s="63"/>
      <c r="B2396" s="396"/>
      <c r="C2396" s="122"/>
      <c r="D2396" s="75"/>
      <c r="E2396" s="395"/>
      <c r="F2396" s="395"/>
      <c r="G2396" s="395"/>
      <c r="H2396" s="67"/>
      <c r="I2396" s="69"/>
      <c r="J2396" s="134"/>
      <c r="K2396" s="324">
        <v>0.2999</v>
      </c>
      <c r="L2396" s="191">
        <f>L864</f>
        <v>1.4842</v>
      </c>
      <c r="M2396" s="401"/>
      <c r="N2396" s="86"/>
    </row>
    <row r="2397" spans="1:14" s="64" customFormat="1" x14ac:dyDescent="0.2">
      <c r="A2397" s="63"/>
      <c r="B2397" s="396"/>
      <c r="C2397" s="122"/>
      <c r="D2397" s="75"/>
      <c r="E2397" s="395"/>
      <c r="F2397" s="395"/>
      <c r="G2397" s="395"/>
      <c r="H2397" s="67"/>
      <c r="I2397" s="69"/>
      <c r="J2397" s="134"/>
      <c r="K2397" s="324">
        <v>0.2999</v>
      </c>
      <c r="L2397" s="191">
        <f>L865</f>
        <v>1.4842</v>
      </c>
      <c r="M2397" s="401"/>
      <c r="N2397" s="86"/>
    </row>
    <row r="2398" spans="1:14" s="64" customFormat="1" x14ac:dyDescent="0.2">
      <c r="A2398" s="63"/>
      <c r="B2398" s="396"/>
      <c r="C2398" s="122"/>
      <c r="D2398" s="75"/>
      <c r="E2398" s="395"/>
      <c r="F2398" s="395"/>
      <c r="G2398" s="395"/>
      <c r="H2398" s="67"/>
      <c r="I2398" s="69"/>
      <c r="J2398" s="134"/>
      <c r="K2398" s="324">
        <v>0.2999</v>
      </c>
      <c r="L2398" s="191">
        <f>L866</f>
        <v>1.4842</v>
      </c>
      <c r="M2398" s="401"/>
      <c r="N2398" s="86"/>
    </row>
    <row r="2399" spans="1:14" s="64" customFormat="1" x14ac:dyDescent="0.2">
      <c r="A2399" s="63"/>
      <c r="B2399" s="396"/>
      <c r="C2399" s="122"/>
      <c r="D2399" s="75"/>
      <c r="E2399" s="395"/>
      <c r="F2399" s="395"/>
      <c r="G2399" s="395"/>
      <c r="H2399" s="67"/>
      <c r="I2399" s="69"/>
      <c r="J2399" s="134"/>
      <c r="K2399" s="324">
        <v>0.2999</v>
      </c>
      <c r="L2399" s="191">
        <f>L867</f>
        <v>1.4842</v>
      </c>
      <c r="M2399" s="401"/>
      <c r="N2399" s="86"/>
    </row>
    <row r="2400" spans="1:14" s="64" customFormat="1" x14ac:dyDescent="0.2">
      <c r="A2400" s="63"/>
      <c r="B2400" s="396"/>
      <c r="C2400" s="122"/>
      <c r="D2400" s="75"/>
      <c r="E2400" s="395"/>
      <c r="F2400" s="395"/>
      <c r="G2400" s="395"/>
      <c r="H2400" s="67"/>
      <c r="I2400" s="69"/>
      <c r="J2400" s="134"/>
      <c r="K2400" s="324">
        <v>0.2999</v>
      </c>
      <c r="L2400" s="191">
        <f>L868</f>
        <v>1.4842</v>
      </c>
      <c r="M2400" s="401"/>
      <c r="N2400" s="86"/>
    </row>
    <row r="2401" spans="1:14" s="64" customFormat="1" x14ac:dyDescent="0.2">
      <c r="A2401" s="63"/>
      <c r="B2401" s="396"/>
      <c r="C2401" s="122"/>
      <c r="D2401" s="75"/>
      <c r="E2401" s="395"/>
      <c r="F2401" s="395"/>
      <c r="G2401" s="395"/>
      <c r="H2401" s="67"/>
      <c r="I2401" s="69"/>
      <c r="J2401" s="134"/>
      <c r="K2401" s="324">
        <v>0.2999</v>
      </c>
      <c r="L2401" s="191">
        <f>L869</f>
        <v>1.4842</v>
      </c>
      <c r="M2401" s="401"/>
      <c r="N2401" s="86"/>
    </row>
    <row r="2402" spans="1:14" s="64" customFormat="1" x14ac:dyDescent="0.2">
      <c r="A2402" s="63"/>
      <c r="B2402" s="396"/>
      <c r="C2402" s="122"/>
      <c r="D2402" s="75"/>
      <c r="E2402" s="395"/>
      <c r="F2402" s="395"/>
      <c r="G2402" s="395"/>
      <c r="H2402" s="67"/>
      <c r="I2402" s="69"/>
      <c r="J2402" s="134"/>
      <c r="K2402" s="324">
        <v>0.2999</v>
      </c>
      <c r="L2402" s="191">
        <f>L870</f>
        <v>1.4842</v>
      </c>
      <c r="M2402" s="401"/>
      <c r="N2402" s="86"/>
    </row>
    <row r="2403" spans="1:14" s="64" customFormat="1" x14ac:dyDescent="0.2">
      <c r="A2403" s="63"/>
      <c r="B2403" s="396"/>
      <c r="C2403" s="122"/>
      <c r="D2403" s="75"/>
      <c r="E2403" s="395"/>
      <c r="F2403" s="395"/>
      <c r="G2403" s="395"/>
      <c r="H2403" s="67"/>
      <c r="I2403" s="69"/>
      <c r="J2403" s="134"/>
      <c r="K2403" s="324">
        <v>0.2999</v>
      </c>
      <c r="L2403" s="191">
        <f>L871</f>
        <v>1.4842</v>
      </c>
      <c r="M2403" s="401"/>
      <c r="N2403" s="86"/>
    </row>
    <row r="2404" spans="1:14" s="64" customFormat="1" x14ac:dyDescent="0.2">
      <c r="A2404" s="63"/>
      <c r="B2404" s="396"/>
      <c r="C2404" s="122"/>
      <c r="D2404" s="75"/>
      <c r="E2404" s="395"/>
      <c r="F2404" s="395"/>
      <c r="G2404" s="395"/>
      <c r="H2404" s="67"/>
      <c r="I2404" s="69"/>
      <c r="J2404" s="134"/>
      <c r="K2404" s="324">
        <v>0.2999</v>
      </c>
      <c r="L2404" s="191">
        <f>L872</f>
        <v>1.4842</v>
      </c>
      <c r="M2404" s="401"/>
      <c r="N2404" s="86"/>
    </row>
    <row r="2405" spans="1:14" s="64" customFormat="1" x14ac:dyDescent="0.2">
      <c r="A2405" s="63"/>
      <c r="B2405" s="396"/>
      <c r="C2405" s="122"/>
      <c r="D2405" s="75"/>
      <c r="E2405" s="395"/>
      <c r="F2405" s="395"/>
      <c r="G2405" s="395"/>
      <c r="H2405" s="67"/>
      <c r="I2405" s="69"/>
      <c r="J2405" s="134"/>
      <c r="K2405" s="324">
        <v>0.2999</v>
      </c>
      <c r="L2405" s="191">
        <f>L873</f>
        <v>1.4842</v>
      </c>
      <c r="M2405" s="401"/>
      <c r="N2405" s="86"/>
    </row>
    <row r="2406" spans="1:14" s="64" customFormat="1" x14ac:dyDescent="0.2">
      <c r="A2406" s="63"/>
      <c r="B2406" s="396"/>
      <c r="C2406" s="122"/>
      <c r="D2406" s="75"/>
      <c r="E2406" s="395"/>
      <c r="F2406" s="395"/>
      <c r="G2406" s="395"/>
      <c r="H2406" s="67"/>
      <c r="I2406" s="69"/>
      <c r="J2406" s="134"/>
      <c r="K2406" s="324">
        <v>0.2999</v>
      </c>
      <c r="L2406" s="191">
        <f>L874</f>
        <v>1.4842</v>
      </c>
      <c r="M2406" s="401"/>
      <c r="N2406" s="86"/>
    </row>
    <row r="2407" spans="1:14" s="64" customFormat="1" x14ac:dyDescent="0.2">
      <c r="A2407" s="63"/>
      <c r="B2407" s="396"/>
      <c r="C2407" s="122"/>
      <c r="D2407" s="75"/>
      <c r="E2407" s="395"/>
      <c r="F2407" s="395"/>
      <c r="G2407" s="395"/>
      <c r="H2407" s="67"/>
      <c r="I2407" s="69"/>
      <c r="J2407" s="134"/>
      <c r="K2407" s="324">
        <v>0.2999</v>
      </c>
      <c r="L2407" s="191">
        <f>L875</f>
        <v>1.4842</v>
      </c>
      <c r="M2407" s="401"/>
      <c r="N2407" s="86"/>
    </row>
    <row r="2408" spans="1:14" s="64" customFormat="1" x14ac:dyDescent="0.2">
      <c r="A2408" s="63"/>
      <c r="B2408" s="396"/>
      <c r="C2408" s="122"/>
      <c r="D2408" s="75"/>
      <c r="E2408" s="395"/>
      <c r="F2408" s="395"/>
      <c r="G2408" s="395"/>
      <c r="H2408" s="67"/>
      <c r="I2408" s="69"/>
      <c r="J2408" s="134"/>
      <c r="K2408" s="324">
        <v>0.2999</v>
      </c>
      <c r="L2408" s="191">
        <f>L876</f>
        <v>1.4842</v>
      </c>
      <c r="M2408" s="401"/>
      <c r="N2408" s="86"/>
    </row>
    <row r="2409" spans="1:14" s="64" customFormat="1" x14ac:dyDescent="0.2">
      <c r="A2409" s="63"/>
      <c r="B2409" s="396"/>
      <c r="C2409" s="122"/>
      <c r="D2409" s="75"/>
      <c r="E2409" s="395"/>
      <c r="F2409" s="395"/>
      <c r="G2409" s="395"/>
      <c r="H2409" s="67"/>
      <c r="I2409" s="69"/>
      <c r="J2409" s="134"/>
      <c r="K2409" s="324">
        <v>0.2999</v>
      </c>
      <c r="L2409" s="191">
        <f>L877</f>
        <v>1.4842</v>
      </c>
      <c r="M2409" s="401"/>
      <c r="N2409" s="86"/>
    </row>
    <row r="2410" spans="1:14" s="64" customFormat="1" x14ac:dyDescent="0.2">
      <c r="A2410" s="63"/>
      <c r="B2410" s="396"/>
      <c r="C2410" s="122"/>
      <c r="D2410" s="75"/>
      <c r="E2410" s="395"/>
      <c r="F2410" s="395"/>
      <c r="G2410" s="395"/>
      <c r="H2410" s="67"/>
      <c r="I2410" s="69"/>
      <c r="J2410" s="134"/>
      <c r="K2410" s="324">
        <v>0.2999</v>
      </c>
      <c r="L2410" s="191">
        <f>L878</f>
        <v>1.4842</v>
      </c>
      <c r="M2410" s="401"/>
      <c r="N2410" s="86"/>
    </row>
    <row r="2411" spans="1:14" s="64" customFormat="1" x14ac:dyDescent="0.2">
      <c r="A2411" s="63"/>
      <c r="B2411" s="396"/>
      <c r="C2411" s="122"/>
      <c r="D2411" s="75"/>
      <c r="E2411" s="395"/>
      <c r="F2411" s="395"/>
      <c r="G2411" s="395"/>
      <c r="H2411" s="67"/>
      <c r="I2411" s="69"/>
      <c r="J2411" s="134"/>
      <c r="K2411" s="324">
        <v>0.2999</v>
      </c>
      <c r="L2411" s="191">
        <f>L879</f>
        <v>1.4842</v>
      </c>
      <c r="M2411" s="401"/>
      <c r="N2411" s="86"/>
    </row>
    <row r="2412" spans="1:14" s="64" customFormat="1" x14ac:dyDescent="0.2">
      <c r="A2412" s="63"/>
      <c r="B2412" s="396"/>
      <c r="C2412" s="122"/>
      <c r="D2412" s="75"/>
      <c r="E2412" s="395"/>
      <c r="F2412" s="395"/>
      <c r="G2412" s="395"/>
      <c r="H2412" s="67"/>
      <c r="I2412" s="69"/>
      <c r="J2412" s="134"/>
      <c r="K2412" s="324">
        <v>0.2999</v>
      </c>
      <c r="L2412" s="191">
        <f>L880</f>
        <v>1.4842</v>
      </c>
      <c r="M2412" s="401"/>
      <c r="N2412" s="86"/>
    </row>
    <row r="2413" spans="1:14" s="64" customFormat="1" x14ac:dyDescent="0.2">
      <c r="A2413" s="63"/>
      <c r="B2413" s="396"/>
      <c r="C2413" s="122"/>
      <c r="D2413" s="75"/>
      <c r="E2413" s="395"/>
      <c r="F2413" s="395"/>
      <c r="G2413" s="395"/>
      <c r="H2413" s="67"/>
      <c r="I2413" s="69"/>
      <c r="J2413" s="134"/>
      <c r="K2413" s="324">
        <v>0.2999</v>
      </c>
      <c r="L2413" s="191">
        <f>L881</f>
        <v>1.4842</v>
      </c>
      <c r="M2413" s="401"/>
      <c r="N2413" s="86"/>
    </row>
    <row r="2414" spans="1:14" s="64" customFormat="1" x14ac:dyDescent="0.2">
      <c r="A2414" s="63"/>
      <c r="B2414" s="396"/>
      <c r="C2414" s="122"/>
      <c r="D2414" s="75"/>
      <c r="E2414" s="395"/>
      <c r="F2414" s="395"/>
      <c r="G2414" s="395"/>
      <c r="H2414" s="67"/>
      <c r="I2414" s="69"/>
      <c r="J2414" s="134"/>
      <c r="K2414" s="324">
        <v>0.2999</v>
      </c>
      <c r="L2414" s="191">
        <f>L882</f>
        <v>1.4842</v>
      </c>
      <c r="M2414" s="401"/>
      <c r="N2414" s="86"/>
    </row>
    <row r="2415" spans="1:14" s="64" customFormat="1" x14ac:dyDescent="0.2">
      <c r="A2415" s="63"/>
      <c r="B2415" s="396"/>
      <c r="C2415" s="122"/>
      <c r="D2415" s="75"/>
      <c r="E2415" s="395"/>
      <c r="F2415" s="395"/>
      <c r="G2415" s="395"/>
      <c r="H2415" s="67"/>
      <c r="I2415" s="69"/>
      <c r="J2415" s="134"/>
      <c r="K2415" s="324">
        <v>0.2999</v>
      </c>
      <c r="L2415" s="191">
        <f>L883</f>
        <v>1.4842</v>
      </c>
      <c r="M2415" s="401"/>
      <c r="N2415" s="86"/>
    </row>
    <row r="2416" spans="1:14" s="64" customFormat="1" x14ac:dyDescent="0.2">
      <c r="A2416" s="63"/>
      <c r="B2416" s="396"/>
      <c r="C2416" s="122"/>
      <c r="D2416" s="75"/>
      <c r="E2416" s="395"/>
      <c r="F2416" s="395"/>
      <c r="G2416" s="395"/>
      <c r="H2416" s="67"/>
      <c r="I2416" s="69"/>
      <c r="J2416" s="134"/>
      <c r="K2416" s="324">
        <v>0.2999</v>
      </c>
      <c r="L2416" s="191">
        <f>L884</f>
        <v>1.4842</v>
      </c>
      <c r="M2416" s="401"/>
      <c r="N2416" s="86"/>
    </row>
    <row r="2417" spans="1:14" s="64" customFormat="1" x14ac:dyDescent="0.2">
      <c r="A2417" s="63"/>
      <c r="B2417" s="396"/>
      <c r="C2417" s="122"/>
      <c r="D2417" s="75"/>
      <c r="E2417" s="395"/>
      <c r="F2417" s="395"/>
      <c r="G2417" s="395"/>
      <c r="H2417" s="67"/>
      <c r="I2417" s="69"/>
      <c r="J2417" s="134"/>
      <c r="K2417" s="324">
        <v>0.2999</v>
      </c>
      <c r="L2417" s="191">
        <f>L885</f>
        <v>1.4842</v>
      </c>
      <c r="M2417" s="401"/>
      <c r="N2417" s="86"/>
    </row>
    <row r="2418" spans="1:14" s="64" customFormat="1" x14ac:dyDescent="0.2">
      <c r="A2418" s="63"/>
      <c r="B2418" s="396"/>
      <c r="C2418" s="122"/>
      <c r="D2418" s="75"/>
      <c r="E2418" s="395"/>
      <c r="F2418" s="395"/>
      <c r="G2418" s="395"/>
      <c r="H2418" s="67"/>
      <c r="I2418" s="69"/>
      <c r="J2418" s="134"/>
      <c r="K2418" s="324">
        <v>0.2999</v>
      </c>
      <c r="L2418" s="191">
        <f>L886</f>
        <v>1.4842</v>
      </c>
      <c r="M2418" s="401"/>
      <c r="N2418" s="86"/>
    </row>
    <row r="2419" spans="1:14" s="64" customFormat="1" x14ac:dyDescent="0.2">
      <c r="A2419" s="63"/>
      <c r="B2419" s="396"/>
      <c r="C2419" s="122"/>
      <c r="D2419" s="75"/>
      <c r="E2419" s="395"/>
      <c r="F2419" s="395"/>
      <c r="G2419" s="395"/>
      <c r="H2419" s="67"/>
      <c r="I2419" s="69"/>
      <c r="J2419" s="134"/>
      <c r="K2419" s="324">
        <v>0.2999</v>
      </c>
      <c r="L2419" s="191">
        <f>L887</f>
        <v>1.4842</v>
      </c>
      <c r="M2419" s="401"/>
      <c r="N2419" s="86"/>
    </row>
    <row r="2420" spans="1:14" s="64" customFormat="1" x14ac:dyDescent="0.2">
      <c r="A2420" s="63"/>
      <c r="B2420" s="396"/>
      <c r="C2420" s="122"/>
      <c r="D2420" s="75"/>
      <c r="E2420" s="395"/>
      <c r="F2420" s="395"/>
      <c r="G2420" s="395"/>
      <c r="H2420" s="67"/>
      <c r="I2420" s="69"/>
      <c r="J2420" s="134"/>
      <c r="K2420" s="324">
        <v>0.2999</v>
      </c>
      <c r="L2420" s="191">
        <f>L888</f>
        <v>1.4842</v>
      </c>
      <c r="M2420" s="401"/>
      <c r="N2420" s="86"/>
    </row>
    <row r="2421" spans="1:14" s="64" customFormat="1" x14ac:dyDescent="0.2">
      <c r="A2421" s="63"/>
      <c r="B2421" s="396"/>
      <c r="C2421" s="122"/>
      <c r="D2421" s="75"/>
      <c r="E2421" s="395"/>
      <c r="F2421" s="395"/>
      <c r="G2421" s="395"/>
      <c r="H2421" s="67"/>
      <c r="I2421" s="69"/>
      <c r="J2421" s="134"/>
      <c r="K2421" s="324">
        <v>0.2999</v>
      </c>
      <c r="L2421" s="191">
        <f>L889</f>
        <v>1.4842</v>
      </c>
      <c r="M2421" s="401"/>
      <c r="N2421" s="86"/>
    </row>
    <row r="2422" spans="1:14" s="64" customFormat="1" x14ac:dyDescent="0.2">
      <c r="A2422" s="63"/>
      <c r="B2422" s="396"/>
      <c r="C2422" s="122"/>
      <c r="D2422" s="75"/>
      <c r="E2422" s="395"/>
      <c r="F2422" s="395"/>
      <c r="G2422" s="395"/>
      <c r="H2422" s="67"/>
      <c r="I2422" s="69"/>
      <c r="J2422" s="134"/>
      <c r="K2422" s="324">
        <v>0.2999</v>
      </c>
      <c r="L2422" s="191">
        <f>L890</f>
        <v>1.4842</v>
      </c>
      <c r="M2422" s="401"/>
      <c r="N2422" s="86"/>
    </row>
    <row r="2423" spans="1:14" s="64" customFormat="1" x14ac:dyDescent="0.2">
      <c r="A2423" s="63"/>
      <c r="B2423" s="396"/>
      <c r="C2423" s="122"/>
      <c r="D2423" s="75"/>
      <c r="E2423" s="395"/>
      <c r="F2423" s="395"/>
      <c r="G2423" s="395"/>
      <c r="H2423" s="67"/>
      <c r="I2423" s="69"/>
      <c r="J2423" s="134"/>
      <c r="K2423" s="324">
        <v>0.2999</v>
      </c>
      <c r="L2423" s="191">
        <f>L891</f>
        <v>1.4842</v>
      </c>
      <c r="M2423" s="401"/>
      <c r="N2423" s="86"/>
    </row>
    <row r="2424" spans="1:14" s="64" customFormat="1" x14ac:dyDescent="0.2">
      <c r="A2424" s="63"/>
      <c r="B2424" s="396"/>
      <c r="C2424" s="122"/>
      <c r="D2424" s="75"/>
      <c r="E2424" s="395"/>
      <c r="F2424" s="395"/>
      <c r="G2424" s="395"/>
      <c r="H2424" s="67"/>
      <c r="I2424" s="69"/>
      <c r="J2424" s="134"/>
      <c r="K2424" s="324">
        <v>0.2999</v>
      </c>
      <c r="L2424" s="191">
        <f>L892</f>
        <v>1.4842</v>
      </c>
      <c r="M2424" s="401"/>
      <c r="N2424" s="86"/>
    </row>
    <row r="2425" spans="1:14" s="64" customFormat="1" x14ac:dyDescent="0.2">
      <c r="A2425" s="63"/>
      <c r="B2425" s="396"/>
      <c r="C2425" s="122"/>
      <c r="D2425" s="75"/>
      <c r="E2425" s="395"/>
      <c r="F2425" s="395"/>
      <c r="G2425" s="395"/>
      <c r="H2425" s="67"/>
      <c r="I2425" s="69"/>
      <c r="J2425" s="134"/>
      <c r="K2425" s="324">
        <v>0.2999</v>
      </c>
      <c r="L2425" s="191">
        <f>L893</f>
        <v>1.4842</v>
      </c>
      <c r="M2425" s="401"/>
      <c r="N2425" s="86"/>
    </row>
    <row r="2426" spans="1:14" s="64" customFormat="1" x14ac:dyDescent="0.2">
      <c r="A2426" s="63"/>
      <c r="B2426" s="396"/>
      <c r="C2426" s="122"/>
      <c r="D2426" s="75"/>
      <c r="E2426" s="395"/>
      <c r="F2426" s="395"/>
      <c r="G2426" s="395"/>
      <c r="H2426" s="67"/>
      <c r="I2426" s="69"/>
      <c r="J2426" s="134"/>
      <c r="K2426" s="324">
        <v>0.2999</v>
      </c>
      <c r="L2426" s="191">
        <f>L894</f>
        <v>1.4842</v>
      </c>
      <c r="M2426" s="401"/>
      <c r="N2426" s="86"/>
    </row>
    <row r="2427" spans="1:14" s="64" customFormat="1" x14ac:dyDescent="0.2">
      <c r="A2427" s="63"/>
      <c r="B2427" s="396"/>
      <c r="C2427" s="122"/>
      <c r="D2427" s="75"/>
      <c r="E2427" s="395"/>
      <c r="F2427" s="395"/>
      <c r="G2427" s="395"/>
      <c r="H2427" s="67"/>
      <c r="I2427" s="69"/>
      <c r="J2427" s="134"/>
      <c r="K2427" s="324">
        <v>0.2999</v>
      </c>
      <c r="L2427" s="191">
        <f>L895</f>
        <v>1.4842</v>
      </c>
      <c r="M2427" s="401"/>
      <c r="N2427" s="86"/>
    </row>
    <row r="2428" spans="1:14" s="64" customFormat="1" x14ac:dyDescent="0.2">
      <c r="A2428" s="63"/>
      <c r="B2428" s="396"/>
      <c r="C2428" s="122"/>
      <c r="D2428" s="75"/>
      <c r="E2428" s="395"/>
      <c r="F2428" s="395"/>
      <c r="G2428" s="395"/>
      <c r="H2428" s="67"/>
      <c r="I2428" s="69"/>
      <c r="J2428" s="134"/>
      <c r="K2428" s="324">
        <v>0.2999</v>
      </c>
      <c r="L2428" s="191">
        <f>L896</f>
        <v>1.4842</v>
      </c>
      <c r="M2428" s="401"/>
      <c r="N2428" s="86"/>
    </row>
    <row r="2429" spans="1:14" s="64" customFormat="1" x14ac:dyDescent="0.2">
      <c r="A2429" s="63"/>
      <c r="B2429" s="396"/>
      <c r="C2429" s="122"/>
      <c r="D2429" s="75"/>
      <c r="E2429" s="395"/>
      <c r="F2429" s="395"/>
      <c r="G2429" s="395"/>
      <c r="H2429" s="67"/>
      <c r="I2429" s="69"/>
      <c r="J2429" s="134"/>
      <c r="K2429" s="324">
        <v>0.2999</v>
      </c>
      <c r="L2429" s="191">
        <f>L897</f>
        <v>1.4842</v>
      </c>
      <c r="M2429" s="401"/>
      <c r="N2429" s="86"/>
    </row>
    <row r="2430" spans="1:14" s="64" customFormat="1" x14ac:dyDescent="0.2">
      <c r="A2430" s="63"/>
      <c r="B2430" s="396"/>
      <c r="C2430" s="122"/>
      <c r="D2430" s="75"/>
      <c r="E2430" s="395"/>
      <c r="F2430" s="395"/>
      <c r="G2430" s="395"/>
      <c r="H2430" s="67"/>
      <c r="I2430" s="69"/>
      <c r="J2430" s="134"/>
      <c r="K2430" s="324">
        <v>0.2999</v>
      </c>
      <c r="L2430" s="191">
        <f>L898</f>
        <v>1.4842</v>
      </c>
      <c r="M2430" s="401"/>
      <c r="N2430" s="86"/>
    </row>
    <row r="2431" spans="1:14" s="64" customFormat="1" x14ac:dyDescent="0.2">
      <c r="A2431" s="63"/>
      <c r="B2431" s="396"/>
      <c r="C2431" s="122"/>
      <c r="D2431" s="75"/>
      <c r="E2431" s="395"/>
      <c r="F2431" s="395"/>
      <c r="G2431" s="395"/>
      <c r="H2431" s="67"/>
      <c r="I2431" s="69"/>
      <c r="J2431" s="134"/>
      <c r="K2431" s="324">
        <v>0.2999</v>
      </c>
      <c r="L2431" s="191">
        <f>L899</f>
        <v>1.4842</v>
      </c>
      <c r="M2431" s="401"/>
      <c r="N2431" s="86"/>
    </row>
    <row r="2432" spans="1:14" s="64" customFormat="1" x14ac:dyDescent="0.2">
      <c r="A2432" s="63"/>
      <c r="B2432" s="396"/>
      <c r="C2432" s="122"/>
      <c r="D2432" s="75"/>
      <c r="E2432" s="395"/>
      <c r="F2432" s="395"/>
      <c r="G2432" s="395"/>
      <c r="H2432" s="67"/>
      <c r="I2432" s="69"/>
      <c r="J2432" s="134"/>
      <c r="K2432" s="324">
        <v>0.2999</v>
      </c>
      <c r="L2432" s="191">
        <f>L900</f>
        <v>1.4842</v>
      </c>
      <c r="M2432" s="401"/>
      <c r="N2432" s="86"/>
    </row>
    <row r="2433" spans="1:14" s="64" customFormat="1" x14ac:dyDescent="0.2">
      <c r="A2433" s="63"/>
      <c r="B2433" s="396"/>
      <c r="C2433" s="122"/>
      <c r="D2433" s="75"/>
      <c r="E2433" s="395"/>
      <c r="F2433" s="395"/>
      <c r="G2433" s="395"/>
      <c r="H2433" s="67"/>
      <c r="I2433" s="69"/>
      <c r="J2433" s="134"/>
      <c r="K2433" s="324">
        <v>0.2999</v>
      </c>
      <c r="L2433" s="191">
        <f>L901</f>
        <v>1.4842</v>
      </c>
      <c r="M2433" s="401"/>
      <c r="N2433" s="86"/>
    </row>
    <row r="2434" spans="1:14" s="64" customFormat="1" x14ac:dyDescent="0.2">
      <c r="A2434" s="63"/>
      <c r="B2434" s="396"/>
      <c r="C2434" s="122"/>
      <c r="D2434" s="75"/>
      <c r="E2434" s="395"/>
      <c r="F2434" s="395"/>
      <c r="G2434" s="395"/>
      <c r="H2434" s="67"/>
      <c r="I2434" s="69"/>
      <c r="J2434" s="134"/>
      <c r="K2434" s="324">
        <v>0.2999</v>
      </c>
      <c r="L2434" s="191">
        <f>L902</f>
        <v>1.4842</v>
      </c>
      <c r="M2434" s="401"/>
      <c r="N2434" s="86"/>
    </row>
    <row r="2435" spans="1:14" s="64" customFormat="1" x14ac:dyDescent="0.2">
      <c r="A2435" s="63"/>
      <c r="B2435" s="396"/>
      <c r="C2435" s="122"/>
      <c r="D2435" s="75"/>
      <c r="E2435" s="395"/>
      <c r="F2435" s="395"/>
      <c r="G2435" s="395"/>
      <c r="H2435" s="67"/>
      <c r="I2435" s="69"/>
      <c r="J2435" s="134"/>
      <c r="K2435" s="324">
        <v>0.2999</v>
      </c>
      <c r="L2435" s="191">
        <f>L903</f>
        <v>1.4842</v>
      </c>
      <c r="M2435" s="401"/>
      <c r="N2435" s="86"/>
    </row>
    <row r="2436" spans="1:14" s="64" customFormat="1" x14ac:dyDescent="0.2">
      <c r="A2436" s="63"/>
      <c r="B2436" s="396"/>
      <c r="C2436" s="122"/>
      <c r="D2436" s="75"/>
      <c r="E2436" s="395"/>
      <c r="F2436" s="395"/>
      <c r="G2436" s="395"/>
      <c r="H2436" s="67"/>
      <c r="I2436" s="69"/>
      <c r="J2436" s="134"/>
      <c r="K2436" s="324">
        <v>0.2999</v>
      </c>
      <c r="L2436" s="191">
        <f>L904</f>
        <v>1.4842</v>
      </c>
      <c r="M2436" s="401"/>
      <c r="N2436" s="86"/>
    </row>
    <row r="2437" spans="1:14" s="64" customFormat="1" x14ac:dyDescent="0.2">
      <c r="A2437" s="63"/>
      <c r="B2437" s="396"/>
      <c r="C2437" s="122"/>
      <c r="D2437" s="75"/>
      <c r="E2437" s="395"/>
      <c r="F2437" s="395"/>
      <c r="G2437" s="395"/>
      <c r="H2437" s="67"/>
      <c r="I2437" s="69"/>
      <c r="J2437" s="134"/>
      <c r="K2437" s="324">
        <v>0.2999</v>
      </c>
      <c r="L2437" s="191">
        <f>L905</f>
        <v>1.4842</v>
      </c>
      <c r="M2437" s="401"/>
      <c r="N2437" s="86"/>
    </row>
    <row r="2438" spans="1:14" s="64" customFormat="1" x14ac:dyDescent="0.2">
      <c r="A2438" s="63"/>
      <c r="B2438" s="396"/>
      <c r="C2438" s="122"/>
      <c r="D2438" s="75"/>
      <c r="E2438" s="395"/>
      <c r="F2438" s="395"/>
      <c r="G2438" s="395"/>
      <c r="H2438" s="67"/>
      <c r="I2438" s="69"/>
      <c r="J2438" s="134"/>
      <c r="K2438" s="324">
        <v>0.2999</v>
      </c>
      <c r="L2438" s="191">
        <f>L906</f>
        <v>1.4842</v>
      </c>
      <c r="M2438" s="401"/>
      <c r="N2438" s="86"/>
    </row>
    <row r="2439" spans="1:14" s="64" customFormat="1" x14ac:dyDescent="0.2">
      <c r="A2439" s="63"/>
      <c r="B2439" s="396"/>
      <c r="C2439" s="122"/>
      <c r="D2439" s="75"/>
      <c r="E2439" s="395"/>
      <c r="F2439" s="395"/>
      <c r="G2439" s="395"/>
      <c r="H2439" s="67"/>
      <c r="I2439" s="69"/>
      <c r="J2439" s="134"/>
      <c r="K2439" s="324">
        <v>0.2999</v>
      </c>
      <c r="L2439" s="191">
        <f>L907</f>
        <v>1.4842</v>
      </c>
      <c r="M2439" s="401"/>
      <c r="N2439" s="86"/>
    </row>
    <row r="2440" spans="1:14" s="64" customFormat="1" x14ac:dyDescent="0.2">
      <c r="A2440" s="63"/>
      <c r="B2440" s="396"/>
      <c r="C2440" s="122"/>
      <c r="D2440" s="75"/>
      <c r="E2440" s="395"/>
      <c r="F2440" s="395"/>
      <c r="G2440" s="395"/>
      <c r="H2440" s="67"/>
      <c r="I2440" s="69"/>
      <c r="J2440" s="134"/>
      <c r="K2440" s="324">
        <v>0.2999</v>
      </c>
      <c r="L2440" s="191">
        <f>L908</f>
        <v>1.4842</v>
      </c>
      <c r="M2440" s="401"/>
      <c r="N2440" s="86"/>
    </row>
    <row r="2441" spans="1:14" s="64" customFormat="1" x14ac:dyDescent="0.2">
      <c r="A2441" s="63"/>
      <c r="B2441" s="396"/>
      <c r="C2441" s="122"/>
      <c r="D2441" s="75"/>
      <c r="E2441" s="395"/>
      <c r="F2441" s="395"/>
      <c r="G2441" s="395"/>
      <c r="H2441" s="67"/>
      <c r="I2441" s="69"/>
      <c r="J2441" s="134"/>
      <c r="K2441" s="324">
        <v>0.2999</v>
      </c>
      <c r="L2441" s="191">
        <f>L909</f>
        <v>1.4842</v>
      </c>
      <c r="M2441" s="401"/>
      <c r="N2441" s="86"/>
    </row>
    <row r="2442" spans="1:14" s="64" customFormat="1" x14ac:dyDescent="0.2">
      <c r="A2442" s="63"/>
      <c r="B2442" s="396"/>
      <c r="C2442" s="122"/>
      <c r="D2442" s="75"/>
      <c r="E2442" s="395"/>
      <c r="F2442" s="395"/>
      <c r="G2442" s="395"/>
      <c r="H2442" s="67"/>
      <c r="I2442" s="69"/>
      <c r="J2442" s="134"/>
      <c r="K2442" s="324">
        <v>0.2999</v>
      </c>
      <c r="L2442" s="191">
        <f>L910</f>
        <v>1.4842</v>
      </c>
      <c r="M2442" s="401"/>
      <c r="N2442" s="86"/>
    </row>
    <row r="2443" spans="1:14" s="64" customFormat="1" x14ac:dyDescent="0.2">
      <c r="A2443" s="63"/>
      <c r="B2443" s="396"/>
      <c r="C2443" s="122"/>
      <c r="D2443" s="75"/>
      <c r="E2443" s="395"/>
      <c r="F2443" s="395"/>
      <c r="G2443" s="395"/>
      <c r="H2443" s="67"/>
      <c r="I2443" s="69"/>
      <c r="J2443" s="134"/>
      <c r="K2443" s="324">
        <v>0.2999</v>
      </c>
      <c r="L2443" s="191">
        <f>L911</f>
        <v>1.4842</v>
      </c>
      <c r="M2443" s="401"/>
      <c r="N2443" s="86"/>
    </row>
    <row r="2444" spans="1:14" s="64" customFormat="1" x14ac:dyDescent="0.2">
      <c r="A2444" s="63"/>
      <c r="B2444" s="396"/>
      <c r="C2444" s="122"/>
      <c r="D2444" s="75"/>
      <c r="E2444" s="395"/>
      <c r="F2444" s="395"/>
      <c r="G2444" s="395"/>
      <c r="H2444" s="67"/>
      <c r="I2444" s="69"/>
      <c r="J2444" s="134"/>
      <c r="K2444" s="324">
        <v>0.2999</v>
      </c>
      <c r="L2444" s="191">
        <f>L912</f>
        <v>1.4842</v>
      </c>
      <c r="M2444" s="401"/>
      <c r="N2444" s="86"/>
    </row>
    <row r="2445" spans="1:14" s="64" customFormat="1" x14ac:dyDescent="0.2">
      <c r="A2445" s="63"/>
      <c r="B2445" s="396"/>
      <c r="C2445" s="122"/>
      <c r="D2445" s="75"/>
      <c r="E2445" s="395"/>
      <c r="F2445" s="395"/>
      <c r="G2445" s="395"/>
      <c r="H2445" s="67"/>
      <c r="I2445" s="69"/>
      <c r="J2445" s="134"/>
      <c r="K2445" s="324">
        <v>0.2999</v>
      </c>
      <c r="L2445" s="191">
        <f>L913</f>
        <v>1.4842</v>
      </c>
      <c r="M2445" s="401"/>
      <c r="N2445" s="86"/>
    </row>
    <row r="2446" spans="1:14" s="64" customFormat="1" x14ac:dyDescent="0.2">
      <c r="A2446" s="63"/>
      <c r="B2446" s="396"/>
      <c r="C2446" s="122"/>
      <c r="D2446" s="75"/>
      <c r="E2446" s="395"/>
      <c r="F2446" s="395"/>
      <c r="G2446" s="395"/>
      <c r="H2446" s="67"/>
      <c r="I2446" s="69"/>
      <c r="J2446" s="134"/>
      <c r="K2446" s="324">
        <v>0.2999</v>
      </c>
      <c r="L2446" s="191">
        <f>L914</f>
        <v>1.4842</v>
      </c>
      <c r="M2446" s="401"/>
      <c r="N2446" s="86"/>
    </row>
    <row r="2447" spans="1:14" s="64" customFormat="1" x14ac:dyDescent="0.2">
      <c r="A2447" s="63"/>
      <c r="B2447" s="396"/>
      <c r="C2447" s="122"/>
      <c r="D2447" s="75"/>
      <c r="E2447" s="395"/>
      <c r="F2447" s="395"/>
      <c r="G2447" s="395"/>
      <c r="H2447" s="67"/>
      <c r="I2447" s="69"/>
      <c r="J2447" s="134"/>
      <c r="K2447" s="324">
        <v>0.2999</v>
      </c>
      <c r="L2447" s="191">
        <f>L915</f>
        <v>1.4842</v>
      </c>
      <c r="M2447" s="401"/>
      <c r="N2447" s="86"/>
    </row>
    <row r="2448" spans="1:14" s="64" customFormat="1" x14ac:dyDescent="0.2">
      <c r="A2448" s="63"/>
      <c r="B2448" s="396"/>
      <c r="C2448" s="122"/>
      <c r="D2448" s="75"/>
      <c r="E2448" s="395"/>
      <c r="F2448" s="395"/>
      <c r="G2448" s="395"/>
      <c r="H2448" s="67"/>
      <c r="I2448" s="69"/>
      <c r="J2448" s="134"/>
      <c r="K2448" s="324">
        <v>0.2999</v>
      </c>
      <c r="L2448" s="191">
        <f>L916</f>
        <v>1.4842</v>
      </c>
      <c r="M2448" s="401"/>
      <c r="N2448" s="86"/>
    </row>
    <row r="2449" spans="1:14" s="64" customFormat="1" x14ac:dyDescent="0.2">
      <c r="A2449" s="63"/>
      <c r="B2449" s="396"/>
      <c r="C2449" s="122"/>
      <c r="D2449" s="75"/>
      <c r="E2449" s="395"/>
      <c r="F2449" s="395"/>
      <c r="G2449" s="395"/>
      <c r="H2449" s="67"/>
      <c r="I2449" s="69"/>
      <c r="J2449" s="134"/>
      <c r="K2449" s="324">
        <v>0.2999</v>
      </c>
      <c r="L2449" s="191">
        <f>L917</f>
        <v>1.4842</v>
      </c>
      <c r="M2449" s="401"/>
      <c r="N2449" s="86"/>
    </row>
    <row r="2450" spans="1:14" s="64" customFormat="1" x14ac:dyDescent="0.2">
      <c r="A2450" s="63"/>
      <c r="B2450" s="396"/>
      <c r="C2450" s="122"/>
      <c r="D2450" s="75"/>
      <c r="E2450" s="395"/>
      <c r="F2450" s="395"/>
      <c r="G2450" s="395"/>
      <c r="H2450" s="67"/>
      <c r="I2450" s="69"/>
      <c r="J2450" s="134"/>
      <c r="K2450" s="324">
        <v>0.2999</v>
      </c>
      <c r="L2450" s="191">
        <f>L918</f>
        <v>1.4842</v>
      </c>
      <c r="M2450" s="401"/>
      <c r="N2450" s="86"/>
    </row>
    <row r="2451" spans="1:14" s="64" customFormat="1" x14ac:dyDescent="0.2">
      <c r="A2451" s="63"/>
      <c r="B2451" s="396"/>
      <c r="C2451" s="122"/>
      <c r="D2451" s="75"/>
      <c r="E2451" s="395"/>
      <c r="F2451" s="395"/>
      <c r="G2451" s="395"/>
      <c r="H2451" s="67"/>
      <c r="I2451" s="69"/>
      <c r="J2451" s="134"/>
      <c r="K2451" s="324">
        <v>0.2999</v>
      </c>
      <c r="L2451" s="191">
        <f>L919</f>
        <v>1.4842</v>
      </c>
      <c r="M2451" s="401"/>
      <c r="N2451" s="86"/>
    </row>
    <row r="2452" spans="1:14" s="64" customFormat="1" x14ac:dyDescent="0.2">
      <c r="A2452" s="63"/>
      <c r="B2452" s="396"/>
      <c r="C2452" s="122"/>
      <c r="D2452" s="75"/>
      <c r="E2452" s="395"/>
      <c r="F2452" s="395"/>
      <c r="G2452" s="395"/>
      <c r="H2452" s="67"/>
      <c r="I2452" s="69"/>
      <c r="J2452" s="134"/>
      <c r="K2452" s="324">
        <v>0.2999</v>
      </c>
      <c r="L2452" s="191">
        <f>L920</f>
        <v>1.4842</v>
      </c>
      <c r="M2452" s="401"/>
      <c r="N2452" s="86"/>
    </row>
    <row r="2453" spans="1:14" s="64" customFormat="1" x14ac:dyDescent="0.2">
      <c r="A2453" s="63"/>
      <c r="B2453" s="396"/>
      <c r="C2453" s="122"/>
      <c r="D2453" s="75"/>
      <c r="E2453" s="395"/>
      <c r="F2453" s="395"/>
      <c r="G2453" s="395"/>
      <c r="H2453" s="67"/>
      <c r="I2453" s="69"/>
      <c r="J2453" s="134"/>
      <c r="K2453" s="324">
        <v>0.2999</v>
      </c>
      <c r="L2453" s="191">
        <f>L921</f>
        <v>1.4842</v>
      </c>
      <c r="M2453" s="401"/>
      <c r="N2453" s="86"/>
    </row>
    <row r="2454" spans="1:14" s="64" customFormat="1" x14ac:dyDescent="0.2">
      <c r="A2454" s="63"/>
      <c r="B2454" s="396"/>
      <c r="C2454" s="122"/>
      <c r="D2454" s="75"/>
      <c r="E2454" s="395"/>
      <c r="F2454" s="395"/>
      <c r="G2454" s="395"/>
      <c r="H2454" s="67"/>
      <c r="I2454" s="69"/>
      <c r="J2454" s="134"/>
      <c r="K2454" s="324">
        <v>0.2999</v>
      </c>
      <c r="L2454" s="191">
        <f>L922</f>
        <v>1.4842</v>
      </c>
      <c r="M2454" s="401"/>
      <c r="N2454" s="86"/>
    </row>
    <row r="2455" spans="1:14" s="64" customFormat="1" x14ac:dyDescent="0.2">
      <c r="A2455" s="63"/>
      <c r="B2455" s="396"/>
      <c r="C2455" s="122"/>
      <c r="D2455" s="75"/>
      <c r="E2455" s="395"/>
      <c r="F2455" s="395"/>
      <c r="G2455" s="395"/>
      <c r="H2455" s="67"/>
      <c r="I2455" s="69"/>
      <c r="J2455" s="134"/>
      <c r="K2455" s="324">
        <v>0.2999</v>
      </c>
      <c r="L2455" s="191">
        <f>L923</f>
        <v>1.4842</v>
      </c>
      <c r="M2455" s="401"/>
      <c r="N2455" s="86"/>
    </row>
    <row r="2456" spans="1:14" s="64" customFormat="1" x14ac:dyDescent="0.2">
      <c r="A2456" s="63"/>
      <c r="B2456" s="396"/>
      <c r="C2456" s="122"/>
      <c r="D2456" s="75"/>
      <c r="E2456" s="395"/>
      <c r="F2456" s="395"/>
      <c r="G2456" s="395"/>
      <c r="H2456" s="67"/>
      <c r="I2456" s="69"/>
      <c r="J2456" s="134"/>
      <c r="K2456" s="324">
        <v>0.2999</v>
      </c>
      <c r="L2456" s="191">
        <f>L924</f>
        <v>1.4842</v>
      </c>
      <c r="M2456" s="401"/>
      <c r="N2456" s="86"/>
    </row>
    <row r="2457" spans="1:14" s="64" customFormat="1" x14ac:dyDescent="0.2">
      <c r="A2457" s="63"/>
      <c r="B2457" s="396"/>
      <c r="C2457" s="122"/>
      <c r="D2457" s="75"/>
      <c r="E2457" s="395"/>
      <c r="F2457" s="395"/>
      <c r="G2457" s="395"/>
      <c r="H2457" s="67"/>
      <c r="I2457" s="69"/>
      <c r="J2457" s="134"/>
      <c r="K2457" s="324">
        <v>0.2999</v>
      </c>
      <c r="L2457" s="191">
        <f>L925</f>
        <v>1.4842</v>
      </c>
      <c r="M2457" s="401"/>
      <c r="N2457" s="86"/>
    </row>
    <row r="2458" spans="1:14" s="64" customFormat="1" x14ac:dyDescent="0.2">
      <c r="A2458" s="63"/>
      <c r="B2458" s="396"/>
      <c r="C2458" s="122"/>
      <c r="D2458" s="75"/>
      <c r="E2458" s="395"/>
      <c r="F2458" s="395"/>
      <c r="G2458" s="395"/>
      <c r="H2458" s="67"/>
      <c r="I2458" s="69"/>
      <c r="J2458" s="134"/>
      <c r="K2458" s="324">
        <v>0.2999</v>
      </c>
      <c r="L2458" s="191">
        <f>L926</f>
        <v>1.4842</v>
      </c>
      <c r="M2458" s="401"/>
      <c r="N2458" s="86"/>
    </row>
    <row r="2459" spans="1:14" s="64" customFormat="1" x14ac:dyDescent="0.2">
      <c r="A2459" s="63"/>
      <c r="B2459" s="396"/>
      <c r="C2459" s="122"/>
      <c r="D2459" s="75"/>
      <c r="E2459" s="395"/>
      <c r="F2459" s="395"/>
      <c r="G2459" s="395"/>
      <c r="H2459" s="67"/>
      <c r="I2459" s="69"/>
      <c r="J2459" s="134"/>
      <c r="K2459" s="324">
        <v>0.2999</v>
      </c>
      <c r="L2459" s="191">
        <f>L927</f>
        <v>1.4842</v>
      </c>
      <c r="M2459" s="401"/>
      <c r="N2459" s="86"/>
    </row>
    <row r="2460" spans="1:14" s="64" customFormat="1" x14ac:dyDescent="0.2">
      <c r="A2460" s="63"/>
      <c r="B2460" s="396"/>
      <c r="C2460" s="122"/>
      <c r="D2460" s="75"/>
      <c r="E2460" s="395"/>
      <c r="F2460" s="395"/>
      <c r="G2460" s="395"/>
      <c r="H2460" s="67"/>
      <c r="I2460" s="69"/>
      <c r="J2460" s="134"/>
      <c r="K2460" s="324">
        <v>0.2999</v>
      </c>
      <c r="L2460" s="191">
        <f>L928</f>
        <v>1.4842</v>
      </c>
      <c r="M2460" s="401"/>
      <c r="N2460" s="86"/>
    </row>
    <row r="2461" spans="1:14" s="64" customFormat="1" x14ac:dyDescent="0.2">
      <c r="A2461" s="63"/>
      <c r="B2461" s="396"/>
      <c r="C2461" s="122"/>
      <c r="D2461" s="75"/>
      <c r="E2461" s="395"/>
      <c r="F2461" s="395"/>
      <c r="G2461" s="395"/>
      <c r="H2461" s="67"/>
      <c r="I2461" s="69"/>
      <c r="J2461" s="134"/>
      <c r="K2461" s="324">
        <v>0.2999</v>
      </c>
      <c r="L2461" s="191">
        <f>L929</f>
        <v>1.4842</v>
      </c>
      <c r="M2461" s="401"/>
      <c r="N2461" s="86"/>
    </row>
    <row r="2462" spans="1:14" s="64" customFormat="1" x14ac:dyDescent="0.2">
      <c r="A2462" s="63"/>
      <c r="B2462" s="396"/>
      <c r="C2462" s="122"/>
      <c r="D2462" s="75"/>
      <c r="E2462" s="395"/>
      <c r="F2462" s="395"/>
      <c r="G2462" s="395"/>
      <c r="H2462" s="67"/>
      <c r="I2462" s="69"/>
      <c r="J2462" s="134"/>
      <c r="K2462" s="324">
        <v>0.2999</v>
      </c>
      <c r="L2462" s="191">
        <f>L930</f>
        <v>1.4842</v>
      </c>
      <c r="M2462" s="401"/>
      <c r="N2462" s="86"/>
    </row>
    <row r="2463" spans="1:14" s="64" customFormat="1" x14ac:dyDescent="0.2">
      <c r="A2463" s="63"/>
      <c r="B2463" s="396"/>
      <c r="C2463" s="122"/>
      <c r="D2463" s="75"/>
      <c r="E2463" s="395"/>
      <c r="F2463" s="395"/>
      <c r="G2463" s="395"/>
      <c r="H2463" s="67"/>
      <c r="I2463" s="69"/>
      <c r="J2463" s="134"/>
      <c r="K2463" s="324">
        <v>0.2999</v>
      </c>
      <c r="L2463" s="191">
        <f>L931</f>
        <v>1.4842</v>
      </c>
      <c r="M2463" s="401"/>
      <c r="N2463" s="86"/>
    </row>
    <row r="2464" spans="1:14" s="64" customFormat="1" x14ac:dyDescent="0.2">
      <c r="A2464" s="63"/>
      <c r="B2464" s="396"/>
      <c r="C2464" s="122"/>
      <c r="D2464" s="75"/>
      <c r="E2464" s="395"/>
      <c r="F2464" s="395"/>
      <c r="G2464" s="395"/>
      <c r="H2464" s="67"/>
      <c r="I2464" s="69"/>
      <c r="J2464" s="134"/>
      <c r="K2464" s="324">
        <v>0.2999</v>
      </c>
      <c r="L2464" s="191">
        <f>L932</f>
        <v>1.4842</v>
      </c>
      <c r="M2464" s="401"/>
      <c r="N2464" s="86"/>
    </row>
    <row r="2465" spans="1:14" s="64" customFormat="1" x14ac:dyDescent="0.2">
      <c r="A2465" s="63"/>
      <c r="B2465" s="396"/>
      <c r="C2465" s="122"/>
      <c r="D2465" s="75"/>
      <c r="E2465" s="395"/>
      <c r="F2465" s="395"/>
      <c r="G2465" s="395"/>
      <c r="H2465" s="67"/>
      <c r="I2465" s="69"/>
      <c r="J2465" s="134"/>
      <c r="K2465" s="324">
        <v>0.2999</v>
      </c>
      <c r="L2465" s="191">
        <f>L933</f>
        <v>1.4842</v>
      </c>
      <c r="M2465" s="401"/>
      <c r="N2465" s="86"/>
    </row>
    <row r="2466" spans="1:14" s="64" customFormat="1" x14ac:dyDescent="0.2">
      <c r="A2466" s="63"/>
      <c r="B2466" s="396"/>
      <c r="C2466" s="122"/>
      <c r="D2466" s="75"/>
      <c r="E2466" s="395"/>
      <c r="F2466" s="395"/>
      <c r="G2466" s="395"/>
      <c r="H2466" s="67"/>
      <c r="I2466" s="69"/>
      <c r="J2466" s="134"/>
      <c r="K2466" s="324">
        <v>0.2999</v>
      </c>
      <c r="L2466" s="191">
        <f>L934</f>
        <v>1.4842</v>
      </c>
      <c r="M2466" s="401"/>
      <c r="N2466" s="86"/>
    </row>
    <row r="2467" spans="1:14" s="64" customFormat="1" x14ac:dyDescent="0.2">
      <c r="A2467" s="63"/>
      <c r="B2467" s="396"/>
      <c r="C2467" s="122"/>
      <c r="D2467" s="75"/>
      <c r="E2467" s="395"/>
      <c r="F2467" s="395"/>
      <c r="G2467" s="395"/>
      <c r="H2467" s="67"/>
      <c r="I2467" s="69"/>
      <c r="J2467" s="134"/>
      <c r="K2467" s="324">
        <v>0.2999</v>
      </c>
      <c r="L2467" s="191">
        <f>L935</f>
        <v>1.4842</v>
      </c>
      <c r="M2467" s="401"/>
      <c r="N2467" s="86"/>
    </row>
    <row r="2468" spans="1:14" s="64" customFormat="1" x14ac:dyDescent="0.2">
      <c r="A2468" s="63"/>
      <c r="B2468" s="396"/>
      <c r="C2468" s="122"/>
      <c r="D2468" s="75"/>
      <c r="E2468" s="395"/>
      <c r="F2468" s="395"/>
      <c r="G2468" s="395"/>
      <c r="H2468" s="67"/>
      <c r="I2468" s="69"/>
      <c r="J2468" s="134"/>
      <c r="K2468" s="324">
        <v>0.2999</v>
      </c>
      <c r="L2468" s="191">
        <f>L936</f>
        <v>1.4842</v>
      </c>
      <c r="M2468" s="401"/>
      <c r="N2468" s="86"/>
    </row>
    <row r="2469" spans="1:14" s="64" customFormat="1" x14ac:dyDescent="0.2">
      <c r="A2469" s="63"/>
      <c r="B2469" s="396"/>
      <c r="C2469" s="122"/>
      <c r="D2469" s="75"/>
      <c r="E2469" s="395"/>
      <c r="F2469" s="395"/>
      <c r="G2469" s="395"/>
      <c r="H2469" s="67"/>
      <c r="I2469" s="69"/>
      <c r="J2469" s="134"/>
      <c r="K2469" s="324">
        <v>0.2999</v>
      </c>
      <c r="L2469" s="191">
        <f>L937</f>
        <v>1.4842</v>
      </c>
      <c r="M2469" s="401"/>
      <c r="N2469" s="86"/>
    </row>
    <row r="2470" spans="1:14" s="64" customFormat="1" x14ac:dyDescent="0.2">
      <c r="A2470" s="63"/>
      <c r="B2470" s="396"/>
      <c r="C2470" s="122"/>
      <c r="D2470" s="75"/>
      <c r="E2470" s="395"/>
      <c r="F2470" s="395"/>
      <c r="G2470" s="395"/>
      <c r="H2470" s="67"/>
      <c r="I2470" s="69"/>
      <c r="J2470" s="134"/>
      <c r="K2470" s="324">
        <v>0.2999</v>
      </c>
      <c r="L2470" s="191">
        <f>L938</f>
        <v>1.4842</v>
      </c>
      <c r="M2470" s="401"/>
      <c r="N2470" s="86"/>
    </row>
    <row r="2471" spans="1:14" s="64" customFormat="1" x14ac:dyDescent="0.2">
      <c r="A2471" s="63"/>
      <c r="B2471" s="396"/>
      <c r="C2471" s="122"/>
      <c r="D2471" s="75"/>
      <c r="E2471" s="395"/>
      <c r="F2471" s="395"/>
      <c r="G2471" s="395"/>
      <c r="H2471" s="67"/>
      <c r="I2471" s="69"/>
      <c r="J2471" s="134"/>
      <c r="K2471" s="324">
        <v>0.2999</v>
      </c>
      <c r="L2471" s="191">
        <f>L939</f>
        <v>1.4842</v>
      </c>
      <c r="M2471" s="401"/>
      <c r="N2471" s="86"/>
    </row>
    <row r="2472" spans="1:14" s="64" customFormat="1" x14ac:dyDescent="0.2">
      <c r="A2472" s="63"/>
      <c r="B2472" s="396"/>
      <c r="C2472" s="122"/>
      <c r="D2472" s="75"/>
      <c r="E2472" s="395"/>
      <c r="F2472" s="395"/>
      <c r="G2472" s="395"/>
      <c r="H2472" s="67"/>
      <c r="I2472" s="69"/>
      <c r="J2472" s="134"/>
      <c r="K2472" s="324">
        <v>0.2999</v>
      </c>
      <c r="L2472" s="191">
        <f>L940</f>
        <v>1.4842</v>
      </c>
      <c r="M2472" s="401"/>
      <c r="N2472" s="86"/>
    </row>
    <row r="2473" spans="1:14" s="64" customFormat="1" x14ac:dyDescent="0.2">
      <c r="A2473" s="63"/>
      <c r="B2473" s="396"/>
      <c r="C2473" s="122"/>
      <c r="D2473" s="75"/>
      <c r="E2473" s="395"/>
      <c r="F2473" s="395"/>
      <c r="G2473" s="395"/>
      <c r="H2473" s="67"/>
      <c r="I2473" s="69"/>
      <c r="J2473" s="134"/>
      <c r="K2473" s="324">
        <v>0.2999</v>
      </c>
      <c r="L2473" s="191">
        <f>L941</f>
        <v>1.4842</v>
      </c>
      <c r="M2473" s="401"/>
      <c r="N2473" s="86"/>
    </row>
    <row r="2474" spans="1:14" s="64" customFormat="1" x14ac:dyDescent="0.2">
      <c r="A2474" s="63"/>
      <c r="B2474" s="396"/>
      <c r="C2474" s="122"/>
      <c r="D2474" s="75"/>
      <c r="E2474" s="395"/>
      <c r="F2474" s="395"/>
      <c r="G2474" s="395"/>
      <c r="H2474" s="67"/>
      <c r="I2474" s="69"/>
      <c r="J2474" s="134"/>
      <c r="K2474" s="324">
        <v>0.2999</v>
      </c>
      <c r="L2474" s="191">
        <f>L942</f>
        <v>1.4842</v>
      </c>
      <c r="M2474" s="401"/>
      <c r="N2474" s="86"/>
    </row>
    <row r="2475" spans="1:14" s="64" customFormat="1" x14ac:dyDescent="0.2">
      <c r="A2475" s="63"/>
      <c r="B2475" s="396"/>
      <c r="C2475" s="122"/>
      <c r="D2475" s="75"/>
      <c r="E2475" s="395"/>
      <c r="F2475" s="395"/>
      <c r="G2475" s="395"/>
      <c r="H2475" s="67"/>
      <c r="I2475" s="69"/>
      <c r="J2475" s="134"/>
      <c r="K2475" s="324">
        <v>0.2999</v>
      </c>
      <c r="L2475" s="191">
        <f>L943</f>
        <v>1.4842</v>
      </c>
      <c r="M2475" s="401"/>
      <c r="N2475" s="86"/>
    </row>
    <row r="2476" spans="1:14" s="64" customFormat="1" x14ac:dyDescent="0.2">
      <c r="A2476" s="63"/>
      <c r="B2476" s="396"/>
      <c r="C2476" s="122"/>
      <c r="D2476" s="75"/>
      <c r="E2476" s="395"/>
      <c r="F2476" s="395"/>
      <c r="G2476" s="395"/>
      <c r="H2476" s="67"/>
      <c r="I2476" s="69"/>
      <c r="J2476" s="134"/>
      <c r="K2476" s="324">
        <v>0.2999</v>
      </c>
      <c r="L2476" s="191">
        <f>L944</f>
        <v>1.4842</v>
      </c>
      <c r="M2476" s="401"/>
      <c r="N2476" s="86"/>
    </row>
    <row r="2477" spans="1:14" s="64" customFormat="1" x14ac:dyDescent="0.2">
      <c r="A2477" s="63"/>
      <c r="B2477" s="396"/>
      <c r="C2477" s="122"/>
      <c r="D2477" s="75"/>
      <c r="E2477" s="395"/>
      <c r="F2477" s="395"/>
      <c r="G2477" s="395"/>
      <c r="H2477" s="67"/>
      <c r="I2477" s="69"/>
      <c r="J2477" s="134"/>
      <c r="K2477" s="324">
        <v>0.2999</v>
      </c>
      <c r="L2477" s="191">
        <f>L945</f>
        <v>1.4842</v>
      </c>
      <c r="M2477" s="401"/>
      <c r="N2477" s="86"/>
    </row>
    <row r="2478" spans="1:14" s="64" customFormat="1" x14ac:dyDescent="0.2">
      <c r="A2478" s="63"/>
      <c r="B2478" s="396"/>
      <c r="C2478" s="122"/>
      <c r="D2478" s="75"/>
      <c r="E2478" s="395"/>
      <c r="F2478" s="395"/>
      <c r="G2478" s="395"/>
      <c r="H2478" s="67"/>
      <c r="I2478" s="69"/>
      <c r="J2478" s="134"/>
      <c r="K2478" s="324">
        <v>0.2999</v>
      </c>
      <c r="L2478" s="191">
        <f>L946</f>
        <v>1.4842</v>
      </c>
      <c r="M2478" s="401"/>
      <c r="N2478" s="86"/>
    </row>
    <row r="2479" spans="1:14" s="64" customFormat="1" x14ac:dyDescent="0.2">
      <c r="A2479" s="63"/>
      <c r="B2479" s="396"/>
      <c r="C2479" s="122"/>
      <c r="D2479" s="75"/>
      <c r="E2479" s="395"/>
      <c r="F2479" s="395"/>
      <c r="G2479" s="395"/>
      <c r="H2479" s="67"/>
      <c r="I2479" s="69"/>
      <c r="J2479" s="134"/>
      <c r="K2479" s="324">
        <v>0.2999</v>
      </c>
      <c r="L2479" s="191">
        <f>L947</f>
        <v>1.4842</v>
      </c>
      <c r="M2479" s="401"/>
      <c r="N2479" s="86"/>
    </row>
    <row r="2480" spans="1:14" s="64" customFormat="1" x14ac:dyDescent="0.2">
      <c r="A2480" s="63"/>
      <c r="B2480" s="396"/>
      <c r="C2480" s="122"/>
      <c r="D2480" s="75"/>
      <c r="E2480" s="395"/>
      <c r="F2480" s="395"/>
      <c r="G2480" s="395"/>
      <c r="H2480" s="67"/>
      <c r="I2480" s="69"/>
      <c r="J2480" s="134"/>
      <c r="K2480" s="324">
        <v>0.2999</v>
      </c>
      <c r="L2480" s="191">
        <f>L948</f>
        <v>1.4842</v>
      </c>
      <c r="M2480" s="401"/>
      <c r="N2480" s="86"/>
    </row>
    <row r="2481" spans="1:14" s="64" customFormat="1" x14ac:dyDescent="0.2">
      <c r="A2481" s="63"/>
      <c r="B2481" s="396"/>
      <c r="C2481" s="122"/>
      <c r="D2481" s="75"/>
      <c r="E2481" s="395"/>
      <c r="F2481" s="395"/>
      <c r="G2481" s="395"/>
      <c r="H2481" s="67"/>
      <c r="I2481" s="69"/>
      <c r="J2481" s="134"/>
      <c r="K2481" s="324">
        <v>0.2999</v>
      </c>
      <c r="L2481" s="191">
        <f>L949</f>
        <v>1.4842</v>
      </c>
      <c r="M2481" s="401"/>
      <c r="N2481" s="86"/>
    </row>
    <row r="2482" spans="1:14" s="64" customFormat="1" x14ac:dyDescent="0.2">
      <c r="A2482" s="63"/>
      <c r="B2482" s="396"/>
      <c r="C2482" s="122"/>
      <c r="D2482" s="75"/>
      <c r="E2482" s="395"/>
      <c r="F2482" s="395"/>
      <c r="G2482" s="395"/>
      <c r="H2482" s="67"/>
      <c r="I2482" s="69"/>
      <c r="J2482" s="134"/>
      <c r="K2482" s="324">
        <v>0.2999</v>
      </c>
      <c r="L2482" s="191">
        <f>L950</f>
        <v>1.4842</v>
      </c>
      <c r="M2482" s="401"/>
      <c r="N2482" s="86"/>
    </row>
    <row r="2483" spans="1:14" s="64" customFormat="1" x14ac:dyDescent="0.2">
      <c r="A2483" s="63"/>
      <c r="B2483" s="396"/>
      <c r="C2483" s="122"/>
      <c r="D2483" s="75"/>
      <c r="E2483" s="395"/>
      <c r="F2483" s="395"/>
      <c r="G2483" s="395"/>
      <c r="H2483" s="67"/>
      <c r="I2483" s="69"/>
      <c r="J2483" s="134"/>
      <c r="K2483" s="324">
        <v>0.2999</v>
      </c>
      <c r="L2483" s="191">
        <f>L951</f>
        <v>1.4842</v>
      </c>
      <c r="M2483" s="401"/>
      <c r="N2483" s="86"/>
    </row>
    <row r="2484" spans="1:14" s="64" customFormat="1" x14ac:dyDescent="0.2">
      <c r="A2484" s="63"/>
      <c r="B2484" s="396"/>
      <c r="C2484" s="122"/>
      <c r="D2484" s="75"/>
      <c r="E2484" s="395"/>
      <c r="F2484" s="395"/>
      <c r="G2484" s="395"/>
      <c r="H2484" s="67"/>
      <c r="I2484" s="69"/>
      <c r="J2484" s="134"/>
      <c r="K2484" s="324">
        <v>0.2999</v>
      </c>
      <c r="L2484" s="191">
        <f>L952</f>
        <v>1.4842</v>
      </c>
      <c r="M2484" s="401"/>
      <c r="N2484" s="86"/>
    </row>
    <row r="2485" spans="1:14" s="64" customFormat="1" x14ac:dyDescent="0.2">
      <c r="A2485" s="63"/>
      <c r="B2485" s="396"/>
      <c r="C2485" s="122"/>
      <c r="D2485" s="75"/>
      <c r="E2485" s="395"/>
      <c r="F2485" s="395"/>
      <c r="G2485" s="395"/>
      <c r="H2485" s="67"/>
      <c r="I2485" s="69"/>
      <c r="J2485" s="134"/>
      <c r="K2485" s="324">
        <v>0.2999</v>
      </c>
      <c r="L2485" s="191">
        <f>L953</f>
        <v>1.4842</v>
      </c>
      <c r="M2485" s="401"/>
      <c r="N2485" s="86"/>
    </row>
    <row r="2486" spans="1:14" s="64" customFormat="1" x14ac:dyDescent="0.2">
      <c r="A2486" s="63"/>
      <c r="B2486" s="396"/>
      <c r="C2486" s="122"/>
      <c r="D2486" s="75"/>
      <c r="E2486" s="395"/>
      <c r="F2486" s="395"/>
      <c r="G2486" s="395"/>
      <c r="H2486" s="67"/>
      <c r="I2486" s="69"/>
      <c r="J2486" s="134"/>
      <c r="K2486" s="324">
        <v>0.2999</v>
      </c>
      <c r="L2486" s="191">
        <f>L954</f>
        <v>1.4842</v>
      </c>
      <c r="M2486" s="401"/>
      <c r="N2486" s="86"/>
    </row>
    <row r="2487" spans="1:14" s="64" customFormat="1" x14ac:dyDescent="0.2">
      <c r="A2487" s="63"/>
      <c r="B2487" s="396"/>
      <c r="C2487" s="122"/>
      <c r="D2487" s="75"/>
      <c r="E2487" s="395"/>
      <c r="F2487" s="395"/>
      <c r="G2487" s="395"/>
      <c r="H2487" s="67"/>
      <c r="I2487" s="69"/>
      <c r="J2487" s="134"/>
      <c r="K2487" s="324">
        <v>0.2999</v>
      </c>
      <c r="L2487" s="191">
        <f>L955</f>
        <v>1.4842</v>
      </c>
      <c r="M2487" s="401"/>
      <c r="N2487" s="86"/>
    </row>
    <row r="2488" spans="1:14" s="64" customFormat="1" x14ac:dyDescent="0.2">
      <c r="A2488" s="63"/>
      <c r="B2488" s="396"/>
      <c r="C2488" s="122"/>
      <c r="D2488" s="75"/>
      <c r="E2488" s="395"/>
      <c r="F2488" s="395"/>
      <c r="G2488" s="395"/>
      <c r="H2488" s="67"/>
      <c r="I2488" s="69"/>
      <c r="J2488" s="134"/>
      <c r="K2488" s="324">
        <v>0.2999</v>
      </c>
      <c r="L2488" s="191">
        <f>L956</f>
        <v>1.4842</v>
      </c>
      <c r="M2488" s="401"/>
      <c r="N2488" s="86"/>
    </row>
    <row r="2489" spans="1:14" s="64" customFormat="1" x14ac:dyDescent="0.2">
      <c r="A2489" s="63"/>
      <c r="B2489" s="396"/>
      <c r="C2489" s="122"/>
      <c r="D2489" s="75"/>
      <c r="E2489" s="395"/>
      <c r="F2489" s="395"/>
      <c r="G2489" s="395"/>
      <c r="H2489" s="67"/>
      <c r="I2489" s="69"/>
      <c r="J2489" s="134"/>
      <c r="K2489" s="324">
        <v>0.2999</v>
      </c>
      <c r="L2489" s="191">
        <f>L957</f>
        <v>1.4842</v>
      </c>
      <c r="M2489" s="401"/>
      <c r="N2489" s="86"/>
    </row>
    <row r="2490" spans="1:14" s="64" customFormat="1" x14ac:dyDescent="0.2">
      <c r="A2490" s="63"/>
      <c r="B2490" s="396"/>
      <c r="C2490" s="122"/>
      <c r="D2490" s="75"/>
      <c r="E2490" s="395"/>
      <c r="F2490" s="395"/>
      <c r="G2490" s="395"/>
      <c r="H2490" s="67"/>
      <c r="I2490" s="69"/>
      <c r="J2490" s="134"/>
      <c r="K2490" s="324">
        <v>0.2999</v>
      </c>
      <c r="L2490" s="191">
        <f>L958</f>
        <v>1.4842</v>
      </c>
      <c r="M2490" s="401"/>
      <c r="N2490" s="86"/>
    </row>
    <row r="2491" spans="1:14" s="64" customFormat="1" x14ac:dyDescent="0.2">
      <c r="A2491" s="63"/>
      <c r="B2491" s="396"/>
      <c r="C2491" s="122"/>
      <c r="D2491" s="75"/>
      <c r="E2491" s="395"/>
      <c r="F2491" s="395"/>
      <c r="G2491" s="395"/>
      <c r="H2491" s="67"/>
      <c r="I2491" s="69"/>
      <c r="J2491" s="134"/>
      <c r="K2491" s="324">
        <v>0.2999</v>
      </c>
      <c r="L2491" s="191">
        <f>L959</f>
        <v>1.4842</v>
      </c>
      <c r="M2491" s="401"/>
      <c r="N2491" s="86"/>
    </row>
    <row r="2492" spans="1:14" s="64" customFormat="1" x14ac:dyDescent="0.2">
      <c r="A2492" s="63"/>
      <c r="B2492" s="396"/>
      <c r="C2492" s="122"/>
      <c r="D2492" s="75"/>
      <c r="E2492" s="395"/>
      <c r="F2492" s="395"/>
      <c r="G2492" s="395"/>
      <c r="H2492" s="67"/>
      <c r="I2492" s="69"/>
      <c r="J2492" s="134"/>
      <c r="K2492" s="324">
        <v>0.2999</v>
      </c>
      <c r="L2492" s="191">
        <f>L960</f>
        <v>1.4842</v>
      </c>
      <c r="M2492" s="401"/>
      <c r="N2492" s="86"/>
    </row>
    <row r="2493" spans="1:14" s="64" customFormat="1" x14ac:dyDescent="0.2">
      <c r="A2493" s="63"/>
      <c r="B2493" s="396"/>
      <c r="C2493" s="122"/>
      <c r="D2493" s="75"/>
      <c r="E2493" s="395"/>
      <c r="F2493" s="395"/>
      <c r="G2493" s="395"/>
      <c r="H2493" s="67"/>
      <c r="I2493" s="69"/>
      <c r="J2493" s="134"/>
      <c r="K2493" s="324">
        <v>0.2999</v>
      </c>
      <c r="L2493" s="191">
        <f>L961</f>
        <v>1.4842</v>
      </c>
      <c r="M2493" s="401"/>
      <c r="N2493" s="86"/>
    </row>
    <row r="2494" spans="1:14" s="64" customFormat="1" x14ac:dyDescent="0.2">
      <c r="A2494" s="63"/>
      <c r="B2494" s="396"/>
      <c r="C2494" s="122"/>
      <c r="D2494" s="75"/>
      <c r="E2494" s="395"/>
      <c r="F2494" s="395"/>
      <c r="G2494" s="395"/>
      <c r="H2494" s="67"/>
      <c r="I2494" s="69"/>
      <c r="J2494" s="134"/>
      <c r="K2494" s="324">
        <v>0.2999</v>
      </c>
      <c r="L2494" s="191">
        <f>L962</f>
        <v>1.4842</v>
      </c>
      <c r="M2494" s="401"/>
      <c r="N2494" s="86"/>
    </row>
    <row r="2495" spans="1:14" s="64" customFormat="1" x14ac:dyDescent="0.2">
      <c r="A2495" s="63"/>
      <c r="B2495" s="396"/>
      <c r="C2495" s="122"/>
      <c r="D2495" s="75"/>
      <c r="E2495" s="395"/>
      <c r="F2495" s="395"/>
      <c r="G2495" s="395"/>
      <c r="H2495" s="67"/>
      <c r="I2495" s="69"/>
      <c r="J2495" s="134"/>
      <c r="K2495" s="324">
        <v>0.2999</v>
      </c>
      <c r="L2495" s="191">
        <f>L963</f>
        <v>1.4842</v>
      </c>
      <c r="M2495" s="401"/>
      <c r="N2495" s="86"/>
    </row>
    <row r="2496" spans="1:14" s="64" customFormat="1" x14ac:dyDescent="0.2">
      <c r="A2496" s="63"/>
      <c r="B2496" s="396"/>
      <c r="C2496" s="122"/>
      <c r="D2496" s="75"/>
      <c r="E2496" s="395"/>
      <c r="F2496" s="395"/>
      <c r="G2496" s="395"/>
      <c r="H2496" s="67"/>
      <c r="I2496" s="69"/>
      <c r="J2496" s="134"/>
      <c r="K2496" s="324">
        <v>0.2999</v>
      </c>
      <c r="L2496" s="191">
        <f>L964</f>
        <v>1.4842</v>
      </c>
      <c r="M2496" s="401"/>
      <c r="N2496" s="86"/>
    </row>
    <row r="2497" spans="1:14" s="64" customFormat="1" x14ac:dyDescent="0.2">
      <c r="A2497" s="63"/>
      <c r="B2497" s="396"/>
      <c r="C2497" s="122"/>
      <c r="D2497" s="75"/>
      <c r="E2497" s="395"/>
      <c r="F2497" s="395"/>
      <c r="G2497" s="395"/>
      <c r="H2497" s="67"/>
      <c r="I2497" s="69"/>
      <c r="J2497" s="134"/>
      <c r="K2497" s="324">
        <v>0.2999</v>
      </c>
      <c r="L2497" s="191">
        <f>L965</f>
        <v>1.4842</v>
      </c>
      <c r="M2497" s="401"/>
      <c r="N2497" s="86"/>
    </row>
    <row r="2498" spans="1:14" s="64" customFormat="1" x14ac:dyDescent="0.2">
      <c r="A2498" s="63"/>
      <c r="B2498" s="396"/>
      <c r="C2498" s="122"/>
      <c r="D2498" s="75"/>
      <c r="E2498" s="395"/>
      <c r="F2498" s="395"/>
      <c r="G2498" s="395"/>
      <c r="H2498" s="67"/>
      <c r="I2498" s="69"/>
      <c r="J2498" s="134"/>
      <c r="K2498" s="324">
        <v>0.2999</v>
      </c>
      <c r="L2498" s="191">
        <f>L966</f>
        <v>1.4842</v>
      </c>
      <c r="M2498" s="401"/>
      <c r="N2498" s="86"/>
    </row>
    <row r="2499" spans="1:14" s="64" customFormat="1" x14ac:dyDescent="0.2">
      <c r="A2499" s="63"/>
      <c r="B2499" s="396"/>
      <c r="C2499" s="122"/>
      <c r="D2499" s="75"/>
      <c r="E2499" s="395"/>
      <c r="F2499" s="395"/>
      <c r="G2499" s="395"/>
      <c r="H2499" s="67"/>
      <c r="I2499" s="69"/>
      <c r="J2499" s="134"/>
      <c r="K2499" s="324">
        <v>0.2999</v>
      </c>
      <c r="L2499" s="191">
        <f>L967</f>
        <v>1.4842</v>
      </c>
      <c r="M2499" s="401"/>
      <c r="N2499" s="86"/>
    </row>
    <row r="2500" spans="1:14" s="64" customFormat="1" x14ac:dyDescent="0.2">
      <c r="A2500" s="63"/>
      <c r="B2500" s="396"/>
      <c r="C2500" s="122"/>
      <c r="D2500" s="75"/>
      <c r="E2500" s="395"/>
      <c r="F2500" s="395"/>
      <c r="G2500" s="395"/>
      <c r="H2500" s="67"/>
      <c r="I2500" s="69"/>
      <c r="J2500" s="134"/>
      <c r="K2500" s="324">
        <v>0.2999</v>
      </c>
      <c r="L2500" s="191">
        <f>L968</f>
        <v>1.4842</v>
      </c>
      <c r="M2500" s="401"/>
      <c r="N2500" s="86"/>
    </row>
    <row r="2501" spans="1:14" s="64" customFormat="1" x14ac:dyDescent="0.2">
      <c r="A2501" s="63"/>
      <c r="B2501" s="396"/>
      <c r="C2501" s="122"/>
      <c r="D2501" s="75"/>
      <c r="E2501" s="395"/>
      <c r="F2501" s="395"/>
      <c r="G2501" s="395"/>
      <c r="H2501" s="67"/>
      <c r="I2501" s="69"/>
      <c r="J2501" s="134"/>
      <c r="K2501" s="324">
        <v>0.2999</v>
      </c>
      <c r="L2501" s="191">
        <f>L969</f>
        <v>1.4842</v>
      </c>
      <c r="M2501" s="401"/>
      <c r="N2501" s="86"/>
    </row>
    <row r="2502" spans="1:14" s="64" customFormat="1" x14ac:dyDescent="0.2">
      <c r="A2502" s="63"/>
      <c r="B2502" s="396"/>
      <c r="C2502" s="122"/>
      <c r="D2502" s="75"/>
      <c r="E2502" s="395"/>
      <c r="F2502" s="395"/>
      <c r="G2502" s="395"/>
      <c r="H2502" s="67"/>
      <c r="I2502" s="69"/>
      <c r="J2502" s="134"/>
      <c r="K2502" s="324">
        <v>0.2999</v>
      </c>
      <c r="L2502" s="191">
        <f>L970</f>
        <v>1.4842</v>
      </c>
      <c r="M2502" s="401"/>
      <c r="N2502" s="86"/>
    </row>
    <row r="2503" spans="1:14" s="64" customFormat="1" x14ac:dyDescent="0.2">
      <c r="A2503" s="63"/>
      <c r="B2503" s="396"/>
      <c r="C2503" s="122"/>
      <c r="D2503" s="75"/>
      <c r="E2503" s="395"/>
      <c r="F2503" s="395"/>
      <c r="G2503" s="395"/>
      <c r="H2503" s="67"/>
      <c r="I2503" s="69"/>
      <c r="J2503" s="134"/>
      <c r="K2503" s="324">
        <v>0.2999</v>
      </c>
      <c r="L2503" s="191">
        <f>L971</f>
        <v>1.4842</v>
      </c>
      <c r="M2503" s="401"/>
      <c r="N2503" s="86"/>
    </row>
    <row r="2504" spans="1:14" s="64" customFormat="1" x14ac:dyDescent="0.2">
      <c r="A2504" s="63"/>
      <c r="B2504" s="396"/>
      <c r="C2504" s="122"/>
      <c r="D2504" s="75"/>
      <c r="E2504" s="395"/>
      <c r="F2504" s="395"/>
      <c r="G2504" s="395"/>
      <c r="H2504" s="67"/>
      <c r="I2504" s="69"/>
      <c r="J2504" s="134"/>
      <c r="K2504" s="324">
        <v>0.2999</v>
      </c>
      <c r="L2504" s="191">
        <f>L972</f>
        <v>1.4842</v>
      </c>
      <c r="M2504" s="401"/>
      <c r="N2504" s="86"/>
    </row>
    <row r="2505" spans="1:14" s="64" customFormat="1" x14ac:dyDescent="0.2">
      <c r="A2505" s="63"/>
      <c r="B2505" s="396"/>
      <c r="C2505" s="122"/>
      <c r="D2505" s="75"/>
      <c r="E2505" s="395"/>
      <c r="F2505" s="395"/>
      <c r="G2505" s="395"/>
      <c r="H2505" s="67"/>
      <c r="I2505" s="69"/>
      <c r="J2505" s="134"/>
      <c r="K2505" s="324">
        <v>0.2999</v>
      </c>
      <c r="L2505" s="191">
        <f>L973</f>
        <v>1.4842</v>
      </c>
      <c r="M2505" s="401"/>
      <c r="N2505" s="86"/>
    </row>
    <row r="2506" spans="1:14" s="64" customFormat="1" x14ac:dyDescent="0.2">
      <c r="A2506" s="63"/>
      <c r="B2506" s="396"/>
      <c r="C2506" s="122"/>
      <c r="D2506" s="75"/>
      <c r="E2506" s="395"/>
      <c r="F2506" s="395"/>
      <c r="G2506" s="395"/>
      <c r="H2506" s="67"/>
      <c r="I2506" s="69"/>
      <c r="J2506" s="134"/>
      <c r="K2506" s="324">
        <v>0.2999</v>
      </c>
      <c r="L2506" s="191">
        <f>L974</f>
        <v>1.4842</v>
      </c>
      <c r="M2506" s="401"/>
      <c r="N2506" s="86"/>
    </row>
    <row r="2507" spans="1:14" s="64" customFormat="1" x14ac:dyDescent="0.2">
      <c r="A2507" s="63"/>
      <c r="B2507" s="396"/>
      <c r="C2507" s="122"/>
      <c r="D2507" s="75"/>
      <c r="E2507" s="395"/>
      <c r="F2507" s="395"/>
      <c r="G2507" s="395"/>
      <c r="H2507" s="67"/>
      <c r="I2507" s="69"/>
      <c r="J2507" s="134"/>
      <c r="K2507" s="324">
        <v>0.2999</v>
      </c>
      <c r="L2507" s="191">
        <f>L975</f>
        <v>1.4842</v>
      </c>
      <c r="M2507" s="401"/>
      <c r="N2507" s="86"/>
    </row>
    <row r="2508" spans="1:14" s="64" customFormat="1" x14ac:dyDescent="0.2">
      <c r="A2508" s="63"/>
      <c r="B2508" s="396"/>
      <c r="C2508" s="122"/>
      <c r="D2508" s="75"/>
      <c r="E2508" s="395"/>
      <c r="F2508" s="395"/>
      <c r="G2508" s="395"/>
      <c r="H2508" s="67"/>
      <c r="I2508" s="69"/>
      <c r="J2508" s="134"/>
      <c r="K2508" s="324">
        <v>0.2999</v>
      </c>
      <c r="L2508" s="191">
        <f>L976</f>
        <v>1.4842</v>
      </c>
      <c r="M2508" s="401"/>
      <c r="N2508" s="86"/>
    </row>
    <row r="2509" spans="1:14" s="64" customFormat="1" x14ac:dyDescent="0.2">
      <c r="A2509" s="63"/>
      <c r="B2509" s="396"/>
      <c r="C2509" s="122"/>
      <c r="D2509" s="75"/>
      <c r="E2509" s="395"/>
      <c r="F2509" s="395"/>
      <c r="G2509" s="395"/>
      <c r="H2509" s="67"/>
      <c r="I2509" s="69"/>
      <c r="J2509" s="134"/>
      <c r="K2509" s="324">
        <v>0.2999</v>
      </c>
      <c r="L2509" s="191">
        <f>L977</f>
        <v>1.4842</v>
      </c>
      <c r="M2509" s="401"/>
      <c r="N2509" s="86"/>
    </row>
    <row r="2510" spans="1:14" s="64" customFormat="1" x14ac:dyDescent="0.2">
      <c r="A2510" s="63"/>
      <c r="B2510" s="396"/>
      <c r="C2510" s="122"/>
      <c r="D2510" s="75"/>
      <c r="E2510" s="395"/>
      <c r="F2510" s="395"/>
      <c r="G2510" s="395"/>
      <c r="H2510" s="67"/>
      <c r="I2510" s="69"/>
      <c r="J2510" s="134"/>
      <c r="K2510" s="324">
        <v>0.2999</v>
      </c>
      <c r="L2510" s="191">
        <f>L978</f>
        <v>1.4842</v>
      </c>
      <c r="M2510" s="401"/>
      <c r="N2510" s="86"/>
    </row>
    <row r="2511" spans="1:14" s="64" customFormat="1" x14ac:dyDescent="0.2">
      <c r="A2511" s="63"/>
      <c r="B2511" s="396"/>
      <c r="C2511" s="122"/>
      <c r="D2511" s="75"/>
      <c r="E2511" s="395"/>
      <c r="F2511" s="395"/>
      <c r="G2511" s="395"/>
      <c r="H2511" s="67"/>
      <c r="I2511" s="69"/>
      <c r="J2511" s="134"/>
      <c r="K2511" s="324">
        <v>0.2999</v>
      </c>
      <c r="L2511" s="191">
        <f>L979</f>
        <v>1.4842</v>
      </c>
      <c r="M2511" s="401"/>
      <c r="N2511" s="86"/>
    </row>
    <row r="2512" spans="1:14" s="64" customFormat="1" x14ac:dyDescent="0.2">
      <c r="A2512" s="63"/>
      <c r="B2512" s="396"/>
      <c r="C2512" s="122"/>
      <c r="D2512" s="75"/>
      <c r="E2512" s="395"/>
      <c r="F2512" s="395"/>
      <c r="G2512" s="395"/>
      <c r="H2512" s="67"/>
      <c r="I2512" s="69"/>
      <c r="J2512" s="134"/>
      <c r="K2512" s="324">
        <v>0.2999</v>
      </c>
      <c r="L2512" s="191">
        <f>L980</f>
        <v>1.4842</v>
      </c>
      <c r="M2512" s="401"/>
      <c r="N2512" s="86"/>
    </row>
    <row r="2513" spans="1:14" s="64" customFormat="1" x14ac:dyDescent="0.2">
      <c r="A2513" s="63"/>
      <c r="B2513" s="396"/>
      <c r="C2513" s="122"/>
      <c r="D2513" s="75"/>
      <c r="E2513" s="395"/>
      <c r="F2513" s="395"/>
      <c r="G2513" s="395"/>
      <c r="H2513" s="67"/>
      <c r="I2513" s="69"/>
      <c r="J2513" s="134"/>
      <c r="K2513" s="324">
        <v>0.2999</v>
      </c>
      <c r="L2513" s="191">
        <f>L981</f>
        <v>1.4842</v>
      </c>
      <c r="M2513" s="401"/>
      <c r="N2513" s="86"/>
    </row>
    <row r="2514" spans="1:14" s="64" customFormat="1" x14ac:dyDescent="0.2">
      <c r="A2514" s="63"/>
      <c r="B2514" s="396"/>
      <c r="C2514" s="122"/>
      <c r="D2514" s="75"/>
      <c r="E2514" s="395"/>
      <c r="F2514" s="395"/>
      <c r="G2514" s="395"/>
      <c r="H2514" s="67"/>
      <c r="I2514" s="69"/>
      <c r="J2514" s="134"/>
      <c r="K2514" s="324">
        <v>0.2999</v>
      </c>
      <c r="L2514" s="191">
        <f>L982</f>
        <v>1.4842</v>
      </c>
      <c r="M2514" s="401"/>
      <c r="N2514" s="86"/>
    </row>
    <row r="2515" spans="1:14" s="64" customFormat="1" x14ac:dyDescent="0.2">
      <c r="A2515" s="63"/>
      <c r="B2515" s="396"/>
      <c r="C2515" s="122"/>
      <c r="D2515" s="75"/>
      <c r="E2515" s="395"/>
      <c r="F2515" s="395"/>
      <c r="G2515" s="395"/>
      <c r="H2515" s="67"/>
      <c r="I2515" s="69"/>
      <c r="J2515" s="134"/>
      <c r="K2515" s="324">
        <v>0.2999</v>
      </c>
      <c r="L2515" s="191">
        <f>L983</f>
        <v>1.4842</v>
      </c>
      <c r="M2515" s="401"/>
      <c r="N2515" s="86"/>
    </row>
    <row r="2516" spans="1:14" s="64" customFormat="1" x14ac:dyDescent="0.2">
      <c r="A2516" s="63"/>
      <c r="B2516" s="396"/>
      <c r="C2516" s="122"/>
      <c r="D2516" s="75"/>
      <c r="E2516" s="395"/>
      <c r="F2516" s="395"/>
      <c r="G2516" s="395"/>
      <c r="H2516" s="67"/>
      <c r="I2516" s="69"/>
      <c r="J2516" s="134"/>
      <c r="K2516" s="324">
        <v>0.2999</v>
      </c>
      <c r="L2516" s="191">
        <f>L984</f>
        <v>1.4842</v>
      </c>
      <c r="M2516" s="401"/>
      <c r="N2516" s="86"/>
    </row>
    <row r="2517" spans="1:14" s="64" customFormat="1" x14ac:dyDescent="0.2">
      <c r="A2517" s="63"/>
      <c r="B2517" s="396"/>
      <c r="C2517" s="122"/>
      <c r="D2517" s="75"/>
      <c r="E2517" s="395"/>
      <c r="F2517" s="395"/>
      <c r="G2517" s="395"/>
      <c r="H2517" s="67"/>
      <c r="I2517" s="69"/>
      <c r="J2517" s="134"/>
      <c r="K2517" s="324">
        <v>0.2999</v>
      </c>
      <c r="L2517" s="191">
        <f>L985</f>
        <v>1.4842</v>
      </c>
      <c r="M2517" s="401"/>
      <c r="N2517" s="86"/>
    </row>
    <row r="2518" spans="1:14" s="64" customFormat="1" x14ac:dyDescent="0.2">
      <c r="A2518" s="63"/>
      <c r="B2518" s="396"/>
      <c r="C2518" s="122"/>
      <c r="D2518" s="75"/>
      <c r="E2518" s="395"/>
      <c r="F2518" s="395"/>
      <c r="G2518" s="395"/>
      <c r="H2518" s="67"/>
      <c r="I2518" s="69"/>
      <c r="J2518" s="134"/>
      <c r="K2518" s="324">
        <v>0.2999</v>
      </c>
      <c r="L2518" s="191">
        <f>L986</f>
        <v>1.4842</v>
      </c>
      <c r="M2518" s="401"/>
      <c r="N2518" s="86"/>
    </row>
    <row r="2519" spans="1:14" s="64" customFormat="1" x14ac:dyDescent="0.2">
      <c r="A2519" s="63"/>
      <c r="B2519" s="396"/>
      <c r="C2519" s="122"/>
      <c r="D2519" s="75"/>
      <c r="E2519" s="395"/>
      <c r="F2519" s="395"/>
      <c r="G2519" s="395"/>
      <c r="H2519" s="67"/>
      <c r="I2519" s="69"/>
      <c r="J2519" s="134"/>
      <c r="K2519" s="324">
        <v>0.2999</v>
      </c>
      <c r="L2519" s="191">
        <f>L987</f>
        <v>1.4842</v>
      </c>
      <c r="M2519" s="401"/>
      <c r="N2519" s="86"/>
    </row>
    <row r="2520" spans="1:14" s="64" customFormat="1" x14ac:dyDescent="0.2">
      <c r="A2520" s="63"/>
      <c r="B2520" s="396"/>
      <c r="C2520" s="122"/>
      <c r="D2520" s="75"/>
      <c r="E2520" s="395"/>
      <c r="F2520" s="395"/>
      <c r="G2520" s="395"/>
      <c r="H2520" s="67"/>
      <c r="I2520" s="69"/>
      <c r="J2520" s="134"/>
      <c r="K2520" s="324">
        <v>0.2999</v>
      </c>
      <c r="L2520" s="191">
        <f>L988</f>
        <v>1.4842</v>
      </c>
      <c r="M2520" s="401"/>
      <c r="N2520" s="86"/>
    </row>
    <row r="2521" spans="1:14" s="64" customFormat="1" x14ac:dyDescent="0.2">
      <c r="A2521" s="63"/>
      <c r="B2521" s="396"/>
      <c r="C2521" s="122"/>
      <c r="D2521" s="75"/>
      <c r="E2521" s="395"/>
      <c r="F2521" s="395"/>
      <c r="G2521" s="395"/>
      <c r="H2521" s="67"/>
      <c r="I2521" s="69"/>
      <c r="J2521" s="134"/>
      <c r="K2521" s="324">
        <v>0.2999</v>
      </c>
      <c r="L2521" s="191">
        <f>L989</f>
        <v>1.4842</v>
      </c>
      <c r="M2521" s="401"/>
      <c r="N2521" s="86"/>
    </row>
    <row r="2522" spans="1:14" s="64" customFormat="1" x14ac:dyDescent="0.2">
      <c r="A2522" s="63"/>
      <c r="B2522" s="396"/>
      <c r="C2522" s="122"/>
      <c r="D2522" s="75"/>
      <c r="E2522" s="395"/>
      <c r="F2522" s="395"/>
      <c r="G2522" s="395"/>
      <c r="H2522" s="67"/>
      <c r="I2522" s="69"/>
      <c r="J2522" s="134"/>
      <c r="K2522" s="324">
        <v>0.2999</v>
      </c>
      <c r="L2522" s="191">
        <f>L990</f>
        <v>1.4842</v>
      </c>
      <c r="M2522" s="401"/>
      <c r="N2522" s="86"/>
    </row>
    <row r="2523" spans="1:14" s="64" customFormat="1" x14ac:dyDescent="0.2">
      <c r="A2523" s="63"/>
      <c r="B2523" s="396"/>
      <c r="C2523" s="122"/>
      <c r="D2523" s="75"/>
      <c r="E2523" s="395"/>
      <c r="F2523" s="395"/>
      <c r="G2523" s="395"/>
      <c r="H2523" s="67"/>
      <c r="I2523" s="69"/>
      <c r="J2523" s="134"/>
      <c r="K2523" s="324">
        <v>0.2999</v>
      </c>
      <c r="L2523" s="191">
        <f>L991</f>
        <v>1.4842</v>
      </c>
      <c r="M2523" s="401"/>
      <c r="N2523" s="86"/>
    </row>
    <row r="2524" spans="1:14" s="64" customFormat="1" x14ac:dyDescent="0.2">
      <c r="A2524" s="63"/>
      <c r="B2524" s="396"/>
      <c r="C2524" s="122"/>
      <c r="D2524" s="75"/>
      <c r="E2524" s="395"/>
      <c r="F2524" s="395"/>
      <c r="G2524" s="395"/>
      <c r="H2524" s="67"/>
      <c r="I2524" s="69"/>
      <c r="J2524" s="134"/>
      <c r="K2524" s="324">
        <v>0.2999</v>
      </c>
      <c r="L2524" s="191">
        <f>L992</f>
        <v>1.4842</v>
      </c>
      <c r="M2524" s="401"/>
      <c r="N2524" s="86"/>
    </row>
    <row r="2525" spans="1:14" s="64" customFormat="1" x14ac:dyDescent="0.2">
      <c r="A2525" s="63"/>
      <c r="B2525" s="396"/>
      <c r="C2525" s="122"/>
      <c r="D2525" s="75"/>
      <c r="E2525" s="395"/>
      <c r="F2525" s="395"/>
      <c r="G2525" s="395"/>
      <c r="H2525" s="67"/>
      <c r="I2525" s="69"/>
      <c r="J2525" s="134"/>
      <c r="K2525" s="324">
        <v>0.2999</v>
      </c>
      <c r="L2525" s="191">
        <f>L993</f>
        <v>1.4842</v>
      </c>
      <c r="M2525" s="401"/>
      <c r="N2525" s="86"/>
    </row>
    <row r="2526" spans="1:14" s="64" customFormat="1" x14ac:dyDescent="0.2">
      <c r="A2526" s="63"/>
      <c r="B2526" s="396"/>
      <c r="C2526" s="122"/>
      <c r="D2526" s="75"/>
      <c r="E2526" s="395"/>
      <c r="F2526" s="395"/>
      <c r="G2526" s="395"/>
      <c r="H2526" s="67"/>
      <c r="I2526" s="69"/>
      <c r="J2526" s="134"/>
      <c r="K2526" s="324">
        <v>0.2999</v>
      </c>
      <c r="L2526" s="191">
        <f>L994</f>
        <v>1.4842</v>
      </c>
      <c r="M2526" s="401"/>
      <c r="N2526" s="86"/>
    </row>
    <row r="2527" spans="1:14" s="64" customFormat="1" x14ac:dyDescent="0.2">
      <c r="A2527" s="63"/>
      <c r="B2527" s="396"/>
      <c r="C2527" s="122"/>
      <c r="D2527" s="75"/>
      <c r="E2527" s="395"/>
      <c r="F2527" s="395"/>
      <c r="G2527" s="395"/>
      <c r="H2527" s="67"/>
      <c r="I2527" s="69"/>
      <c r="J2527" s="134"/>
      <c r="K2527" s="324">
        <v>0.2999</v>
      </c>
      <c r="L2527" s="191">
        <f>L995</f>
        <v>1.4842</v>
      </c>
      <c r="M2527" s="401"/>
      <c r="N2527" s="86"/>
    </row>
    <row r="2528" spans="1:14" s="64" customFormat="1" x14ac:dyDescent="0.2">
      <c r="A2528" s="63"/>
      <c r="B2528" s="396"/>
      <c r="C2528" s="122"/>
      <c r="D2528" s="75"/>
      <c r="E2528" s="395"/>
      <c r="F2528" s="395"/>
      <c r="G2528" s="395"/>
      <c r="H2528" s="67"/>
      <c r="I2528" s="69"/>
      <c r="J2528" s="134"/>
      <c r="K2528" s="324">
        <v>0.2999</v>
      </c>
      <c r="L2528" s="191">
        <f>L996</f>
        <v>1.4842</v>
      </c>
      <c r="M2528" s="401"/>
      <c r="N2528" s="86"/>
    </row>
    <row r="2529" spans="1:14" s="64" customFormat="1" x14ac:dyDescent="0.2">
      <c r="A2529" s="63"/>
      <c r="B2529" s="396"/>
      <c r="C2529" s="122"/>
      <c r="D2529" s="75"/>
      <c r="E2529" s="395"/>
      <c r="F2529" s="395"/>
      <c r="G2529" s="395"/>
      <c r="H2529" s="67"/>
      <c r="I2529" s="69"/>
      <c r="J2529" s="134"/>
      <c r="K2529" s="324">
        <v>0.2999</v>
      </c>
      <c r="L2529" s="191">
        <f>L997</f>
        <v>1.4842</v>
      </c>
      <c r="M2529" s="401"/>
      <c r="N2529" s="86"/>
    </row>
    <row r="2530" spans="1:14" s="64" customFormat="1" x14ac:dyDescent="0.2">
      <c r="A2530" s="63"/>
      <c r="B2530" s="396"/>
      <c r="C2530" s="122"/>
      <c r="D2530" s="75"/>
      <c r="E2530" s="395"/>
      <c r="F2530" s="395"/>
      <c r="G2530" s="395"/>
      <c r="H2530" s="67"/>
      <c r="I2530" s="69"/>
      <c r="J2530" s="134"/>
      <c r="K2530" s="324">
        <v>0.2999</v>
      </c>
      <c r="L2530" s="191">
        <f>L998</f>
        <v>1.4842</v>
      </c>
      <c r="M2530" s="401"/>
      <c r="N2530" s="86"/>
    </row>
    <row r="2531" spans="1:14" s="64" customFormat="1" x14ac:dyDescent="0.2">
      <c r="A2531" s="63"/>
      <c r="B2531" s="396"/>
      <c r="C2531" s="122"/>
      <c r="D2531" s="75"/>
      <c r="E2531" s="395"/>
      <c r="F2531" s="395"/>
      <c r="G2531" s="395"/>
      <c r="H2531" s="67"/>
      <c r="I2531" s="69"/>
      <c r="J2531" s="134"/>
      <c r="K2531" s="324">
        <v>0.2999</v>
      </c>
      <c r="L2531" s="191">
        <f>L999</f>
        <v>1.4842</v>
      </c>
      <c r="M2531" s="401"/>
      <c r="N2531" s="86"/>
    </row>
    <row r="2532" spans="1:14" s="64" customFormat="1" x14ac:dyDescent="0.2">
      <c r="A2532" s="63"/>
      <c r="B2532" s="396"/>
      <c r="C2532" s="122"/>
      <c r="D2532" s="75"/>
      <c r="E2532" s="395"/>
      <c r="F2532" s="395"/>
      <c r="G2532" s="395"/>
      <c r="H2532" s="67"/>
      <c r="I2532" s="69"/>
      <c r="J2532" s="134"/>
      <c r="K2532" s="324">
        <v>0.2999</v>
      </c>
      <c r="L2532" s="191">
        <f>L1000</f>
        <v>1.4842</v>
      </c>
      <c r="M2532" s="401"/>
      <c r="N2532" s="86"/>
    </row>
    <row r="2533" spans="1:14" s="64" customFormat="1" x14ac:dyDescent="0.2">
      <c r="A2533" s="63"/>
      <c r="B2533" s="396"/>
      <c r="C2533" s="122"/>
      <c r="D2533" s="75"/>
      <c r="E2533" s="395"/>
      <c r="F2533" s="395"/>
      <c r="G2533" s="395"/>
      <c r="H2533" s="67"/>
      <c r="I2533" s="69"/>
      <c r="J2533" s="134"/>
      <c r="K2533" s="324">
        <v>0.2999</v>
      </c>
      <c r="L2533" s="191">
        <f>L1001</f>
        <v>1.4842</v>
      </c>
      <c r="M2533" s="401"/>
      <c r="N2533" s="86"/>
    </row>
    <row r="2534" spans="1:14" s="64" customFormat="1" x14ac:dyDescent="0.2">
      <c r="A2534" s="63"/>
      <c r="B2534" s="396"/>
      <c r="C2534" s="122"/>
      <c r="D2534" s="75"/>
      <c r="E2534" s="395"/>
      <c r="F2534" s="395"/>
      <c r="G2534" s="395"/>
      <c r="H2534" s="67"/>
      <c r="I2534" s="69"/>
      <c r="J2534" s="134"/>
      <c r="K2534" s="324">
        <v>0.2999</v>
      </c>
      <c r="L2534" s="191">
        <f>L1002</f>
        <v>1.4842</v>
      </c>
      <c r="M2534" s="401"/>
      <c r="N2534" s="86"/>
    </row>
    <row r="2535" spans="1:14" s="64" customFormat="1" x14ac:dyDescent="0.2">
      <c r="A2535" s="63"/>
      <c r="B2535" s="396"/>
      <c r="C2535" s="122"/>
      <c r="D2535" s="75"/>
      <c r="E2535" s="395"/>
      <c r="F2535" s="395"/>
      <c r="G2535" s="395"/>
      <c r="H2535" s="67"/>
      <c r="I2535" s="69"/>
      <c r="J2535" s="134"/>
      <c r="K2535" s="324">
        <v>0.2999</v>
      </c>
      <c r="L2535" s="191">
        <f>L1003</f>
        <v>1.4842</v>
      </c>
      <c r="M2535" s="401"/>
      <c r="N2535" s="86"/>
    </row>
    <row r="2536" spans="1:14" s="64" customFormat="1" x14ac:dyDescent="0.2">
      <c r="A2536" s="63"/>
      <c r="B2536" s="396"/>
      <c r="C2536" s="122"/>
      <c r="D2536" s="75"/>
      <c r="E2536" s="395"/>
      <c r="F2536" s="395"/>
      <c r="G2536" s="395"/>
      <c r="H2536" s="67"/>
      <c r="I2536" s="69"/>
      <c r="J2536" s="134"/>
      <c r="K2536" s="324">
        <v>0.2999</v>
      </c>
      <c r="L2536" s="191">
        <f>L1004</f>
        <v>1.4842</v>
      </c>
      <c r="M2536" s="401"/>
      <c r="N2536" s="86"/>
    </row>
    <row r="2537" spans="1:14" s="64" customFormat="1" x14ac:dyDescent="0.2">
      <c r="A2537" s="63"/>
      <c r="B2537" s="396"/>
      <c r="C2537" s="122"/>
      <c r="D2537" s="75"/>
      <c r="E2537" s="395"/>
      <c r="F2537" s="395"/>
      <c r="G2537" s="395"/>
      <c r="H2537" s="67"/>
      <c r="I2537" s="69"/>
      <c r="J2537" s="134"/>
      <c r="K2537" s="324">
        <v>0.2999</v>
      </c>
      <c r="L2537" s="191">
        <f>L1005</f>
        <v>1.4842</v>
      </c>
      <c r="M2537" s="401"/>
      <c r="N2537" s="86"/>
    </row>
    <row r="2538" spans="1:14" s="64" customFormat="1" x14ac:dyDescent="0.2">
      <c r="A2538" s="63"/>
      <c r="B2538" s="396"/>
      <c r="C2538" s="122"/>
      <c r="D2538" s="75"/>
      <c r="E2538" s="395"/>
      <c r="F2538" s="395"/>
      <c r="G2538" s="395"/>
      <c r="H2538" s="67"/>
      <c r="I2538" s="69"/>
      <c r="J2538" s="134"/>
      <c r="K2538" s="324">
        <v>0.2999</v>
      </c>
      <c r="L2538" s="191">
        <f>L1006</f>
        <v>1.4842</v>
      </c>
      <c r="M2538" s="401"/>
      <c r="N2538" s="86"/>
    </row>
    <row r="2539" spans="1:14" s="64" customFormat="1" x14ac:dyDescent="0.2">
      <c r="A2539" s="63"/>
      <c r="B2539" s="396"/>
      <c r="C2539" s="122"/>
      <c r="D2539" s="75"/>
      <c r="E2539" s="395"/>
      <c r="F2539" s="395"/>
      <c r="G2539" s="395"/>
      <c r="H2539" s="67"/>
      <c r="I2539" s="69"/>
      <c r="J2539" s="134"/>
      <c r="K2539" s="324">
        <v>0.2999</v>
      </c>
      <c r="L2539" s="191">
        <f>L1007</f>
        <v>1.4842</v>
      </c>
      <c r="M2539" s="401"/>
      <c r="N2539" s="86"/>
    </row>
    <row r="2540" spans="1:14" s="64" customFormat="1" x14ac:dyDescent="0.2">
      <c r="A2540" s="63"/>
      <c r="B2540" s="396"/>
      <c r="C2540" s="122"/>
      <c r="D2540" s="75"/>
      <c r="E2540" s="395"/>
      <c r="F2540" s="395"/>
      <c r="G2540" s="395"/>
      <c r="H2540" s="67"/>
      <c r="I2540" s="69"/>
      <c r="J2540" s="134"/>
      <c r="K2540" s="324">
        <v>0.2999</v>
      </c>
      <c r="L2540" s="191">
        <f>L1008</f>
        <v>1.4842</v>
      </c>
      <c r="M2540" s="401"/>
      <c r="N2540" s="86"/>
    </row>
    <row r="2541" spans="1:14" s="64" customFormat="1" x14ac:dyDescent="0.2">
      <c r="A2541" s="63"/>
      <c r="B2541" s="396"/>
      <c r="C2541" s="122"/>
      <c r="D2541" s="75"/>
      <c r="E2541" s="395"/>
      <c r="F2541" s="395"/>
      <c r="G2541" s="395"/>
      <c r="H2541" s="67"/>
      <c r="I2541" s="69"/>
      <c r="J2541" s="134"/>
      <c r="K2541" s="324">
        <v>0.2999</v>
      </c>
      <c r="L2541" s="191">
        <f>L1009</f>
        <v>1.4842</v>
      </c>
      <c r="M2541" s="401"/>
      <c r="N2541" s="86"/>
    </row>
    <row r="2542" spans="1:14" s="64" customFormat="1" x14ac:dyDescent="0.2">
      <c r="A2542" s="63"/>
      <c r="B2542" s="396"/>
      <c r="C2542" s="122"/>
      <c r="D2542" s="75"/>
      <c r="E2542" s="395"/>
      <c r="F2542" s="395"/>
      <c r="G2542" s="395"/>
      <c r="H2542" s="67"/>
      <c r="I2542" s="69"/>
      <c r="J2542" s="134"/>
      <c r="K2542" s="324">
        <v>0.2999</v>
      </c>
      <c r="L2542" s="191">
        <f>L1010</f>
        <v>1.4842</v>
      </c>
      <c r="M2542" s="401"/>
      <c r="N2542" s="86"/>
    </row>
    <row r="2543" spans="1:14" s="64" customFormat="1" x14ac:dyDescent="0.2">
      <c r="A2543" s="63"/>
      <c r="B2543" s="396"/>
      <c r="C2543" s="122"/>
      <c r="D2543" s="75"/>
      <c r="E2543" s="395"/>
      <c r="F2543" s="395"/>
      <c r="G2543" s="395"/>
      <c r="H2543" s="67"/>
      <c r="I2543" s="69"/>
      <c r="J2543" s="134"/>
      <c r="K2543" s="324">
        <v>0.2999</v>
      </c>
      <c r="L2543" s="191">
        <f>L1011</f>
        <v>1.4842</v>
      </c>
      <c r="M2543" s="401"/>
      <c r="N2543" s="86"/>
    </row>
    <row r="2544" spans="1:14" s="64" customFormat="1" x14ac:dyDescent="0.2">
      <c r="A2544" s="63"/>
      <c r="B2544" s="396"/>
      <c r="C2544" s="122"/>
      <c r="D2544" s="75"/>
      <c r="E2544" s="395"/>
      <c r="F2544" s="395"/>
      <c r="G2544" s="395"/>
      <c r="H2544" s="67"/>
      <c r="I2544" s="69"/>
      <c r="J2544" s="134"/>
      <c r="K2544" s="324">
        <v>0.2999</v>
      </c>
      <c r="L2544" s="191">
        <f>L1012</f>
        <v>1.4842</v>
      </c>
      <c r="M2544" s="401"/>
      <c r="N2544" s="86"/>
    </row>
    <row r="2545" spans="1:14" s="64" customFormat="1" x14ac:dyDescent="0.2">
      <c r="A2545" s="63"/>
      <c r="B2545" s="396"/>
      <c r="C2545" s="122"/>
      <c r="D2545" s="75"/>
      <c r="E2545" s="395"/>
      <c r="F2545" s="395"/>
      <c r="G2545" s="395"/>
      <c r="H2545" s="67"/>
      <c r="I2545" s="69"/>
      <c r="J2545" s="134"/>
      <c r="K2545" s="324">
        <v>0.2999</v>
      </c>
      <c r="L2545" s="191">
        <f>L1013</f>
        <v>1.4842</v>
      </c>
      <c r="M2545" s="401"/>
      <c r="N2545" s="86"/>
    </row>
    <row r="2546" spans="1:14" s="64" customFormat="1" x14ac:dyDescent="0.2">
      <c r="A2546" s="63"/>
      <c r="B2546" s="396"/>
      <c r="C2546" s="122"/>
      <c r="D2546" s="75"/>
      <c r="E2546" s="395"/>
      <c r="F2546" s="395"/>
      <c r="G2546" s="395"/>
      <c r="H2546" s="67"/>
      <c r="I2546" s="69"/>
      <c r="J2546" s="134"/>
      <c r="K2546" s="324">
        <v>0.2999</v>
      </c>
      <c r="L2546" s="191">
        <f>L1014</f>
        <v>1.4842</v>
      </c>
      <c r="M2546" s="401"/>
      <c r="N2546" s="86"/>
    </row>
    <row r="2547" spans="1:14" s="64" customFormat="1" x14ac:dyDescent="0.2">
      <c r="A2547" s="63"/>
      <c r="B2547" s="396"/>
      <c r="C2547" s="122"/>
      <c r="D2547" s="75"/>
      <c r="E2547" s="395"/>
      <c r="F2547" s="395"/>
      <c r="G2547" s="395"/>
      <c r="H2547" s="67"/>
      <c r="I2547" s="69"/>
      <c r="J2547" s="134"/>
      <c r="K2547" s="324">
        <v>0.2999</v>
      </c>
      <c r="L2547" s="191">
        <f>L1015</f>
        <v>1.4842</v>
      </c>
      <c r="M2547" s="401"/>
      <c r="N2547" s="86"/>
    </row>
    <row r="2548" spans="1:14" s="64" customFormat="1" x14ac:dyDescent="0.2">
      <c r="A2548" s="63"/>
      <c r="B2548" s="396"/>
      <c r="C2548" s="122"/>
      <c r="D2548" s="75"/>
      <c r="E2548" s="395"/>
      <c r="F2548" s="395"/>
      <c r="G2548" s="395"/>
      <c r="H2548" s="67"/>
      <c r="I2548" s="69"/>
      <c r="J2548" s="134"/>
      <c r="K2548" s="324">
        <v>0.2999</v>
      </c>
      <c r="L2548" s="191">
        <f>L1016</f>
        <v>1.4842</v>
      </c>
      <c r="M2548" s="401"/>
      <c r="N2548" s="86"/>
    </row>
    <row r="2549" spans="1:14" s="64" customFormat="1" x14ac:dyDescent="0.2">
      <c r="A2549" s="63"/>
      <c r="B2549" s="396"/>
      <c r="C2549" s="122"/>
      <c r="D2549" s="75"/>
      <c r="E2549" s="395"/>
      <c r="F2549" s="395"/>
      <c r="G2549" s="395"/>
      <c r="H2549" s="67"/>
      <c r="I2549" s="69"/>
      <c r="J2549" s="134"/>
      <c r="K2549" s="324">
        <v>0.2999</v>
      </c>
      <c r="L2549" s="191">
        <f>L1017</f>
        <v>1.4842</v>
      </c>
      <c r="M2549" s="401"/>
      <c r="N2549" s="86"/>
    </row>
    <row r="2550" spans="1:14" s="64" customFormat="1" x14ac:dyDescent="0.2">
      <c r="A2550" s="63"/>
      <c r="B2550" s="396"/>
      <c r="C2550" s="122"/>
      <c r="D2550" s="75"/>
      <c r="E2550" s="395"/>
      <c r="F2550" s="395"/>
      <c r="G2550" s="395"/>
      <c r="H2550" s="67"/>
      <c r="I2550" s="69"/>
      <c r="J2550" s="134"/>
      <c r="K2550" s="324">
        <v>0.2999</v>
      </c>
      <c r="L2550" s="191">
        <f>L1018</f>
        <v>1.4842</v>
      </c>
      <c r="M2550" s="401"/>
      <c r="N2550" s="86"/>
    </row>
    <row r="2551" spans="1:14" s="64" customFormat="1" x14ac:dyDescent="0.2">
      <c r="A2551" s="63"/>
      <c r="B2551" s="396"/>
      <c r="C2551" s="122"/>
      <c r="D2551" s="75"/>
      <c r="E2551" s="395"/>
      <c r="F2551" s="395"/>
      <c r="G2551" s="395"/>
      <c r="H2551" s="67"/>
      <c r="I2551" s="69"/>
      <c r="J2551" s="134"/>
      <c r="K2551" s="324">
        <v>0.2999</v>
      </c>
      <c r="L2551" s="191">
        <f>L1019</f>
        <v>1.4842</v>
      </c>
      <c r="M2551" s="401"/>
      <c r="N2551" s="86"/>
    </row>
    <row r="2552" spans="1:14" s="64" customFormat="1" x14ac:dyDescent="0.2">
      <c r="A2552" s="63"/>
      <c r="B2552" s="396"/>
      <c r="C2552" s="122"/>
      <c r="D2552" s="75"/>
      <c r="E2552" s="395"/>
      <c r="F2552" s="395"/>
      <c r="G2552" s="395"/>
      <c r="H2552" s="67"/>
      <c r="I2552" s="69"/>
      <c r="J2552" s="134"/>
      <c r="K2552" s="324">
        <v>0.2999</v>
      </c>
      <c r="L2552" s="191">
        <f>L1020</f>
        <v>1.4842</v>
      </c>
      <c r="M2552" s="401"/>
      <c r="N2552" s="86"/>
    </row>
    <row r="2553" spans="1:14" s="64" customFormat="1" x14ac:dyDescent="0.2">
      <c r="A2553" s="63"/>
      <c r="B2553" s="396"/>
      <c r="C2553" s="122"/>
      <c r="D2553" s="75"/>
      <c r="E2553" s="395"/>
      <c r="F2553" s="395"/>
      <c r="G2553" s="395"/>
      <c r="H2553" s="67"/>
      <c r="I2553" s="69"/>
      <c r="J2553" s="134"/>
      <c r="K2553" s="324">
        <v>0.2999</v>
      </c>
      <c r="L2553" s="191">
        <f>L1021</f>
        <v>1.4842</v>
      </c>
      <c r="M2553" s="401"/>
      <c r="N2553" s="86"/>
    </row>
    <row r="2554" spans="1:14" s="64" customFormat="1" x14ac:dyDescent="0.2">
      <c r="A2554" s="63"/>
      <c r="B2554" s="396"/>
      <c r="C2554" s="122"/>
      <c r="D2554" s="75"/>
      <c r="E2554" s="395"/>
      <c r="F2554" s="395"/>
      <c r="G2554" s="395"/>
      <c r="H2554" s="67"/>
      <c r="I2554" s="69"/>
      <c r="J2554" s="134"/>
      <c r="K2554" s="324">
        <v>0.2999</v>
      </c>
      <c r="L2554" s="191">
        <f>L1022</f>
        <v>1.4842</v>
      </c>
      <c r="M2554" s="401"/>
      <c r="N2554" s="86"/>
    </row>
    <row r="2555" spans="1:14" s="64" customFormat="1" x14ac:dyDescent="0.2">
      <c r="A2555" s="63"/>
      <c r="B2555" s="396"/>
      <c r="C2555" s="122"/>
      <c r="D2555" s="75"/>
      <c r="E2555" s="395"/>
      <c r="F2555" s="395"/>
      <c r="G2555" s="395"/>
      <c r="H2555" s="67"/>
      <c r="I2555" s="69"/>
      <c r="J2555" s="134"/>
      <c r="K2555" s="324">
        <v>0.2999</v>
      </c>
      <c r="L2555" s="191">
        <f>L1023</f>
        <v>1.4842</v>
      </c>
      <c r="M2555" s="401"/>
      <c r="N2555" s="86"/>
    </row>
    <row r="2556" spans="1:14" s="64" customFormat="1" x14ac:dyDescent="0.2">
      <c r="A2556" s="63"/>
      <c r="B2556" s="396"/>
      <c r="C2556" s="122"/>
      <c r="D2556" s="75"/>
      <c r="E2556" s="395"/>
      <c r="F2556" s="395"/>
      <c r="G2556" s="395"/>
      <c r="H2556" s="67"/>
      <c r="I2556" s="69"/>
      <c r="J2556" s="134"/>
      <c r="K2556" s="324">
        <v>0.2999</v>
      </c>
      <c r="L2556" s="191">
        <f>L1024</f>
        <v>1.4842</v>
      </c>
      <c r="M2556" s="401"/>
      <c r="N2556" s="86"/>
    </row>
    <row r="2557" spans="1:14" s="64" customFormat="1" x14ac:dyDescent="0.2">
      <c r="A2557" s="63"/>
      <c r="B2557" s="396"/>
      <c r="C2557" s="122"/>
      <c r="D2557" s="75"/>
      <c r="E2557" s="395"/>
      <c r="F2557" s="395"/>
      <c r="G2557" s="395"/>
      <c r="H2557" s="67"/>
      <c r="I2557" s="69"/>
      <c r="J2557" s="134"/>
      <c r="K2557" s="324">
        <v>0.2999</v>
      </c>
      <c r="L2557" s="191">
        <f>L1025</f>
        <v>1.4842</v>
      </c>
      <c r="M2557" s="401"/>
      <c r="N2557" s="86"/>
    </row>
    <row r="2558" spans="1:14" s="64" customFormat="1" x14ac:dyDescent="0.2">
      <c r="A2558" s="63"/>
      <c r="B2558" s="396"/>
      <c r="C2558" s="122"/>
      <c r="D2558" s="75"/>
      <c r="E2558" s="395"/>
      <c r="F2558" s="395"/>
      <c r="G2558" s="395"/>
      <c r="H2558" s="67"/>
      <c r="I2558" s="69"/>
      <c r="J2558" s="134"/>
      <c r="K2558" s="324">
        <v>0.2999</v>
      </c>
      <c r="L2558" s="191">
        <f>L1026</f>
        <v>1.4842</v>
      </c>
      <c r="M2558" s="401"/>
      <c r="N2558" s="86"/>
    </row>
    <row r="2559" spans="1:14" s="64" customFormat="1" x14ac:dyDescent="0.2">
      <c r="A2559" s="63"/>
      <c r="B2559" s="396"/>
      <c r="C2559" s="122"/>
      <c r="D2559" s="75"/>
      <c r="E2559" s="395"/>
      <c r="F2559" s="395"/>
      <c r="G2559" s="395"/>
      <c r="H2559" s="67"/>
      <c r="I2559" s="69"/>
      <c r="J2559" s="134"/>
      <c r="K2559" s="324">
        <v>0.2999</v>
      </c>
      <c r="L2559" s="191">
        <f>L1027</f>
        <v>1.4842</v>
      </c>
      <c r="M2559" s="401"/>
      <c r="N2559" s="86"/>
    </row>
    <row r="2560" spans="1:14" s="64" customFormat="1" x14ac:dyDescent="0.2">
      <c r="A2560" s="63"/>
      <c r="B2560" s="396"/>
      <c r="C2560" s="122"/>
      <c r="D2560" s="75"/>
      <c r="E2560" s="395"/>
      <c r="F2560" s="395"/>
      <c r="G2560" s="395"/>
      <c r="H2560" s="67"/>
      <c r="I2560" s="69"/>
      <c r="J2560" s="134"/>
      <c r="K2560" s="324">
        <v>0.2999</v>
      </c>
      <c r="L2560" s="191">
        <f>L1028</f>
        <v>1.4842</v>
      </c>
      <c r="M2560" s="401"/>
      <c r="N2560" s="86"/>
    </row>
    <row r="2561" spans="1:14" s="64" customFormat="1" x14ac:dyDescent="0.2">
      <c r="A2561" s="63"/>
      <c r="B2561" s="396"/>
      <c r="C2561" s="122"/>
      <c r="D2561" s="75"/>
      <c r="E2561" s="395"/>
      <c r="F2561" s="395"/>
      <c r="G2561" s="395"/>
      <c r="H2561" s="67"/>
      <c r="I2561" s="69"/>
      <c r="J2561" s="134"/>
      <c r="K2561" s="324">
        <v>0.2999</v>
      </c>
      <c r="L2561" s="191">
        <f>L1029</f>
        <v>1.4842</v>
      </c>
      <c r="M2561" s="401"/>
      <c r="N2561" s="86"/>
    </row>
    <row r="2562" spans="1:14" s="64" customFormat="1" x14ac:dyDescent="0.2">
      <c r="A2562" s="63"/>
      <c r="B2562" s="396"/>
      <c r="C2562" s="122"/>
      <c r="D2562" s="75"/>
      <c r="E2562" s="395"/>
      <c r="F2562" s="395"/>
      <c r="G2562" s="395"/>
      <c r="H2562" s="67"/>
      <c r="I2562" s="69"/>
      <c r="J2562" s="134"/>
      <c r="K2562" s="324">
        <v>0.2999</v>
      </c>
      <c r="L2562" s="191">
        <f>L1030</f>
        <v>1.4842</v>
      </c>
      <c r="M2562" s="401"/>
      <c r="N2562" s="86"/>
    </row>
    <row r="2563" spans="1:14" s="64" customFormat="1" x14ac:dyDescent="0.2">
      <c r="A2563" s="63"/>
      <c r="B2563" s="396"/>
      <c r="C2563" s="122"/>
      <c r="D2563" s="75"/>
      <c r="E2563" s="395"/>
      <c r="F2563" s="395"/>
      <c r="G2563" s="395"/>
      <c r="H2563" s="67"/>
      <c r="I2563" s="69"/>
      <c r="J2563" s="134"/>
      <c r="K2563" s="324">
        <v>0.2999</v>
      </c>
      <c r="L2563" s="191">
        <f>L1031</f>
        <v>1.4842</v>
      </c>
      <c r="M2563" s="401"/>
      <c r="N2563" s="86"/>
    </row>
    <row r="2564" spans="1:14" s="64" customFormat="1" x14ac:dyDescent="0.2">
      <c r="A2564" s="63"/>
      <c r="B2564" s="396"/>
      <c r="C2564" s="122"/>
      <c r="D2564" s="75"/>
      <c r="E2564" s="395"/>
      <c r="F2564" s="395"/>
      <c r="G2564" s="395"/>
      <c r="H2564" s="67"/>
      <c r="I2564" s="69"/>
      <c r="J2564" s="134"/>
      <c r="K2564" s="324">
        <v>0.2999</v>
      </c>
      <c r="L2564" s="191">
        <f>L1032</f>
        <v>1.4842</v>
      </c>
      <c r="M2564" s="401"/>
      <c r="N2564" s="86"/>
    </row>
    <row r="2565" spans="1:14" s="64" customFormat="1" x14ac:dyDescent="0.2">
      <c r="A2565" s="63"/>
      <c r="B2565" s="396"/>
      <c r="C2565" s="122"/>
      <c r="D2565" s="75"/>
      <c r="E2565" s="395"/>
      <c r="F2565" s="395"/>
      <c r="G2565" s="395"/>
      <c r="H2565" s="67"/>
      <c r="I2565" s="69"/>
      <c r="J2565" s="134"/>
      <c r="K2565" s="324">
        <v>0.2999</v>
      </c>
      <c r="L2565" s="191">
        <f>L1033</f>
        <v>1.4842</v>
      </c>
      <c r="M2565" s="401"/>
      <c r="N2565" s="86"/>
    </row>
    <row r="2566" spans="1:14" s="64" customFormat="1" x14ac:dyDescent="0.2">
      <c r="A2566" s="63"/>
      <c r="B2566" s="396"/>
      <c r="C2566" s="122"/>
      <c r="D2566" s="75"/>
      <c r="E2566" s="395"/>
      <c r="F2566" s="395"/>
      <c r="G2566" s="395"/>
      <c r="H2566" s="67"/>
      <c r="I2566" s="69"/>
      <c r="J2566" s="134"/>
      <c r="K2566" s="324">
        <v>0.2999</v>
      </c>
      <c r="L2566" s="191">
        <f>L1034</f>
        <v>1.4842</v>
      </c>
      <c r="M2566" s="401"/>
      <c r="N2566" s="86"/>
    </row>
    <row r="2567" spans="1:14" s="64" customFormat="1" x14ac:dyDescent="0.2">
      <c r="A2567" s="63"/>
      <c r="B2567" s="396"/>
      <c r="C2567" s="122"/>
      <c r="D2567" s="75"/>
      <c r="E2567" s="395"/>
      <c r="F2567" s="395"/>
      <c r="G2567" s="395"/>
      <c r="H2567" s="67"/>
      <c r="I2567" s="69"/>
      <c r="J2567" s="134"/>
      <c r="K2567" s="324">
        <v>0.2999</v>
      </c>
      <c r="L2567" s="191">
        <f>L1035</f>
        <v>1.4842</v>
      </c>
      <c r="M2567" s="401"/>
      <c r="N2567" s="86"/>
    </row>
    <row r="2568" spans="1:14" s="64" customFormat="1" x14ac:dyDescent="0.2">
      <c r="A2568" s="63"/>
      <c r="B2568" s="396"/>
      <c r="C2568" s="122"/>
      <c r="D2568" s="75"/>
      <c r="E2568" s="395"/>
      <c r="F2568" s="395"/>
      <c r="G2568" s="395"/>
      <c r="H2568" s="67"/>
      <c r="I2568" s="69"/>
      <c r="J2568" s="134"/>
      <c r="K2568" s="324">
        <v>0.2999</v>
      </c>
      <c r="L2568" s="191">
        <f>L1036</f>
        <v>1.4842</v>
      </c>
      <c r="M2568" s="401"/>
      <c r="N2568" s="86"/>
    </row>
    <row r="2569" spans="1:14" s="64" customFormat="1" x14ac:dyDescent="0.2">
      <c r="A2569" s="63"/>
      <c r="B2569" s="396"/>
      <c r="C2569" s="122"/>
      <c r="D2569" s="75"/>
      <c r="E2569" s="395"/>
      <c r="F2569" s="395"/>
      <c r="G2569" s="395"/>
      <c r="H2569" s="67"/>
      <c r="I2569" s="69"/>
      <c r="J2569" s="134"/>
      <c r="K2569" s="324">
        <v>0.2999</v>
      </c>
      <c r="L2569" s="191">
        <f>L1037</f>
        <v>1.4842</v>
      </c>
      <c r="M2569" s="401"/>
      <c r="N2569" s="86"/>
    </row>
    <row r="2570" spans="1:14" s="64" customFormat="1" x14ac:dyDescent="0.2">
      <c r="A2570" s="63"/>
      <c r="B2570" s="396"/>
      <c r="C2570" s="122"/>
      <c r="D2570" s="75"/>
      <c r="E2570" s="395"/>
      <c r="F2570" s="395"/>
      <c r="G2570" s="395"/>
      <c r="H2570" s="67"/>
      <c r="I2570" s="69"/>
      <c r="J2570" s="134"/>
      <c r="K2570" s="324">
        <v>0.2999</v>
      </c>
      <c r="L2570" s="191">
        <f>L1038</f>
        <v>1.4842</v>
      </c>
      <c r="M2570" s="401"/>
      <c r="N2570" s="86"/>
    </row>
    <row r="2571" spans="1:14" s="64" customFormat="1" x14ac:dyDescent="0.2">
      <c r="A2571" s="63"/>
      <c r="B2571" s="396"/>
      <c r="C2571" s="122"/>
      <c r="D2571" s="75"/>
      <c r="E2571" s="395"/>
      <c r="F2571" s="395"/>
      <c r="G2571" s="395"/>
      <c r="H2571" s="67"/>
      <c r="I2571" s="69"/>
      <c r="J2571" s="134"/>
      <c r="K2571" s="324">
        <v>0.2999</v>
      </c>
      <c r="L2571" s="191">
        <f>L1039</f>
        <v>1.4842</v>
      </c>
      <c r="M2571" s="401"/>
      <c r="N2571" s="86"/>
    </row>
    <row r="2572" spans="1:14" s="64" customFormat="1" x14ac:dyDescent="0.2">
      <c r="A2572" s="63"/>
      <c r="B2572" s="396"/>
      <c r="C2572" s="122"/>
      <c r="D2572" s="75"/>
      <c r="E2572" s="395"/>
      <c r="F2572" s="395"/>
      <c r="G2572" s="395"/>
      <c r="H2572" s="67"/>
      <c r="I2572" s="69"/>
      <c r="J2572" s="134"/>
      <c r="K2572" s="324">
        <v>0.2999</v>
      </c>
      <c r="L2572" s="191">
        <f>L1040</f>
        <v>1.4842</v>
      </c>
      <c r="M2572" s="401"/>
      <c r="N2572" s="86"/>
    </row>
    <row r="2573" spans="1:14" s="64" customFormat="1" x14ac:dyDescent="0.2">
      <c r="A2573" s="63"/>
      <c r="B2573" s="396"/>
      <c r="C2573" s="122"/>
      <c r="D2573" s="75"/>
      <c r="E2573" s="395"/>
      <c r="F2573" s="395"/>
      <c r="G2573" s="395"/>
      <c r="H2573" s="67"/>
      <c r="I2573" s="69"/>
      <c r="J2573" s="134"/>
      <c r="K2573" s="324">
        <v>0.2999</v>
      </c>
      <c r="L2573" s="191">
        <f>L1041</f>
        <v>1.4842</v>
      </c>
      <c r="M2573" s="401"/>
      <c r="N2573" s="86"/>
    </row>
    <row r="2574" spans="1:14" s="64" customFormat="1" x14ac:dyDescent="0.2">
      <c r="A2574" s="63"/>
      <c r="B2574" s="396"/>
      <c r="C2574" s="122"/>
      <c r="D2574" s="75"/>
      <c r="E2574" s="395"/>
      <c r="F2574" s="395"/>
      <c r="G2574" s="395"/>
      <c r="H2574" s="67"/>
      <c r="I2574" s="69"/>
      <c r="J2574" s="134"/>
      <c r="K2574" s="324">
        <v>0.2999</v>
      </c>
      <c r="L2574" s="191">
        <f>L1042</f>
        <v>1.4842</v>
      </c>
      <c r="M2574" s="401"/>
      <c r="N2574" s="86"/>
    </row>
    <row r="2575" spans="1:14" s="64" customFormat="1" x14ac:dyDescent="0.2">
      <c r="A2575" s="63"/>
      <c r="B2575" s="396"/>
      <c r="C2575" s="122"/>
      <c r="D2575" s="75"/>
      <c r="E2575" s="395"/>
      <c r="F2575" s="395"/>
      <c r="G2575" s="395"/>
      <c r="H2575" s="67"/>
      <c r="I2575" s="69"/>
      <c r="J2575" s="134"/>
      <c r="K2575" s="324">
        <v>0.2999</v>
      </c>
      <c r="L2575" s="191">
        <f>L1043</f>
        <v>1.4842</v>
      </c>
      <c r="M2575" s="401"/>
      <c r="N2575" s="86"/>
    </row>
    <row r="2576" spans="1:14" s="64" customFormat="1" x14ac:dyDescent="0.2">
      <c r="A2576" s="63"/>
      <c r="B2576" s="396"/>
      <c r="C2576" s="122"/>
      <c r="D2576" s="75"/>
      <c r="E2576" s="395"/>
      <c r="F2576" s="395"/>
      <c r="G2576" s="395"/>
      <c r="H2576" s="67"/>
      <c r="I2576" s="69"/>
      <c r="J2576" s="134"/>
      <c r="K2576" s="324">
        <v>0.2999</v>
      </c>
      <c r="L2576" s="191">
        <f>L1044</f>
        <v>1.4842</v>
      </c>
      <c r="M2576" s="401"/>
      <c r="N2576" s="86"/>
    </row>
    <row r="2577" spans="1:14" s="64" customFormat="1" x14ac:dyDescent="0.2">
      <c r="A2577" s="63"/>
      <c r="B2577" s="396"/>
      <c r="C2577" s="122"/>
      <c r="D2577" s="75"/>
      <c r="E2577" s="395"/>
      <c r="F2577" s="395"/>
      <c r="G2577" s="395"/>
      <c r="H2577" s="67"/>
      <c r="I2577" s="69"/>
      <c r="J2577" s="134"/>
      <c r="K2577" s="324">
        <v>0.2999</v>
      </c>
      <c r="L2577" s="191">
        <f>L1045</f>
        <v>1.4842</v>
      </c>
      <c r="M2577" s="401"/>
      <c r="N2577" s="86"/>
    </row>
    <row r="2578" spans="1:14" s="64" customFormat="1" x14ac:dyDescent="0.2">
      <c r="A2578" s="63"/>
      <c r="B2578" s="396"/>
      <c r="C2578" s="122"/>
      <c r="D2578" s="75"/>
      <c r="E2578" s="395"/>
      <c r="F2578" s="395"/>
      <c r="G2578" s="395"/>
      <c r="H2578" s="67"/>
      <c r="I2578" s="69"/>
      <c r="J2578" s="134"/>
      <c r="K2578" s="324">
        <v>0.2999</v>
      </c>
      <c r="L2578" s="191">
        <f>L1046</f>
        <v>1.4842</v>
      </c>
      <c r="M2578" s="401"/>
      <c r="N2578" s="86"/>
    </row>
    <row r="2579" spans="1:14" s="64" customFormat="1" x14ac:dyDescent="0.2">
      <c r="A2579" s="63"/>
      <c r="B2579" s="396"/>
      <c r="C2579" s="122"/>
      <c r="D2579" s="75"/>
      <c r="E2579" s="395"/>
      <c r="F2579" s="395"/>
      <c r="G2579" s="395"/>
      <c r="H2579" s="67"/>
      <c r="I2579" s="69"/>
      <c r="J2579" s="134"/>
      <c r="K2579" s="324">
        <v>0.2999</v>
      </c>
      <c r="L2579" s="191">
        <f>L1047</f>
        <v>1.4842</v>
      </c>
      <c r="M2579" s="401"/>
      <c r="N2579" s="86"/>
    </row>
    <row r="2580" spans="1:14" s="64" customFormat="1" x14ac:dyDescent="0.2">
      <c r="A2580" s="63"/>
      <c r="B2580" s="396"/>
      <c r="C2580" s="122"/>
      <c r="D2580" s="75"/>
      <c r="E2580" s="395"/>
      <c r="F2580" s="395"/>
      <c r="G2580" s="395"/>
      <c r="H2580" s="67"/>
      <c r="I2580" s="69"/>
      <c r="J2580" s="134"/>
      <c r="K2580" s="324">
        <v>0.2999</v>
      </c>
      <c r="L2580" s="191">
        <f>L1048</f>
        <v>1.4842</v>
      </c>
      <c r="M2580" s="401"/>
      <c r="N2580" s="86"/>
    </row>
    <row r="2581" spans="1:14" s="64" customFormat="1" x14ac:dyDescent="0.2">
      <c r="A2581" s="63"/>
      <c r="B2581" s="396"/>
      <c r="C2581" s="122"/>
      <c r="D2581" s="75"/>
      <c r="E2581" s="395"/>
      <c r="F2581" s="395"/>
      <c r="G2581" s="395"/>
      <c r="H2581" s="67"/>
      <c r="I2581" s="69"/>
      <c r="J2581" s="134"/>
      <c r="K2581" s="324">
        <v>0.2999</v>
      </c>
      <c r="L2581" s="191">
        <f>L1049</f>
        <v>1.4842</v>
      </c>
      <c r="M2581" s="401"/>
      <c r="N2581" s="86"/>
    </row>
    <row r="2582" spans="1:14" s="64" customFormat="1" x14ac:dyDescent="0.2">
      <c r="A2582" s="63"/>
      <c r="B2582" s="396"/>
      <c r="C2582" s="122"/>
      <c r="D2582" s="75"/>
      <c r="E2582" s="395"/>
      <c r="F2582" s="395"/>
      <c r="G2582" s="395"/>
      <c r="H2582" s="67"/>
      <c r="I2582" s="69"/>
      <c r="J2582" s="134"/>
      <c r="K2582" s="324">
        <v>0.2999</v>
      </c>
      <c r="L2582" s="191">
        <f>L1050</f>
        <v>1.4842</v>
      </c>
      <c r="M2582" s="401"/>
      <c r="N2582" s="86"/>
    </row>
    <row r="2583" spans="1:14" s="64" customFormat="1" x14ac:dyDescent="0.2">
      <c r="A2583" s="63"/>
      <c r="B2583" s="396"/>
      <c r="C2583" s="122"/>
      <c r="D2583" s="75"/>
      <c r="E2583" s="395"/>
      <c r="F2583" s="395"/>
      <c r="G2583" s="395"/>
      <c r="H2583" s="67"/>
      <c r="I2583" s="69"/>
      <c r="J2583" s="134"/>
      <c r="K2583" s="324">
        <v>0.2999</v>
      </c>
      <c r="L2583" s="191">
        <f>L1051</f>
        <v>1.4842</v>
      </c>
      <c r="M2583" s="401"/>
      <c r="N2583" s="86"/>
    </row>
    <row r="2584" spans="1:14" s="64" customFormat="1" x14ac:dyDescent="0.2">
      <c r="A2584" s="63"/>
      <c r="B2584" s="396"/>
      <c r="C2584" s="122"/>
      <c r="D2584" s="75"/>
      <c r="E2584" s="395"/>
      <c r="F2584" s="395"/>
      <c r="G2584" s="395"/>
      <c r="H2584" s="67"/>
      <c r="I2584" s="69"/>
      <c r="J2584" s="134"/>
      <c r="K2584" s="324">
        <v>0.2999</v>
      </c>
      <c r="L2584" s="191">
        <f>L1052</f>
        <v>1.4842</v>
      </c>
      <c r="M2584" s="401"/>
      <c r="N2584" s="86"/>
    </row>
    <row r="2585" spans="1:14" s="64" customFormat="1" x14ac:dyDescent="0.2">
      <c r="A2585" s="63"/>
      <c r="B2585" s="396"/>
      <c r="C2585" s="122"/>
      <c r="D2585" s="75"/>
      <c r="E2585" s="395"/>
      <c r="F2585" s="395"/>
      <c r="G2585" s="395"/>
      <c r="H2585" s="67"/>
      <c r="I2585" s="69"/>
      <c r="J2585" s="134"/>
      <c r="K2585" s="324">
        <v>0.2999</v>
      </c>
      <c r="L2585" s="191">
        <f>L1053</f>
        <v>1.4842</v>
      </c>
      <c r="M2585" s="401"/>
      <c r="N2585" s="86"/>
    </row>
    <row r="2586" spans="1:14" s="64" customFormat="1" x14ac:dyDescent="0.2">
      <c r="A2586" s="63"/>
      <c r="B2586" s="396"/>
      <c r="C2586" s="122"/>
      <c r="D2586" s="75"/>
      <c r="E2586" s="395"/>
      <c r="F2586" s="395"/>
      <c r="G2586" s="395"/>
      <c r="H2586" s="67"/>
      <c r="I2586" s="69"/>
      <c r="J2586" s="134"/>
      <c r="K2586" s="324">
        <v>0.2999</v>
      </c>
      <c r="L2586" s="191">
        <f>L1054</f>
        <v>1.4842</v>
      </c>
      <c r="M2586" s="401"/>
      <c r="N2586" s="86"/>
    </row>
    <row r="2587" spans="1:14" s="64" customFormat="1" x14ac:dyDescent="0.2">
      <c r="A2587" s="63"/>
      <c r="B2587" s="396"/>
      <c r="C2587" s="122"/>
      <c r="D2587" s="75"/>
      <c r="E2587" s="395"/>
      <c r="F2587" s="395"/>
      <c r="G2587" s="395"/>
      <c r="H2587" s="67"/>
      <c r="I2587" s="69"/>
      <c r="J2587" s="134"/>
      <c r="K2587" s="324">
        <v>0.2999</v>
      </c>
      <c r="L2587" s="191">
        <f>L1055</f>
        <v>1.4842</v>
      </c>
      <c r="M2587" s="401"/>
      <c r="N2587" s="86"/>
    </row>
    <row r="2588" spans="1:14" s="64" customFormat="1" x14ac:dyDescent="0.2">
      <c r="A2588" s="63"/>
      <c r="B2588" s="396"/>
      <c r="C2588" s="122"/>
      <c r="D2588" s="75"/>
      <c r="E2588" s="395"/>
      <c r="F2588" s="395"/>
      <c r="G2588" s="395"/>
      <c r="H2588" s="67"/>
      <c r="I2588" s="69"/>
      <c r="J2588" s="134"/>
      <c r="K2588" s="324">
        <v>0.2999</v>
      </c>
      <c r="L2588" s="191">
        <f>L1056</f>
        <v>1.4842</v>
      </c>
      <c r="M2588" s="401"/>
      <c r="N2588" s="86"/>
    </row>
    <row r="2589" spans="1:14" s="64" customFormat="1" x14ac:dyDescent="0.2">
      <c r="A2589" s="63"/>
      <c r="B2589" s="396"/>
      <c r="C2589" s="122"/>
      <c r="D2589" s="75"/>
      <c r="E2589" s="395"/>
      <c r="F2589" s="395"/>
      <c r="G2589" s="395"/>
      <c r="H2589" s="67"/>
      <c r="I2589" s="69"/>
      <c r="J2589" s="134"/>
      <c r="K2589" s="324">
        <v>0.2999</v>
      </c>
      <c r="L2589" s="191">
        <f>L1057</f>
        <v>1.4842</v>
      </c>
      <c r="M2589" s="401"/>
      <c r="N2589" s="86"/>
    </row>
    <row r="2590" spans="1:14" s="64" customFormat="1" x14ac:dyDescent="0.2">
      <c r="A2590" s="63"/>
      <c r="B2590" s="396"/>
      <c r="C2590" s="122"/>
      <c r="D2590" s="75"/>
      <c r="E2590" s="395"/>
      <c r="F2590" s="395"/>
      <c r="G2590" s="395"/>
      <c r="H2590" s="67"/>
      <c r="I2590" s="69"/>
      <c r="J2590" s="134"/>
      <c r="K2590" s="324">
        <v>0.2999</v>
      </c>
      <c r="L2590" s="191">
        <f>L1058</f>
        <v>1.4842</v>
      </c>
      <c r="M2590" s="401"/>
      <c r="N2590" s="86"/>
    </row>
    <row r="2591" spans="1:14" s="64" customFormat="1" x14ac:dyDescent="0.2">
      <c r="A2591" s="63"/>
      <c r="B2591" s="396"/>
      <c r="C2591" s="122"/>
      <c r="D2591" s="75"/>
      <c r="E2591" s="395"/>
      <c r="F2591" s="395"/>
      <c r="G2591" s="395"/>
      <c r="H2591" s="67"/>
      <c r="I2591" s="69"/>
      <c r="J2591" s="134"/>
      <c r="K2591" s="324">
        <v>0.2999</v>
      </c>
      <c r="L2591" s="191">
        <f>L1059</f>
        <v>1.4842</v>
      </c>
      <c r="M2591" s="401"/>
      <c r="N2591" s="86"/>
    </row>
    <row r="2592" spans="1:14" s="64" customFormat="1" x14ac:dyDescent="0.2">
      <c r="A2592" s="63"/>
      <c r="B2592" s="396"/>
      <c r="C2592" s="122"/>
      <c r="D2592" s="75"/>
      <c r="E2592" s="395"/>
      <c r="F2592" s="395"/>
      <c r="G2592" s="395"/>
      <c r="H2592" s="67"/>
      <c r="I2592" s="69"/>
      <c r="J2592" s="134"/>
      <c r="K2592" s="324">
        <v>0.2999</v>
      </c>
      <c r="L2592" s="191">
        <f>L1060</f>
        <v>1.4842</v>
      </c>
      <c r="M2592" s="401"/>
      <c r="N2592" s="86"/>
    </row>
    <row r="2593" spans="1:14" s="64" customFormat="1" x14ac:dyDescent="0.2">
      <c r="A2593" s="63"/>
      <c r="B2593" s="396"/>
      <c r="C2593" s="122"/>
      <c r="D2593" s="75"/>
      <c r="E2593" s="395"/>
      <c r="F2593" s="395"/>
      <c r="G2593" s="395"/>
      <c r="H2593" s="67"/>
      <c r="I2593" s="69"/>
      <c r="J2593" s="134"/>
      <c r="K2593" s="324">
        <v>0.2999</v>
      </c>
      <c r="L2593" s="191">
        <f>L1061</f>
        <v>1.4842</v>
      </c>
      <c r="M2593" s="401"/>
      <c r="N2593" s="86"/>
    </row>
    <row r="2594" spans="1:14" s="64" customFormat="1" x14ac:dyDescent="0.2">
      <c r="A2594" s="63"/>
      <c r="B2594" s="396"/>
      <c r="C2594" s="122"/>
      <c r="D2594" s="75"/>
      <c r="E2594" s="395"/>
      <c r="F2594" s="395"/>
      <c r="G2594" s="395"/>
      <c r="H2594" s="67"/>
      <c r="I2594" s="69"/>
      <c r="J2594" s="134"/>
      <c r="K2594" s="324">
        <v>0.2999</v>
      </c>
      <c r="L2594" s="191">
        <f>L1062</f>
        <v>1.4842</v>
      </c>
      <c r="M2594" s="401"/>
      <c r="N2594" s="86"/>
    </row>
    <row r="2595" spans="1:14" s="64" customFormat="1" x14ac:dyDescent="0.2">
      <c r="A2595" s="63"/>
      <c r="B2595" s="396"/>
      <c r="C2595" s="122"/>
      <c r="D2595" s="75"/>
      <c r="E2595" s="395"/>
      <c r="F2595" s="395"/>
      <c r="G2595" s="395"/>
      <c r="H2595" s="67"/>
      <c r="I2595" s="69"/>
      <c r="J2595" s="134"/>
      <c r="K2595" s="324">
        <v>0.2999</v>
      </c>
      <c r="L2595" s="191">
        <f>L1063</f>
        <v>1.4842</v>
      </c>
      <c r="M2595" s="401"/>
      <c r="N2595" s="86"/>
    </row>
    <row r="2596" spans="1:14" s="64" customFormat="1" x14ac:dyDescent="0.2">
      <c r="A2596" s="63"/>
      <c r="B2596" s="396"/>
      <c r="C2596" s="122"/>
      <c r="D2596" s="75"/>
      <c r="E2596" s="395"/>
      <c r="F2596" s="395"/>
      <c r="G2596" s="395"/>
      <c r="H2596" s="67"/>
      <c r="I2596" s="69"/>
      <c r="J2596" s="134"/>
      <c r="K2596" s="324">
        <v>0.2999</v>
      </c>
      <c r="L2596" s="191">
        <f>L1064</f>
        <v>1.4842</v>
      </c>
      <c r="M2596" s="401"/>
      <c r="N2596" s="86"/>
    </row>
    <row r="2597" spans="1:14" s="64" customFormat="1" x14ac:dyDescent="0.2">
      <c r="A2597" s="63"/>
      <c r="B2597" s="396"/>
      <c r="C2597" s="122"/>
      <c r="D2597" s="75"/>
      <c r="E2597" s="395"/>
      <c r="F2597" s="395"/>
      <c r="G2597" s="395"/>
      <c r="H2597" s="67"/>
      <c r="I2597" s="69"/>
      <c r="J2597" s="134"/>
      <c r="K2597" s="324">
        <v>0.2999</v>
      </c>
      <c r="L2597" s="191">
        <f>L1065</f>
        <v>1.4842</v>
      </c>
      <c r="M2597" s="401"/>
      <c r="N2597" s="86"/>
    </row>
    <row r="2598" spans="1:14" s="64" customFormat="1" x14ac:dyDescent="0.2">
      <c r="A2598" s="63"/>
      <c r="B2598" s="396"/>
      <c r="C2598" s="122"/>
      <c r="D2598" s="75"/>
      <c r="E2598" s="395"/>
      <c r="F2598" s="395"/>
      <c r="G2598" s="395"/>
      <c r="H2598" s="67"/>
      <c r="I2598" s="69"/>
      <c r="J2598" s="134"/>
      <c r="K2598" s="324">
        <v>0.2999</v>
      </c>
      <c r="L2598" s="191">
        <f>L1066</f>
        <v>1.4842</v>
      </c>
      <c r="M2598" s="401"/>
      <c r="N2598" s="86"/>
    </row>
    <row r="2599" spans="1:14" s="64" customFormat="1" x14ac:dyDescent="0.2">
      <c r="A2599" s="63"/>
      <c r="B2599" s="396"/>
      <c r="C2599" s="122"/>
      <c r="D2599" s="75"/>
      <c r="E2599" s="395"/>
      <c r="F2599" s="395"/>
      <c r="G2599" s="395"/>
      <c r="H2599" s="67"/>
      <c r="I2599" s="69"/>
      <c r="J2599" s="134"/>
      <c r="K2599" s="324">
        <v>0.2999</v>
      </c>
      <c r="L2599" s="191">
        <f>L1067</f>
        <v>1.4842</v>
      </c>
      <c r="M2599" s="401"/>
      <c r="N2599" s="86"/>
    </row>
    <row r="2600" spans="1:14" s="64" customFormat="1" x14ac:dyDescent="0.2">
      <c r="A2600" s="63"/>
      <c r="B2600" s="396"/>
      <c r="C2600" s="122"/>
      <c r="D2600" s="75"/>
      <c r="E2600" s="395"/>
      <c r="F2600" s="395"/>
      <c r="G2600" s="395"/>
      <c r="H2600" s="67"/>
      <c r="I2600" s="69"/>
      <c r="J2600" s="134"/>
      <c r="K2600" s="324">
        <v>0.2999</v>
      </c>
      <c r="L2600" s="191">
        <f>L1068</f>
        <v>1.4842</v>
      </c>
      <c r="M2600" s="401"/>
      <c r="N2600" s="86"/>
    </row>
    <row r="2601" spans="1:14" s="64" customFormat="1" x14ac:dyDescent="0.2">
      <c r="A2601" s="63"/>
      <c r="B2601" s="396"/>
      <c r="C2601" s="122"/>
      <c r="D2601" s="75"/>
      <c r="E2601" s="395"/>
      <c r="F2601" s="395"/>
      <c r="G2601" s="395"/>
      <c r="H2601" s="67"/>
      <c r="I2601" s="69"/>
      <c r="J2601" s="134"/>
      <c r="K2601" s="324">
        <v>0.2999</v>
      </c>
      <c r="L2601" s="191">
        <f>L1069</f>
        <v>1.4842</v>
      </c>
      <c r="M2601" s="401"/>
      <c r="N2601" s="86"/>
    </row>
    <row r="2602" spans="1:14" s="64" customFormat="1" x14ac:dyDescent="0.2">
      <c r="A2602" s="63"/>
      <c r="B2602" s="396"/>
      <c r="C2602" s="122"/>
      <c r="D2602" s="75"/>
      <c r="E2602" s="395"/>
      <c r="F2602" s="395"/>
      <c r="G2602" s="395"/>
      <c r="H2602" s="67"/>
      <c r="I2602" s="69"/>
      <c r="J2602" s="134"/>
      <c r="K2602" s="324">
        <v>0.2999</v>
      </c>
      <c r="L2602" s="191">
        <f>L1070</f>
        <v>1.4842</v>
      </c>
      <c r="M2602" s="401"/>
      <c r="N2602" s="86"/>
    </row>
    <row r="2603" spans="1:14" s="64" customFormat="1" x14ac:dyDescent="0.2">
      <c r="A2603" s="63"/>
      <c r="B2603" s="396"/>
      <c r="C2603" s="122"/>
      <c r="D2603" s="75"/>
      <c r="E2603" s="395"/>
      <c r="F2603" s="395"/>
      <c r="G2603" s="395"/>
      <c r="H2603" s="67"/>
      <c r="I2603" s="69"/>
      <c r="J2603" s="134"/>
      <c r="K2603" s="324">
        <v>0.2999</v>
      </c>
      <c r="L2603" s="191">
        <f>L1071</f>
        <v>1.4842</v>
      </c>
      <c r="M2603" s="401"/>
      <c r="N2603" s="86"/>
    </row>
    <row r="2604" spans="1:14" s="64" customFormat="1" x14ac:dyDescent="0.2">
      <c r="A2604" s="63"/>
      <c r="B2604" s="396"/>
      <c r="C2604" s="122"/>
      <c r="D2604" s="75"/>
      <c r="E2604" s="395"/>
      <c r="F2604" s="395"/>
      <c r="G2604" s="395"/>
      <c r="H2604" s="67"/>
      <c r="I2604" s="69"/>
      <c r="J2604" s="134"/>
      <c r="K2604" s="324">
        <v>0.2999</v>
      </c>
      <c r="L2604" s="191">
        <f>L1072</f>
        <v>1.4842</v>
      </c>
      <c r="M2604" s="401"/>
      <c r="N2604" s="86"/>
    </row>
    <row r="2605" spans="1:14" s="64" customFormat="1" x14ac:dyDescent="0.2">
      <c r="A2605" s="63"/>
      <c r="B2605" s="396"/>
      <c r="C2605" s="122"/>
      <c r="D2605" s="75"/>
      <c r="E2605" s="395"/>
      <c r="F2605" s="395"/>
      <c r="G2605" s="395"/>
      <c r="H2605" s="67"/>
      <c r="I2605" s="69"/>
      <c r="J2605" s="134"/>
      <c r="K2605" s="324">
        <v>0.2999</v>
      </c>
      <c r="L2605" s="191">
        <f>L1073</f>
        <v>1.4842</v>
      </c>
      <c r="M2605" s="401"/>
      <c r="N2605" s="86"/>
    </row>
    <row r="2606" spans="1:14" s="64" customFormat="1" x14ac:dyDescent="0.2">
      <c r="A2606" s="63"/>
      <c r="B2606" s="396"/>
      <c r="C2606" s="122"/>
      <c r="D2606" s="75"/>
      <c r="E2606" s="395"/>
      <c r="F2606" s="395"/>
      <c r="G2606" s="395"/>
      <c r="H2606" s="67"/>
      <c r="I2606" s="69"/>
      <c r="J2606" s="134"/>
      <c r="K2606" s="324">
        <v>0.2999</v>
      </c>
      <c r="L2606" s="191">
        <f>L1074</f>
        <v>1.4842</v>
      </c>
      <c r="M2606" s="401"/>
      <c r="N2606" s="86"/>
    </row>
    <row r="2607" spans="1:14" s="64" customFormat="1" x14ac:dyDescent="0.2">
      <c r="A2607" s="63"/>
      <c r="B2607" s="396"/>
      <c r="C2607" s="122"/>
      <c r="D2607" s="75"/>
      <c r="E2607" s="395"/>
      <c r="F2607" s="395"/>
      <c r="G2607" s="395"/>
      <c r="H2607" s="67"/>
      <c r="I2607" s="69"/>
      <c r="J2607" s="134"/>
      <c r="K2607" s="324">
        <v>0.2999</v>
      </c>
      <c r="L2607" s="191">
        <f>L1075</f>
        <v>1.4842</v>
      </c>
      <c r="M2607" s="401"/>
      <c r="N2607" s="86"/>
    </row>
    <row r="2608" spans="1:14" s="64" customFormat="1" x14ac:dyDescent="0.2">
      <c r="A2608" s="63"/>
      <c r="B2608" s="396"/>
      <c r="C2608" s="122"/>
      <c r="D2608" s="75"/>
      <c r="E2608" s="395"/>
      <c r="F2608" s="395"/>
      <c r="G2608" s="395"/>
      <c r="H2608" s="67"/>
      <c r="I2608" s="69"/>
      <c r="J2608" s="134"/>
      <c r="K2608" s="324">
        <v>0.2999</v>
      </c>
      <c r="L2608" s="191">
        <f>L1076</f>
        <v>1.4842</v>
      </c>
      <c r="M2608" s="401"/>
      <c r="N2608" s="86"/>
    </row>
    <row r="2609" spans="1:14" s="64" customFormat="1" x14ac:dyDescent="0.2">
      <c r="A2609" s="63"/>
      <c r="B2609" s="396"/>
      <c r="C2609" s="122"/>
      <c r="D2609" s="75"/>
      <c r="E2609" s="395"/>
      <c r="F2609" s="395"/>
      <c r="G2609" s="395"/>
      <c r="H2609" s="67"/>
      <c r="I2609" s="69"/>
      <c r="J2609" s="134"/>
      <c r="K2609" s="324">
        <v>0.2999</v>
      </c>
      <c r="L2609" s="191">
        <f>L1077</f>
        <v>1.4842</v>
      </c>
      <c r="M2609" s="401"/>
      <c r="N2609" s="86"/>
    </row>
    <row r="2610" spans="1:14" s="64" customFormat="1" x14ac:dyDescent="0.2">
      <c r="A2610" s="63"/>
      <c r="B2610" s="396"/>
      <c r="C2610" s="122"/>
      <c r="D2610" s="75"/>
      <c r="E2610" s="395"/>
      <c r="F2610" s="395"/>
      <c r="G2610" s="395"/>
      <c r="H2610" s="67"/>
      <c r="I2610" s="69"/>
      <c r="J2610" s="134"/>
      <c r="K2610" s="324">
        <v>0.2999</v>
      </c>
      <c r="L2610" s="191">
        <f>L1078</f>
        <v>1.4842</v>
      </c>
      <c r="M2610" s="401"/>
      <c r="N2610" s="86"/>
    </row>
    <row r="2611" spans="1:14" s="64" customFormat="1" x14ac:dyDescent="0.2">
      <c r="A2611" s="63"/>
      <c r="B2611" s="396"/>
      <c r="C2611" s="122"/>
      <c r="D2611" s="75"/>
      <c r="E2611" s="395"/>
      <c r="F2611" s="395"/>
      <c r="G2611" s="395"/>
      <c r="H2611" s="67"/>
      <c r="I2611" s="69"/>
      <c r="J2611" s="134"/>
      <c r="K2611" s="324">
        <v>0.2999</v>
      </c>
      <c r="L2611" s="191">
        <f>L1079</f>
        <v>1.4842</v>
      </c>
      <c r="M2611" s="401"/>
      <c r="N2611" s="86"/>
    </row>
    <row r="2612" spans="1:14" s="64" customFormat="1" x14ac:dyDescent="0.2">
      <c r="A2612" s="63"/>
      <c r="B2612" s="396"/>
      <c r="C2612" s="122"/>
      <c r="D2612" s="75"/>
      <c r="E2612" s="395"/>
      <c r="F2612" s="395"/>
      <c r="G2612" s="395"/>
      <c r="H2612" s="67"/>
      <c r="I2612" s="69"/>
      <c r="J2612" s="134"/>
      <c r="K2612" s="324">
        <v>0.2999</v>
      </c>
      <c r="L2612" s="191">
        <f>L1080</f>
        <v>1.4842</v>
      </c>
      <c r="M2612" s="401"/>
      <c r="N2612" s="86"/>
    </row>
    <row r="2613" spans="1:14" s="64" customFormat="1" x14ac:dyDescent="0.2">
      <c r="A2613" s="63"/>
      <c r="B2613" s="396"/>
      <c r="C2613" s="122"/>
      <c r="D2613" s="75"/>
      <c r="E2613" s="395"/>
      <c r="F2613" s="395"/>
      <c r="G2613" s="395"/>
      <c r="H2613" s="67"/>
      <c r="I2613" s="69"/>
      <c r="J2613" s="134"/>
      <c r="K2613" s="324">
        <v>0.2999</v>
      </c>
      <c r="L2613" s="191">
        <f>L1081</f>
        <v>1.4842</v>
      </c>
      <c r="M2613" s="401"/>
      <c r="N2613" s="86"/>
    </row>
    <row r="2614" spans="1:14" s="64" customFormat="1" x14ac:dyDescent="0.2">
      <c r="A2614" s="63"/>
      <c r="B2614" s="396"/>
      <c r="C2614" s="122"/>
      <c r="D2614" s="75"/>
      <c r="E2614" s="395"/>
      <c r="F2614" s="395"/>
      <c r="G2614" s="395"/>
      <c r="H2614" s="67"/>
      <c r="I2614" s="69"/>
      <c r="J2614" s="134"/>
      <c r="K2614" s="324">
        <v>0.2999</v>
      </c>
      <c r="L2614" s="191">
        <f>L1082</f>
        <v>1.4842</v>
      </c>
      <c r="M2614" s="401"/>
      <c r="N2614" s="86"/>
    </row>
    <row r="2615" spans="1:14" s="64" customFormat="1" x14ac:dyDescent="0.2">
      <c r="A2615" s="63"/>
      <c r="B2615" s="396"/>
      <c r="C2615" s="122"/>
      <c r="D2615" s="75"/>
      <c r="E2615" s="395"/>
      <c r="F2615" s="395"/>
      <c r="G2615" s="395"/>
      <c r="H2615" s="67"/>
      <c r="I2615" s="69"/>
      <c r="J2615" s="134"/>
      <c r="K2615" s="324">
        <v>0.2999</v>
      </c>
      <c r="L2615" s="191">
        <f>L1083</f>
        <v>1.4842</v>
      </c>
      <c r="M2615" s="401"/>
      <c r="N2615" s="86"/>
    </row>
    <row r="2616" spans="1:14" s="64" customFormat="1" x14ac:dyDescent="0.2">
      <c r="A2616" s="63"/>
      <c r="B2616" s="396"/>
      <c r="C2616" s="122"/>
      <c r="D2616" s="75"/>
      <c r="E2616" s="395"/>
      <c r="F2616" s="395"/>
      <c r="G2616" s="395"/>
      <c r="H2616" s="67"/>
      <c r="I2616" s="69"/>
      <c r="J2616" s="134"/>
      <c r="K2616" s="324">
        <v>0.2999</v>
      </c>
      <c r="L2616" s="191">
        <f>L1084</f>
        <v>1.4842</v>
      </c>
      <c r="M2616" s="401"/>
      <c r="N2616" s="86"/>
    </row>
    <row r="2617" spans="1:14" s="64" customFormat="1" x14ac:dyDescent="0.2">
      <c r="A2617" s="63"/>
      <c r="B2617" s="396"/>
      <c r="C2617" s="122"/>
      <c r="D2617" s="75"/>
      <c r="E2617" s="395"/>
      <c r="F2617" s="395"/>
      <c r="G2617" s="395"/>
      <c r="H2617" s="67"/>
      <c r="I2617" s="69"/>
      <c r="J2617" s="134"/>
      <c r="K2617" s="324">
        <v>0.2999</v>
      </c>
      <c r="L2617" s="191">
        <f>L1085</f>
        <v>1.4842</v>
      </c>
      <c r="M2617" s="401"/>
      <c r="N2617" s="86"/>
    </row>
    <row r="2618" spans="1:14" s="64" customFormat="1" x14ac:dyDescent="0.2">
      <c r="A2618" s="63"/>
      <c r="B2618" s="396"/>
      <c r="C2618" s="122"/>
      <c r="D2618" s="75"/>
      <c r="E2618" s="395"/>
      <c r="F2618" s="395"/>
      <c r="G2618" s="395"/>
      <c r="H2618" s="67"/>
      <c r="I2618" s="69"/>
      <c r="J2618" s="134"/>
      <c r="K2618" s="324">
        <v>0.2999</v>
      </c>
      <c r="L2618" s="191">
        <f>L1086</f>
        <v>1.4842</v>
      </c>
      <c r="M2618" s="401"/>
      <c r="N2618" s="86"/>
    </row>
    <row r="2619" spans="1:14" s="64" customFormat="1" x14ac:dyDescent="0.2">
      <c r="A2619" s="63"/>
      <c r="B2619" s="396"/>
      <c r="C2619" s="122"/>
      <c r="D2619" s="75"/>
      <c r="E2619" s="395"/>
      <c r="F2619" s="395"/>
      <c r="G2619" s="395"/>
      <c r="H2619" s="67"/>
      <c r="I2619" s="69"/>
      <c r="J2619" s="134"/>
      <c r="K2619" s="324">
        <v>0.2999</v>
      </c>
      <c r="L2619" s="191">
        <f>L1087</f>
        <v>1.4842</v>
      </c>
      <c r="M2619" s="401"/>
      <c r="N2619" s="86"/>
    </row>
    <row r="2620" spans="1:14" s="64" customFormat="1" x14ac:dyDescent="0.2">
      <c r="A2620" s="63"/>
      <c r="B2620" s="396"/>
      <c r="C2620" s="122"/>
      <c r="D2620" s="75"/>
      <c r="E2620" s="395"/>
      <c r="F2620" s="395"/>
      <c r="G2620" s="395"/>
      <c r="H2620" s="67"/>
      <c r="I2620" s="69"/>
      <c r="J2620" s="134"/>
      <c r="K2620" s="324">
        <v>0.2999</v>
      </c>
      <c r="L2620" s="191">
        <f>L1088</f>
        <v>1.4842</v>
      </c>
      <c r="M2620" s="401"/>
      <c r="N2620" s="86"/>
    </row>
    <row r="2621" spans="1:14" s="64" customFormat="1" x14ac:dyDescent="0.2">
      <c r="A2621" s="63"/>
      <c r="B2621" s="396"/>
      <c r="C2621" s="122"/>
      <c r="D2621" s="75"/>
      <c r="E2621" s="395"/>
      <c r="F2621" s="395"/>
      <c r="G2621" s="395"/>
      <c r="H2621" s="67"/>
      <c r="I2621" s="69"/>
      <c r="J2621" s="134"/>
      <c r="K2621" s="324">
        <v>0.2999</v>
      </c>
      <c r="L2621" s="191">
        <f>L1089</f>
        <v>1.4842</v>
      </c>
      <c r="M2621" s="401"/>
      <c r="N2621" s="86"/>
    </row>
    <row r="2622" spans="1:14" s="64" customFormat="1" x14ac:dyDescent="0.2">
      <c r="A2622" s="63"/>
      <c r="B2622" s="396"/>
      <c r="C2622" s="122"/>
      <c r="D2622" s="75"/>
      <c r="E2622" s="395"/>
      <c r="F2622" s="395"/>
      <c r="G2622" s="395"/>
      <c r="H2622" s="67"/>
      <c r="I2622" s="69"/>
      <c r="J2622" s="134"/>
      <c r="K2622" s="324">
        <v>0.2999</v>
      </c>
      <c r="L2622" s="191">
        <f>L1090</f>
        <v>1.4842</v>
      </c>
      <c r="M2622" s="401"/>
      <c r="N2622" s="86"/>
    </row>
    <row r="2623" spans="1:14" s="64" customFormat="1" x14ac:dyDescent="0.2">
      <c r="A2623" s="63"/>
      <c r="B2623" s="396"/>
      <c r="C2623" s="122"/>
      <c r="D2623" s="75"/>
      <c r="E2623" s="395"/>
      <c r="F2623" s="395"/>
      <c r="G2623" s="395"/>
      <c r="H2623" s="67"/>
      <c r="I2623" s="69"/>
      <c r="J2623" s="134"/>
      <c r="K2623" s="324">
        <v>0.2999</v>
      </c>
      <c r="L2623" s="191">
        <f>L1091</f>
        <v>1.4842</v>
      </c>
      <c r="M2623" s="401"/>
      <c r="N2623" s="86"/>
    </row>
    <row r="2624" spans="1:14" s="64" customFormat="1" x14ac:dyDescent="0.2">
      <c r="A2624" s="63"/>
      <c r="B2624" s="396"/>
      <c r="C2624" s="122"/>
      <c r="D2624" s="75"/>
      <c r="E2624" s="395"/>
      <c r="F2624" s="395"/>
      <c r="G2624" s="395"/>
      <c r="H2624" s="67"/>
      <c r="I2624" s="69"/>
      <c r="J2624" s="134"/>
      <c r="K2624" s="324">
        <v>0.2999</v>
      </c>
      <c r="L2624" s="191">
        <f>L1092</f>
        <v>1.4842</v>
      </c>
      <c r="M2624" s="401"/>
      <c r="N2624" s="86"/>
    </row>
    <row r="2625" spans="1:14" s="64" customFormat="1" x14ac:dyDescent="0.2">
      <c r="A2625" s="63"/>
      <c r="B2625" s="396"/>
      <c r="C2625" s="122"/>
      <c r="D2625" s="75"/>
      <c r="E2625" s="395"/>
      <c r="F2625" s="395"/>
      <c r="G2625" s="395"/>
      <c r="H2625" s="67"/>
      <c r="I2625" s="69"/>
      <c r="J2625" s="134"/>
      <c r="K2625" s="324">
        <v>0.2999</v>
      </c>
      <c r="L2625" s="191">
        <f>L1093</f>
        <v>1.4842</v>
      </c>
      <c r="M2625" s="401"/>
      <c r="N2625" s="86"/>
    </row>
    <row r="2626" spans="1:14" s="64" customFormat="1" x14ac:dyDescent="0.2">
      <c r="A2626" s="63"/>
      <c r="B2626" s="396"/>
      <c r="C2626" s="122"/>
      <c r="D2626" s="75"/>
      <c r="E2626" s="395"/>
      <c r="F2626" s="395"/>
      <c r="G2626" s="395"/>
      <c r="H2626" s="67"/>
      <c r="I2626" s="69"/>
      <c r="J2626" s="134"/>
      <c r="K2626" s="324">
        <v>0.2999</v>
      </c>
      <c r="L2626" s="191">
        <f>L1094</f>
        <v>0</v>
      </c>
      <c r="M2626" s="401"/>
      <c r="N2626" s="86"/>
    </row>
    <row r="2627" spans="1:14" s="64" customFormat="1" x14ac:dyDescent="0.2">
      <c r="A2627" s="63"/>
      <c r="B2627" s="396"/>
      <c r="C2627" s="122"/>
      <c r="D2627" s="75"/>
      <c r="E2627" s="395"/>
      <c r="F2627" s="395"/>
      <c r="G2627" s="395"/>
      <c r="H2627" s="67"/>
      <c r="I2627" s="69"/>
      <c r="J2627" s="134"/>
      <c r="K2627" s="324">
        <v>0.2999</v>
      </c>
      <c r="L2627" s="191">
        <f>L1095</f>
        <v>1.4842</v>
      </c>
      <c r="M2627" s="401"/>
      <c r="N2627" s="86"/>
    </row>
    <row r="2628" spans="1:14" s="64" customFormat="1" x14ac:dyDescent="0.2">
      <c r="A2628" s="63"/>
      <c r="B2628" s="396"/>
      <c r="C2628" s="122"/>
      <c r="D2628" s="75"/>
      <c r="E2628" s="395"/>
      <c r="F2628" s="395"/>
      <c r="G2628" s="395"/>
      <c r="H2628" s="67"/>
      <c r="I2628" s="69"/>
      <c r="J2628" s="134"/>
      <c r="K2628" s="324">
        <v>0.2999</v>
      </c>
      <c r="L2628" s="191">
        <f>L1096</f>
        <v>1.4842</v>
      </c>
      <c r="M2628" s="401"/>
      <c r="N2628" s="86"/>
    </row>
    <row r="2629" spans="1:14" s="64" customFormat="1" x14ac:dyDescent="0.2">
      <c r="A2629" s="63"/>
      <c r="B2629" s="396"/>
      <c r="C2629" s="122"/>
      <c r="D2629" s="75"/>
      <c r="E2629" s="395"/>
      <c r="F2629" s="395"/>
      <c r="G2629" s="395"/>
      <c r="H2629" s="67"/>
      <c r="I2629" s="69"/>
      <c r="J2629" s="134"/>
      <c r="K2629" s="324">
        <v>0.2999</v>
      </c>
      <c r="L2629" s="191">
        <f>L1097</f>
        <v>1.4842</v>
      </c>
      <c r="M2629" s="401"/>
      <c r="N2629" s="86"/>
    </row>
    <row r="2630" spans="1:14" s="64" customFormat="1" x14ac:dyDescent="0.2">
      <c r="A2630" s="63"/>
      <c r="B2630" s="396"/>
      <c r="C2630" s="122"/>
      <c r="D2630" s="75"/>
      <c r="E2630" s="395"/>
      <c r="F2630" s="395"/>
      <c r="G2630" s="395"/>
      <c r="H2630" s="67"/>
      <c r="I2630" s="69"/>
      <c r="J2630" s="134"/>
      <c r="K2630" s="324">
        <v>0.2999</v>
      </c>
      <c r="L2630" s="191">
        <f>L1098</f>
        <v>1.4842</v>
      </c>
      <c r="M2630" s="401"/>
      <c r="N2630" s="86"/>
    </row>
    <row r="2631" spans="1:14" s="64" customFormat="1" x14ac:dyDescent="0.2">
      <c r="A2631" s="63"/>
      <c r="B2631" s="396"/>
      <c r="C2631" s="122"/>
      <c r="D2631" s="75"/>
      <c r="E2631" s="395"/>
      <c r="F2631" s="395"/>
      <c r="G2631" s="395"/>
      <c r="H2631" s="67"/>
      <c r="I2631" s="69"/>
      <c r="J2631" s="134"/>
      <c r="K2631" s="324">
        <v>0.2999</v>
      </c>
      <c r="L2631" s="191">
        <f>L1099</f>
        <v>1.4842</v>
      </c>
      <c r="M2631" s="401"/>
      <c r="N2631" s="86"/>
    </row>
    <row r="2632" spans="1:14" s="64" customFormat="1" x14ac:dyDescent="0.2">
      <c r="A2632" s="63"/>
      <c r="B2632" s="396"/>
      <c r="C2632" s="122"/>
      <c r="D2632" s="75"/>
      <c r="E2632" s="395"/>
      <c r="F2632" s="395"/>
      <c r="G2632" s="395"/>
      <c r="H2632" s="67"/>
      <c r="I2632" s="69"/>
      <c r="J2632" s="134"/>
      <c r="K2632" s="324">
        <v>0.2999</v>
      </c>
      <c r="L2632" s="191">
        <f>L1100</f>
        <v>1.4842</v>
      </c>
      <c r="M2632" s="401"/>
      <c r="N2632" s="86"/>
    </row>
    <row r="2633" spans="1:14" s="64" customFormat="1" x14ac:dyDescent="0.2">
      <c r="A2633" s="63"/>
      <c r="B2633" s="396"/>
      <c r="C2633" s="122"/>
      <c r="D2633" s="75"/>
      <c r="E2633" s="395"/>
      <c r="F2633" s="395"/>
      <c r="G2633" s="395"/>
      <c r="H2633" s="67"/>
      <c r="I2633" s="69"/>
      <c r="J2633" s="134"/>
      <c r="K2633" s="324">
        <v>0.2999</v>
      </c>
      <c r="L2633" s="191">
        <f>L1101</f>
        <v>1.4842</v>
      </c>
      <c r="M2633" s="401"/>
      <c r="N2633" s="86"/>
    </row>
    <row r="2634" spans="1:14" s="64" customFormat="1" x14ac:dyDescent="0.2">
      <c r="A2634" s="63"/>
      <c r="B2634" s="396"/>
      <c r="C2634" s="122"/>
      <c r="D2634" s="75"/>
      <c r="E2634" s="395"/>
      <c r="F2634" s="395"/>
      <c r="G2634" s="395"/>
      <c r="H2634" s="67"/>
      <c r="I2634" s="69"/>
      <c r="J2634" s="134"/>
      <c r="K2634" s="324">
        <v>0.2999</v>
      </c>
      <c r="L2634" s="191">
        <f>L1102</f>
        <v>1.4842</v>
      </c>
      <c r="M2634" s="401"/>
      <c r="N2634" s="86"/>
    </row>
    <row r="2635" spans="1:14" s="64" customFormat="1" x14ac:dyDescent="0.2">
      <c r="A2635" s="63"/>
      <c r="B2635" s="396"/>
      <c r="C2635" s="122"/>
      <c r="D2635" s="75"/>
      <c r="E2635" s="395"/>
      <c r="F2635" s="395"/>
      <c r="G2635" s="395"/>
      <c r="H2635" s="67"/>
      <c r="I2635" s="69"/>
      <c r="J2635" s="134"/>
      <c r="K2635" s="324">
        <v>0.2999</v>
      </c>
      <c r="L2635" s="191">
        <f>L1103</f>
        <v>1.4842</v>
      </c>
      <c r="M2635" s="401"/>
      <c r="N2635" s="86"/>
    </row>
    <row r="2636" spans="1:14" s="64" customFormat="1" x14ac:dyDescent="0.2">
      <c r="A2636" s="63"/>
      <c r="B2636" s="396"/>
      <c r="C2636" s="122"/>
      <c r="D2636" s="75"/>
      <c r="E2636" s="395"/>
      <c r="F2636" s="395"/>
      <c r="G2636" s="395"/>
      <c r="H2636" s="67"/>
      <c r="I2636" s="69"/>
      <c r="J2636" s="134"/>
      <c r="K2636" s="324">
        <v>0.2999</v>
      </c>
      <c r="L2636" s="191">
        <f>L1104</f>
        <v>1.4842</v>
      </c>
      <c r="M2636" s="401"/>
      <c r="N2636" s="86"/>
    </row>
    <row r="2637" spans="1:14" s="64" customFormat="1" x14ac:dyDescent="0.2">
      <c r="A2637" s="63"/>
      <c r="B2637" s="396"/>
      <c r="C2637" s="122"/>
      <c r="D2637" s="75"/>
      <c r="E2637" s="395"/>
      <c r="F2637" s="395"/>
      <c r="G2637" s="395"/>
      <c r="H2637" s="67"/>
      <c r="I2637" s="69"/>
      <c r="J2637" s="134"/>
      <c r="K2637" s="324">
        <v>0.2999</v>
      </c>
      <c r="L2637" s="191">
        <f>L1105</f>
        <v>1.4842</v>
      </c>
      <c r="M2637" s="401"/>
      <c r="N2637" s="86"/>
    </row>
    <row r="2638" spans="1:14" s="64" customFormat="1" x14ac:dyDescent="0.2">
      <c r="A2638" s="63"/>
      <c r="B2638" s="396"/>
      <c r="C2638" s="122"/>
      <c r="D2638" s="75"/>
      <c r="E2638" s="395"/>
      <c r="F2638" s="395"/>
      <c r="G2638" s="395"/>
      <c r="H2638" s="67"/>
      <c r="I2638" s="69"/>
      <c r="J2638" s="134"/>
      <c r="K2638" s="324">
        <v>0.2999</v>
      </c>
      <c r="L2638" s="191">
        <f>L1106</f>
        <v>1.4842</v>
      </c>
      <c r="M2638" s="401"/>
      <c r="N2638" s="86"/>
    </row>
    <row r="2639" spans="1:14" s="64" customFormat="1" x14ac:dyDescent="0.2">
      <c r="A2639" s="63"/>
      <c r="B2639" s="396"/>
      <c r="C2639" s="122"/>
      <c r="D2639" s="75"/>
      <c r="E2639" s="395"/>
      <c r="F2639" s="395"/>
      <c r="G2639" s="395"/>
      <c r="H2639" s="67"/>
      <c r="I2639" s="69"/>
      <c r="J2639" s="134"/>
      <c r="K2639" s="324">
        <v>0.2999</v>
      </c>
      <c r="L2639" s="191">
        <f>L1107</f>
        <v>1.4842</v>
      </c>
      <c r="M2639" s="401"/>
      <c r="N2639" s="86"/>
    </row>
    <row r="2640" spans="1:14" s="64" customFormat="1" x14ac:dyDescent="0.2">
      <c r="A2640" s="63"/>
      <c r="B2640" s="396"/>
      <c r="C2640" s="122"/>
      <c r="D2640" s="75"/>
      <c r="E2640" s="395"/>
      <c r="F2640" s="395"/>
      <c r="G2640" s="395"/>
      <c r="H2640" s="67"/>
      <c r="I2640" s="69"/>
      <c r="J2640" s="134"/>
      <c r="K2640" s="324">
        <v>0.2999</v>
      </c>
      <c r="L2640" s="191">
        <f>L1108</f>
        <v>1.4842</v>
      </c>
      <c r="M2640" s="401"/>
      <c r="N2640" s="86"/>
    </row>
    <row r="2641" spans="1:14" s="64" customFormat="1" x14ac:dyDescent="0.2">
      <c r="A2641" s="63"/>
      <c r="B2641" s="396"/>
      <c r="C2641" s="122"/>
      <c r="D2641" s="75"/>
      <c r="E2641" s="395"/>
      <c r="F2641" s="395"/>
      <c r="G2641" s="395"/>
      <c r="H2641" s="67"/>
      <c r="I2641" s="69"/>
      <c r="J2641" s="134"/>
      <c r="K2641" s="324">
        <v>0.2999</v>
      </c>
      <c r="L2641" s="191">
        <f>L1109</f>
        <v>1.4842</v>
      </c>
      <c r="M2641" s="401"/>
      <c r="N2641" s="86"/>
    </row>
    <row r="2642" spans="1:14" s="64" customFormat="1" x14ac:dyDescent="0.2">
      <c r="A2642" s="63"/>
      <c r="B2642" s="396"/>
      <c r="C2642" s="122"/>
      <c r="D2642" s="75"/>
      <c r="E2642" s="395"/>
      <c r="F2642" s="395"/>
      <c r="G2642" s="395"/>
      <c r="H2642" s="67"/>
      <c r="I2642" s="69"/>
      <c r="J2642" s="134"/>
      <c r="K2642" s="324">
        <v>0.2999</v>
      </c>
      <c r="L2642" s="191">
        <f>L1110</f>
        <v>1.4842</v>
      </c>
      <c r="M2642" s="401"/>
      <c r="N2642" s="86"/>
    </row>
    <row r="2643" spans="1:14" s="64" customFormat="1" x14ac:dyDescent="0.2">
      <c r="A2643" s="63"/>
      <c r="B2643" s="396"/>
      <c r="C2643" s="122"/>
      <c r="D2643" s="75"/>
      <c r="E2643" s="395"/>
      <c r="F2643" s="395"/>
      <c r="G2643" s="395"/>
      <c r="H2643" s="67"/>
      <c r="I2643" s="69"/>
      <c r="J2643" s="134"/>
      <c r="K2643" s="324">
        <v>0.2999</v>
      </c>
      <c r="L2643" s="191">
        <f>L1111</f>
        <v>1.4842</v>
      </c>
      <c r="M2643" s="401"/>
      <c r="N2643" s="86"/>
    </row>
    <row r="2644" spans="1:14" s="64" customFormat="1" x14ac:dyDescent="0.2">
      <c r="A2644" s="63"/>
      <c r="B2644" s="396"/>
      <c r="C2644" s="122"/>
      <c r="D2644" s="75"/>
      <c r="E2644" s="395"/>
      <c r="F2644" s="395"/>
      <c r="G2644" s="395"/>
      <c r="H2644" s="67"/>
      <c r="I2644" s="69"/>
      <c r="J2644" s="134"/>
      <c r="K2644" s="324">
        <v>0.2999</v>
      </c>
      <c r="L2644" s="191">
        <f>L1112</f>
        <v>1.4842</v>
      </c>
      <c r="M2644" s="401"/>
      <c r="N2644" s="86"/>
    </row>
    <row r="2645" spans="1:14" s="64" customFormat="1" x14ac:dyDescent="0.2">
      <c r="A2645" s="63"/>
      <c r="B2645" s="396"/>
      <c r="C2645" s="122"/>
      <c r="D2645" s="75"/>
      <c r="E2645" s="395"/>
      <c r="F2645" s="395"/>
      <c r="G2645" s="395"/>
      <c r="H2645" s="67"/>
      <c r="I2645" s="69"/>
      <c r="J2645" s="134"/>
      <c r="K2645" s="324">
        <v>0.2999</v>
      </c>
      <c r="L2645" s="191">
        <f>L1113</f>
        <v>1.4842</v>
      </c>
      <c r="M2645" s="401"/>
      <c r="N2645" s="86"/>
    </row>
    <row r="2646" spans="1:14" s="64" customFormat="1" x14ac:dyDescent="0.2">
      <c r="A2646" s="63"/>
      <c r="B2646" s="396"/>
      <c r="C2646" s="122"/>
      <c r="D2646" s="75"/>
      <c r="E2646" s="395"/>
      <c r="F2646" s="395"/>
      <c r="G2646" s="395"/>
      <c r="H2646" s="67"/>
      <c r="I2646" s="69"/>
      <c r="J2646" s="134"/>
      <c r="K2646" s="324">
        <v>0.2999</v>
      </c>
      <c r="L2646" s="191">
        <f>L1114</f>
        <v>1.4842</v>
      </c>
      <c r="M2646" s="401"/>
      <c r="N2646" s="86"/>
    </row>
    <row r="2647" spans="1:14" s="64" customFormat="1" x14ac:dyDescent="0.2">
      <c r="A2647" s="63"/>
      <c r="B2647" s="396"/>
      <c r="C2647" s="122"/>
      <c r="D2647" s="75"/>
      <c r="E2647" s="395"/>
      <c r="F2647" s="395"/>
      <c r="G2647" s="395"/>
      <c r="H2647" s="67"/>
      <c r="I2647" s="69"/>
      <c r="J2647" s="134"/>
      <c r="K2647" s="324">
        <v>0.2999</v>
      </c>
      <c r="L2647" s="191">
        <f>L1115</f>
        <v>1.4842</v>
      </c>
      <c r="M2647" s="401"/>
      <c r="N2647" s="86"/>
    </row>
    <row r="2648" spans="1:14" s="64" customFormat="1" x14ac:dyDescent="0.2">
      <c r="A2648" s="63"/>
      <c r="B2648" s="396"/>
      <c r="C2648" s="122"/>
      <c r="D2648" s="75"/>
      <c r="E2648" s="395"/>
      <c r="F2648" s="395"/>
      <c r="G2648" s="395"/>
      <c r="H2648" s="67"/>
      <c r="I2648" s="69"/>
      <c r="J2648" s="134"/>
      <c r="K2648" s="324">
        <v>0.2999</v>
      </c>
      <c r="L2648" s="191">
        <f>L1116</f>
        <v>1.4842</v>
      </c>
      <c r="M2648" s="401"/>
      <c r="N2648" s="86"/>
    </row>
    <row r="2649" spans="1:14" s="64" customFormat="1" x14ac:dyDescent="0.2">
      <c r="A2649" s="63"/>
      <c r="B2649" s="396"/>
      <c r="C2649" s="122"/>
      <c r="D2649" s="75"/>
      <c r="E2649" s="395"/>
      <c r="F2649" s="395"/>
      <c r="G2649" s="395"/>
      <c r="H2649" s="67"/>
      <c r="I2649" s="69"/>
      <c r="J2649" s="134"/>
      <c r="K2649" s="324">
        <v>0.2999</v>
      </c>
      <c r="L2649" s="191">
        <f>L1117</f>
        <v>1.4842</v>
      </c>
      <c r="M2649" s="401"/>
      <c r="N2649" s="86"/>
    </row>
    <row r="2650" spans="1:14" s="64" customFormat="1" x14ac:dyDescent="0.2">
      <c r="A2650" s="63"/>
      <c r="B2650" s="396"/>
      <c r="C2650" s="122"/>
      <c r="D2650" s="75"/>
      <c r="E2650" s="395"/>
      <c r="F2650" s="395"/>
      <c r="G2650" s="395"/>
      <c r="H2650" s="67"/>
      <c r="I2650" s="69"/>
      <c r="J2650" s="134"/>
      <c r="K2650" s="324">
        <v>0.2999</v>
      </c>
      <c r="L2650" s="191">
        <f>L1118</f>
        <v>1.4842</v>
      </c>
      <c r="M2650" s="401"/>
      <c r="N2650" s="86"/>
    </row>
    <row r="2651" spans="1:14" s="64" customFormat="1" x14ac:dyDescent="0.2">
      <c r="A2651" s="63"/>
      <c r="B2651" s="396"/>
      <c r="C2651" s="122"/>
      <c r="D2651" s="75"/>
      <c r="E2651" s="395"/>
      <c r="F2651" s="395"/>
      <c r="G2651" s="395"/>
      <c r="H2651" s="67"/>
      <c r="I2651" s="69"/>
      <c r="J2651" s="134"/>
      <c r="K2651" s="324">
        <v>0.2999</v>
      </c>
      <c r="L2651" s="191">
        <f>L1119</f>
        <v>1.4842</v>
      </c>
      <c r="M2651" s="401"/>
      <c r="N2651" s="86"/>
    </row>
    <row r="2652" spans="1:14" s="64" customFormat="1" x14ac:dyDescent="0.2">
      <c r="A2652" s="63"/>
      <c r="B2652" s="396"/>
      <c r="C2652" s="122"/>
      <c r="D2652" s="75"/>
      <c r="E2652" s="395"/>
      <c r="F2652" s="395"/>
      <c r="G2652" s="395"/>
      <c r="H2652" s="67"/>
      <c r="I2652" s="69"/>
      <c r="J2652" s="134"/>
      <c r="K2652" s="324">
        <v>0.2999</v>
      </c>
      <c r="L2652" s="191">
        <f>L1120</f>
        <v>1.4842</v>
      </c>
      <c r="M2652" s="401"/>
      <c r="N2652" s="86"/>
    </row>
    <row r="2653" spans="1:14" s="64" customFormat="1" x14ac:dyDescent="0.2">
      <c r="A2653" s="63"/>
      <c r="B2653" s="396"/>
      <c r="C2653" s="122"/>
      <c r="D2653" s="75"/>
      <c r="E2653" s="395"/>
      <c r="F2653" s="395"/>
      <c r="G2653" s="395"/>
      <c r="H2653" s="67"/>
      <c r="I2653" s="69"/>
      <c r="J2653" s="134"/>
      <c r="K2653" s="324">
        <v>0.2999</v>
      </c>
      <c r="L2653" s="191">
        <f>L1121</f>
        <v>1.4842</v>
      </c>
      <c r="M2653" s="401"/>
      <c r="N2653" s="86"/>
    </row>
    <row r="2654" spans="1:14" s="64" customFormat="1" x14ac:dyDescent="0.2">
      <c r="A2654" s="63"/>
      <c r="B2654" s="396"/>
      <c r="C2654" s="122"/>
      <c r="D2654" s="75"/>
      <c r="E2654" s="395"/>
      <c r="F2654" s="395"/>
      <c r="G2654" s="395"/>
      <c r="H2654" s="67"/>
      <c r="I2654" s="69"/>
      <c r="J2654" s="134"/>
      <c r="K2654" s="324">
        <v>0.2999</v>
      </c>
      <c r="L2654" s="191">
        <f>L1122</f>
        <v>1.4842</v>
      </c>
      <c r="M2654" s="401"/>
      <c r="N2654" s="86"/>
    </row>
    <row r="2655" spans="1:14" s="64" customFormat="1" x14ac:dyDescent="0.2">
      <c r="A2655" s="63"/>
      <c r="B2655" s="396"/>
      <c r="C2655" s="122"/>
      <c r="D2655" s="75"/>
      <c r="E2655" s="395"/>
      <c r="F2655" s="395"/>
      <c r="G2655" s="395"/>
      <c r="H2655" s="67"/>
      <c r="I2655" s="69"/>
      <c r="J2655" s="134"/>
      <c r="K2655" s="324">
        <v>0.2999</v>
      </c>
      <c r="L2655" s="191">
        <f>L1123</f>
        <v>1.4842</v>
      </c>
      <c r="M2655" s="401"/>
      <c r="N2655" s="86"/>
    </row>
    <row r="2656" spans="1:14" s="64" customFormat="1" x14ac:dyDescent="0.2">
      <c r="A2656" s="63"/>
      <c r="B2656" s="396"/>
      <c r="C2656" s="122"/>
      <c r="D2656" s="75"/>
      <c r="E2656" s="395"/>
      <c r="F2656" s="395"/>
      <c r="G2656" s="395"/>
      <c r="H2656" s="67"/>
      <c r="I2656" s="69"/>
      <c r="J2656" s="134"/>
      <c r="K2656" s="324">
        <v>0.2999</v>
      </c>
      <c r="L2656" s="191">
        <f>L1124</f>
        <v>0</v>
      </c>
      <c r="M2656" s="401"/>
      <c r="N2656" s="86"/>
    </row>
    <row r="2657" spans="1:14" s="64" customFormat="1" x14ac:dyDescent="0.2">
      <c r="A2657" s="63"/>
      <c r="B2657" s="396"/>
      <c r="C2657" s="122"/>
      <c r="D2657" s="75"/>
      <c r="E2657" s="395"/>
      <c r="F2657" s="395"/>
      <c r="G2657" s="395"/>
      <c r="H2657" s="67"/>
      <c r="I2657" s="69"/>
      <c r="J2657" s="134"/>
      <c r="K2657" s="324">
        <v>0.2999</v>
      </c>
      <c r="L2657" s="191">
        <f>L1125</f>
        <v>1.4842</v>
      </c>
      <c r="M2657" s="401"/>
      <c r="N2657" s="86"/>
    </row>
    <row r="2658" spans="1:14" s="64" customFormat="1" x14ac:dyDescent="0.2">
      <c r="A2658" s="63"/>
      <c r="B2658" s="396"/>
      <c r="C2658" s="122"/>
      <c r="D2658" s="75"/>
      <c r="E2658" s="395"/>
      <c r="F2658" s="395"/>
      <c r="G2658" s="395"/>
      <c r="H2658" s="67"/>
      <c r="I2658" s="69"/>
      <c r="J2658" s="134"/>
      <c r="K2658" s="324">
        <v>0.2999</v>
      </c>
      <c r="L2658" s="191">
        <f>L1126</f>
        <v>1.4842</v>
      </c>
      <c r="M2658" s="401"/>
      <c r="N2658" s="86"/>
    </row>
    <row r="2659" spans="1:14" s="64" customFormat="1" x14ac:dyDescent="0.2">
      <c r="A2659" s="63"/>
      <c r="B2659" s="396"/>
      <c r="C2659" s="122"/>
      <c r="D2659" s="75"/>
      <c r="E2659" s="395"/>
      <c r="F2659" s="395"/>
      <c r="G2659" s="395"/>
      <c r="H2659" s="67"/>
      <c r="I2659" s="69"/>
      <c r="J2659" s="134"/>
      <c r="K2659" s="324">
        <v>0.2999</v>
      </c>
      <c r="L2659" s="191">
        <f>L1127</f>
        <v>1.4842</v>
      </c>
      <c r="M2659" s="401"/>
      <c r="N2659" s="86"/>
    </row>
    <row r="2660" spans="1:14" s="64" customFormat="1" x14ac:dyDescent="0.2">
      <c r="A2660" s="63"/>
      <c r="B2660" s="396"/>
      <c r="C2660" s="122"/>
      <c r="D2660" s="75"/>
      <c r="E2660" s="395"/>
      <c r="F2660" s="395"/>
      <c r="G2660" s="395"/>
      <c r="H2660" s="67"/>
      <c r="I2660" s="69"/>
      <c r="J2660" s="134"/>
      <c r="K2660" s="324">
        <v>0.2999</v>
      </c>
      <c r="L2660" s="191">
        <f>L1128</f>
        <v>1.4842</v>
      </c>
      <c r="M2660" s="401"/>
      <c r="N2660" s="86"/>
    </row>
    <row r="2661" spans="1:14" s="64" customFormat="1" x14ac:dyDescent="0.2">
      <c r="A2661" s="63"/>
      <c r="B2661" s="396"/>
      <c r="C2661" s="122"/>
      <c r="D2661" s="75"/>
      <c r="E2661" s="395"/>
      <c r="F2661" s="395"/>
      <c r="G2661" s="395"/>
      <c r="H2661" s="67"/>
      <c r="I2661" s="69"/>
      <c r="J2661" s="134"/>
      <c r="K2661" s="324">
        <v>0.2999</v>
      </c>
      <c r="L2661" s="191">
        <f>L1129</f>
        <v>1.4842</v>
      </c>
      <c r="M2661" s="401"/>
      <c r="N2661" s="86"/>
    </row>
    <row r="2662" spans="1:14" s="64" customFormat="1" x14ac:dyDescent="0.2">
      <c r="A2662" s="63"/>
      <c r="B2662" s="396"/>
      <c r="C2662" s="122"/>
      <c r="D2662" s="75"/>
      <c r="E2662" s="395"/>
      <c r="F2662" s="395"/>
      <c r="G2662" s="395"/>
      <c r="H2662" s="67"/>
      <c r="I2662" s="69"/>
      <c r="J2662" s="134"/>
      <c r="K2662" s="324">
        <v>0.2999</v>
      </c>
      <c r="L2662" s="191">
        <f>L1130</f>
        <v>1.4842</v>
      </c>
      <c r="M2662" s="401"/>
      <c r="N2662" s="86"/>
    </row>
    <row r="2663" spans="1:14" s="64" customFormat="1" x14ac:dyDescent="0.2">
      <c r="A2663" s="63"/>
      <c r="B2663" s="396"/>
      <c r="C2663" s="122"/>
      <c r="D2663" s="75"/>
      <c r="E2663" s="395"/>
      <c r="F2663" s="395"/>
      <c r="G2663" s="395"/>
      <c r="H2663" s="67"/>
      <c r="I2663" s="69"/>
      <c r="J2663" s="134"/>
      <c r="K2663" s="324">
        <v>0.2999</v>
      </c>
      <c r="L2663" s="191">
        <f>L1131</f>
        <v>1.4842</v>
      </c>
      <c r="M2663" s="401"/>
      <c r="N2663" s="86"/>
    </row>
    <row r="2664" spans="1:14" s="64" customFormat="1" x14ac:dyDescent="0.2">
      <c r="A2664" s="63"/>
      <c r="B2664" s="396"/>
      <c r="C2664" s="122"/>
      <c r="D2664" s="75"/>
      <c r="E2664" s="395"/>
      <c r="F2664" s="395"/>
      <c r="G2664" s="395"/>
      <c r="H2664" s="67"/>
      <c r="I2664" s="69"/>
      <c r="J2664" s="134"/>
      <c r="K2664" s="324">
        <v>0.2999</v>
      </c>
      <c r="L2664" s="191">
        <f>L1132</f>
        <v>1.4842</v>
      </c>
      <c r="M2664" s="401"/>
      <c r="N2664" s="86"/>
    </row>
    <row r="2665" spans="1:14" s="64" customFormat="1" x14ac:dyDescent="0.2">
      <c r="A2665" s="63"/>
      <c r="B2665" s="396"/>
      <c r="C2665" s="122"/>
      <c r="D2665" s="75"/>
      <c r="E2665" s="395"/>
      <c r="F2665" s="395"/>
      <c r="G2665" s="395"/>
      <c r="H2665" s="67"/>
      <c r="I2665" s="69"/>
      <c r="J2665" s="134"/>
      <c r="K2665" s="324">
        <v>0.2999</v>
      </c>
      <c r="L2665" s="191">
        <f>L1133</f>
        <v>1.4842</v>
      </c>
      <c r="M2665" s="401"/>
      <c r="N2665" s="86"/>
    </row>
    <row r="2666" spans="1:14" s="64" customFormat="1" x14ac:dyDescent="0.2">
      <c r="A2666" s="63"/>
      <c r="B2666" s="396"/>
      <c r="C2666" s="122"/>
      <c r="D2666" s="75"/>
      <c r="E2666" s="395"/>
      <c r="F2666" s="395"/>
      <c r="G2666" s="395"/>
      <c r="H2666" s="67"/>
      <c r="I2666" s="69"/>
      <c r="J2666" s="134"/>
      <c r="K2666" s="324">
        <v>0.2999</v>
      </c>
      <c r="L2666" s="191">
        <f>L1134</f>
        <v>0</v>
      </c>
      <c r="M2666" s="401"/>
      <c r="N2666" s="86"/>
    </row>
    <row r="2667" spans="1:14" s="64" customFormat="1" x14ac:dyDescent="0.2">
      <c r="A2667" s="63"/>
      <c r="B2667" s="396"/>
      <c r="C2667" s="122"/>
      <c r="D2667" s="75"/>
      <c r="E2667" s="395"/>
      <c r="F2667" s="395"/>
      <c r="G2667" s="395"/>
      <c r="H2667" s="67"/>
      <c r="I2667" s="69"/>
      <c r="J2667" s="134"/>
      <c r="K2667" s="324">
        <v>0.2999</v>
      </c>
      <c r="L2667" s="191">
        <f>L1135</f>
        <v>1.4842</v>
      </c>
      <c r="M2667" s="401"/>
      <c r="N2667" s="86"/>
    </row>
    <row r="2668" spans="1:14" s="64" customFormat="1" x14ac:dyDescent="0.2">
      <c r="A2668" s="63"/>
      <c r="B2668" s="396"/>
      <c r="C2668" s="122"/>
      <c r="D2668" s="75"/>
      <c r="E2668" s="395"/>
      <c r="F2668" s="395"/>
      <c r="G2668" s="395"/>
      <c r="H2668" s="67"/>
      <c r="I2668" s="69"/>
      <c r="J2668" s="134"/>
      <c r="K2668" s="324">
        <v>0.2999</v>
      </c>
      <c r="L2668" s="191">
        <f>L1136</f>
        <v>1.4842</v>
      </c>
      <c r="M2668" s="401"/>
      <c r="N2668" s="86"/>
    </row>
    <row r="2669" spans="1:14" s="64" customFormat="1" x14ac:dyDescent="0.2">
      <c r="A2669" s="63"/>
      <c r="B2669" s="396"/>
      <c r="C2669" s="122"/>
      <c r="D2669" s="75"/>
      <c r="E2669" s="395"/>
      <c r="F2669" s="395"/>
      <c r="G2669" s="395"/>
      <c r="H2669" s="67"/>
      <c r="I2669" s="69"/>
      <c r="J2669" s="134"/>
      <c r="K2669" s="324">
        <v>0.2999</v>
      </c>
      <c r="L2669" s="191">
        <f>L1137</f>
        <v>1.4842</v>
      </c>
      <c r="M2669" s="401"/>
      <c r="N2669" s="86"/>
    </row>
    <row r="2670" spans="1:14" s="64" customFormat="1" x14ac:dyDescent="0.2">
      <c r="A2670" s="63"/>
      <c r="B2670" s="396"/>
      <c r="C2670" s="122"/>
      <c r="D2670" s="75"/>
      <c r="E2670" s="395"/>
      <c r="F2670" s="395"/>
      <c r="G2670" s="395"/>
      <c r="H2670" s="67"/>
      <c r="I2670" s="69"/>
      <c r="J2670" s="134"/>
      <c r="K2670" s="324">
        <v>0.2999</v>
      </c>
      <c r="L2670" s="191">
        <f>L1138</f>
        <v>1.4842</v>
      </c>
      <c r="M2670" s="401"/>
      <c r="N2670" s="86"/>
    </row>
    <row r="2671" spans="1:14" s="64" customFormat="1" x14ac:dyDescent="0.2">
      <c r="A2671" s="63"/>
      <c r="B2671" s="396"/>
      <c r="C2671" s="122"/>
      <c r="D2671" s="75"/>
      <c r="E2671" s="395"/>
      <c r="F2671" s="395"/>
      <c r="G2671" s="395"/>
      <c r="H2671" s="67"/>
      <c r="I2671" s="69"/>
      <c r="J2671" s="134"/>
      <c r="K2671" s="324">
        <v>0.2999</v>
      </c>
      <c r="L2671" s="191">
        <f>L1139</f>
        <v>1.4842</v>
      </c>
      <c r="M2671" s="401"/>
      <c r="N2671" s="86"/>
    </row>
    <row r="2672" spans="1:14" s="64" customFormat="1" x14ac:dyDescent="0.2">
      <c r="A2672" s="63"/>
      <c r="B2672" s="396"/>
      <c r="C2672" s="122"/>
      <c r="D2672" s="75"/>
      <c r="E2672" s="395"/>
      <c r="F2672" s="395"/>
      <c r="G2672" s="395"/>
      <c r="H2672" s="67"/>
      <c r="I2672" s="69"/>
      <c r="J2672" s="134"/>
      <c r="K2672" s="324">
        <v>0.2999</v>
      </c>
      <c r="L2672" s="191">
        <f>L1140</f>
        <v>1.4842</v>
      </c>
      <c r="M2672" s="401"/>
      <c r="N2672" s="86"/>
    </row>
    <row r="2673" spans="1:14" s="64" customFormat="1" x14ac:dyDescent="0.2">
      <c r="A2673" s="63"/>
      <c r="B2673" s="396"/>
      <c r="C2673" s="122"/>
      <c r="D2673" s="75"/>
      <c r="E2673" s="395"/>
      <c r="F2673" s="395"/>
      <c r="G2673" s="395"/>
      <c r="H2673" s="67"/>
      <c r="I2673" s="69"/>
      <c r="J2673" s="134"/>
      <c r="K2673" s="324">
        <v>0.2999</v>
      </c>
      <c r="L2673" s="191">
        <f>L1141</f>
        <v>1.4842</v>
      </c>
      <c r="M2673" s="401"/>
      <c r="N2673" s="86"/>
    </row>
    <row r="2674" spans="1:14" s="64" customFormat="1" x14ac:dyDescent="0.2">
      <c r="A2674" s="63"/>
      <c r="B2674" s="396"/>
      <c r="C2674" s="122"/>
      <c r="D2674" s="75"/>
      <c r="E2674" s="395"/>
      <c r="F2674" s="395"/>
      <c r="G2674" s="395"/>
      <c r="H2674" s="67"/>
      <c r="I2674" s="69"/>
      <c r="J2674" s="134"/>
      <c r="K2674" s="324">
        <v>0.2999</v>
      </c>
      <c r="L2674" s="191">
        <f>L1142</f>
        <v>1.4842</v>
      </c>
      <c r="M2674" s="401"/>
      <c r="N2674" s="86"/>
    </row>
    <row r="2675" spans="1:14" s="64" customFormat="1" x14ac:dyDescent="0.2">
      <c r="A2675" s="63"/>
      <c r="B2675" s="396"/>
      <c r="C2675" s="122"/>
      <c r="D2675" s="75"/>
      <c r="E2675" s="395"/>
      <c r="F2675" s="395"/>
      <c r="G2675" s="395"/>
      <c r="H2675" s="67"/>
      <c r="I2675" s="69"/>
      <c r="J2675" s="134"/>
      <c r="K2675" s="324">
        <v>0.2999</v>
      </c>
      <c r="L2675" s="191">
        <f>L1143</f>
        <v>1.4842</v>
      </c>
      <c r="M2675" s="401"/>
      <c r="N2675" s="86"/>
    </row>
    <row r="2676" spans="1:14" s="64" customFormat="1" x14ac:dyDescent="0.2">
      <c r="A2676" s="63"/>
      <c r="B2676" s="396"/>
      <c r="C2676" s="122"/>
      <c r="D2676" s="75"/>
      <c r="E2676" s="395"/>
      <c r="F2676" s="395"/>
      <c r="G2676" s="395"/>
      <c r="H2676" s="67"/>
      <c r="I2676" s="69"/>
      <c r="J2676" s="134"/>
      <c r="K2676" s="324">
        <v>0.2999</v>
      </c>
      <c r="L2676" s="191">
        <f>L1144</f>
        <v>1.4842</v>
      </c>
      <c r="M2676" s="401"/>
      <c r="N2676" s="86"/>
    </row>
    <row r="2677" spans="1:14" s="64" customFormat="1" x14ac:dyDescent="0.2">
      <c r="A2677" s="63"/>
      <c r="B2677" s="396"/>
      <c r="C2677" s="122"/>
      <c r="D2677" s="75"/>
      <c r="E2677" s="395"/>
      <c r="F2677" s="395"/>
      <c r="G2677" s="395"/>
      <c r="H2677" s="67"/>
      <c r="I2677" s="69"/>
      <c r="J2677" s="134"/>
      <c r="K2677" s="324">
        <v>0.2999</v>
      </c>
      <c r="L2677" s="191">
        <f>L1145</f>
        <v>1.4842</v>
      </c>
      <c r="M2677" s="401"/>
      <c r="N2677" s="86"/>
    </row>
    <row r="2678" spans="1:14" s="64" customFormat="1" x14ac:dyDescent="0.2">
      <c r="A2678" s="63"/>
      <c r="B2678" s="396"/>
      <c r="C2678" s="122"/>
      <c r="D2678" s="75"/>
      <c r="E2678" s="395"/>
      <c r="F2678" s="395"/>
      <c r="G2678" s="395"/>
      <c r="H2678" s="67"/>
      <c r="I2678" s="69"/>
      <c r="J2678" s="134"/>
      <c r="K2678" s="324">
        <v>0.2999</v>
      </c>
      <c r="L2678" s="191">
        <f>L1146</f>
        <v>1.4842</v>
      </c>
      <c r="M2678" s="401"/>
      <c r="N2678" s="86"/>
    </row>
    <row r="2679" spans="1:14" s="64" customFormat="1" x14ac:dyDescent="0.2">
      <c r="A2679" s="63"/>
      <c r="B2679" s="396"/>
      <c r="C2679" s="122"/>
      <c r="D2679" s="75"/>
      <c r="E2679" s="395"/>
      <c r="F2679" s="395"/>
      <c r="G2679" s="395"/>
      <c r="H2679" s="67"/>
      <c r="I2679" s="69"/>
      <c r="J2679" s="134"/>
      <c r="K2679" s="324">
        <v>0.2999</v>
      </c>
      <c r="L2679" s="191">
        <f>L1147</f>
        <v>1.4842</v>
      </c>
      <c r="M2679" s="401"/>
      <c r="N2679" s="86"/>
    </row>
    <row r="2680" spans="1:14" s="64" customFormat="1" x14ac:dyDescent="0.2">
      <c r="A2680" s="63"/>
      <c r="B2680" s="396"/>
      <c r="C2680" s="122"/>
      <c r="D2680" s="75"/>
      <c r="E2680" s="395"/>
      <c r="F2680" s="395"/>
      <c r="G2680" s="395"/>
      <c r="H2680" s="67"/>
      <c r="I2680" s="69"/>
      <c r="J2680" s="134"/>
      <c r="K2680" s="324">
        <v>0.2999</v>
      </c>
      <c r="L2680" s="191">
        <f>L1148</f>
        <v>1.4842</v>
      </c>
      <c r="M2680" s="401"/>
      <c r="N2680" s="86"/>
    </row>
    <row r="2681" spans="1:14" s="64" customFormat="1" x14ac:dyDescent="0.2">
      <c r="A2681" s="63"/>
      <c r="B2681" s="396"/>
      <c r="C2681" s="122"/>
      <c r="D2681" s="75"/>
      <c r="E2681" s="395"/>
      <c r="F2681" s="395"/>
      <c r="G2681" s="395"/>
      <c r="H2681" s="67"/>
      <c r="I2681" s="69"/>
      <c r="J2681" s="134"/>
      <c r="K2681" s="324">
        <v>0.2999</v>
      </c>
      <c r="L2681" s="191">
        <f>L1149</f>
        <v>1.4842</v>
      </c>
      <c r="M2681" s="401"/>
      <c r="N2681" s="86"/>
    </row>
    <row r="2682" spans="1:14" s="64" customFormat="1" x14ac:dyDescent="0.2">
      <c r="A2682" s="63"/>
      <c r="B2682" s="396"/>
      <c r="C2682" s="122"/>
      <c r="D2682" s="75"/>
      <c r="E2682" s="395"/>
      <c r="F2682" s="395"/>
      <c r="G2682" s="395"/>
      <c r="H2682" s="67"/>
      <c r="I2682" s="69"/>
      <c r="J2682" s="134"/>
      <c r="K2682" s="324">
        <v>0.2999</v>
      </c>
      <c r="L2682" s="191">
        <f>L1150</f>
        <v>1.4842</v>
      </c>
      <c r="M2682" s="401"/>
      <c r="N2682" s="86"/>
    </row>
    <row r="2683" spans="1:14" s="64" customFormat="1" x14ac:dyDescent="0.2">
      <c r="A2683" s="63"/>
      <c r="B2683" s="396"/>
      <c r="C2683" s="122"/>
      <c r="D2683" s="75"/>
      <c r="E2683" s="395"/>
      <c r="F2683" s="395"/>
      <c r="G2683" s="395"/>
      <c r="H2683" s="67"/>
      <c r="I2683" s="69"/>
      <c r="J2683" s="134"/>
      <c r="K2683" s="324">
        <v>0.2999</v>
      </c>
      <c r="L2683" s="191">
        <f>L1151</f>
        <v>1.4842</v>
      </c>
      <c r="M2683" s="401"/>
      <c r="N2683" s="86"/>
    </row>
    <row r="2684" spans="1:14" s="64" customFormat="1" x14ac:dyDescent="0.2">
      <c r="A2684" s="63"/>
      <c r="B2684" s="396"/>
      <c r="C2684" s="122"/>
      <c r="D2684" s="75"/>
      <c r="E2684" s="395"/>
      <c r="F2684" s="395"/>
      <c r="G2684" s="395"/>
      <c r="H2684" s="67"/>
      <c r="I2684" s="69"/>
      <c r="J2684" s="134"/>
      <c r="K2684" s="324">
        <v>0.2999</v>
      </c>
      <c r="L2684" s="191">
        <f>L1152</f>
        <v>1.4842</v>
      </c>
      <c r="M2684" s="401"/>
      <c r="N2684" s="86"/>
    </row>
    <row r="2685" spans="1:14" s="64" customFormat="1" x14ac:dyDescent="0.2">
      <c r="A2685" s="63"/>
      <c r="B2685" s="396"/>
      <c r="C2685" s="122"/>
      <c r="D2685" s="75"/>
      <c r="E2685" s="395"/>
      <c r="F2685" s="395"/>
      <c r="G2685" s="395"/>
      <c r="H2685" s="67"/>
      <c r="I2685" s="69"/>
      <c r="J2685" s="134"/>
      <c r="K2685" s="324">
        <v>0.2999</v>
      </c>
      <c r="L2685" s="191">
        <f>L1153</f>
        <v>1.4842</v>
      </c>
      <c r="M2685" s="401"/>
      <c r="N2685" s="86"/>
    </row>
    <row r="2686" spans="1:14" s="64" customFormat="1" x14ac:dyDescent="0.2">
      <c r="A2686" s="63"/>
      <c r="B2686" s="396"/>
      <c r="C2686" s="122"/>
      <c r="D2686" s="75"/>
      <c r="E2686" s="395"/>
      <c r="F2686" s="395"/>
      <c r="G2686" s="395"/>
      <c r="H2686" s="67"/>
      <c r="I2686" s="69"/>
      <c r="J2686" s="134"/>
      <c r="K2686" s="324">
        <v>0.2999</v>
      </c>
      <c r="L2686" s="191">
        <f>L1154</f>
        <v>1.4842</v>
      </c>
      <c r="M2686" s="401"/>
      <c r="N2686" s="86"/>
    </row>
    <row r="2687" spans="1:14" s="64" customFormat="1" x14ac:dyDescent="0.2">
      <c r="A2687" s="63"/>
      <c r="B2687" s="396"/>
      <c r="C2687" s="122"/>
      <c r="D2687" s="75"/>
      <c r="E2687" s="395"/>
      <c r="F2687" s="395"/>
      <c r="G2687" s="395"/>
      <c r="H2687" s="67"/>
      <c r="I2687" s="69"/>
      <c r="J2687" s="134"/>
      <c r="K2687" s="324">
        <v>0.2999</v>
      </c>
      <c r="L2687" s="191">
        <f>L1155</f>
        <v>1.4842</v>
      </c>
      <c r="M2687" s="401"/>
      <c r="N2687" s="86"/>
    </row>
    <row r="2688" spans="1:14" s="64" customFormat="1" x14ac:dyDescent="0.2">
      <c r="A2688" s="63"/>
      <c r="B2688" s="396"/>
      <c r="C2688" s="122"/>
      <c r="D2688" s="75"/>
      <c r="E2688" s="395"/>
      <c r="F2688" s="395"/>
      <c r="G2688" s="395"/>
      <c r="H2688" s="67"/>
      <c r="I2688" s="69"/>
      <c r="J2688" s="134"/>
      <c r="K2688" s="324">
        <v>0.2999</v>
      </c>
      <c r="L2688" s="191">
        <f>L1156</f>
        <v>1.4842</v>
      </c>
      <c r="M2688" s="401"/>
      <c r="N2688" s="86"/>
    </row>
    <row r="2689" spans="1:14" s="64" customFormat="1" x14ac:dyDescent="0.2">
      <c r="A2689" s="63"/>
      <c r="B2689" s="396"/>
      <c r="C2689" s="122"/>
      <c r="D2689" s="75"/>
      <c r="E2689" s="395"/>
      <c r="F2689" s="395"/>
      <c r="G2689" s="395"/>
      <c r="H2689" s="67"/>
      <c r="I2689" s="69"/>
      <c r="J2689" s="134"/>
      <c r="K2689" s="324">
        <v>0.2999</v>
      </c>
      <c r="L2689" s="191">
        <f>L1157</f>
        <v>1.4842</v>
      </c>
      <c r="M2689" s="401"/>
      <c r="N2689" s="86"/>
    </row>
    <row r="2690" spans="1:14" s="64" customFormat="1" x14ac:dyDescent="0.2">
      <c r="A2690" s="63"/>
      <c r="B2690" s="396"/>
      <c r="C2690" s="122"/>
      <c r="D2690" s="75"/>
      <c r="E2690" s="395"/>
      <c r="F2690" s="395"/>
      <c r="G2690" s="395"/>
      <c r="H2690" s="67"/>
      <c r="I2690" s="69"/>
      <c r="J2690" s="134"/>
      <c r="K2690" s="324">
        <v>0.2999</v>
      </c>
      <c r="L2690" s="191">
        <f>L1158</f>
        <v>1.4842</v>
      </c>
      <c r="M2690" s="401"/>
      <c r="N2690" s="86"/>
    </row>
    <row r="2691" spans="1:14" s="64" customFormat="1" x14ac:dyDescent="0.2">
      <c r="A2691" s="63"/>
      <c r="B2691" s="396"/>
      <c r="C2691" s="122"/>
      <c r="D2691" s="75"/>
      <c r="E2691" s="395"/>
      <c r="F2691" s="395"/>
      <c r="G2691" s="395"/>
      <c r="H2691" s="67"/>
      <c r="I2691" s="69"/>
      <c r="J2691" s="134"/>
      <c r="K2691" s="324">
        <v>0.2999</v>
      </c>
      <c r="L2691" s="191">
        <f>L1159</f>
        <v>1.4842</v>
      </c>
      <c r="M2691" s="401"/>
      <c r="N2691" s="86"/>
    </row>
    <row r="2692" spans="1:14" s="64" customFormat="1" x14ac:dyDescent="0.2">
      <c r="A2692" s="63"/>
      <c r="B2692" s="396"/>
      <c r="C2692" s="122"/>
      <c r="D2692" s="75"/>
      <c r="E2692" s="395"/>
      <c r="F2692" s="395"/>
      <c r="G2692" s="395"/>
      <c r="H2692" s="67"/>
      <c r="I2692" s="69"/>
      <c r="J2692" s="134"/>
      <c r="K2692" s="324">
        <v>0.2999</v>
      </c>
      <c r="L2692" s="191">
        <f>L1160</f>
        <v>1.4842</v>
      </c>
      <c r="M2692" s="401"/>
      <c r="N2692" s="86"/>
    </row>
    <row r="2693" spans="1:14" s="64" customFormat="1" x14ac:dyDescent="0.2">
      <c r="A2693" s="63"/>
      <c r="B2693" s="396"/>
      <c r="C2693" s="122"/>
      <c r="D2693" s="75"/>
      <c r="E2693" s="395"/>
      <c r="F2693" s="395"/>
      <c r="G2693" s="395"/>
      <c r="H2693" s="67"/>
      <c r="I2693" s="69"/>
      <c r="J2693" s="134"/>
      <c r="K2693" s="324">
        <v>0.2999</v>
      </c>
      <c r="L2693" s="191">
        <f>L1161</f>
        <v>1.4842</v>
      </c>
      <c r="M2693" s="401"/>
      <c r="N2693" s="86"/>
    </row>
    <row r="2694" spans="1:14" s="64" customFormat="1" x14ac:dyDescent="0.2">
      <c r="A2694" s="63"/>
      <c r="B2694" s="396"/>
      <c r="C2694" s="122"/>
      <c r="D2694" s="75"/>
      <c r="E2694" s="395"/>
      <c r="F2694" s="395"/>
      <c r="G2694" s="395"/>
      <c r="H2694" s="67"/>
      <c r="I2694" s="69"/>
      <c r="J2694" s="134"/>
      <c r="K2694" s="324">
        <v>0.2999</v>
      </c>
      <c r="L2694" s="191">
        <f>L1162</f>
        <v>1.4842</v>
      </c>
      <c r="M2694" s="401"/>
      <c r="N2694" s="86"/>
    </row>
    <row r="2695" spans="1:14" s="64" customFormat="1" x14ac:dyDescent="0.2">
      <c r="A2695" s="63"/>
      <c r="B2695" s="396"/>
      <c r="C2695" s="122"/>
      <c r="D2695" s="75"/>
      <c r="E2695" s="395"/>
      <c r="F2695" s="395"/>
      <c r="G2695" s="395"/>
      <c r="H2695" s="67"/>
      <c r="I2695" s="69"/>
      <c r="J2695" s="134"/>
      <c r="K2695" s="324">
        <v>0.2999</v>
      </c>
      <c r="L2695" s="191">
        <f>L1163</f>
        <v>1.4842</v>
      </c>
      <c r="M2695" s="401"/>
      <c r="N2695" s="86"/>
    </row>
    <row r="2696" spans="1:14" s="64" customFormat="1" x14ac:dyDescent="0.2">
      <c r="A2696" s="63"/>
      <c r="B2696" s="396"/>
      <c r="C2696" s="122"/>
      <c r="D2696" s="75"/>
      <c r="E2696" s="395"/>
      <c r="F2696" s="395"/>
      <c r="G2696" s="395"/>
      <c r="H2696" s="67"/>
      <c r="I2696" s="69"/>
      <c r="J2696" s="134"/>
      <c r="K2696" s="324">
        <v>0.2999</v>
      </c>
      <c r="L2696" s="191">
        <f>L1164</f>
        <v>1.4842</v>
      </c>
      <c r="M2696" s="401"/>
      <c r="N2696" s="86"/>
    </row>
    <row r="2697" spans="1:14" s="64" customFormat="1" x14ac:dyDescent="0.2">
      <c r="A2697" s="63"/>
      <c r="B2697" s="396"/>
      <c r="C2697" s="122"/>
      <c r="D2697" s="75"/>
      <c r="E2697" s="395"/>
      <c r="F2697" s="395"/>
      <c r="G2697" s="395"/>
      <c r="H2697" s="67"/>
      <c r="I2697" s="69"/>
      <c r="J2697" s="134"/>
      <c r="K2697" s="324">
        <v>0.2999</v>
      </c>
      <c r="L2697" s="191">
        <f>L1165</f>
        <v>1.4842</v>
      </c>
      <c r="M2697" s="401"/>
      <c r="N2697" s="86"/>
    </row>
    <row r="2698" spans="1:14" s="64" customFormat="1" x14ac:dyDescent="0.2">
      <c r="A2698" s="63"/>
      <c r="B2698" s="396"/>
      <c r="C2698" s="122"/>
      <c r="D2698" s="75"/>
      <c r="E2698" s="395"/>
      <c r="F2698" s="395"/>
      <c r="G2698" s="395"/>
      <c r="H2698" s="67"/>
      <c r="I2698" s="69"/>
      <c r="J2698" s="134"/>
      <c r="K2698" s="324">
        <v>0.2999</v>
      </c>
      <c r="L2698" s="191">
        <f>L1166</f>
        <v>1.4842</v>
      </c>
      <c r="M2698" s="401"/>
      <c r="N2698" s="86"/>
    </row>
    <row r="2699" spans="1:14" s="64" customFormat="1" x14ac:dyDescent="0.2">
      <c r="A2699" s="63"/>
      <c r="B2699" s="396"/>
      <c r="C2699" s="122"/>
      <c r="D2699" s="75"/>
      <c r="E2699" s="395"/>
      <c r="F2699" s="395"/>
      <c r="G2699" s="395"/>
      <c r="H2699" s="67"/>
      <c r="I2699" s="69"/>
      <c r="J2699" s="134"/>
      <c r="K2699" s="324">
        <v>0.2999</v>
      </c>
      <c r="L2699" s="191">
        <f>L1167</f>
        <v>1.4842</v>
      </c>
      <c r="M2699" s="401"/>
      <c r="N2699" s="86"/>
    </row>
    <row r="2700" spans="1:14" s="64" customFormat="1" x14ac:dyDescent="0.2">
      <c r="A2700" s="63"/>
      <c r="B2700" s="396"/>
      <c r="C2700" s="122"/>
      <c r="D2700" s="75"/>
      <c r="E2700" s="395"/>
      <c r="F2700" s="395"/>
      <c r="G2700" s="395"/>
      <c r="H2700" s="67"/>
      <c r="I2700" s="69"/>
      <c r="J2700" s="134"/>
      <c r="K2700" s="324">
        <v>0.2999</v>
      </c>
      <c r="L2700" s="191">
        <f>L1168</f>
        <v>1.4842</v>
      </c>
      <c r="M2700" s="401"/>
      <c r="N2700" s="86"/>
    </row>
    <row r="2701" spans="1:14" s="64" customFormat="1" x14ac:dyDescent="0.2">
      <c r="A2701" s="63"/>
      <c r="B2701" s="396"/>
      <c r="C2701" s="122"/>
      <c r="D2701" s="75"/>
      <c r="E2701" s="395"/>
      <c r="F2701" s="395"/>
      <c r="G2701" s="395"/>
      <c r="H2701" s="67"/>
      <c r="I2701" s="69"/>
      <c r="J2701" s="134"/>
      <c r="K2701" s="324">
        <v>0.2999</v>
      </c>
      <c r="L2701" s="191">
        <f>L1169</f>
        <v>1.4842</v>
      </c>
      <c r="M2701" s="401"/>
      <c r="N2701" s="86"/>
    </row>
    <row r="2702" spans="1:14" s="64" customFormat="1" x14ac:dyDescent="0.2">
      <c r="A2702" s="63"/>
      <c r="B2702" s="396"/>
      <c r="C2702" s="122"/>
      <c r="D2702" s="75"/>
      <c r="E2702" s="395"/>
      <c r="F2702" s="395"/>
      <c r="G2702" s="395"/>
      <c r="H2702" s="67"/>
      <c r="I2702" s="69"/>
      <c r="J2702" s="134"/>
      <c r="K2702" s="324">
        <v>0.2999</v>
      </c>
      <c r="L2702" s="191">
        <f>L1170</f>
        <v>1.4842</v>
      </c>
      <c r="M2702" s="401"/>
      <c r="N2702" s="86"/>
    </row>
    <row r="2703" spans="1:14" s="64" customFormat="1" x14ac:dyDescent="0.2">
      <c r="A2703" s="63"/>
      <c r="B2703" s="396"/>
      <c r="C2703" s="122"/>
      <c r="D2703" s="75"/>
      <c r="E2703" s="395"/>
      <c r="F2703" s="395"/>
      <c r="G2703" s="395"/>
      <c r="H2703" s="67"/>
      <c r="I2703" s="69"/>
      <c r="J2703" s="134"/>
      <c r="K2703" s="324">
        <v>0.2999</v>
      </c>
      <c r="L2703" s="191">
        <f>L1171</f>
        <v>1.4842</v>
      </c>
      <c r="M2703" s="401"/>
      <c r="N2703" s="86"/>
    </row>
    <row r="2704" spans="1:14" s="64" customFormat="1" x14ac:dyDescent="0.2">
      <c r="A2704" s="63"/>
      <c r="B2704" s="396"/>
      <c r="C2704" s="122"/>
      <c r="D2704" s="75"/>
      <c r="E2704" s="395"/>
      <c r="F2704" s="395"/>
      <c r="G2704" s="395"/>
      <c r="H2704" s="67"/>
      <c r="I2704" s="69"/>
      <c r="J2704" s="134"/>
      <c r="K2704" s="324">
        <v>0.2999</v>
      </c>
      <c r="L2704" s="191">
        <f>L1172</f>
        <v>1.4842</v>
      </c>
      <c r="M2704" s="401"/>
      <c r="N2704" s="86"/>
    </row>
    <row r="2705" spans="1:14" s="64" customFormat="1" x14ac:dyDescent="0.2">
      <c r="A2705" s="63"/>
      <c r="B2705" s="396"/>
      <c r="C2705" s="122"/>
      <c r="D2705" s="75"/>
      <c r="E2705" s="395"/>
      <c r="F2705" s="395"/>
      <c r="G2705" s="395"/>
      <c r="H2705" s="67"/>
      <c r="I2705" s="69"/>
      <c r="J2705" s="134"/>
      <c r="K2705" s="324">
        <v>0.2999</v>
      </c>
      <c r="L2705" s="191">
        <f>L1173</f>
        <v>1.4842</v>
      </c>
      <c r="M2705" s="401"/>
      <c r="N2705" s="86"/>
    </row>
    <row r="2706" spans="1:14" s="64" customFormat="1" x14ac:dyDescent="0.2">
      <c r="A2706" s="63"/>
      <c r="B2706" s="396"/>
      <c r="C2706" s="122"/>
      <c r="D2706" s="75"/>
      <c r="E2706" s="395"/>
      <c r="F2706" s="395"/>
      <c r="G2706" s="395"/>
      <c r="H2706" s="67"/>
      <c r="I2706" s="69"/>
      <c r="J2706" s="134"/>
      <c r="K2706" s="324">
        <v>0.2999</v>
      </c>
      <c r="L2706" s="191">
        <f>L1174</f>
        <v>0</v>
      </c>
      <c r="M2706" s="401"/>
      <c r="N2706" s="86"/>
    </row>
    <row r="2707" spans="1:14" s="64" customFormat="1" x14ac:dyDescent="0.2">
      <c r="A2707" s="63"/>
      <c r="B2707" s="396"/>
      <c r="C2707" s="122"/>
      <c r="D2707" s="75"/>
      <c r="E2707" s="395"/>
      <c r="F2707" s="395"/>
      <c r="G2707" s="395"/>
      <c r="H2707" s="67"/>
      <c r="I2707" s="69"/>
      <c r="J2707" s="134"/>
      <c r="K2707" s="324">
        <v>0.2999</v>
      </c>
      <c r="L2707" s="191">
        <f>L1175</f>
        <v>1.4842</v>
      </c>
      <c r="M2707" s="401"/>
      <c r="N2707" s="86"/>
    </row>
    <row r="2708" spans="1:14" s="64" customFormat="1" x14ac:dyDescent="0.2">
      <c r="A2708" s="63"/>
      <c r="B2708" s="396"/>
      <c r="C2708" s="122"/>
      <c r="D2708" s="75"/>
      <c r="E2708" s="395"/>
      <c r="F2708" s="395"/>
      <c r="G2708" s="395"/>
      <c r="H2708" s="67"/>
      <c r="I2708" s="69"/>
      <c r="J2708" s="134"/>
      <c r="K2708" s="324">
        <v>0.2999</v>
      </c>
      <c r="L2708" s="191">
        <f>L1176</f>
        <v>1.4842</v>
      </c>
      <c r="M2708" s="401"/>
      <c r="N2708" s="86"/>
    </row>
    <row r="2709" spans="1:14" s="64" customFormat="1" x14ac:dyDescent="0.2">
      <c r="A2709" s="63"/>
      <c r="B2709" s="396"/>
      <c r="C2709" s="122"/>
      <c r="D2709" s="75"/>
      <c r="E2709" s="395"/>
      <c r="F2709" s="395"/>
      <c r="G2709" s="395"/>
      <c r="H2709" s="67"/>
      <c r="I2709" s="69"/>
      <c r="J2709" s="134"/>
      <c r="K2709" s="324">
        <v>0.2999</v>
      </c>
      <c r="L2709" s="191">
        <f>L1177</f>
        <v>1.4842</v>
      </c>
      <c r="M2709" s="401"/>
      <c r="N2709" s="86"/>
    </row>
    <row r="2710" spans="1:14" s="64" customFormat="1" x14ac:dyDescent="0.2">
      <c r="A2710" s="63"/>
      <c r="B2710" s="396"/>
      <c r="C2710" s="122"/>
      <c r="D2710" s="75"/>
      <c r="E2710" s="395"/>
      <c r="F2710" s="395"/>
      <c r="G2710" s="395"/>
      <c r="H2710" s="67"/>
      <c r="I2710" s="69"/>
      <c r="J2710" s="134"/>
      <c r="K2710" s="324">
        <v>0.2999</v>
      </c>
      <c r="L2710" s="191">
        <f>L1178</f>
        <v>1.4842</v>
      </c>
      <c r="M2710" s="401"/>
      <c r="N2710" s="86"/>
    </row>
    <row r="2711" spans="1:14" s="64" customFormat="1" x14ac:dyDescent="0.2">
      <c r="A2711" s="63"/>
      <c r="B2711" s="396"/>
      <c r="C2711" s="122"/>
      <c r="D2711" s="75"/>
      <c r="E2711" s="395"/>
      <c r="F2711" s="395"/>
      <c r="G2711" s="395"/>
      <c r="H2711" s="67"/>
      <c r="I2711" s="69"/>
      <c r="J2711" s="134"/>
      <c r="K2711" s="324">
        <v>0.2999</v>
      </c>
      <c r="L2711" s="191">
        <f>L1179</f>
        <v>1.4842</v>
      </c>
      <c r="M2711" s="401"/>
      <c r="N2711" s="86"/>
    </row>
    <row r="2712" spans="1:14" s="64" customFormat="1" x14ac:dyDescent="0.2">
      <c r="A2712" s="63"/>
      <c r="B2712" s="396"/>
      <c r="C2712" s="122"/>
      <c r="D2712" s="75"/>
      <c r="E2712" s="395"/>
      <c r="F2712" s="395"/>
      <c r="G2712" s="395"/>
      <c r="H2712" s="67"/>
      <c r="I2712" s="69"/>
      <c r="J2712" s="134"/>
      <c r="K2712" s="324">
        <v>0.2999</v>
      </c>
      <c r="L2712" s="191">
        <f>L1180</f>
        <v>1.4842</v>
      </c>
      <c r="M2712" s="401"/>
      <c r="N2712" s="86"/>
    </row>
    <row r="2713" spans="1:14" s="64" customFormat="1" x14ac:dyDescent="0.2">
      <c r="A2713" s="63"/>
      <c r="B2713" s="396"/>
      <c r="C2713" s="122"/>
      <c r="D2713" s="75"/>
      <c r="E2713" s="395"/>
      <c r="F2713" s="395"/>
      <c r="G2713" s="395"/>
      <c r="H2713" s="67"/>
      <c r="I2713" s="69"/>
      <c r="J2713" s="134"/>
      <c r="K2713" s="324">
        <v>0.2999</v>
      </c>
      <c r="L2713" s="191">
        <f>L1181</f>
        <v>1.4842</v>
      </c>
      <c r="M2713" s="401"/>
      <c r="N2713" s="86"/>
    </row>
    <row r="2714" spans="1:14" s="64" customFormat="1" x14ac:dyDescent="0.2">
      <c r="A2714" s="63"/>
      <c r="B2714" s="396"/>
      <c r="C2714" s="122"/>
      <c r="D2714" s="75"/>
      <c r="E2714" s="395"/>
      <c r="F2714" s="395"/>
      <c r="G2714" s="395"/>
      <c r="H2714" s="67"/>
      <c r="I2714" s="69"/>
      <c r="J2714" s="134"/>
      <c r="K2714" s="324">
        <v>0.2999</v>
      </c>
      <c r="L2714" s="191">
        <f>L1182</f>
        <v>1.4842</v>
      </c>
      <c r="M2714" s="401"/>
      <c r="N2714" s="86"/>
    </row>
    <row r="2715" spans="1:14" s="64" customFormat="1" x14ac:dyDescent="0.2">
      <c r="A2715" s="63"/>
      <c r="B2715" s="396"/>
      <c r="C2715" s="122"/>
      <c r="D2715" s="75"/>
      <c r="E2715" s="395"/>
      <c r="F2715" s="395"/>
      <c r="G2715" s="395"/>
      <c r="H2715" s="67"/>
      <c r="I2715" s="69"/>
      <c r="J2715" s="134"/>
      <c r="K2715" s="324">
        <v>0.2999</v>
      </c>
      <c r="L2715" s="191">
        <f>L1183</f>
        <v>1.4842</v>
      </c>
      <c r="M2715" s="401"/>
      <c r="N2715" s="86"/>
    </row>
    <row r="2716" spans="1:14" s="64" customFormat="1" x14ac:dyDescent="0.2">
      <c r="A2716" s="63"/>
      <c r="B2716" s="396"/>
      <c r="C2716" s="122"/>
      <c r="D2716" s="75"/>
      <c r="E2716" s="395"/>
      <c r="F2716" s="395"/>
      <c r="G2716" s="395"/>
      <c r="H2716" s="67"/>
      <c r="I2716" s="69"/>
      <c r="J2716" s="134"/>
      <c r="K2716" s="324">
        <v>0.2999</v>
      </c>
      <c r="L2716" s="191">
        <f>L1184</f>
        <v>1.4842</v>
      </c>
      <c r="M2716" s="401"/>
      <c r="N2716" s="86"/>
    </row>
    <row r="2717" spans="1:14" s="64" customFormat="1" x14ac:dyDescent="0.2">
      <c r="A2717" s="63"/>
      <c r="B2717" s="396"/>
      <c r="C2717" s="122"/>
      <c r="D2717" s="75"/>
      <c r="E2717" s="395"/>
      <c r="F2717" s="395"/>
      <c r="G2717" s="395"/>
      <c r="H2717" s="67"/>
      <c r="I2717" s="69"/>
      <c r="J2717" s="134"/>
      <c r="K2717" s="324">
        <v>0.2999</v>
      </c>
      <c r="L2717" s="191">
        <f>L1185</f>
        <v>0</v>
      </c>
      <c r="M2717" s="401"/>
      <c r="N2717" s="86"/>
    </row>
    <row r="2718" spans="1:14" s="64" customFormat="1" x14ac:dyDescent="0.2">
      <c r="A2718" s="63"/>
      <c r="B2718" s="396"/>
      <c r="C2718" s="122"/>
      <c r="D2718" s="75"/>
      <c r="E2718" s="395"/>
      <c r="F2718" s="395"/>
      <c r="G2718" s="395"/>
      <c r="H2718" s="67"/>
      <c r="I2718" s="69"/>
      <c r="J2718" s="134"/>
      <c r="K2718" s="324">
        <v>0.2999</v>
      </c>
      <c r="L2718" s="191">
        <f>L1186</f>
        <v>1.4842</v>
      </c>
      <c r="M2718" s="401"/>
      <c r="N2718" s="86"/>
    </row>
    <row r="2719" spans="1:14" s="64" customFormat="1" x14ac:dyDescent="0.2">
      <c r="A2719" s="63"/>
      <c r="B2719" s="396"/>
      <c r="C2719" s="122"/>
      <c r="D2719" s="75"/>
      <c r="E2719" s="395"/>
      <c r="F2719" s="395"/>
      <c r="G2719" s="395"/>
      <c r="H2719" s="67"/>
      <c r="I2719" s="69"/>
      <c r="J2719" s="134"/>
      <c r="K2719" s="324">
        <v>0.2999</v>
      </c>
      <c r="L2719" s="191">
        <f>L1187</f>
        <v>1.4842</v>
      </c>
      <c r="M2719" s="401"/>
      <c r="N2719" s="86"/>
    </row>
    <row r="2720" spans="1:14" s="64" customFormat="1" x14ac:dyDescent="0.2">
      <c r="A2720" s="63"/>
      <c r="B2720" s="396"/>
      <c r="C2720" s="122"/>
      <c r="D2720" s="75"/>
      <c r="E2720" s="395"/>
      <c r="F2720" s="395"/>
      <c r="G2720" s="395"/>
      <c r="H2720" s="67"/>
      <c r="I2720" s="69"/>
      <c r="J2720" s="134"/>
      <c r="K2720" s="324">
        <v>0.2999</v>
      </c>
      <c r="L2720" s="191">
        <f>L1188</f>
        <v>1.4842</v>
      </c>
      <c r="M2720" s="401"/>
      <c r="N2720" s="86"/>
    </row>
    <row r="2721" spans="1:14" s="64" customFormat="1" x14ac:dyDescent="0.2">
      <c r="A2721" s="63"/>
      <c r="B2721" s="396"/>
      <c r="C2721" s="122"/>
      <c r="D2721" s="75"/>
      <c r="E2721" s="395"/>
      <c r="F2721" s="395"/>
      <c r="G2721" s="395"/>
      <c r="H2721" s="67"/>
      <c r="I2721" s="69"/>
      <c r="J2721" s="134"/>
      <c r="K2721" s="324">
        <v>0.2999</v>
      </c>
      <c r="L2721" s="191">
        <f>L1189</f>
        <v>1.4842</v>
      </c>
      <c r="M2721" s="401"/>
      <c r="N2721" s="86"/>
    </row>
    <row r="2722" spans="1:14" s="64" customFormat="1" x14ac:dyDescent="0.2">
      <c r="A2722" s="63"/>
      <c r="B2722" s="396"/>
      <c r="C2722" s="122"/>
      <c r="D2722" s="75"/>
      <c r="E2722" s="395"/>
      <c r="F2722" s="395"/>
      <c r="G2722" s="395"/>
      <c r="H2722" s="67"/>
      <c r="I2722" s="69"/>
      <c r="J2722" s="134"/>
      <c r="K2722" s="324">
        <v>0.2999</v>
      </c>
      <c r="L2722" s="191">
        <f>L1190</f>
        <v>1.4842</v>
      </c>
      <c r="M2722" s="401"/>
      <c r="N2722" s="86"/>
    </row>
    <row r="2723" spans="1:14" s="64" customFormat="1" x14ac:dyDescent="0.2">
      <c r="A2723" s="63"/>
      <c r="B2723" s="396"/>
      <c r="C2723" s="122"/>
      <c r="D2723" s="75"/>
      <c r="E2723" s="395"/>
      <c r="F2723" s="395"/>
      <c r="G2723" s="395"/>
      <c r="H2723" s="67"/>
      <c r="I2723" s="69"/>
      <c r="J2723" s="134"/>
      <c r="K2723" s="324">
        <v>0.2999</v>
      </c>
      <c r="L2723" s="191">
        <f>L1191</f>
        <v>1.4842</v>
      </c>
      <c r="M2723" s="401"/>
      <c r="N2723" s="86"/>
    </row>
    <row r="2724" spans="1:14" s="64" customFormat="1" x14ac:dyDescent="0.2">
      <c r="A2724" s="63"/>
      <c r="B2724" s="396"/>
      <c r="C2724" s="122"/>
      <c r="D2724" s="75"/>
      <c r="E2724" s="395"/>
      <c r="F2724" s="395"/>
      <c r="G2724" s="395"/>
      <c r="H2724" s="67"/>
      <c r="I2724" s="69"/>
      <c r="J2724" s="134"/>
      <c r="K2724" s="324">
        <v>0.2999</v>
      </c>
      <c r="L2724" s="191">
        <f>L1192</f>
        <v>1.4842</v>
      </c>
      <c r="M2724" s="401"/>
      <c r="N2724" s="86"/>
    </row>
    <row r="2725" spans="1:14" s="64" customFormat="1" x14ac:dyDescent="0.2">
      <c r="A2725" s="63"/>
      <c r="B2725" s="396"/>
      <c r="C2725" s="122"/>
      <c r="D2725" s="75"/>
      <c r="E2725" s="395"/>
      <c r="F2725" s="395"/>
      <c r="G2725" s="395"/>
      <c r="H2725" s="67"/>
      <c r="I2725" s="69"/>
      <c r="J2725" s="134"/>
      <c r="K2725" s="324">
        <v>0.2999</v>
      </c>
      <c r="L2725" s="191">
        <f>L1193</f>
        <v>1.4842</v>
      </c>
      <c r="M2725" s="401"/>
      <c r="N2725" s="86"/>
    </row>
    <row r="2726" spans="1:14" s="64" customFormat="1" x14ac:dyDescent="0.2">
      <c r="A2726" s="63"/>
      <c r="B2726" s="396"/>
      <c r="C2726" s="122"/>
      <c r="D2726" s="75"/>
      <c r="E2726" s="395"/>
      <c r="F2726" s="395"/>
      <c r="G2726" s="395"/>
      <c r="H2726" s="67"/>
      <c r="I2726" s="69"/>
      <c r="J2726" s="134"/>
      <c r="K2726" s="324">
        <v>0.2999</v>
      </c>
      <c r="L2726" s="191">
        <f>L1194</f>
        <v>1.4842</v>
      </c>
      <c r="M2726" s="401"/>
      <c r="N2726" s="86"/>
    </row>
    <row r="2727" spans="1:14" s="64" customFormat="1" x14ac:dyDescent="0.2">
      <c r="A2727" s="63"/>
      <c r="B2727" s="396"/>
      <c r="C2727" s="122"/>
      <c r="D2727" s="75"/>
      <c r="E2727" s="395"/>
      <c r="F2727" s="395"/>
      <c r="G2727" s="395"/>
      <c r="H2727" s="67"/>
      <c r="I2727" s="69"/>
      <c r="J2727" s="134"/>
      <c r="K2727" s="324">
        <v>0.2999</v>
      </c>
      <c r="L2727" s="191">
        <f>L1195</f>
        <v>1.4842</v>
      </c>
      <c r="M2727" s="401"/>
      <c r="N2727" s="86"/>
    </row>
    <row r="2728" spans="1:14" s="64" customFormat="1" x14ac:dyDescent="0.2">
      <c r="A2728" s="63"/>
      <c r="B2728" s="396"/>
      <c r="C2728" s="122"/>
      <c r="D2728" s="75"/>
      <c r="E2728" s="395"/>
      <c r="F2728" s="395"/>
      <c r="G2728" s="395"/>
      <c r="H2728" s="67"/>
      <c r="I2728" s="69"/>
      <c r="J2728" s="134"/>
      <c r="K2728" s="324">
        <v>0.2999</v>
      </c>
      <c r="L2728" s="191">
        <f>L1196</f>
        <v>1.4842</v>
      </c>
      <c r="M2728" s="401"/>
      <c r="N2728" s="86"/>
    </row>
    <row r="2729" spans="1:14" s="64" customFormat="1" x14ac:dyDescent="0.2">
      <c r="A2729" s="63"/>
      <c r="B2729" s="396"/>
      <c r="C2729" s="122"/>
      <c r="D2729" s="75"/>
      <c r="E2729" s="395"/>
      <c r="F2729" s="395"/>
      <c r="G2729" s="395"/>
      <c r="H2729" s="67"/>
      <c r="I2729" s="69"/>
      <c r="J2729" s="134"/>
      <c r="K2729" s="324">
        <v>0.2999</v>
      </c>
      <c r="L2729" s="191">
        <f>L1197</f>
        <v>1.4842</v>
      </c>
      <c r="M2729" s="401"/>
      <c r="N2729" s="86"/>
    </row>
    <row r="2730" spans="1:14" s="64" customFormat="1" x14ac:dyDescent="0.2">
      <c r="A2730" s="63"/>
      <c r="B2730" s="396"/>
      <c r="C2730" s="122"/>
      <c r="D2730" s="75"/>
      <c r="E2730" s="395"/>
      <c r="F2730" s="395"/>
      <c r="G2730" s="395"/>
      <c r="H2730" s="67"/>
      <c r="I2730" s="69"/>
      <c r="J2730" s="134"/>
      <c r="K2730" s="324">
        <v>0.2999</v>
      </c>
      <c r="L2730" s="191">
        <f>L1198</f>
        <v>1.4842</v>
      </c>
      <c r="M2730" s="401"/>
      <c r="N2730" s="86"/>
    </row>
    <row r="2731" spans="1:14" s="64" customFormat="1" x14ac:dyDescent="0.2">
      <c r="A2731" s="63"/>
      <c r="B2731" s="396"/>
      <c r="C2731" s="122"/>
      <c r="D2731" s="75"/>
      <c r="E2731" s="395"/>
      <c r="F2731" s="395"/>
      <c r="G2731" s="395"/>
      <c r="H2731" s="67"/>
      <c r="I2731" s="69"/>
      <c r="J2731" s="134"/>
      <c r="K2731" s="324">
        <v>0.2999</v>
      </c>
      <c r="L2731" s="191">
        <f>L1199</f>
        <v>1.4842</v>
      </c>
      <c r="M2731" s="401"/>
      <c r="N2731" s="86"/>
    </row>
    <row r="2732" spans="1:14" s="64" customFormat="1" x14ac:dyDescent="0.2">
      <c r="A2732" s="63"/>
      <c r="B2732" s="396"/>
      <c r="C2732" s="122"/>
      <c r="D2732" s="75"/>
      <c r="E2732" s="395"/>
      <c r="F2732" s="395"/>
      <c r="G2732" s="395"/>
      <c r="H2732" s="67"/>
      <c r="I2732" s="69"/>
      <c r="J2732" s="134"/>
      <c r="K2732" s="324">
        <v>0.2999</v>
      </c>
      <c r="L2732" s="191">
        <f>L1200</f>
        <v>1.4842</v>
      </c>
      <c r="M2732" s="401"/>
      <c r="N2732" s="86"/>
    </row>
    <row r="2733" spans="1:14" s="64" customFormat="1" x14ac:dyDescent="0.2">
      <c r="A2733" s="63"/>
      <c r="B2733" s="396"/>
      <c r="C2733" s="122"/>
      <c r="D2733" s="75"/>
      <c r="E2733" s="395"/>
      <c r="F2733" s="395"/>
      <c r="G2733" s="395"/>
      <c r="H2733" s="67"/>
      <c r="I2733" s="69"/>
      <c r="J2733" s="134"/>
      <c r="K2733" s="324">
        <v>0.2999</v>
      </c>
      <c r="L2733" s="191">
        <f>L1201</f>
        <v>1.4842</v>
      </c>
      <c r="M2733" s="401"/>
      <c r="N2733" s="86"/>
    </row>
    <row r="2734" spans="1:14" s="64" customFormat="1" x14ac:dyDescent="0.2">
      <c r="A2734" s="63"/>
      <c r="B2734" s="396"/>
      <c r="C2734" s="122"/>
      <c r="D2734" s="75"/>
      <c r="E2734" s="395"/>
      <c r="F2734" s="395"/>
      <c r="G2734" s="395"/>
      <c r="H2734" s="67"/>
      <c r="I2734" s="69"/>
      <c r="J2734" s="134"/>
      <c r="K2734" s="324">
        <v>0.2999</v>
      </c>
      <c r="L2734" s="191">
        <f>L1202</f>
        <v>1.4842</v>
      </c>
      <c r="M2734" s="401"/>
      <c r="N2734" s="86"/>
    </row>
    <row r="2735" spans="1:14" s="64" customFormat="1" x14ac:dyDescent="0.2">
      <c r="A2735" s="63"/>
      <c r="B2735" s="396"/>
      <c r="C2735" s="122"/>
      <c r="D2735" s="75"/>
      <c r="E2735" s="395"/>
      <c r="F2735" s="395"/>
      <c r="G2735" s="395"/>
      <c r="H2735" s="67"/>
      <c r="I2735" s="69"/>
      <c r="J2735" s="134"/>
      <c r="K2735" s="324">
        <v>0.2999</v>
      </c>
      <c r="L2735" s="191">
        <f>L1203</f>
        <v>1.4842</v>
      </c>
      <c r="M2735" s="401"/>
      <c r="N2735" s="86"/>
    </row>
    <row r="2736" spans="1:14" s="64" customFormat="1" x14ac:dyDescent="0.2">
      <c r="A2736" s="63"/>
      <c r="B2736" s="396"/>
      <c r="C2736" s="122"/>
      <c r="D2736" s="75"/>
      <c r="E2736" s="395"/>
      <c r="F2736" s="395"/>
      <c r="G2736" s="395"/>
      <c r="H2736" s="67"/>
      <c r="I2736" s="69"/>
      <c r="J2736" s="134"/>
      <c r="K2736" s="324">
        <v>0.2999</v>
      </c>
      <c r="L2736" s="191">
        <f>L1204</f>
        <v>1.4842</v>
      </c>
      <c r="M2736" s="401"/>
      <c r="N2736" s="86"/>
    </row>
    <row r="2737" spans="1:14" s="64" customFormat="1" x14ac:dyDescent="0.2">
      <c r="A2737" s="63"/>
      <c r="B2737" s="396"/>
      <c r="C2737" s="122"/>
      <c r="D2737" s="75"/>
      <c r="E2737" s="395"/>
      <c r="F2737" s="395"/>
      <c r="G2737" s="395"/>
      <c r="H2737" s="67"/>
      <c r="I2737" s="69"/>
      <c r="J2737" s="134"/>
      <c r="K2737" s="324">
        <v>0.2999</v>
      </c>
      <c r="L2737" s="191">
        <f>L1205</f>
        <v>1.4842</v>
      </c>
      <c r="M2737" s="401"/>
      <c r="N2737" s="86"/>
    </row>
    <row r="2738" spans="1:14" s="64" customFormat="1" x14ac:dyDescent="0.2">
      <c r="A2738" s="63"/>
      <c r="B2738" s="396"/>
      <c r="C2738" s="122"/>
      <c r="D2738" s="75"/>
      <c r="E2738" s="395"/>
      <c r="F2738" s="395"/>
      <c r="G2738" s="395"/>
      <c r="H2738" s="67"/>
      <c r="I2738" s="69"/>
      <c r="J2738" s="134"/>
      <c r="K2738" s="324">
        <v>0.2999</v>
      </c>
      <c r="L2738" s="191">
        <f>L1206</f>
        <v>1.4842</v>
      </c>
      <c r="M2738" s="401"/>
      <c r="N2738" s="86"/>
    </row>
    <row r="2739" spans="1:14" s="64" customFormat="1" x14ac:dyDescent="0.2">
      <c r="A2739" s="63"/>
      <c r="B2739" s="396"/>
      <c r="C2739" s="122"/>
      <c r="D2739" s="75"/>
      <c r="E2739" s="395"/>
      <c r="F2739" s="395"/>
      <c r="G2739" s="395"/>
      <c r="H2739" s="67"/>
      <c r="I2739" s="69"/>
      <c r="J2739" s="134"/>
      <c r="K2739" s="324">
        <v>0.2999</v>
      </c>
      <c r="L2739" s="191">
        <f>L1207</f>
        <v>1.4842</v>
      </c>
      <c r="M2739" s="401"/>
      <c r="N2739" s="86"/>
    </row>
    <row r="2740" spans="1:14" s="64" customFormat="1" x14ac:dyDescent="0.2">
      <c r="A2740" s="63"/>
      <c r="B2740" s="396"/>
      <c r="C2740" s="122"/>
      <c r="D2740" s="75"/>
      <c r="E2740" s="395"/>
      <c r="F2740" s="395"/>
      <c r="G2740" s="395"/>
      <c r="H2740" s="67"/>
      <c r="I2740" s="69"/>
      <c r="J2740" s="134"/>
      <c r="K2740" s="324">
        <v>0.2999</v>
      </c>
      <c r="L2740" s="191">
        <f>L1208</f>
        <v>1.4842</v>
      </c>
      <c r="M2740" s="401"/>
      <c r="N2740" s="86"/>
    </row>
    <row r="2741" spans="1:14" s="64" customFormat="1" x14ac:dyDescent="0.2">
      <c r="A2741" s="63"/>
      <c r="B2741" s="396"/>
      <c r="C2741" s="122"/>
      <c r="D2741" s="75"/>
      <c r="E2741" s="395"/>
      <c r="F2741" s="395"/>
      <c r="G2741" s="395"/>
      <c r="H2741" s="67"/>
      <c r="I2741" s="69"/>
      <c r="J2741" s="134"/>
      <c r="K2741" s="324">
        <v>0.2999</v>
      </c>
      <c r="L2741" s="191">
        <f>L1209</f>
        <v>1.4842</v>
      </c>
      <c r="M2741" s="401"/>
      <c r="N2741" s="86"/>
    </row>
    <row r="2742" spans="1:14" s="64" customFormat="1" x14ac:dyDescent="0.2">
      <c r="A2742" s="63"/>
      <c r="B2742" s="396"/>
      <c r="C2742" s="122"/>
      <c r="D2742" s="75"/>
      <c r="E2742" s="395"/>
      <c r="F2742" s="395"/>
      <c r="G2742" s="395"/>
      <c r="H2742" s="67"/>
      <c r="I2742" s="69"/>
      <c r="J2742" s="134"/>
      <c r="K2742" s="324">
        <v>0.2999</v>
      </c>
      <c r="L2742" s="191">
        <f>L1210</f>
        <v>1.4842</v>
      </c>
      <c r="M2742" s="401"/>
      <c r="N2742" s="86"/>
    </row>
    <row r="2743" spans="1:14" s="64" customFormat="1" x14ac:dyDescent="0.2">
      <c r="A2743" s="63"/>
      <c r="B2743" s="396"/>
      <c r="C2743" s="122"/>
      <c r="D2743" s="75"/>
      <c r="E2743" s="395"/>
      <c r="F2743" s="395"/>
      <c r="G2743" s="395"/>
      <c r="H2743" s="67"/>
      <c r="I2743" s="69"/>
      <c r="J2743" s="134"/>
      <c r="K2743" s="324">
        <v>0.2999</v>
      </c>
      <c r="L2743" s="191">
        <f>L1211</f>
        <v>1.4842</v>
      </c>
      <c r="M2743" s="401"/>
      <c r="N2743" s="86"/>
    </row>
    <row r="2744" spans="1:14" s="64" customFormat="1" x14ac:dyDescent="0.2">
      <c r="A2744" s="63"/>
      <c r="B2744" s="396"/>
      <c r="C2744" s="122"/>
      <c r="D2744" s="75"/>
      <c r="E2744" s="395"/>
      <c r="F2744" s="395"/>
      <c r="G2744" s="395"/>
      <c r="H2744" s="67"/>
      <c r="I2744" s="69"/>
      <c r="J2744" s="134"/>
      <c r="K2744" s="324">
        <v>0.2999</v>
      </c>
      <c r="L2744" s="191">
        <f>L1212</f>
        <v>1.4842</v>
      </c>
      <c r="M2744" s="401"/>
      <c r="N2744" s="86"/>
    </row>
    <row r="2745" spans="1:14" s="64" customFormat="1" x14ac:dyDescent="0.2">
      <c r="A2745" s="63"/>
      <c r="B2745" s="396"/>
      <c r="C2745" s="122"/>
      <c r="D2745" s="75"/>
      <c r="E2745" s="395"/>
      <c r="F2745" s="395"/>
      <c r="G2745" s="395"/>
      <c r="H2745" s="67"/>
      <c r="I2745" s="69"/>
      <c r="J2745" s="134"/>
      <c r="K2745" s="324">
        <v>0.2999</v>
      </c>
      <c r="L2745" s="191">
        <f>L1213</f>
        <v>1.4842</v>
      </c>
      <c r="M2745" s="401"/>
      <c r="N2745" s="86"/>
    </row>
    <row r="2746" spans="1:14" s="64" customFormat="1" x14ac:dyDescent="0.2">
      <c r="A2746" s="63"/>
      <c r="B2746" s="396"/>
      <c r="C2746" s="122"/>
      <c r="D2746" s="75"/>
      <c r="E2746" s="395"/>
      <c r="F2746" s="395"/>
      <c r="G2746" s="395"/>
      <c r="H2746" s="67"/>
      <c r="I2746" s="69"/>
      <c r="J2746" s="134"/>
      <c r="K2746" s="324">
        <v>0.2999</v>
      </c>
      <c r="L2746" s="191">
        <f>L1214</f>
        <v>1.4842</v>
      </c>
      <c r="M2746" s="401"/>
      <c r="N2746" s="86"/>
    </row>
    <row r="2747" spans="1:14" s="64" customFormat="1" x14ac:dyDescent="0.2">
      <c r="A2747" s="63"/>
      <c r="B2747" s="396"/>
      <c r="C2747" s="122"/>
      <c r="D2747" s="75"/>
      <c r="E2747" s="395"/>
      <c r="F2747" s="395"/>
      <c r="G2747" s="395"/>
      <c r="H2747" s="67"/>
      <c r="I2747" s="69"/>
      <c r="J2747" s="134"/>
      <c r="K2747" s="324">
        <v>0.2999</v>
      </c>
      <c r="L2747" s="191">
        <f>L1215</f>
        <v>1.4842</v>
      </c>
      <c r="M2747" s="401"/>
      <c r="N2747" s="86"/>
    </row>
    <row r="2748" spans="1:14" s="64" customFormat="1" x14ac:dyDescent="0.2">
      <c r="A2748" s="63"/>
      <c r="B2748" s="396"/>
      <c r="C2748" s="122"/>
      <c r="D2748" s="75"/>
      <c r="E2748" s="395"/>
      <c r="F2748" s="395"/>
      <c r="G2748" s="395"/>
      <c r="H2748" s="67"/>
      <c r="I2748" s="69"/>
      <c r="J2748" s="134"/>
      <c r="K2748" s="324">
        <v>0.2999</v>
      </c>
      <c r="L2748" s="191">
        <f>L1216</f>
        <v>1.4842</v>
      </c>
      <c r="M2748" s="401"/>
      <c r="N2748" s="86"/>
    </row>
    <row r="2749" spans="1:14" s="64" customFormat="1" x14ac:dyDescent="0.2">
      <c r="A2749" s="63"/>
      <c r="B2749" s="396"/>
      <c r="C2749" s="122"/>
      <c r="D2749" s="75"/>
      <c r="E2749" s="395"/>
      <c r="F2749" s="395"/>
      <c r="G2749" s="395"/>
      <c r="H2749" s="67"/>
      <c r="I2749" s="69"/>
      <c r="J2749" s="134"/>
      <c r="K2749" s="324">
        <v>0.2999</v>
      </c>
      <c r="L2749" s="191">
        <f>L1217</f>
        <v>1.4842</v>
      </c>
      <c r="M2749" s="401"/>
      <c r="N2749" s="86"/>
    </row>
    <row r="2750" spans="1:14" s="64" customFormat="1" x14ac:dyDescent="0.2">
      <c r="A2750" s="63"/>
      <c r="B2750" s="396"/>
      <c r="C2750" s="122"/>
      <c r="D2750" s="75"/>
      <c r="E2750" s="395"/>
      <c r="F2750" s="395"/>
      <c r="G2750" s="395"/>
      <c r="H2750" s="67"/>
      <c r="I2750" s="69"/>
      <c r="J2750" s="134"/>
      <c r="K2750" s="324">
        <v>0.2999</v>
      </c>
      <c r="L2750" s="191">
        <f>L1218</f>
        <v>1.4842</v>
      </c>
      <c r="M2750" s="401"/>
      <c r="N2750" s="86"/>
    </row>
    <row r="2751" spans="1:14" s="64" customFormat="1" x14ac:dyDescent="0.2">
      <c r="A2751" s="63"/>
      <c r="B2751" s="396"/>
      <c r="C2751" s="122"/>
      <c r="D2751" s="75"/>
      <c r="E2751" s="395"/>
      <c r="F2751" s="395"/>
      <c r="G2751" s="395"/>
      <c r="H2751" s="67"/>
      <c r="I2751" s="69"/>
      <c r="J2751" s="134"/>
      <c r="K2751" s="324">
        <v>0.2999</v>
      </c>
      <c r="L2751" s="191">
        <f>L1219</f>
        <v>1.4842</v>
      </c>
      <c r="M2751" s="401"/>
      <c r="N2751" s="86"/>
    </row>
    <row r="2752" spans="1:14" s="64" customFormat="1" x14ac:dyDescent="0.2">
      <c r="A2752" s="63"/>
      <c r="B2752" s="396"/>
      <c r="C2752" s="122"/>
      <c r="D2752" s="75"/>
      <c r="E2752" s="395"/>
      <c r="F2752" s="395"/>
      <c r="G2752" s="395"/>
      <c r="H2752" s="67"/>
      <c r="I2752" s="69"/>
      <c r="J2752" s="134"/>
      <c r="K2752" s="324">
        <v>0.2999</v>
      </c>
      <c r="L2752" s="191">
        <f>L1220</f>
        <v>1.4842</v>
      </c>
      <c r="M2752" s="401"/>
      <c r="N2752" s="86"/>
    </row>
    <row r="2753" spans="1:14" s="64" customFormat="1" x14ac:dyDescent="0.2">
      <c r="A2753" s="63"/>
      <c r="B2753" s="396"/>
      <c r="C2753" s="122"/>
      <c r="D2753" s="75"/>
      <c r="E2753" s="395"/>
      <c r="F2753" s="395"/>
      <c r="G2753" s="395"/>
      <c r="H2753" s="67"/>
      <c r="I2753" s="69"/>
      <c r="J2753" s="134"/>
      <c r="K2753" s="324">
        <v>0.2999</v>
      </c>
      <c r="L2753" s="191">
        <f>L1221</f>
        <v>1.4842</v>
      </c>
      <c r="M2753" s="401"/>
      <c r="N2753" s="86"/>
    </row>
    <row r="2754" spans="1:14" s="64" customFormat="1" x14ac:dyDescent="0.2">
      <c r="A2754" s="63"/>
      <c r="B2754" s="396"/>
      <c r="C2754" s="122"/>
      <c r="D2754" s="75"/>
      <c r="E2754" s="395"/>
      <c r="F2754" s="395"/>
      <c r="G2754" s="395"/>
      <c r="H2754" s="67"/>
      <c r="I2754" s="69"/>
      <c r="J2754" s="134"/>
      <c r="K2754" s="324">
        <v>0.2999</v>
      </c>
      <c r="L2754" s="191">
        <f>L1222</f>
        <v>1.4842</v>
      </c>
      <c r="M2754" s="401"/>
      <c r="N2754" s="86"/>
    </row>
    <row r="2755" spans="1:14" s="64" customFormat="1" x14ac:dyDescent="0.2">
      <c r="A2755" s="63"/>
      <c r="B2755" s="396"/>
      <c r="C2755" s="122"/>
      <c r="D2755" s="75"/>
      <c r="E2755" s="395"/>
      <c r="F2755" s="395"/>
      <c r="G2755" s="395"/>
      <c r="H2755" s="67"/>
      <c r="I2755" s="69"/>
      <c r="J2755" s="134"/>
      <c r="K2755" s="324">
        <v>0.2999</v>
      </c>
      <c r="L2755" s="191">
        <f>L1223</f>
        <v>1.4842</v>
      </c>
      <c r="M2755" s="401"/>
      <c r="N2755" s="86"/>
    </row>
    <row r="2756" spans="1:14" s="64" customFormat="1" x14ac:dyDescent="0.2">
      <c r="A2756" s="63"/>
      <c r="B2756" s="396"/>
      <c r="C2756" s="122"/>
      <c r="D2756" s="75"/>
      <c r="E2756" s="395"/>
      <c r="F2756" s="395"/>
      <c r="G2756" s="395"/>
      <c r="H2756" s="67"/>
      <c r="I2756" s="69"/>
      <c r="J2756" s="134"/>
      <c r="K2756" s="324">
        <v>0.2999</v>
      </c>
      <c r="L2756" s="191">
        <f>L1224</f>
        <v>1.4842</v>
      </c>
      <c r="M2756" s="401"/>
      <c r="N2756" s="86"/>
    </row>
    <row r="2757" spans="1:14" s="64" customFormat="1" x14ac:dyDescent="0.2">
      <c r="A2757" s="63"/>
      <c r="B2757" s="396"/>
      <c r="C2757" s="122"/>
      <c r="D2757" s="75"/>
      <c r="E2757" s="395"/>
      <c r="F2757" s="395"/>
      <c r="G2757" s="395"/>
      <c r="H2757" s="67"/>
      <c r="I2757" s="69"/>
      <c r="J2757" s="134"/>
      <c r="K2757" s="324">
        <v>0.2999</v>
      </c>
      <c r="L2757" s="191">
        <f>L1225</f>
        <v>1.4842</v>
      </c>
      <c r="M2757" s="401"/>
      <c r="N2757" s="86"/>
    </row>
    <row r="2758" spans="1:14" s="64" customFormat="1" x14ac:dyDescent="0.2">
      <c r="A2758" s="63"/>
      <c r="B2758" s="396"/>
      <c r="C2758" s="122"/>
      <c r="D2758" s="75"/>
      <c r="E2758" s="395"/>
      <c r="F2758" s="395"/>
      <c r="G2758" s="395"/>
      <c r="H2758" s="67"/>
      <c r="I2758" s="69"/>
      <c r="J2758" s="134"/>
      <c r="K2758" s="324">
        <v>0.2999</v>
      </c>
      <c r="L2758" s="191">
        <f>L1226</f>
        <v>1.4842</v>
      </c>
      <c r="M2758" s="401"/>
      <c r="N2758" s="86"/>
    </row>
    <row r="2759" spans="1:14" s="64" customFormat="1" x14ac:dyDescent="0.2">
      <c r="A2759" s="63"/>
      <c r="B2759" s="396"/>
      <c r="C2759" s="122"/>
      <c r="D2759" s="75"/>
      <c r="E2759" s="395"/>
      <c r="F2759" s="395"/>
      <c r="G2759" s="395"/>
      <c r="H2759" s="67"/>
      <c r="I2759" s="69"/>
      <c r="J2759" s="134"/>
      <c r="K2759" s="324">
        <v>0.2999</v>
      </c>
      <c r="L2759" s="191">
        <f>L1227</f>
        <v>1.4842</v>
      </c>
      <c r="M2759" s="401"/>
      <c r="N2759" s="86"/>
    </row>
    <row r="2760" spans="1:14" s="64" customFormat="1" x14ac:dyDescent="0.2">
      <c r="A2760" s="63"/>
      <c r="B2760" s="396"/>
      <c r="C2760" s="122"/>
      <c r="D2760" s="75"/>
      <c r="E2760" s="395"/>
      <c r="F2760" s="395"/>
      <c r="G2760" s="395"/>
      <c r="H2760" s="67"/>
      <c r="I2760" s="69"/>
      <c r="J2760" s="134"/>
      <c r="K2760" s="324">
        <v>0.2999</v>
      </c>
      <c r="L2760" s="191">
        <f>L1228</f>
        <v>1.4842</v>
      </c>
      <c r="M2760" s="401"/>
      <c r="N2760" s="86"/>
    </row>
    <row r="2761" spans="1:14" s="64" customFormat="1" x14ac:dyDescent="0.2">
      <c r="A2761" s="63"/>
      <c r="B2761" s="396"/>
      <c r="C2761" s="122"/>
      <c r="D2761" s="75"/>
      <c r="E2761" s="395"/>
      <c r="F2761" s="395"/>
      <c r="G2761" s="395"/>
      <c r="H2761" s="67"/>
      <c r="I2761" s="69"/>
      <c r="J2761" s="134"/>
      <c r="K2761" s="324">
        <v>0.2999</v>
      </c>
      <c r="L2761" s="191">
        <f>L1229</f>
        <v>1.4842</v>
      </c>
      <c r="M2761" s="401"/>
      <c r="N2761" s="86"/>
    </row>
    <row r="2762" spans="1:14" s="64" customFormat="1" x14ac:dyDescent="0.2">
      <c r="A2762" s="63"/>
      <c r="B2762" s="396"/>
      <c r="C2762" s="122"/>
      <c r="D2762" s="75"/>
      <c r="E2762" s="395"/>
      <c r="F2762" s="395"/>
      <c r="G2762" s="395"/>
      <c r="H2762" s="67"/>
      <c r="I2762" s="69"/>
      <c r="J2762" s="134"/>
      <c r="K2762" s="324">
        <v>0.2999</v>
      </c>
      <c r="L2762" s="191">
        <f>L1230</f>
        <v>1.4842</v>
      </c>
      <c r="M2762" s="401"/>
      <c r="N2762" s="86"/>
    </row>
    <row r="2763" spans="1:14" s="64" customFormat="1" x14ac:dyDescent="0.2">
      <c r="A2763" s="63"/>
      <c r="B2763" s="396"/>
      <c r="C2763" s="122"/>
      <c r="D2763" s="75"/>
      <c r="E2763" s="395"/>
      <c r="F2763" s="395"/>
      <c r="G2763" s="395"/>
      <c r="H2763" s="67"/>
      <c r="I2763" s="69"/>
      <c r="J2763" s="134"/>
      <c r="K2763" s="324">
        <v>0.2999</v>
      </c>
      <c r="L2763" s="191">
        <f>L1231</f>
        <v>1.4842</v>
      </c>
      <c r="M2763" s="401"/>
      <c r="N2763" s="86"/>
    </row>
    <row r="2764" spans="1:14" s="64" customFormat="1" x14ac:dyDescent="0.2">
      <c r="A2764" s="63"/>
      <c r="B2764" s="396"/>
      <c r="C2764" s="122"/>
      <c r="D2764" s="75"/>
      <c r="E2764" s="395"/>
      <c r="F2764" s="395"/>
      <c r="G2764" s="395"/>
      <c r="H2764" s="67"/>
      <c r="I2764" s="69"/>
      <c r="J2764" s="134"/>
      <c r="K2764" s="324">
        <v>0.2999</v>
      </c>
      <c r="L2764" s="191">
        <f>L1232</f>
        <v>1.4842</v>
      </c>
      <c r="M2764" s="401"/>
      <c r="N2764" s="86"/>
    </row>
    <row r="2765" spans="1:14" s="64" customFormat="1" x14ac:dyDescent="0.2">
      <c r="A2765" s="63"/>
      <c r="B2765" s="396"/>
      <c r="C2765" s="122"/>
      <c r="D2765" s="75"/>
      <c r="E2765" s="395"/>
      <c r="F2765" s="395"/>
      <c r="G2765" s="395"/>
      <c r="H2765" s="67"/>
      <c r="I2765" s="69"/>
      <c r="J2765" s="134"/>
      <c r="K2765" s="324">
        <v>0.2999</v>
      </c>
      <c r="L2765" s="191">
        <f>L1233</f>
        <v>1.4842</v>
      </c>
      <c r="M2765" s="401"/>
      <c r="N2765" s="86"/>
    </row>
    <row r="2766" spans="1:14" s="64" customFormat="1" x14ac:dyDescent="0.2">
      <c r="A2766" s="63"/>
      <c r="B2766" s="396"/>
      <c r="C2766" s="122"/>
      <c r="D2766" s="75"/>
      <c r="E2766" s="395"/>
      <c r="F2766" s="395"/>
      <c r="G2766" s="395"/>
      <c r="H2766" s="67"/>
      <c r="I2766" s="69"/>
      <c r="J2766" s="134"/>
      <c r="K2766" s="324">
        <v>0.2999</v>
      </c>
      <c r="L2766" s="191">
        <f>L1234</f>
        <v>1.4842</v>
      </c>
      <c r="M2766" s="401"/>
      <c r="N2766" s="86"/>
    </row>
    <row r="2767" spans="1:14" s="64" customFormat="1" x14ac:dyDescent="0.2">
      <c r="A2767" s="63"/>
      <c r="B2767" s="396"/>
      <c r="C2767" s="122"/>
      <c r="D2767" s="75"/>
      <c r="E2767" s="395"/>
      <c r="F2767" s="395"/>
      <c r="G2767" s="395"/>
      <c r="H2767" s="67"/>
      <c r="I2767" s="69"/>
      <c r="J2767" s="134"/>
      <c r="K2767" s="324">
        <v>0.2999</v>
      </c>
      <c r="L2767" s="191">
        <f>L1235</f>
        <v>1.4842</v>
      </c>
      <c r="M2767" s="401"/>
      <c r="N2767" s="86"/>
    </row>
    <row r="2768" spans="1:14" s="64" customFormat="1" x14ac:dyDescent="0.2">
      <c r="A2768" s="63"/>
      <c r="B2768" s="396"/>
      <c r="C2768" s="122"/>
      <c r="D2768" s="75"/>
      <c r="E2768" s="395"/>
      <c r="F2768" s="395"/>
      <c r="G2768" s="395"/>
      <c r="H2768" s="67"/>
      <c r="I2768" s="69"/>
      <c r="J2768" s="134"/>
      <c r="K2768" s="324">
        <v>0.2999</v>
      </c>
      <c r="L2768" s="191">
        <f>L1236</f>
        <v>1.4842</v>
      </c>
      <c r="M2768" s="401"/>
      <c r="N2768" s="86"/>
    </row>
    <row r="2769" spans="1:14" s="64" customFormat="1" x14ac:dyDescent="0.2">
      <c r="A2769" s="63"/>
      <c r="B2769" s="396"/>
      <c r="C2769" s="122"/>
      <c r="D2769" s="75"/>
      <c r="E2769" s="395"/>
      <c r="F2769" s="395"/>
      <c r="G2769" s="395"/>
      <c r="H2769" s="67"/>
      <c r="I2769" s="69"/>
      <c r="J2769" s="134"/>
      <c r="K2769" s="324">
        <v>0.2999</v>
      </c>
      <c r="L2769" s="191">
        <f>L1237</f>
        <v>1.4842</v>
      </c>
      <c r="M2769" s="401"/>
      <c r="N2769" s="86"/>
    </row>
    <row r="2770" spans="1:14" s="64" customFormat="1" x14ac:dyDescent="0.2">
      <c r="A2770" s="63"/>
      <c r="B2770" s="396"/>
      <c r="C2770" s="122"/>
      <c r="D2770" s="75"/>
      <c r="E2770" s="395"/>
      <c r="F2770" s="395"/>
      <c r="G2770" s="395"/>
      <c r="H2770" s="67"/>
      <c r="I2770" s="69"/>
      <c r="J2770" s="134"/>
      <c r="K2770" s="324">
        <v>0.2999</v>
      </c>
      <c r="L2770" s="191">
        <f>L1238</f>
        <v>1.4842</v>
      </c>
      <c r="M2770" s="401"/>
      <c r="N2770" s="86"/>
    </row>
    <row r="2771" spans="1:14" s="64" customFormat="1" x14ac:dyDescent="0.2">
      <c r="A2771" s="63"/>
      <c r="B2771" s="385"/>
      <c r="C2771" s="122"/>
      <c r="D2771" s="75"/>
      <c r="E2771" s="382"/>
      <c r="F2771" s="382"/>
      <c r="G2771" s="382"/>
      <c r="H2771" s="67"/>
      <c r="I2771" s="69"/>
      <c r="J2771" s="134"/>
      <c r="K2771" s="324">
        <v>0.2999</v>
      </c>
      <c r="L2771" s="191">
        <f>L1239</f>
        <v>1.4842</v>
      </c>
      <c r="M2771" s="401"/>
      <c r="N2771" s="86"/>
    </row>
    <row r="2772" spans="1:14" s="64" customFormat="1" x14ac:dyDescent="0.2">
      <c r="A2772" s="63"/>
      <c r="B2772" s="385"/>
      <c r="C2772" s="388" t="str">
        <f>orçamento!D237</f>
        <v>alvenaria de tijolo comum 1/2 vez</v>
      </c>
      <c r="D2772" s="75" t="s">
        <v>52</v>
      </c>
      <c r="E2772" s="438"/>
      <c r="F2772" s="438"/>
      <c r="G2772" s="438"/>
      <c r="H2772" s="439"/>
      <c r="I2772" s="439"/>
      <c r="J2772" s="134"/>
      <c r="K2772" s="324">
        <v>0.2999</v>
      </c>
      <c r="L2772" s="191">
        <f>L1240</f>
        <v>1.4842</v>
      </c>
    </row>
    <row r="2773" spans="1:14" s="64" customFormat="1" x14ac:dyDescent="0.2">
      <c r="A2773" s="63"/>
      <c r="B2773" s="385"/>
      <c r="C2773" s="122" t="s">
        <v>309</v>
      </c>
      <c r="D2773" s="75" t="s">
        <v>64</v>
      </c>
      <c r="E2773" s="67">
        <v>475.2</v>
      </c>
      <c r="F2773" s="327">
        <v>475.2</v>
      </c>
      <c r="G2773" s="71">
        <v>9.7999999999999997E-3</v>
      </c>
      <c r="H2773" s="67"/>
      <c r="I2773" s="67">
        <f>E2773*G2773</f>
        <v>4.6569599999999998</v>
      </c>
      <c r="J2773" s="134"/>
      <c r="K2773" s="324">
        <v>0.2999</v>
      </c>
      <c r="L2773" s="191">
        <f t="shared" ref="L2773:L2813" si="214">L2772</f>
        <v>1.4842</v>
      </c>
    </row>
    <row r="2774" spans="1:14" s="64" customFormat="1" x14ac:dyDescent="0.2">
      <c r="A2774" s="63"/>
      <c r="B2774" s="385"/>
      <c r="C2774" s="122" t="s">
        <v>311</v>
      </c>
      <c r="D2774" s="75" t="s">
        <v>300</v>
      </c>
      <c r="E2774" s="67">
        <v>447.11</v>
      </c>
      <c r="F2774" s="327">
        <v>447.11</v>
      </c>
      <c r="G2774" s="71">
        <v>2.793E-2</v>
      </c>
      <c r="H2774" s="67"/>
      <c r="I2774" s="67">
        <f>E2774*G2774</f>
        <v>12.487782300000001</v>
      </c>
      <c r="J2774" s="134"/>
      <c r="K2774" s="324">
        <v>0.2999</v>
      </c>
      <c r="L2774" s="191">
        <f t="shared" si="214"/>
        <v>1.4842</v>
      </c>
    </row>
    <row r="2775" spans="1:14" s="64" customFormat="1" x14ac:dyDescent="0.2">
      <c r="A2775" s="63"/>
      <c r="B2775" s="385"/>
      <c r="C2775" s="122" t="s">
        <v>310</v>
      </c>
      <c r="D2775" s="75" t="s">
        <v>62</v>
      </c>
      <c r="E2775" s="67">
        <v>1.21</v>
      </c>
      <c r="F2775" s="327">
        <v>1.21</v>
      </c>
      <c r="G2775" s="71">
        <v>0.42</v>
      </c>
      <c r="H2775" s="67"/>
      <c r="I2775" s="67">
        <f>E2775*G2775</f>
        <v>0.50819999999999999</v>
      </c>
      <c r="J2775" s="134"/>
      <c r="K2775" s="324">
        <v>0.2999</v>
      </c>
      <c r="L2775" s="191">
        <f t="shared" si="214"/>
        <v>1.4842</v>
      </c>
    </row>
    <row r="2776" spans="1:14" s="64" customFormat="1" x14ac:dyDescent="0.2">
      <c r="A2776" s="63"/>
      <c r="B2776" s="385"/>
      <c r="C2776" s="122" t="s">
        <v>299</v>
      </c>
      <c r="D2776" s="75" t="s">
        <v>301</v>
      </c>
      <c r="E2776" s="67">
        <v>47.84</v>
      </c>
      <c r="F2776" s="327">
        <v>47.84</v>
      </c>
      <c r="G2776" s="71">
        <v>5.0000000000000001E-3</v>
      </c>
      <c r="H2776" s="67"/>
      <c r="I2776" s="67">
        <f>E2776*G2776</f>
        <v>0.23920000000000002</v>
      </c>
      <c r="J2776" s="134"/>
      <c r="K2776" s="324">
        <v>0.2999</v>
      </c>
      <c r="L2776" s="191">
        <f t="shared" si="214"/>
        <v>1.4842</v>
      </c>
    </row>
    <row r="2777" spans="1:14" s="64" customFormat="1" x14ac:dyDescent="0.2">
      <c r="A2777" s="63"/>
      <c r="B2777" s="385"/>
      <c r="C2777" s="122" t="s">
        <v>289</v>
      </c>
      <c r="D2777" s="75" t="s">
        <v>53</v>
      </c>
      <c r="E2777" s="67">
        <v>5.21</v>
      </c>
      <c r="F2777" s="327"/>
      <c r="G2777" s="71">
        <v>1.6</v>
      </c>
      <c r="H2777" s="67">
        <f>E2777*G2777</f>
        <v>8.3360000000000003</v>
      </c>
      <c r="I2777" s="133"/>
      <c r="J2777" s="134"/>
      <c r="K2777" s="324">
        <v>0.2999</v>
      </c>
      <c r="L2777" s="191">
        <f t="shared" si="214"/>
        <v>1.4842</v>
      </c>
    </row>
    <row r="2778" spans="1:14" s="64" customFormat="1" x14ac:dyDescent="0.2">
      <c r="A2778" s="63"/>
      <c r="B2778" s="385"/>
      <c r="C2778" s="122" t="s">
        <v>259</v>
      </c>
      <c r="D2778" s="75" t="s">
        <v>53</v>
      </c>
      <c r="E2778" s="67">
        <v>3.77</v>
      </c>
      <c r="F2778" s="327"/>
      <c r="G2778" s="71">
        <v>0.68500000000000005</v>
      </c>
      <c r="H2778" s="67">
        <f>E2778*G2778</f>
        <v>2.5824500000000001</v>
      </c>
      <c r="I2778" s="133"/>
      <c r="J2778" s="134"/>
      <c r="K2778" s="324">
        <v>0.2999</v>
      </c>
      <c r="L2778" s="191">
        <f t="shared" si="214"/>
        <v>1.4842</v>
      </c>
    </row>
    <row r="2779" spans="1:14" s="64" customFormat="1" hidden="1" x14ac:dyDescent="0.2">
      <c r="A2779" s="63"/>
      <c r="B2779" s="385"/>
      <c r="C2779" s="122"/>
      <c r="D2779" s="75"/>
      <c r="E2779" s="67"/>
      <c r="F2779" s="327"/>
      <c r="G2779" s="71"/>
      <c r="H2779" s="67"/>
      <c r="I2779" s="67"/>
      <c r="J2779" s="134"/>
      <c r="K2779" s="324">
        <v>0.2999</v>
      </c>
      <c r="L2779" s="191">
        <f t="shared" si="214"/>
        <v>1.4842</v>
      </c>
    </row>
    <row r="2780" spans="1:14" s="64" customFormat="1" x14ac:dyDescent="0.2">
      <c r="A2780" s="63"/>
      <c r="B2780" s="385"/>
      <c r="C2780" s="122"/>
      <c r="D2780" s="75"/>
      <c r="E2780" s="438" t="str">
        <f>E1236</f>
        <v>Custo Direto</v>
      </c>
      <c r="F2780" s="438"/>
      <c r="G2780" s="438"/>
      <c r="H2780" s="69">
        <f>SUM(H2773:H2778)</f>
        <v>10.91845</v>
      </c>
      <c r="I2780" s="69">
        <f>SUM(I2773:I2778)</f>
        <v>17.8921423</v>
      </c>
      <c r="J2780" s="134"/>
      <c r="K2780" s="324">
        <v>0.2999</v>
      </c>
      <c r="L2780" s="191">
        <f t="shared" si="214"/>
        <v>1.4842</v>
      </c>
    </row>
    <row r="2781" spans="1:14" s="64" customFormat="1" x14ac:dyDescent="0.2">
      <c r="A2781" s="63"/>
      <c r="B2781" s="385"/>
      <c r="C2781" s="122"/>
      <c r="D2781" s="75"/>
      <c r="E2781" s="438" t="str">
        <f>E1237</f>
        <v>LS(%): 148,42</v>
      </c>
      <c r="F2781" s="438"/>
      <c r="G2781" s="438"/>
      <c r="H2781" s="67">
        <f>H2780*L2781</f>
        <v>16.20516349</v>
      </c>
      <c r="I2781" s="131"/>
      <c r="J2781" s="134"/>
      <c r="K2781" s="324">
        <v>0.2999</v>
      </c>
      <c r="L2781" s="191">
        <f t="shared" si="214"/>
        <v>1.4842</v>
      </c>
    </row>
    <row r="2782" spans="1:14" s="64" customFormat="1" x14ac:dyDescent="0.2">
      <c r="A2782" s="63"/>
      <c r="B2782" s="385"/>
      <c r="C2782" s="122"/>
      <c r="D2782" s="75"/>
      <c r="E2782" s="438" t="str">
        <f>E1238</f>
        <v>BDI (%): 29,99</v>
      </c>
      <c r="F2782" s="438"/>
      <c r="G2782" s="438"/>
      <c r="H2782" s="439">
        <f>(H2780+I2780+H2781)*K2782</f>
        <v>13.500225161421</v>
      </c>
      <c r="I2782" s="439"/>
      <c r="J2782" s="134"/>
      <c r="K2782" s="324">
        <v>0.2999</v>
      </c>
      <c r="L2782" s="191">
        <f t="shared" si="214"/>
        <v>1.4842</v>
      </c>
    </row>
    <row r="2783" spans="1:14" s="64" customFormat="1" x14ac:dyDescent="0.2">
      <c r="A2783" s="63"/>
      <c r="B2783" s="385"/>
      <c r="C2783" s="122"/>
      <c r="D2783" s="75"/>
      <c r="E2783" s="438" t="str">
        <f>E1239</f>
        <v>Valor Total c/ Taxas</v>
      </c>
      <c r="F2783" s="438"/>
      <c r="G2783" s="438"/>
      <c r="H2783" s="67"/>
      <c r="I2783" s="69">
        <v>57.9</v>
      </c>
      <c r="J2783" s="134"/>
      <c r="K2783" s="324">
        <v>0.2999</v>
      </c>
      <c r="L2783" s="191">
        <f t="shared" si="214"/>
        <v>1.4842</v>
      </c>
    </row>
    <row r="2784" spans="1:14" s="64" customFormat="1" x14ac:dyDescent="0.2">
      <c r="A2784" s="386"/>
      <c r="B2784" s="151"/>
      <c r="C2784" s="76"/>
      <c r="D2784" s="386"/>
      <c r="E2784" s="67"/>
      <c r="F2784" s="327"/>
      <c r="G2784" s="71"/>
      <c r="H2784" s="67"/>
      <c r="I2784" s="67"/>
      <c r="J2784" s="134"/>
      <c r="K2784" s="324">
        <v>0.2999</v>
      </c>
      <c r="L2784" s="191">
        <f t="shared" si="214"/>
        <v>1.4842</v>
      </c>
    </row>
    <row r="2785" spans="1:12" s="64" customFormat="1" x14ac:dyDescent="0.2">
      <c r="A2785" s="63"/>
      <c r="B2785" s="385"/>
      <c r="C2785" s="388" t="str">
        <f>orçamento!D238</f>
        <v xml:space="preserve">alvenaria de tijolo comum 1/4 vez </v>
      </c>
      <c r="D2785" s="75" t="s">
        <v>52</v>
      </c>
      <c r="E2785" s="438"/>
      <c r="F2785" s="438"/>
      <c r="G2785" s="438"/>
      <c r="H2785" s="439"/>
      <c r="I2785" s="439"/>
      <c r="J2785" s="134"/>
      <c r="K2785" s="324">
        <v>0.2999</v>
      </c>
      <c r="L2785" s="191">
        <f t="shared" si="214"/>
        <v>1.4842</v>
      </c>
    </row>
    <row r="2786" spans="1:12" s="64" customFormat="1" x14ac:dyDescent="0.2">
      <c r="A2786" s="63"/>
      <c r="B2786" s="385"/>
      <c r="C2786" s="122" t="s">
        <v>309</v>
      </c>
      <c r="D2786" s="75" t="s">
        <v>64</v>
      </c>
      <c r="E2786" s="67">
        <v>473.2</v>
      </c>
      <c r="F2786" s="327">
        <v>475.2</v>
      </c>
      <c r="G2786" s="71">
        <v>9.7999999999999997E-3</v>
      </c>
      <c r="H2786" s="67"/>
      <c r="I2786" s="67">
        <f>E2786*G2786</f>
        <v>4.6373600000000001</v>
      </c>
      <c r="J2786" s="134"/>
      <c r="K2786" s="324">
        <v>0.2999</v>
      </c>
      <c r="L2786" s="191">
        <f t="shared" si="214"/>
        <v>1.4842</v>
      </c>
    </row>
    <row r="2787" spans="1:12" s="64" customFormat="1" x14ac:dyDescent="0.2">
      <c r="A2787" s="63"/>
      <c r="B2787" s="385"/>
      <c r="C2787" s="122" t="s">
        <v>311</v>
      </c>
      <c r="D2787" s="75" t="s">
        <v>300</v>
      </c>
      <c r="E2787" s="67">
        <v>437.11</v>
      </c>
      <c r="F2787" s="327">
        <v>447.11</v>
      </c>
      <c r="G2787" s="71">
        <v>2.793E-2</v>
      </c>
      <c r="H2787" s="67"/>
      <c r="I2787" s="67">
        <f>E2787*G2787</f>
        <v>12.2084823</v>
      </c>
      <c r="J2787" s="134"/>
      <c r="K2787" s="324">
        <v>0.2999</v>
      </c>
      <c r="L2787" s="191">
        <f t="shared" si="214"/>
        <v>1.4842</v>
      </c>
    </row>
    <row r="2788" spans="1:12" s="64" customFormat="1" x14ac:dyDescent="0.2">
      <c r="A2788" s="63"/>
      <c r="B2788" s="385"/>
      <c r="C2788" s="122" t="s">
        <v>310</v>
      </c>
      <c r="D2788" s="75" t="s">
        <v>62</v>
      </c>
      <c r="E2788" s="67">
        <v>1.1000000000000001</v>
      </c>
      <c r="F2788" s="327">
        <v>1.21</v>
      </c>
      <c r="G2788" s="71">
        <v>0.42</v>
      </c>
      <c r="H2788" s="67"/>
      <c r="I2788" s="67">
        <f>E2788*G2788</f>
        <v>0.46200000000000002</v>
      </c>
      <c r="J2788" s="134"/>
      <c r="K2788" s="324">
        <v>0.2999</v>
      </c>
      <c r="L2788" s="191">
        <f t="shared" si="214"/>
        <v>1.4842</v>
      </c>
    </row>
    <row r="2789" spans="1:12" s="64" customFormat="1" x14ac:dyDescent="0.2">
      <c r="A2789" s="63"/>
      <c r="B2789" s="385"/>
      <c r="C2789" s="122" t="s">
        <v>299</v>
      </c>
      <c r="D2789" s="75" t="s">
        <v>301</v>
      </c>
      <c r="E2789" s="67">
        <v>42.23</v>
      </c>
      <c r="F2789" s="327">
        <v>47.84</v>
      </c>
      <c r="G2789" s="71">
        <v>5.0000000000000001E-3</v>
      </c>
      <c r="H2789" s="67"/>
      <c r="I2789" s="67">
        <f>E2789*G2789</f>
        <v>0.21114999999999998</v>
      </c>
      <c r="J2789" s="134"/>
      <c r="K2789" s="324">
        <v>0.2999</v>
      </c>
      <c r="L2789" s="191">
        <f t="shared" si="214"/>
        <v>1.4842</v>
      </c>
    </row>
    <row r="2790" spans="1:12" s="64" customFormat="1" x14ac:dyDescent="0.2">
      <c r="A2790" s="63"/>
      <c r="B2790" s="385"/>
      <c r="C2790" s="122" t="s">
        <v>289</v>
      </c>
      <c r="D2790" s="75" t="s">
        <v>53</v>
      </c>
      <c r="E2790" s="67">
        <v>5.21</v>
      </c>
      <c r="F2790" s="327"/>
      <c r="G2790" s="71">
        <v>1.1000000000000001</v>
      </c>
      <c r="H2790" s="67">
        <f>E2790*G2790</f>
        <v>5.7310000000000008</v>
      </c>
      <c r="I2790" s="133"/>
      <c r="J2790" s="134"/>
      <c r="K2790" s="324">
        <v>0.2999</v>
      </c>
      <c r="L2790" s="191">
        <f t="shared" si="214"/>
        <v>1.4842</v>
      </c>
    </row>
    <row r="2791" spans="1:12" s="64" customFormat="1" x14ac:dyDescent="0.2">
      <c r="A2791" s="63"/>
      <c r="B2791" s="385"/>
      <c r="C2791" s="122" t="s">
        <v>259</v>
      </c>
      <c r="D2791" s="75" t="s">
        <v>53</v>
      </c>
      <c r="E2791" s="67">
        <v>3.77</v>
      </c>
      <c r="F2791" s="327"/>
      <c r="G2791" s="71">
        <v>0.5</v>
      </c>
      <c r="H2791" s="67">
        <f>E2791*G2791</f>
        <v>1.885</v>
      </c>
      <c r="I2791" s="133"/>
      <c r="J2791" s="134"/>
      <c r="K2791" s="324">
        <v>0.2999</v>
      </c>
      <c r="L2791" s="191">
        <f t="shared" si="214"/>
        <v>1.4842</v>
      </c>
    </row>
    <row r="2792" spans="1:12" s="64" customFormat="1" x14ac:dyDescent="0.2">
      <c r="A2792" s="63"/>
      <c r="B2792" s="385"/>
      <c r="C2792" s="122"/>
      <c r="D2792" s="75"/>
      <c r="E2792" s="67"/>
      <c r="F2792" s="327"/>
      <c r="G2792" s="71"/>
      <c r="H2792" s="67"/>
      <c r="I2792" s="67"/>
      <c r="J2792" s="134"/>
      <c r="K2792" s="324">
        <v>0.2999</v>
      </c>
      <c r="L2792" s="191">
        <f t="shared" si="214"/>
        <v>1.4842</v>
      </c>
    </row>
    <row r="2793" spans="1:12" s="64" customFormat="1" x14ac:dyDescent="0.2">
      <c r="A2793" s="63"/>
      <c r="B2793" s="385"/>
      <c r="C2793" s="122"/>
      <c r="D2793" s="75"/>
      <c r="E2793" s="438" t="str">
        <f>E2780</f>
        <v>Custo Direto</v>
      </c>
      <c r="F2793" s="438"/>
      <c r="G2793" s="438"/>
      <c r="H2793" s="69">
        <f>SUM(H2786:H2791)</f>
        <v>7.6160000000000005</v>
      </c>
      <c r="I2793" s="69">
        <f>SUM(I2786:I2791)</f>
        <v>17.518992300000001</v>
      </c>
      <c r="J2793" s="134"/>
      <c r="K2793" s="324">
        <v>0.2999</v>
      </c>
      <c r="L2793" s="191">
        <f t="shared" si="214"/>
        <v>1.4842</v>
      </c>
    </row>
    <row r="2794" spans="1:12" s="64" customFormat="1" x14ac:dyDescent="0.2">
      <c r="A2794" s="63"/>
      <c r="B2794" s="385"/>
      <c r="C2794" s="122"/>
      <c r="D2794" s="75"/>
      <c r="E2794" s="438" t="str">
        <f>E2781</f>
        <v>LS(%): 148,42</v>
      </c>
      <c r="F2794" s="438"/>
      <c r="G2794" s="438"/>
      <c r="H2794" s="67">
        <f>H2793*L2794</f>
        <v>11.303667200000001</v>
      </c>
      <c r="I2794" s="131"/>
      <c r="J2794" s="134"/>
      <c r="K2794" s="324">
        <v>0.2999</v>
      </c>
      <c r="L2794" s="191">
        <f t="shared" si="214"/>
        <v>1.4842</v>
      </c>
    </row>
    <row r="2795" spans="1:12" s="64" customFormat="1" x14ac:dyDescent="0.2">
      <c r="A2795" s="63"/>
      <c r="B2795" s="385"/>
      <c r="C2795" s="122"/>
      <c r="D2795" s="75"/>
      <c r="E2795" s="438" t="str">
        <f>E2782</f>
        <v>BDI (%): 29,99</v>
      </c>
      <c r="F2795" s="438"/>
      <c r="G2795" s="438"/>
      <c r="H2795" s="439">
        <f>(H2793+I2793+H2794)*K2795</f>
        <v>10.927953984049999</v>
      </c>
      <c r="I2795" s="439"/>
      <c r="J2795" s="134"/>
      <c r="K2795" s="324">
        <v>0.2999</v>
      </c>
      <c r="L2795" s="191">
        <f t="shared" si="214"/>
        <v>1.4842</v>
      </c>
    </row>
    <row r="2796" spans="1:12" s="64" customFormat="1" x14ac:dyDescent="0.2">
      <c r="A2796" s="63"/>
      <c r="B2796" s="385"/>
      <c r="C2796" s="122"/>
      <c r="D2796" s="75"/>
      <c r="E2796" s="438" t="str">
        <f>E2783</f>
        <v>Valor Total c/ Taxas</v>
      </c>
      <c r="F2796" s="438"/>
      <c r="G2796" s="438"/>
      <c r="H2796" s="67"/>
      <c r="I2796" s="69">
        <v>42.61</v>
      </c>
      <c r="J2796" s="134"/>
      <c r="K2796" s="324">
        <v>0.2999</v>
      </c>
      <c r="L2796" s="191">
        <f t="shared" si="214"/>
        <v>1.4842</v>
      </c>
    </row>
    <row r="2797" spans="1:12" s="64" customFormat="1" x14ac:dyDescent="0.2">
      <c r="A2797" s="63"/>
      <c r="B2797" s="385"/>
      <c r="C2797" s="122"/>
      <c r="D2797" s="75"/>
      <c r="E2797" s="132"/>
      <c r="F2797" s="327"/>
      <c r="G2797" s="71"/>
      <c r="H2797" s="67"/>
      <c r="I2797" s="67"/>
      <c r="J2797" s="134"/>
      <c r="K2797" s="324">
        <v>0.2999</v>
      </c>
      <c r="L2797" s="191">
        <f t="shared" si="214"/>
        <v>1.4842</v>
      </c>
    </row>
    <row r="2798" spans="1:12" s="64" customFormat="1" x14ac:dyDescent="0.2">
      <c r="A2798" s="17"/>
      <c r="B2798" s="148"/>
      <c r="C2798" s="388" t="str">
        <f>orçamento!D239</f>
        <v>elemento vazado de concreto</v>
      </c>
      <c r="D2798" s="75" t="s">
        <v>57</v>
      </c>
      <c r="E2798" s="67"/>
      <c r="F2798" s="327"/>
      <c r="G2798" s="71"/>
      <c r="H2798" s="67"/>
      <c r="I2798" s="67"/>
      <c r="J2798" s="134"/>
      <c r="K2798" s="324">
        <v>0.2999</v>
      </c>
      <c r="L2798" s="27">
        <f t="shared" si="214"/>
        <v>1.4842</v>
      </c>
    </row>
    <row r="2799" spans="1:12" s="64" customFormat="1" x14ac:dyDescent="0.2">
      <c r="A2799" s="63"/>
      <c r="B2799" s="385"/>
      <c r="C2799" s="122" t="s">
        <v>312</v>
      </c>
      <c r="D2799" s="75" t="s">
        <v>64</v>
      </c>
      <c r="E2799" s="67">
        <v>500</v>
      </c>
      <c r="F2799" s="327">
        <v>415.1</v>
      </c>
      <c r="G2799" s="71">
        <v>8.8000000000000005E-3</v>
      </c>
      <c r="H2799" s="67"/>
      <c r="I2799" s="67">
        <f>E2799*G2799</f>
        <v>4.4000000000000004</v>
      </c>
      <c r="J2799" s="134"/>
      <c r="K2799" s="324">
        <v>0.2999</v>
      </c>
      <c r="L2799" s="27">
        <f t="shared" si="214"/>
        <v>1.4842</v>
      </c>
    </row>
    <row r="2800" spans="1:12" s="64" customFormat="1" ht="25.5" x14ac:dyDescent="0.2">
      <c r="A2800" s="63"/>
      <c r="B2800" s="385"/>
      <c r="C2800" s="122" t="s">
        <v>298</v>
      </c>
      <c r="D2800" s="75" t="s">
        <v>58</v>
      </c>
      <c r="E2800" s="67">
        <v>7.6</v>
      </c>
      <c r="F2800" s="327">
        <v>6.53</v>
      </c>
      <c r="G2800" s="71">
        <v>11</v>
      </c>
      <c r="H2800" s="67"/>
      <c r="I2800" s="67">
        <f>E2800*G2800</f>
        <v>83.6</v>
      </c>
      <c r="J2800" s="134"/>
      <c r="K2800" s="324">
        <v>0.2999</v>
      </c>
      <c r="L2800" s="27">
        <f t="shared" si="214"/>
        <v>1.4842</v>
      </c>
    </row>
    <row r="2801" spans="1:13" s="64" customFormat="1" x14ac:dyDescent="0.2">
      <c r="A2801" s="63"/>
      <c r="B2801" s="385"/>
      <c r="C2801" s="122" t="s">
        <v>289</v>
      </c>
      <c r="D2801" s="75" t="s">
        <v>53</v>
      </c>
      <c r="E2801" s="67">
        <v>5.21</v>
      </c>
      <c r="F2801" s="327"/>
      <c r="G2801" s="71">
        <v>1</v>
      </c>
      <c r="H2801" s="67">
        <f>E2801*G2801</f>
        <v>5.21</v>
      </c>
      <c r="I2801" s="67"/>
      <c r="J2801" s="134"/>
      <c r="K2801" s="324">
        <v>0.2999</v>
      </c>
      <c r="L2801" s="27">
        <f t="shared" si="214"/>
        <v>1.4842</v>
      </c>
    </row>
    <row r="2802" spans="1:13" s="64" customFormat="1" x14ac:dyDescent="0.2">
      <c r="A2802" s="63"/>
      <c r="B2802" s="385"/>
      <c r="C2802" s="122" t="s">
        <v>297</v>
      </c>
      <c r="D2802" s="75" t="s">
        <v>53</v>
      </c>
      <c r="E2802" s="67">
        <v>4.1500000000000004</v>
      </c>
      <c r="F2802" s="327"/>
      <c r="G2802" s="71">
        <v>1</v>
      </c>
      <c r="H2802" s="67">
        <f>E2802*G2802</f>
        <v>4.1500000000000004</v>
      </c>
      <c r="I2802" s="67"/>
      <c r="J2802" s="134"/>
      <c r="K2802" s="324">
        <v>0.2999</v>
      </c>
      <c r="L2802" s="27">
        <f t="shared" si="214"/>
        <v>1.4842</v>
      </c>
    </row>
    <row r="2803" spans="1:13" s="64" customFormat="1" x14ac:dyDescent="0.2">
      <c r="A2803" s="63"/>
      <c r="B2803" s="385"/>
      <c r="C2803" s="122"/>
      <c r="D2803" s="75"/>
      <c r="E2803" s="67"/>
      <c r="F2803" s="327"/>
      <c r="G2803" s="71"/>
      <c r="H2803" s="67"/>
      <c r="I2803" s="67"/>
      <c r="J2803" s="134"/>
      <c r="K2803" s="324">
        <v>0.2999</v>
      </c>
      <c r="L2803" s="27">
        <f t="shared" si="214"/>
        <v>1.4842</v>
      </c>
    </row>
    <row r="2804" spans="1:13" s="64" customFormat="1" x14ac:dyDescent="0.2">
      <c r="A2804" s="63"/>
      <c r="B2804" s="385"/>
      <c r="C2804" s="122"/>
      <c r="D2804" s="75"/>
      <c r="E2804" s="438" t="str">
        <f>E2793</f>
        <v>Custo Direto</v>
      </c>
      <c r="F2804" s="438"/>
      <c r="G2804" s="438"/>
      <c r="H2804" s="69">
        <f>SUM(H2799:H2802)</f>
        <v>9.36</v>
      </c>
      <c r="I2804" s="69">
        <f>SUM(I2799:I2802)</f>
        <v>88</v>
      </c>
      <c r="J2804" s="134"/>
      <c r="K2804" s="324">
        <v>0.2999</v>
      </c>
      <c r="L2804" s="27">
        <f t="shared" si="214"/>
        <v>1.4842</v>
      </c>
    </row>
    <row r="2805" spans="1:13" s="64" customFormat="1" x14ac:dyDescent="0.2">
      <c r="A2805" s="63"/>
      <c r="B2805" s="385"/>
      <c r="C2805" s="122"/>
      <c r="D2805" s="75"/>
      <c r="E2805" s="438" t="str">
        <f t="shared" ref="E2805:E2807" si="215">E2794</f>
        <v>LS(%): 148,42</v>
      </c>
      <c r="F2805" s="438"/>
      <c r="G2805" s="438"/>
      <c r="H2805" s="67">
        <f>H2804*L2805</f>
        <v>13.892111999999999</v>
      </c>
      <c r="I2805" s="131"/>
      <c r="J2805" s="134"/>
      <c r="K2805" s="324">
        <v>0.2999</v>
      </c>
      <c r="L2805" s="27">
        <f t="shared" si="214"/>
        <v>1.4842</v>
      </c>
    </row>
    <row r="2806" spans="1:13" s="64" customFormat="1" x14ac:dyDescent="0.2">
      <c r="A2806" s="63"/>
      <c r="B2806" s="385"/>
      <c r="C2806" s="122"/>
      <c r="D2806" s="75"/>
      <c r="E2806" s="438" t="str">
        <f t="shared" si="215"/>
        <v>BDI (%): 29,99</v>
      </c>
      <c r="F2806" s="438"/>
      <c r="G2806" s="438"/>
      <c r="H2806" s="439">
        <f>(H2804+I2804+H2805)*K2806</f>
        <v>33.364508388799997</v>
      </c>
      <c r="I2806" s="439"/>
      <c r="J2806" s="134"/>
      <c r="K2806" s="324">
        <v>0.2999</v>
      </c>
      <c r="L2806" s="27">
        <f t="shared" si="214"/>
        <v>1.4842</v>
      </c>
    </row>
    <row r="2807" spans="1:13" s="64" customFormat="1" x14ac:dyDescent="0.2">
      <c r="A2807" s="63"/>
      <c r="B2807" s="385"/>
      <c r="C2807" s="122"/>
      <c r="D2807" s="75"/>
      <c r="E2807" s="438" t="str">
        <f t="shared" si="215"/>
        <v>Valor Total c/ Taxas</v>
      </c>
      <c r="F2807" s="438"/>
      <c r="G2807" s="438"/>
      <c r="H2807" s="67"/>
      <c r="I2807" s="69">
        <v>142.69999999999999</v>
      </c>
      <c r="J2807" s="134"/>
      <c r="K2807" s="324">
        <v>0.2999</v>
      </c>
      <c r="L2807" s="27">
        <f t="shared" si="214"/>
        <v>1.4842</v>
      </c>
    </row>
    <row r="2808" spans="1:13" s="64" customFormat="1" x14ac:dyDescent="0.2">
      <c r="A2808" s="63"/>
      <c r="B2808" s="152"/>
      <c r="C2808" s="122"/>
      <c r="D2808" s="75"/>
      <c r="E2808" s="67"/>
      <c r="F2808" s="327"/>
      <c r="G2808" s="71"/>
      <c r="H2808" s="67"/>
      <c r="I2808" s="69"/>
      <c r="J2808" s="134"/>
      <c r="K2808" s="324">
        <v>0.2999</v>
      </c>
      <c r="L2808" s="27">
        <f t="shared" si="214"/>
        <v>1.4842</v>
      </c>
    </row>
    <row r="2809" spans="1:13" s="64" customFormat="1" x14ac:dyDescent="0.2">
      <c r="A2809" s="63"/>
      <c r="B2809" s="152"/>
      <c r="C2809" s="122"/>
      <c r="D2809" s="75"/>
      <c r="E2809" s="67"/>
      <c r="F2809" s="327"/>
      <c r="G2809" s="71"/>
      <c r="H2809" s="67"/>
      <c r="I2809" s="69"/>
      <c r="J2809" s="134"/>
      <c r="K2809" s="324">
        <v>0.2999</v>
      </c>
      <c r="L2809" s="27">
        <f t="shared" si="214"/>
        <v>1.4842</v>
      </c>
    </row>
    <row r="2810" spans="1:13" s="33" customFormat="1" x14ac:dyDescent="0.2">
      <c r="A2810" s="65"/>
      <c r="B2810" s="149"/>
      <c r="C2810" s="70" t="str">
        <f>orçamento!D282</f>
        <v>Vidro liso 3 mm</v>
      </c>
      <c r="D2810" s="75" t="s">
        <v>12</v>
      </c>
      <c r="E2810" s="67"/>
      <c r="F2810" s="327"/>
      <c r="G2810" s="71"/>
      <c r="H2810" s="67"/>
      <c r="I2810" s="67"/>
      <c r="J2810" s="134"/>
      <c r="K2810" s="324">
        <v>0.2999</v>
      </c>
      <c r="L2810" s="27">
        <f t="shared" si="214"/>
        <v>1.4842</v>
      </c>
      <c r="M2810" s="64"/>
    </row>
    <row r="2811" spans="1:13" s="33" customFormat="1" x14ac:dyDescent="0.2">
      <c r="A2811" s="24"/>
      <c r="B2811" s="152"/>
      <c r="C2811" s="122" t="s">
        <v>313</v>
      </c>
      <c r="D2811" s="75" t="s">
        <v>12</v>
      </c>
      <c r="E2811" s="67">
        <v>7.6539999999999999</v>
      </c>
      <c r="F2811" s="327">
        <v>41</v>
      </c>
      <c r="G2811" s="71">
        <v>1</v>
      </c>
      <c r="H2811" s="67"/>
      <c r="I2811" s="67">
        <f>E2811*G2811</f>
        <v>7.6539999999999999</v>
      </c>
      <c r="J2811" s="134"/>
      <c r="K2811" s="324">
        <v>0.2999</v>
      </c>
      <c r="L2811" s="27">
        <f t="shared" si="214"/>
        <v>1.4842</v>
      </c>
      <c r="M2811" s="64"/>
    </row>
    <row r="2812" spans="1:13" s="33" customFormat="1" x14ac:dyDescent="0.2">
      <c r="A2812" s="24"/>
      <c r="B2812" s="152"/>
      <c r="C2812" s="122" t="s">
        <v>283</v>
      </c>
      <c r="D2812" s="75" t="s">
        <v>53</v>
      </c>
      <c r="E2812" s="67">
        <f>5.21*N10</f>
        <v>5.21</v>
      </c>
      <c r="F2812" s="327"/>
      <c r="G2812" s="71">
        <v>0.03</v>
      </c>
      <c r="H2812" s="67">
        <f>E2812*G2812</f>
        <v>0.15629999999999999</v>
      </c>
      <c r="I2812" s="67"/>
      <c r="J2812" s="134"/>
      <c r="K2812" s="324">
        <v>0.2999</v>
      </c>
      <c r="L2812" s="27">
        <f t="shared" si="214"/>
        <v>1.4842</v>
      </c>
    </row>
    <row r="2813" spans="1:13" s="33" customFormat="1" x14ac:dyDescent="0.2">
      <c r="A2813" s="24"/>
      <c r="B2813" s="152"/>
      <c r="C2813" s="122" t="s">
        <v>293</v>
      </c>
      <c r="D2813" s="75" t="s">
        <v>53</v>
      </c>
      <c r="E2813" s="67">
        <f>3.77*N10</f>
        <v>3.77</v>
      </c>
      <c r="F2813" s="327"/>
      <c r="G2813" s="71">
        <v>0.03</v>
      </c>
      <c r="H2813" s="67">
        <f>E2813*G2813</f>
        <v>0.11309999999999999</v>
      </c>
      <c r="I2813" s="67"/>
      <c r="J2813" s="134"/>
      <c r="K2813" s="324">
        <v>0.2999</v>
      </c>
      <c r="L2813" s="27">
        <f t="shared" si="214"/>
        <v>1.4842</v>
      </c>
    </row>
    <row r="2814" spans="1:13" s="33" customFormat="1" hidden="1" x14ac:dyDescent="0.2">
      <c r="A2814" s="24"/>
      <c r="B2814" s="152"/>
      <c r="C2814" s="122"/>
      <c r="D2814" s="75"/>
      <c r="E2814" s="67"/>
      <c r="F2814" s="327"/>
      <c r="G2814" s="71"/>
      <c r="H2814" s="67"/>
      <c r="I2814" s="67"/>
      <c r="J2814" s="134"/>
      <c r="K2814" s="324">
        <v>0.2999</v>
      </c>
      <c r="L2814" s="191">
        <f t="shared" ref="L2814:L2826" si="216">L2813</f>
        <v>1.4842</v>
      </c>
    </row>
    <row r="2815" spans="1:13" s="33" customFormat="1" x14ac:dyDescent="0.2">
      <c r="A2815" s="24"/>
      <c r="B2815" s="152"/>
      <c r="C2815" s="122"/>
      <c r="D2815" s="75"/>
      <c r="E2815" s="438" t="str">
        <f>E2804</f>
        <v>Custo Direto</v>
      </c>
      <c r="F2815" s="438"/>
      <c r="G2815" s="438"/>
      <c r="H2815" s="69">
        <f>SUM(H2810:H2814)</f>
        <v>0.26939999999999997</v>
      </c>
      <c r="I2815" s="69">
        <f>SUM(I2810:I2814)</f>
        <v>7.6539999999999999</v>
      </c>
      <c r="J2815" s="134"/>
      <c r="K2815" s="324">
        <v>0.2999</v>
      </c>
      <c r="L2815" s="191">
        <f t="shared" si="216"/>
        <v>1.4842</v>
      </c>
    </row>
    <row r="2816" spans="1:13" s="33" customFormat="1" x14ac:dyDescent="0.2">
      <c r="A2816" s="24"/>
      <c r="B2816" s="152"/>
      <c r="C2816" s="122"/>
      <c r="D2816" s="75"/>
      <c r="E2816" s="438" t="str">
        <f>E2805</f>
        <v>LS(%): 148,42</v>
      </c>
      <c r="F2816" s="438"/>
      <c r="G2816" s="438"/>
      <c r="H2816" s="67">
        <f>H2815*L2816</f>
        <v>0.39984347999999997</v>
      </c>
      <c r="I2816" s="131"/>
      <c r="J2816" s="134"/>
      <c r="K2816" s="324">
        <v>0.2999</v>
      </c>
      <c r="L2816" s="191">
        <f t="shared" si="216"/>
        <v>1.4842</v>
      </c>
    </row>
    <row r="2817" spans="1:12" s="33" customFormat="1" x14ac:dyDescent="0.2">
      <c r="A2817" s="24"/>
      <c r="B2817" s="152"/>
      <c r="C2817" s="122"/>
      <c r="D2817" s="75"/>
      <c r="E2817" s="438" t="str">
        <f>E2806</f>
        <v>BDI (%): 29,99</v>
      </c>
      <c r="F2817" s="438"/>
      <c r="G2817" s="438"/>
      <c r="H2817" s="439">
        <f>(H2815+I2815+H2816)*K2817</f>
        <v>2.4961407196520002</v>
      </c>
      <c r="I2817" s="439"/>
      <c r="J2817" s="134"/>
      <c r="K2817" s="324">
        <v>0.2999</v>
      </c>
      <c r="L2817" s="191">
        <f t="shared" si="216"/>
        <v>1.4842</v>
      </c>
    </row>
    <row r="2818" spans="1:12" s="33" customFormat="1" x14ac:dyDescent="0.2">
      <c r="A2818" s="24"/>
      <c r="B2818" s="152"/>
      <c r="C2818" s="122"/>
      <c r="D2818" s="75"/>
      <c r="E2818" s="438" t="str">
        <f>E2807</f>
        <v>Valor Total c/ Taxas</v>
      </c>
      <c r="F2818" s="438"/>
      <c r="G2818" s="438"/>
      <c r="H2818" s="67"/>
      <c r="I2818" s="69">
        <f>(H2815+I2815+H2816+H2817)</f>
        <v>10.819384199652001</v>
      </c>
      <c r="J2818" s="134"/>
      <c r="K2818" s="324">
        <v>0.2999</v>
      </c>
      <c r="L2818" s="191">
        <f t="shared" si="216"/>
        <v>1.4842</v>
      </c>
    </row>
    <row r="2819" spans="1:12" s="33" customFormat="1" x14ac:dyDescent="0.2">
      <c r="A2819" s="24"/>
      <c r="B2819" s="152"/>
      <c r="C2819" s="122"/>
      <c r="D2819" s="75"/>
      <c r="E2819" s="67"/>
      <c r="F2819" s="327"/>
      <c r="G2819" s="71"/>
      <c r="H2819" s="67"/>
      <c r="I2819" s="67"/>
      <c r="J2819" s="134"/>
      <c r="K2819" s="324">
        <v>0.2999</v>
      </c>
      <c r="L2819" s="191">
        <f t="shared" si="216"/>
        <v>1.4842</v>
      </c>
    </row>
    <row r="2820" spans="1:12" s="33" customFormat="1" x14ac:dyDescent="0.2">
      <c r="A2820" s="65"/>
      <c r="B2820" s="149"/>
      <c r="C2820" s="70" t="str">
        <f>orçamento!D250</f>
        <v>cobertura com telha colonial-plan</v>
      </c>
      <c r="D2820" s="75" t="s">
        <v>52</v>
      </c>
      <c r="E2820" s="67"/>
      <c r="F2820" s="327"/>
      <c r="G2820" s="71"/>
      <c r="H2820" s="67"/>
      <c r="I2820" s="67"/>
      <c r="J2820" s="134"/>
      <c r="K2820" s="324">
        <v>0.2999</v>
      </c>
      <c r="L2820" s="191">
        <f t="shared" si="216"/>
        <v>1.4842</v>
      </c>
    </row>
    <row r="2821" spans="1:12" s="33" customFormat="1" x14ac:dyDescent="0.2">
      <c r="A2821" s="24"/>
      <c r="B2821" s="152"/>
      <c r="C2821" s="122" t="s">
        <v>314</v>
      </c>
      <c r="D2821" s="75" t="s">
        <v>57</v>
      </c>
      <c r="E2821" s="67">
        <f>F2821*N10</f>
        <v>25</v>
      </c>
      <c r="F2821" s="327">
        <v>25</v>
      </c>
      <c r="G2821" s="71">
        <v>1</v>
      </c>
      <c r="H2821" s="67"/>
      <c r="I2821" s="67">
        <f>E2821*G2821</f>
        <v>25</v>
      </c>
      <c r="J2821" s="134"/>
      <c r="K2821" s="324">
        <v>0.2999</v>
      </c>
      <c r="L2821" s="191">
        <f t="shared" si="216"/>
        <v>1.4842</v>
      </c>
    </row>
    <row r="2822" spans="1:12" s="33" customFormat="1" x14ac:dyDescent="0.2">
      <c r="A2822" s="24"/>
      <c r="B2822" s="152"/>
      <c r="C2822" s="122" t="s">
        <v>302</v>
      </c>
      <c r="D2822" s="75" t="s">
        <v>53</v>
      </c>
      <c r="E2822" s="67">
        <f>5.21*N10</f>
        <v>5.21</v>
      </c>
      <c r="F2822" s="327"/>
      <c r="G2822" s="71">
        <v>0.5</v>
      </c>
      <c r="H2822" s="67">
        <f>E2822*G2822</f>
        <v>2.605</v>
      </c>
      <c r="I2822" s="67"/>
      <c r="J2822" s="134"/>
      <c r="K2822" s="324">
        <v>0.2999</v>
      </c>
      <c r="L2822" s="191">
        <f t="shared" si="216"/>
        <v>1.4842</v>
      </c>
    </row>
    <row r="2823" spans="1:12" s="33" customFormat="1" x14ac:dyDescent="0.2">
      <c r="A2823" s="24"/>
      <c r="B2823" s="152"/>
      <c r="C2823" s="122" t="s">
        <v>259</v>
      </c>
      <c r="D2823" s="75" t="s">
        <v>53</v>
      </c>
      <c r="E2823" s="67">
        <f>3.77*N10</f>
        <v>3.77</v>
      </c>
      <c r="F2823" s="327"/>
      <c r="G2823" s="71">
        <v>1</v>
      </c>
      <c r="H2823" s="67">
        <f>E2823*G2823</f>
        <v>3.77</v>
      </c>
      <c r="I2823" s="67"/>
      <c r="J2823" s="134"/>
      <c r="K2823" s="324">
        <v>0.2999</v>
      </c>
      <c r="L2823" s="191">
        <f t="shared" si="216"/>
        <v>1.4842</v>
      </c>
    </row>
    <row r="2824" spans="1:12" s="33" customFormat="1" x14ac:dyDescent="0.2">
      <c r="A2824" s="24"/>
      <c r="B2824" s="152"/>
      <c r="C2824" s="122"/>
      <c r="D2824" s="75"/>
      <c r="E2824" s="67"/>
      <c r="F2824" s="327"/>
      <c r="G2824" s="71"/>
      <c r="H2824" s="67"/>
      <c r="I2824" s="67"/>
      <c r="J2824" s="134"/>
      <c r="K2824" s="324">
        <v>0.2999</v>
      </c>
      <c r="L2824" s="191">
        <f t="shared" si="216"/>
        <v>1.4842</v>
      </c>
    </row>
    <row r="2825" spans="1:12" s="33" customFormat="1" x14ac:dyDescent="0.2">
      <c r="A2825" s="24"/>
      <c r="B2825" s="152"/>
      <c r="C2825" s="122"/>
      <c r="D2825" s="75"/>
      <c r="E2825" s="438" t="str">
        <f>E2815</f>
        <v>Custo Direto</v>
      </c>
      <c r="F2825" s="438"/>
      <c r="G2825" s="438"/>
      <c r="H2825" s="69">
        <f>SUM(H2821:H2824)</f>
        <v>6.375</v>
      </c>
      <c r="I2825" s="69">
        <f>SUM(I2821:I2824)</f>
        <v>25</v>
      </c>
      <c r="J2825" s="134"/>
      <c r="K2825" s="324">
        <v>0.2999</v>
      </c>
      <c r="L2825" s="191">
        <f t="shared" si="216"/>
        <v>1.4842</v>
      </c>
    </row>
    <row r="2826" spans="1:12" s="33" customFormat="1" x14ac:dyDescent="0.2">
      <c r="A2826" s="24"/>
      <c r="B2826" s="152"/>
      <c r="C2826" s="122"/>
      <c r="D2826" s="75"/>
      <c r="E2826" s="438" t="str">
        <f t="shared" ref="E2826:E2828" si="217">E2816</f>
        <v>LS(%): 148,42</v>
      </c>
      <c r="F2826" s="438"/>
      <c r="G2826" s="438"/>
      <c r="H2826" s="67">
        <f>H2825*L2826</f>
        <v>9.4617749999999994</v>
      </c>
      <c r="I2826" s="131"/>
      <c r="J2826" s="134"/>
      <c r="K2826" s="324">
        <v>0.2999</v>
      </c>
      <c r="L2826" s="191">
        <f t="shared" si="216"/>
        <v>1.4842</v>
      </c>
    </row>
    <row r="2827" spans="1:12" s="33" customFormat="1" x14ac:dyDescent="0.2">
      <c r="A2827" s="24"/>
      <c r="B2827" s="152"/>
      <c r="C2827" s="122"/>
      <c r="D2827" s="75"/>
      <c r="E2827" s="438" t="str">
        <f t="shared" si="217"/>
        <v>BDI (%): 29,99</v>
      </c>
      <c r="F2827" s="438"/>
      <c r="G2827" s="438"/>
      <c r="H2827" s="439">
        <f>(H2825+I2825+H2826)*K2827</f>
        <v>12.2469488225</v>
      </c>
      <c r="I2827" s="439"/>
      <c r="J2827" s="134"/>
      <c r="K2827" s="324">
        <v>0.2999</v>
      </c>
      <c r="L2827" s="191">
        <f t="shared" ref="L2827:L2839" si="218">L2826</f>
        <v>1.4842</v>
      </c>
    </row>
    <row r="2828" spans="1:12" s="33" customFormat="1" x14ac:dyDescent="0.2">
      <c r="A2828" s="24"/>
      <c r="B2828" s="152"/>
      <c r="C2828" s="122"/>
      <c r="D2828" s="75"/>
      <c r="E2828" s="438" t="str">
        <f t="shared" si="217"/>
        <v>Valor Total c/ Taxas</v>
      </c>
      <c r="F2828" s="438"/>
      <c r="G2828" s="438"/>
      <c r="H2828" s="67"/>
      <c r="I2828" s="69">
        <v>52.36</v>
      </c>
      <c r="J2828" s="134"/>
      <c r="K2828" s="324">
        <v>0.2999</v>
      </c>
      <c r="L2828" s="191">
        <f t="shared" si="218"/>
        <v>1.4842</v>
      </c>
    </row>
    <row r="2829" spans="1:12" s="64" customFormat="1" x14ac:dyDescent="0.2">
      <c r="A2829" s="63"/>
      <c r="B2829" s="236"/>
      <c r="C2829" s="122"/>
      <c r="D2829" s="75"/>
      <c r="E2829" s="67"/>
      <c r="F2829" s="346"/>
      <c r="G2829" s="67"/>
      <c r="H2829" s="67"/>
      <c r="I2829" s="69"/>
      <c r="J2829" s="134"/>
      <c r="K2829" s="324">
        <v>0.2999</v>
      </c>
      <c r="L2829" s="191">
        <f t="shared" si="218"/>
        <v>1.4842</v>
      </c>
    </row>
    <row r="2830" spans="1:12" s="33" customFormat="1" x14ac:dyDescent="0.2">
      <c r="A2830" s="16"/>
      <c r="B2830" s="149"/>
      <c r="C2830" s="70" t="str">
        <f>orçamento!D253</f>
        <v xml:space="preserve">cumeeira para telha colonial-plan </v>
      </c>
      <c r="D2830" s="75" t="s">
        <v>57</v>
      </c>
      <c r="E2830" s="67"/>
      <c r="F2830" s="327"/>
      <c r="G2830" s="71"/>
      <c r="H2830" s="67"/>
      <c r="I2830" s="67"/>
      <c r="J2830" s="134"/>
      <c r="K2830" s="324">
        <v>0.2999</v>
      </c>
      <c r="L2830" s="191">
        <f t="shared" si="218"/>
        <v>1.4842</v>
      </c>
    </row>
    <row r="2831" spans="1:12" s="64" customFormat="1" x14ac:dyDescent="0.2">
      <c r="A2831" s="63"/>
      <c r="B2831" s="152"/>
      <c r="C2831" s="122" t="str">
        <f>C2830</f>
        <v xml:space="preserve">cumeeira para telha colonial-plan </v>
      </c>
      <c r="D2831" s="75" t="s">
        <v>63</v>
      </c>
      <c r="E2831" s="67">
        <f>F2831*N10</f>
        <v>20</v>
      </c>
      <c r="F2831" s="327">
        <v>20</v>
      </c>
      <c r="G2831" s="71">
        <v>1</v>
      </c>
      <c r="H2831" s="67"/>
      <c r="I2831" s="67">
        <f>E2831*G2831</f>
        <v>20</v>
      </c>
      <c r="J2831" s="134"/>
      <c r="K2831" s="324">
        <v>0.2999</v>
      </c>
      <c r="L2831" s="191">
        <f t="shared" si="218"/>
        <v>1.4842</v>
      </c>
    </row>
    <row r="2832" spans="1:12" s="33" customFormat="1" x14ac:dyDescent="0.2">
      <c r="A2832" s="24"/>
      <c r="B2832" s="152"/>
      <c r="C2832" s="122" t="s">
        <v>302</v>
      </c>
      <c r="D2832" s="75" t="s">
        <v>53</v>
      </c>
      <c r="E2832" s="67">
        <f>5.21*N10</f>
        <v>5.21</v>
      </c>
      <c r="F2832" s="327"/>
      <c r="G2832" s="71">
        <v>0.15</v>
      </c>
      <c r="H2832" s="67">
        <f>E2832*G2832</f>
        <v>0.78149999999999997</v>
      </c>
      <c r="I2832" s="133"/>
      <c r="J2832" s="134"/>
      <c r="K2832" s="324">
        <v>0.2999</v>
      </c>
      <c r="L2832" s="191">
        <f t="shared" si="218"/>
        <v>1.4842</v>
      </c>
    </row>
    <row r="2833" spans="1:12" s="33" customFormat="1" x14ac:dyDescent="0.2">
      <c r="A2833" s="24"/>
      <c r="B2833" s="152"/>
      <c r="C2833" s="122" t="s">
        <v>259</v>
      </c>
      <c r="D2833" s="75" t="s">
        <v>53</v>
      </c>
      <c r="E2833" s="67">
        <f>3.77*N10</f>
        <v>3.77</v>
      </c>
      <c r="F2833" s="327"/>
      <c r="G2833" s="71">
        <v>0.15</v>
      </c>
      <c r="H2833" s="67">
        <f>E2833*G2833</f>
        <v>0.5655</v>
      </c>
      <c r="I2833" s="133"/>
      <c r="J2833" s="134"/>
      <c r="K2833" s="324">
        <v>0.2999</v>
      </c>
      <c r="L2833" s="191">
        <f t="shared" si="218"/>
        <v>1.4842</v>
      </c>
    </row>
    <row r="2834" spans="1:12" s="33" customFormat="1" x14ac:dyDescent="0.2">
      <c r="A2834" s="24"/>
      <c r="B2834" s="152"/>
      <c r="C2834" s="122"/>
      <c r="D2834" s="75"/>
      <c r="E2834" s="67"/>
      <c r="F2834" s="327"/>
      <c r="G2834" s="71"/>
      <c r="H2834" s="67"/>
      <c r="I2834" s="67"/>
      <c r="J2834" s="134"/>
      <c r="K2834" s="324">
        <v>0.2999</v>
      </c>
      <c r="L2834" s="191">
        <f t="shared" si="218"/>
        <v>1.4842</v>
      </c>
    </row>
    <row r="2835" spans="1:12" s="33" customFormat="1" x14ac:dyDescent="0.2">
      <c r="A2835" s="24"/>
      <c r="B2835" s="152"/>
      <c r="C2835" s="122"/>
      <c r="D2835" s="75"/>
      <c r="E2835" s="438" t="str">
        <f>E2825</f>
        <v>Custo Direto</v>
      </c>
      <c r="F2835" s="438"/>
      <c r="G2835" s="438"/>
      <c r="H2835" s="69">
        <f>SUM(H2832:H2834)</f>
        <v>1.347</v>
      </c>
      <c r="I2835" s="69">
        <f>SUM(I2831:I2834)</f>
        <v>20</v>
      </c>
      <c r="J2835" s="134"/>
      <c r="K2835" s="324">
        <v>0.2999</v>
      </c>
      <c r="L2835" s="191">
        <f t="shared" si="218"/>
        <v>1.4842</v>
      </c>
    </row>
    <row r="2836" spans="1:12" s="33" customFormat="1" x14ac:dyDescent="0.2">
      <c r="A2836" s="24"/>
      <c r="B2836" s="152"/>
      <c r="C2836" s="122"/>
      <c r="D2836" s="75"/>
      <c r="E2836" s="438" t="str">
        <f>E2826</f>
        <v>LS(%): 148,42</v>
      </c>
      <c r="F2836" s="438"/>
      <c r="G2836" s="438"/>
      <c r="H2836" s="67">
        <f>H2835*L2836</f>
        <v>1.9992173999999998</v>
      </c>
      <c r="I2836" s="131"/>
      <c r="J2836" s="134"/>
      <c r="K2836" s="324">
        <v>0.2999</v>
      </c>
      <c r="L2836" s="191">
        <f t="shared" si="218"/>
        <v>1.4842</v>
      </c>
    </row>
    <row r="2837" spans="1:12" s="33" customFormat="1" x14ac:dyDescent="0.2">
      <c r="A2837" s="24"/>
      <c r="B2837" s="152"/>
      <c r="C2837" s="122"/>
      <c r="D2837" s="75"/>
      <c r="E2837" s="438" t="str">
        <f>E2827</f>
        <v>BDI (%): 29,99</v>
      </c>
      <c r="F2837" s="438"/>
      <c r="G2837" s="438"/>
      <c r="H2837" s="439">
        <f>(H2835+I2835+H2836)*K2837</f>
        <v>7.0015305982600005</v>
      </c>
      <c r="I2837" s="439"/>
      <c r="J2837" s="134"/>
      <c r="K2837" s="324">
        <v>0.2999</v>
      </c>
      <c r="L2837" s="191">
        <f t="shared" si="218"/>
        <v>1.4842</v>
      </c>
    </row>
    <row r="2838" spans="1:12" s="33" customFormat="1" x14ac:dyDescent="0.2">
      <c r="A2838" s="24"/>
      <c r="B2838" s="152"/>
      <c r="C2838" s="122"/>
      <c r="D2838" s="75"/>
      <c r="E2838" s="438" t="str">
        <f>E2828</f>
        <v>Valor Total c/ Taxas</v>
      </c>
      <c r="F2838" s="438"/>
      <c r="G2838" s="438"/>
      <c r="H2838" s="67"/>
      <c r="I2838" s="69">
        <v>38.71</v>
      </c>
      <c r="J2838" s="134"/>
      <c r="K2838" s="324">
        <v>0.2999</v>
      </c>
      <c r="L2838" s="191">
        <f t="shared" si="218"/>
        <v>1.4842</v>
      </c>
    </row>
    <row r="2839" spans="1:12" s="33" customFormat="1" x14ac:dyDescent="0.2">
      <c r="A2839" s="24"/>
      <c r="B2839" s="152"/>
      <c r="C2839" s="122"/>
      <c r="D2839" s="75"/>
      <c r="E2839" s="67"/>
      <c r="F2839" s="327"/>
      <c r="G2839" s="71"/>
      <c r="H2839" s="67"/>
      <c r="I2839" s="67"/>
      <c r="J2839" s="134"/>
      <c r="K2839" s="324">
        <v>0.2999</v>
      </c>
      <c r="L2839" s="191">
        <f t="shared" si="218"/>
        <v>1.4842</v>
      </c>
    </row>
    <row r="2840" spans="1:12" s="64" customFormat="1" x14ac:dyDescent="0.2">
      <c r="A2840" s="63"/>
      <c r="B2840" s="152"/>
      <c r="C2840" s="122"/>
      <c r="D2840" s="75"/>
      <c r="E2840" s="67"/>
      <c r="F2840" s="334"/>
      <c r="G2840" s="71"/>
      <c r="H2840" s="67"/>
      <c r="I2840" s="133"/>
      <c r="J2840" s="134"/>
      <c r="K2840" s="324">
        <v>0.2999</v>
      </c>
      <c r="L2840" s="27" t="e">
        <f>#REF!</f>
        <v>#REF!</v>
      </c>
    </row>
    <row r="2841" spans="1:12" s="64" customFormat="1" x14ac:dyDescent="0.2">
      <c r="A2841" s="63"/>
      <c r="B2841" s="152"/>
      <c r="C2841" s="122"/>
      <c r="D2841" s="75"/>
      <c r="E2841" s="67"/>
      <c r="F2841" s="327"/>
      <c r="G2841" s="71"/>
      <c r="H2841" s="67"/>
      <c r="I2841" s="67"/>
      <c r="J2841" s="134"/>
      <c r="K2841" s="324">
        <v>0.2999</v>
      </c>
      <c r="L2841" s="27" t="e">
        <f t="shared" ref="L2841" si="219">L2840</f>
        <v>#REF!</v>
      </c>
    </row>
    <row r="2842" spans="1:12" s="64" customFormat="1" x14ac:dyDescent="0.2">
      <c r="A2842" s="63"/>
      <c r="B2842" s="152"/>
      <c r="C2842" s="122"/>
      <c r="D2842" s="75"/>
      <c r="E2842" s="67"/>
      <c r="F2842" s="327"/>
      <c r="G2842" s="71"/>
      <c r="H2842" s="69"/>
      <c r="I2842" s="69"/>
      <c r="J2842" s="134"/>
      <c r="K2842" s="324">
        <v>0.2999</v>
      </c>
      <c r="L2842" s="27" t="e">
        <f t="shared" ref="L2842" si="220">L2841</f>
        <v>#REF!</v>
      </c>
    </row>
    <row r="2843" spans="1:12" s="64" customFormat="1" x14ac:dyDescent="0.2">
      <c r="A2843" s="63"/>
      <c r="B2843" s="152"/>
      <c r="C2843" s="122"/>
      <c r="D2843" s="75"/>
      <c r="E2843" s="438"/>
      <c r="F2843" s="438"/>
      <c r="G2843" s="438"/>
      <c r="H2843" s="67"/>
      <c r="I2843" s="131"/>
      <c r="J2843" s="134"/>
      <c r="K2843" s="324">
        <v>0.2999</v>
      </c>
      <c r="L2843" s="27" t="e">
        <f t="shared" ref="L2843" si="221">L2842</f>
        <v>#REF!</v>
      </c>
    </row>
    <row r="2844" spans="1:12" s="64" customFormat="1" x14ac:dyDescent="0.2">
      <c r="A2844" s="63"/>
      <c r="B2844" s="152"/>
      <c r="C2844" s="122"/>
      <c r="D2844" s="75"/>
      <c r="E2844" s="438"/>
      <c r="F2844" s="438"/>
      <c r="G2844" s="438"/>
      <c r="H2844" s="439"/>
      <c r="I2844" s="439"/>
      <c r="J2844" s="134"/>
      <c r="K2844" s="324">
        <v>0.2999</v>
      </c>
      <c r="L2844" s="27" t="e">
        <f t="shared" ref="L2844" si="222">L2843</f>
        <v>#REF!</v>
      </c>
    </row>
    <row r="2845" spans="1:12" s="64" customFormat="1" x14ac:dyDescent="0.2">
      <c r="A2845" s="63"/>
      <c r="B2845" s="152"/>
      <c r="C2845" s="122"/>
      <c r="D2845" s="75"/>
      <c r="E2845" s="438"/>
      <c r="F2845" s="438"/>
      <c r="G2845" s="438"/>
      <c r="H2845" s="67"/>
      <c r="I2845" s="69"/>
      <c r="J2845" s="134"/>
      <c r="K2845" s="324">
        <v>0.2999</v>
      </c>
      <c r="L2845" s="27" t="e">
        <f t="shared" ref="L2845" si="223">L2844</f>
        <v>#REF!</v>
      </c>
    </row>
    <row r="2846" spans="1:12" s="64" customFormat="1" x14ac:dyDescent="0.2">
      <c r="A2846" s="63"/>
      <c r="B2846" s="152"/>
      <c r="C2846" s="122"/>
      <c r="D2846" s="75"/>
      <c r="E2846" s="438"/>
      <c r="F2846" s="438"/>
      <c r="G2846" s="438"/>
      <c r="H2846" s="67"/>
      <c r="I2846" s="67"/>
      <c r="J2846" s="134"/>
      <c r="K2846" s="324">
        <v>0.2999</v>
      </c>
      <c r="L2846" s="27" t="e">
        <f t="shared" ref="L2846" si="224">L2845</f>
        <v>#REF!</v>
      </c>
    </row>
    <row r="2847" spans="1:12" s="64" customFormat="1" x14ac:dyDescent="0.2">
      <c r="A2847" s="63"/>
      <c r="B2847" s="152"/>
      <c r="C2847" s="122"/>
      <c r="D2847" s="75"/>
      <c r="E2847" s="67"/>
      <c r="F2847" s="327"/>
      <c r="G2847" s="71"/>
      <c r="H2847" s="67"/>
      <c r="I2847" s="69"/>
      <c r="J2847" s="134"/>
      <c r="K2847" s="324">
        <v>0.2999</v>
      </c>
      <c r="L2847" s="27" t="e">
        <f t="shared" ref="L2847" si="225">L2846</f>
        <v>#REF!</v>
      </c>
    </row>
    <row r="2848" spans="1:12" s="64" customFormat="1" x14ac:dyDescent="0.2">
      <c r="A2848" s="63"/>
      <c r="B2848" s="152"/>
      <c r="C2848" s="122"/>
      <c r="D2848" s="75"/>
      <c r="E2848" s="67"/>
      <c r="F2848" s="327"/>
      <c r="G2848" s="71"/>
      <c r="H2848" s="67"/>
      <c r="I2848" s="69"/>
      <c r="J2848" s="134"/>
      <c r="K2848" s="324">
        <v>0.2999</v>
      </c>
      <c r="L2848" s="27" t="e">
        <f t="shared" ref="L2848" si="226">L2847</f>
        <v>#REF!</v>
      </c>
    </row>
    <row r="2849" spans="1:12" s="64" customFormat="1" x14ac:dyDescent="0.2">
      <c r="A2849" s="63"/>
      <c r="B2849" s="152"/>
      <c r="C2849" s="122"/>
      <c r="D2849" s="75"/>
      <c r="E2849" s="67"/>
      <c r="F2849" s="327"/>
      <c r="G2849" s="71"/>
      <c r="H2849" s="67"/>
      <c r="I2849" s="69"/>
      <c r="J2849" s="134"/>
      <c r="K2849" s="324">
        <v>0.2999</v>
      </c>
      <c r="L2849" s="27" t="e">
        <f t="shared" ref="L2849" si="227">L2848</f>
        <v>#REF!</v>
      </c>
    </row>
    <row r="2850" spans="1:12" s="64" customFormat="1" ht="16.5" customHeight="1" x14ac:dyDescent="0.2">
      <c r="A2850" s="63"/>
      <c r="B2850" s="152"/>
      <c r="C2850" s="122"/>
      <c r="D2850" s="75"/>
      <c r="E2850" s="67"/>
      <c r="F2850" s="327"/>
      <c r="G2850" s="71"/>
      <c r="H2850" s="67"/>
      <c r="I2850" s="69"/>
      <c r="J2850" s="134"/>
      <c r="K2850" s="324">
        <v>0.2999</v>
      </c>
      <c r="L2850" s="27" t="e">
        <f t="shared" ref="L2850" si="228">L2849</f>
        <v>#REF!</v>
      </c>
    </row>
    <row r="2851" spans="1:12" x14ac:dyDescent="0.25">
      <c r="C2851" s="136"/>
      <c r="D2851" s="137"/>
      <c r="E2851" s="72"/>
      <c r="F2851" s="331"/>
      <c r="G2851" s="156"/>
      <c r="H2851" s="72"/>
      <c r="I2851" s="72"/>
    </row>
    <row r="2852" spans="1:12" x14ac:dyDescent="0.25">
      <c r="C2852" s="136"/>
      <c r="D2852" s="137"/>
      <c r="E2852" s="72"/>
      <c r="F2852" s="331"/>
      <c r="G2852" s="156"/>
      <c r="H2852" s="72"/>
      <c r="I2852" s="72"/>
    </row>
  </sheetData>
  <dataConsolidate/>
  <mergeCells count="691">
    <mergeCell ref="E1329:G1329"/>
    <mergeCell ref="E1336:G1336"/>
    <mergeCell ref="E1337:G1337"/>
    <mergeCell ref="E1338:G1338"/>
    <mergeCell ref="H1338:I1338"/>
    <mergeCell ref="E1339:G1339"/>
    <mergeCell ref="E1316:G1316"/>
    <mergeCell ref="E1317:G1317"/>
    <mergeCell ref="E1318:G1318"/>
    <mergeCell ref="H1318:I1318"/>
    <mergeCell ref="E1319:G1319"/>
    <mergeCell ref="E1326:G1326"/>
    <mergeCell ref="E1327:G1327"/>
    <mergeCell ref="E1328:G1328"/>
    <mergeCell ref="H1328:I1328"/>
    <mergeCell ref="E1297:G1297"/>
    <mergeCell ref="E1298:G1298"/>
    <mergeCell ref="H1298:I1298"/>
    <mergeCell ref="E1299:G1299"/>
    <mergeCell ref="E1306:G1306"/>
    <mergeCell ref="E1307:G1307"/>
    <mergeCell ref="E1308:G1308"/>
    <mergeCell ref="H1308:I1308"/>
    <mergeCell ref="E1309:G1309"/>
    <mergeCell ref="E1278:G1278"/>
    <mergeCell ref="H1278:I1278"/>
    <mergeCell ref="E1279:G1279"/>
    <mergeCell ref="E1286:G1286"/>
    <mergeCell ref="E1287:G1287"/>
    <mergeCell ref="E1288:G1288"/>
    <mergeCell ref="H1288:I1288"/>
    <mergeCell ref="E1289:G1289"/>
    <mergeCell ref="E1296:G1296"/>
    <mergeCell ref="H2817:I2817"/>
    <mergeCell ref="H2827:I2827"/>
    <mergeCell ref="H2837:I2837"/>
    <mergeCell ref="E2843:G2843"/>
    <mergeCell ref="E2844:G2844"/>
    <mergeCell ref="H2844:I2844"/>
    <mergeCell ref="E2845:G2845"/>
    <mergeCell ref="E2846:G2846"/>
    <mergeCell ref="B1:I4"/>
    <mergeCell ref="E1246:G1246"/>
    <mergeCell ref="E1247:G1247"/>
    <mergeCell ref="E1248:G1248"/>
    <mergeCell ref="H1248:I1248"/>
    <mergeCell ref="E1249:G1249"/>
    <mergeCell ref="E1256:G1256"/>
    <mergeCell ref="E1257:G1257"/>
    <mergeCell ref="E1258:G1258"/>
    <mergeCell ref="H1258:I1258"/>
    <mergeCell ref="E1259:G1259"/>
    <mergeCell ref="E1266:G1266"/>
    <mergeCell ref="E1267:G1267"/>
    <mergeCell ref="E1268:G1268"/>
    <mergeCell ref="C9:I9"/>
    <mergeCell ref="E116:G116"/>
    <mergeCell ref="H233:I233"/>
    <mergeCell ref="E234:G234"/>
    <mergeCell ref="E241:G241"/>
    <mergeCell ref="E242:G242"/>
    <mergeCell ref="E243:G243"/>
    <mergeCell ref="H243:I243"/>
    <mergeCell ref="E244:G244"/>
    <mergeCell ref="E233:G233"/>
    <mergeCell ref="E217:G217"/>
    <mergeCell ref="E218:G218"/>
    <mergeCell ref="E219:G219"/>
    <mergeCell ref="H219:I219"/>
    <mergeCell ref="E220:G220"/>
    <mergeCell ref="E231:G231"/>
    <mergeCell ref="E232:G232"/>
    <mergeCell ref="E362:G362"/>
    <mergeCell ref="E1207:G1207"/>
    <mergeCell ref="E137:G137"/>
    <mergeCell ref="E187:G187"/>
    <mergeCell ref="E188:G188"/>
    <mergeCell ref="E196:G196"/>
    <mergeCell ref="E197:G197"/>
    <mergeCell ref="H197:I197"/>
    <mergeCell ref="E198:G198"/>
    <mergeCell ref="E1205:G1205"/>
    <mergeCell ref="E1206:G1206"/>
    <mergeCell ref="E363:G363"/>
    <mergeCell ref="E360:G360"/>
    <mergeCell ref="E361:G361"/>
    <mergeCell ref="H362:I362"/>
    <mergeCell ref="E270:G270"/>
    <mergeCell ref="E271:G271"/>
    <mergeCell ref="E272:G272"/>
    <mergeCell ref="H272:I272"/>
    <mergeCell ref="E273:G273"/>
    <mergeCell ref="H1207:I1207"/>
    <mergeCell ref="E195:G195"/>
    <mergeCell ref="A11:A12"/>
    <mergeCell ref="B11:B12"/>
    <mergeCell ref="D11:D12"/>
    <mergeCell ref="E11:E12"/>
    <mergeCell ref="C11:C12"/>
    <mergeCell ref="E125:G125"/>
    <mergeCell ref="E126:G126"/>
    <mergeCell ref="E127:G127"/>
    <mergeCell ref="E128:G128"/>
    <mergeCell ref="E134:G134"/>
    <mergeCell ref="E179:G179"/>
    <mergeCell ref="E1238:G1238"/>
    <mergeCell ref="E1239:G1239"/>
    <mergeCell ref="E1240:G1240"/>
    <mergeCell ref="E2772:G2772"/>
    <mergeCell ref="E1218:G1218"/>
    <mergeCell ref="H1240:I1240"/>
    <mergeCell ref="H11:I11"/>
    <mergeCell ref="G11:G12"/>
    <mergeCell ref="H118:I118"/>
    <mergeCell ref="H187:I187"/>
    <mergeCell ref="H109:I109"/>
    <mergeCell ref="H127:I127"/>
    <mergeCell ref="H136:I136"/>
    <mergeCell ref="H147:I147"/>
    <mergeCell ref="H161:I161"/>
    <mergeCell ref="H169:I169"/>
    <mergeCell ref="E135:G135"/>
    <mergeCell ref="E136:G136"/>
    <mergeCell ref="E107:G107"/>
    <mergeCell ref="E108:G108"/>
    <mergeCell ref="E109:G109"/>
    <mergeCell ref="E110:G110"/>
    <mergeCell ref="E117:G117"/>
    <mergeCell ref="E2838:G2838"/>
    <mergeCell ref="E2780:G2780"/>
    <mergeCell ref="E2781:G2781"/>
    <mergeCell ref="E2782:G2782"/>
    <mergeCell ref="E2793:G2793"/>
    <mergeCell ref="E2794:G2794"/>
    <mergeCell ref="E2804:G2804"/>
    <mergeCell ref="E2805:G2805"/>
    <mergeCell ref="E2828:G2828"/>
    <mergeCell ref="E2815:G2815"/>
    <mergeCell ref="E2816:G2816"/>
    <mergeCell ref="E2817:G2817"/>
    <mergeCell ref="E2818:G2818"/>
    <mergeCell ref="E2825:G2825"/>
    <mergeCell ref="E2826:G2826"/>
    <mergeCell ref="E2827:G2827"/>
    <mergeCell ref="E61:G61"/>
    <mergeCell ref="H71:I71"/>
    <mergeCell ref="E81:G81"/>
    <mergeCell ref="E82:G82"/>
    <mergeCell ref="E83:G83"/>
    <mergeCell ref="H83:I83"/>
    <mergeCell ref="E2835:G2835"/>
    <mergeCell ref="E2836:G2836"/>
    <mergeCell ref="E2837:G2837"/>
    <mergeCell ref="E119:G119"/>
    <mergeCell ref="E185:G185"/>
    <mergeCell ref="E186:G186"/>
    <mergeCell ref="E145:G145"/>
    <mergeCell ref="E146:G146"/>
    <mergeCell ref="E147:G147"/>
    <mergeCell ref="E148:G148"/>
    <mergeCell ref="E159:G159"/>
    <mergeCell ref="E160:G160"/>
    <mergeCell ref="E161:G161"/>
    <mergeCell ref="E162:G162"/>
    <mergeCell ref="E167:G167"/>
    <mergeCell ref="E168:G168"/>
    <mergeCell ref="E169:G169"/>
    <mergeCell ref="E170:G170"/>
    <mergeCell ref="E46:G46"/>
    <mergeCell ref="E47:G47"/>
    <mergeCell ref="E48:G48"/>
    <mergeCell ref="H48:I48"/>
    <mergeCell ref="E49:G49"/>
    <mergeCell ref="E58:G58"/>
    <mergeCell ref="E59:G59"/>
    <mergeCell ref="E60:G60"/>
    <mergeCell ref="H60:I60"/>
    <mergeCell ref="E208:G208"/>
    <mergeCell ref="E209:G209"/>
    <mergeCell ref="E210:G210"/>
    <mergeCell ref="H210:I210"/>
    <mergeCell ref="E211:G211"/>
    <mergeCell ref="E250:G250"/>
    <mergeCell ref="E251:G251"/>
    <mergeCell ref="E252:G252"/>
    <mergeCell ref="H252:I252"/>
    <mergeCell ref="E84:G84"/>
    <mergeCell ref="E94:G94"/>
    <mergeCell ref="E95:G95"/>
    <mergeCell ref="E96:G96"/>
    <mergeCell ref="H96:I96"/>
    <mergeCell ref="E97:G97"/>
    <mergeCell ref="E176:G176"/>
    <mergeCell ref="E177:G177"/>
    <mergeCell ref="H178:I178"/>
    <mergeCell ref="E178:G178"/>
    <mergeCell ref="E118:G118"/>
    <mergeCell ref="E331:G331"/>
    <mergeCell ref="E253:G253"/>
    <mergeCell ref="E260:G260"/>
    <mergeCell ref="E261:G261"/>
    <mergeCell ref="E262:G262"/>
    <mergeCell ref="H262:I262"/>
    <mergeCell ref="E263:G263"/>
    <mergeCell ref="E280:G280"/>
    <mergeCell ref="E281:G281"/>
    <mergeCell ref="E282:G282"/>
    <mergeCell ref="H282:I282"/>
    <mergeCell ref="E283:G283"/>
    <mergeCell ref="E290:G290"/>
    <mergeCell ref="E291:G291"/>
    <mergeCell ref="E292:G292"/>
    <mergeCell ref="H292:I292"/>
    <mergeCell ref="E293:G293"/>
    <mergeCell ref="E351:G351"/>
    <mergeCell ref="E352:G352"/>
    <mergeCell ref="H352:I352"/>
    <mergeCell ref="E353:G353"/>
    <mergeCell ref="E370:G370"/>
    <mergeCell ref="E371:G371"/>
    <mergeCell ref="E372:G372"/>
    <mergeCell ref="H372:I372"/>
    <mergeCell ref="E300:G300"/>
    <mergeCell ref="E301:G301"/>
    <mergeCell ref="E302:G302"/>
    <mergeCell ref="H302:I302"/>
    <mergeCell ref="E303:G303"/>
    <mergeCell ref="E310:G310"/>
    <mergeCell ref="E311:G311"/>
    <mergeCell ref="E312:G312"/>
    <mergeCell ref="H312:I312"/>
    <mergeCell ref="E313:G313"/>
    <mergeCell ref="E320:G320"/>
    <mergeCell ref="E321:G321"/>
    <mergeCell ref="E322:G322"/>
    <mergeCell ref="H322:I322"/>
    <mergeCell ref="E323:G323"/>
    <mergeCell ref="E330:G330"/>
    <mergeCell ref="E332:G332"/>
    <mergeCell ref="H332:I332"/>
    <mergeCell ref="E333:G333"/>
    <mergeCell ref="E340:G340"/>
    <mergeCell ref="E341:G341"/>
    <mergeCell ref="E342:G342"/>
    <mergeCell ref="H342:I342"/>
    <mergeCell ref="E343:G343"/>
    <mergeCell ref="E350:G350"/>
    <mergeCell ref="H442:I442"/>
    <mergeCell ref="E373:G373"/>
    <mergeCell ref="E380:G380"/>
    <mergeCell ref="E381:G381"/>
    <mergeCell ref="E382:G382"/>
    <mergeCell ref="H382:I382"/>
    <mergeCell ref="E383:G383"/>
    <mergeCell ref="E390:G390"/>
    <mergeCell ref="E391:G391"/>
    <mergeCell ref="E392:G392"/>
    <mergeCell ref="H392:I392"/>
    <mergeCell ref="E393:G393"/>
    <mergeCell ref="E400:G400"/>
    <mergeCell ref="E401:G401"/>
    <mergeCell ref="E402:G402"/>
    <mergeCell ref="H402:I402"/>
    <mergeCell ref="E403:G403"/>
    <mergeCell ref="E410:G410"/>
    <mergeCell ref="E463:G463"/>
    <mergeCell ref="E470:G470"/>
    <mergeCell ref="E471:G471"/>
    <mergeCell ref="E472:G472"/>
    <mergeCell ref="H472:I472"/>
    <mergeCell ref="E473:G473"/>
    <mergeCell ref="E480:G480"/>
    <mergeCell ref="E411:G411"/>
    <mergeCell ref="E412:G412"/>
    <mergeCell ref="H412:I412"/>
    <mergeCell ref="E413:G413"/>
    <mergeCell ref="E420:G420"/>
    <mergeCell ref="E421:G421"/>
    <mergeCell ref="E422:G422"/>
    <mergeCell ref="H422:I422"/>
    <mergeCell ref="E423:G423"/>
    <mergeCell ref="E430:G430"/>
    <mergeCell ref="E431:G431"/>
    <mergeCell ref="E432:G432"/>
    <mergeCell ref="H432:I432"/>
    <mergeCell ref="E433:G433"/>
    <mergeCell ref="E440:G440"/>
    <mergeCell ref="E441:G441"/>
    <mergeCell ref="E442:G442"/>
    <mergeCell ref="E443:G443"/>
    <mergeCell ref="E450:G450"/>
    <mergeCell ref="E451:G451"/>
    <mergeCell ref="E452:G452"/>
    <mergeCell ref="H452:I452"/>
    <mergeCell ref="E453:G453"/>
    <mergeCell ref="E460:G460"/>
    <mergeCell ref="E461:G461"/>
    <mergeCell ref="E462:G462"/>
    <mergeCell ref="H462:I462"/>
    <mergeCell ref="E500:G500"/>
    <mergeCell ref="E501:G501"/>
    <mergeCell ref="E502:G502"/>
    <mergeCell ref="H502:I502"/>
    <mergeCell ref="E503:G503"/>
    <mergeCell ref="E510:G510"/>
    <mergeCell ref="E511:G511"/>
    <mergeCell ref="E512:G512"/>
    <mergeCell ref="H512:I512"/>
    <mergeCell ref="E481:G481"/>
    <mergeCell ref="E482:G482"/>
    <mergeCell ref="H482:I482"/>
    <mergeCell ref="E483:G483"/>
    <mergeCell ref="E490:G490"/>
    <mergeCell ref="E491:G491"/>
    <mergeCell ref="E492:G492"/>
    <mergeCell ref="H492:I492"/>
    <mergeCell ref="E493:G493"/>
    <mergeCell ref="H580:I580"/>
    <mergeCell ref="E513:G513"/>
    <mergeCell ref="E520:G520"/>
    <mergeCell ref="E521:G521"/>
    <mergeCell ref="E522:G522"/>
    <mergeCell ref="H522:I522"/>
    <mergeCell ref="E523:G523"/>
    <mergeCell ref="E530:G530"/>
    <mergeCell ref="E531:G531"/>
    <mergeCell ref="E532:G532"/>
    <mergeCell ref="H532:I532"/>
    <mergeCell ref="E533:G533"/>
    <mergeCell ref="E540:G540"/>
    <mergeCell ref="E541:G541"/>
    <mergeCell ref="E542:G542"/>
    <mergeCell ref="H542:I542"/>
    <mergeCell ref="E543:G543"/>
    <mergeCell ref="E550:G550"/>
    <mergeCell ref="E602:G602"/>
    <mergeCell ref="E609:G609"/>
    <mergeCell ref="E610:G610"/>
    <mergeCell ref="E611:G611"/>
    <mergeCell ref="H611:I611"/>
    <mergeCell ref="E612:G612"/>
    <mergeCell ref="E619:G619"/>
    <mergeCell ref="E551:G551"/>
    <mergeCell ref="E552:G552"/>
    <mergeCell ref="H552:I552"/>
    <mergeCell ref="E553:G553"/>
    <mergeCell ref="E560:G560"/>
    <mergeCell ref="E561:G561"/>
    <mergeCell ref="E562:G562"/>
    <mergeCell ref="H562:I562"/>
    <mergeCell ref="E563:G563"/>
    <mergeCell ref="E568:G568"/>
    <mergeCell ref="E569:G569"/>
    <mergeCell ref="E570:G570"/>
    <mergeCell ref="H570:I570"/>
    <mergeCell ref="E571:G571"/>
    <mergeCell ref="E578:G578"/>
    <mergeCell ref="E579:G579"/>
    <mergeCell ref="E580:G580"/>
    <mergeCell ref="E581:G581"/>
    <mergeCell ref="E588:G588"/>
    <mergeCell ref="E589:G589"/>
    <mergeCell ref="E590:G590"/>
    <mergeCell ref="H590:I590"/>
    <mergeCell ref="E591:G591"/>
    <mergeCell ref="E599:G599"/>
    <mergeCell ref="E600:G600"/>
    <mergeCell ref="E601:G601"/>
    <mergeCell ref="H601:I601"/>
    <mergeCell ref="E639:G639"/>
    <mergeCell ref="E640:G640"/>
    <mergeCell ref="E641:G641"/>
    <mergeCell ref="H641:I641"/>
    <mergeCell ref="E642:G642"/>
    <mergeCell ref="E649:G649"/>
    <mergeCell ref="E650:G650"/>
    <mergeCell ref="E651:G651"/>
    <mergeCell ref="H651:I651"/>
    <mergeCell ref="E620:G620"/>
    <mergeCell ref="E621:G621"/>
    <mergeCell ref="H621:I621"/>
    <mergeCell ref="E622:G622"/>
    <mergeCell ref="E629:G629"/>
    <mergeCell ref="E630:G630"/>
    <mergeCell ref="E631:G631"/>
    <mergeCell ref="H631:I631"/>
    <mergeCell ref="E632:G632"/>
    <mergeCell ref="H721:I721"/>
    <mergeCell ref="E652:G652"/>
    <mergeCell ref="E659:G659"/>
    <mergeCell ref="E660:G660"/>
    <mergeCell ref="E661:G661"/>
    <mergeCell ref="H661:I661"/>
    <mergeCell ref="E662:G662"/>
    <mergeCell ref="E669:G669"/>
    <mergeCell ref="E670:G670"/>
    <mergeCell ref="E671:G671"/>
    <mergeCell ref="H671:I671"/>
    <mergeCell ref="E672:G672"/>
    <mergeCell ref="E679:G679"/>
    <mergeCell ref="E680:G680"/>
    <mergeCell ref="E681:G681"/>
    <mergeCell ref="H681:I681"/>
    <mergeCell ref="E682:G682"/>
    <mergeCell ref="E689:G689"/>
    <mergeCell ref="E742:G742"/>
    <mergeCell ref="E749:G749"/>
    <mergeCell ref="E750:G750"/>
    <mergeCell ref="E751:G751"/>
    <mergeCell ref="H751:I751"/>
    <mergeCell ref="E752:G752"/>
    <mergeCell ref="E759:G759"/>
    <mergeCell ref="E690:G690"/>
    <mergeCell ref="E691:G691"/>
    <mergeCell ref="H691:I691"/>
    <mergeCell ref="E692:G692"/>
    <mergeCell ref="E699:G699"/>
    <mergeCell ref="E700:G700"/>
    <mergeCell ref="E701:G701"/>
    <mergeCell ref="H701:I701"/>
    <mergeCell ref="E702:G702"/>
    <mergeCell ref="E709:G709"/>
    <mergeCell ref="E710:G710"/>
    <mergeCell ref="E711:G711"/>
    <mergeCell ref="H711:I711"/>
    <mergeCell ref="E712:G712"/>
    <mergeCell ref="E719:G719"/>
    <mergeCell ref="E720:G720"/>
    <mergeCell ref="E721:G721"/>
    <mergeCell ref="E722:G722"/>
    <mergeCell ref="E729:G729"/>
    <mergeCell ref="E730:G730"/>
    <mergeCell ref="E731:G731"/>
    <mergeCell ref="H731:I731"/>
    <mergeCell ref="E732:G732"/>
    <mergeCell ref="E739:G739"/>
    <mergeCell ref="E740:G740"/>
    <mergeCell ref="E741:G741"/>
    <mergeCell ref="H741:I741"/>
    <mergeCell ref="E779:G779"/>
    <mergeCell ref="E780:G780"/>
    <mergeCell ref="E781:G781"/>
    <mergeCell ref="H781:I781"/>
    <mergeCell ref="E782:G782"/>
    <mergeCell ref="E790:G790"/>
    <mergeCell ref="E791:G791"/>
    <mergeCell ref="E792:G792"/>
    <mergeCell ref="H792:I792"/>
    <mergeCell ref="E760:G760"/>
    <mergeCell ref="E761:G761"/>
    <mergeCell ref="H761:I761"/>
    <mergeCell ref="E762:G762"/>
    <mergeCell ref="E769:G769"/>
    <mergeCell ref="E770:G770"/>
    <mergeCell ref="E771:G771"/>
    <mergeCell ref="H771:I771"/>
    <mergeCell ref="E772:G772"/>
    <mergeCell ref="H862:I862"/>
    <mergeCell ref="E793:G793"/>
    <mergeCell ref="E800:G800"/>
    <mergeCell ref="E801:G801"/>
    <mergeCell ref="E802:G802"/>
    <mergeCell ref="H802:I802"/>
    <mergeCell ref="E803:G803"/>
    <mergeCell ref="E810:G810"/>
    <mergeCell ref="E811:G811"/>
    <mergeCell ref="E812:G812"/>
    <mergeCell ref="H812:I812"/>
    <mergeCell ref="E813:G813"/>
    <mergeCell ref="E820:G820"/>
    <mergeCell ref="E821:G821"/>
    <mergeCell ref="E822:G822"/>
    <mergeCell ref="H822:I822"/>
    <mergeCell ref="E823:G823"/>
    <mergeCell ref="E830:G830"/>
    <mergeCell ref="E883:G883"/>
    <mergeCell ref="E890:G890"/>
    <mergeCell ref="E891:G891"/>
    <mergeCell ref="E892:G892"/>
    <mergeCell ref="H892:I892"/>
    <mergeCell ref="E893:G893"/>
    <mergeCell ref="E900:G900"/>
    <mergeCell ref="E831:G831"/>
    <mergeCell ref="E832:G832"/>
    <mergeCell ref="H832:I832"/>
    <mergeCell ref="E833:G833"/>
    <mergeCell ref="E840:G840"/>
    <mergeCell ref="E841:G841"/>
    <mergeCell ref="E842:G842"/>
    <mergeCell ref="H842:I842"/>
    <mergeCell ref="E843:G843"/>
    <mergeCell ref="E850:G850"/>
    <mergeCell ref="E851:G851"/>
    <mergeCell ref="E852:G852"/>
    <mergeCell ref="H852:I852"/>
    <mergeCell ref="E853:G853"/>
    <mergeCell ref="E860:G860"/>
    <mergeCell ref="E861:G861"/>
    <mergeCell ref="E862:G862"/>
    <mergeCell ref="E863:G863"/>
    <mergeCell ref="E870:G870"/>
    <mergeCell ref="E871:G871"/>
    <mergeCell ref="E872:G872"/>
    <mergeCell ref="H872:I872"/>
    <mergeCell ref="E873:G873"/>
    <mergeCell ref="E880:G880"/>
    <mergeCell ref="E881:G881"/>
    <mergeCell ref="E882:G882"/>
    <mergeCell ref="H882:I882"/>
    <mergeCell ref="E920:G920"/>
    <mergeCell ref="E921:G921"/>
    <mergeCell ref="E922:G922"/>
    <mergeCell ref="H922:I922"/>
    <mergeCell ref="E923:G923"/>
    <mergeCell ref="E930:G930"/>
    <mergeCell ref="E931:G931"/>
    <mergeCell ref="E932:G932"/>
    <mergeCell ref="H932:I932"/>
    <mergeCell ref="E901:G901"/>
    <mergeCell ref="E902:G902"/>
    <mergeCell ref="H902:I902"/>
    <mergeCell ref="E903:G903"/>
    <mergeCell ref="E910:G910"/>
    <mergeCell ref="E911:G911"/>
    <mergeCell ref="E912:G912"/>
    <mergeCell ref="H912:I912"/>
    <mergeCell ref="E913:G913"/>
    <mergeCell ref="H1002:I1002"/>
    <mergeCell ref="E933:G933"/>
    <mergeCell ref="E940:G940"/>
    <mergeCell ref="E941:G941"/>
    <mergeCell ref="E942:G942"/>
    <mergeCell ref="H942:I942"/>
    <mergeCell ref="E943:G943"/>
    <mergeCell ref="E950:G950"/>
    <mergeCell ref="E951:G951"/>
    <mergeCell ref="E952:G952"/>
    <mergeCell ref="H952:I952"/>
    <mergeCell ref="E953:G953"/>
    <mergeCell ref="E960:G960"/>
    <mergeCell ref="E961:G961"/>
    <mergeCell ref="E962:G962"/>
    <mergeCell ref="H962:I962"/>
    <mergeCell ref="E963:G963"/>
    <mergeCell ref="E970:G970"/>
    <mergeCell ref="E1023:G1023"/>
    <mergeCell ref="E1030:G1030"/>
    <mergeCell ref="E1031:G1031"/>
    <mergeCell ref="E1032:G1032"/>
    <mergeCell ref="H1032:I1032"/>
    <mergeCell ref="E1033:G1033"/>
    <mergeCell ref="E1040:G1040"/>
    <mergeCell ref="E971:G971"/>
    <mergeCell ref="E972:G972"/>
    <mergeCell ref="H972:I972"/>
    <mergeCell ref="E973:G973"/>
    <mergeCell ref="E980:G980"/>
    <mergeCell ref="E981:G981"/>
    <mergeCell ref="E982:G982"/>
    <mergeCell ref="H982:I982"/>
    <mergeCell ref="E983:G983"/>
    <mergeCell ref="E990:G990"/>
    <mergeCell ref="E991:G991"/>
    <mergeCell ref="E992:G992"/>
    <mergeCell ref="H992:I992"/>
    <mergeCell ref="E993:G993"/>
    <mergeCell ref="E1000:G1000"/>
    <mergeCell ref="E1001:G1001"/>
    <mergeCell ref="E1002:G1002"/>
    <mergeCell ref="E1003:G1003"/>
    <mergeCell ref="E1010:G1010"/>
    <mergeCell ref="E1011:G1011"/>
    <mergeCell ref="E1012:G1012"/>
    <mergeCell ref="H1012:I1012"/>
    <mergeCell ref="E1013:G1013"/>
    <mergeCell ref="E1020:G1020"/>
    <mergeCell ref="E1021:G1021"/>
    <mergeCell ref="E1022:G1022"/>
    <mergeCell ref="H1022:I1022"/>
    <mergeCell ref="E1060:G1060"/>
    <mergeCell ref="E1061:G1061"/>
    <mergeCell ref="E1062:G1062"/>
    <mergeCell ref="H1062:I1062"/>
    <mergeCell ref="E1063:G1063"/>
    <mergeCell ref="E1070:G1070"/>
    <mergeCell ref="E1071:G1071"/>
    <mergeCell ref="E1072:G1072"/>
    <mergeCell ref="H1072:I1072"/>
    <mergeCell ref="E1041:G1041"/>
    <mergeCell ref="E1042:G1042"/>
    <mergeCell ref="H1042:I1042"/>
    <mergeCell ref="E1043:G1043"/>
    <mergeCell ref="E1050:G1050"/>
    <mergeCell ref="E1051:G1051"/>
    <mergeCell ref="E1052:G1052"/>
    <mergeCell ref="H1052:I1052"/>
    <mergeCell ref="E1053:G1053"/>
    <mergeCell ref="E1123:G1123"/>
    <mergeCell ref="E1130:G1130"/>
    <mergeCell ref="E1131:G1131"/>
    <mergeCell ref="E1132:G1132"/>
    <mergeCell ref="H1132:I1132"/>
    <mergeCell ref="E1133:G1133"/>
    <mergeCell ref="E1140:G1140"/>
    <mergeCell ref="E1073:G1073"/>
    <mergeCell ref="E1080:G1080"/>
    <mergeCell ref="E1081:G1081"/>
    <mergeCell ref="E1082:G1082"/>
    <mergeCell ref="H1082:I1082"/>
    <mergeCell ref="E1083:G1083"/>
    <mergeCell ref="E1090:G1090"/>
    <mergeCell ref="E1091:G1091"/>
    <mergeCell ref="E1092:G1092"/>
    <mergeCell ref="H1092:I1092"/>
    <mergeCell ref="E1093:G1093"/>
    <mergeCell ref="E1100:G1100"/>
    <mergeCell ref="E1101:G1101"/>
    <mergeCell ref="E1102:G1102"/>
    <mergeCell ref="H1102:I1102"/>
    <mergeCell ref="E1103:G1103"/>
    <mergeCell ref="E1111:G1111"/>
    <mergeCell ref="E1112:G1112"/>
    <mergeCell ref="E1113:G1113"/>
    <mergeCell ref="E1114:G1114"/>
    <mergeCell ref="E1110:G1110"/>
    <mergeCell ref="H1112:I1112"/>
    <mergeCell ref="E1120:G1120"/>
    <mergeCell ref="E1121:G1121"/>
    <mergeCell ref="E1122:G1122"/>
    <mergeCell ref="H1122:I1122"/>
    <mergeCell ref="E1160:G1160"/>
    <mergeCell ref="E1161:G1161"/>
    <mergeCell ref="E1162:G1162"/>
    <mergeCell ref="H1162:I1162"/>
    <mergeCell ref="E1163:G1163"/>
    <mergeCell ref="E1170:G1170"/>
    <mergeCell ref="E1171:G1171"/>
    <mergeCell ref="E1172:G1172"/>
    <mergeCell ref="H1172:I1172"/>
    <mergeCell ref="E1141:G1141"/>
    <mergeCell ref="E1142:G1142"/>
    <mergeCell ref="H1142:I1142"/>
    <mergeCell ref="E1143:G1143"/>
    <mergeCell ref="E1150:G1150"/>
    <mergeCell ref="E1151:G1151"/>
    <mergeCell ref="E1152:G1152"/>
    <mergeCell ref="H1152:I1152"/>
    <mergeCell ref="E1153:G1153"/>
    <mergeCell ref="E1195:G1195"/>
    <mergeCell ref="E1203:G1203"/>
    <mergeCell ref="E1204:G1204"/>
    <mergeCell ref="H1205:I1205"/>
    <mergeCell ref="E1213:G1213"/>
    <mergeCell ref="E1214:G1214"/>
    <mergeCell ref="E1215:G1215"/>
    <mergeCell ref="H1215:I1215"/>
    <mergeCell ref="E1216:G1216"/>
    <mergeCell ref="E1173:G1173"/>
    <mergeCell ref="E1181:G1181"/>
    <mergeCell ref="E1182:G1182"/>
    <mergeCell ref="E1183:G1183"/>
    <mergeCell ref="H1183:I1183"/>
    <mergeCell ref="E1184:G1184"/>
    <mergeCell ref="E1192:G1192"/>
    <mergeCell ref="E1193:G1193"/>
    <mergeCell ref="E1194:G1194"/>
    <mergeCell ref="H1194:I1194"/>
    <mergeCell ref="E2806:G2806"/>
    <mergeCell ref="H2806:I2806"/>
    <mergeCell ref="E2807:G2807"/>
    <mergeCell ref="E1225:G1225"/>
    <mergeCell ref="E1226:G1226"/>
    <mergeCell ref="E1227:G1227"/>
    <mergeCell ref="H1227:I1227"/>
    <mergeCell ref="E1236:G1236"/>
    <mergeCell ref="E1237:G1237"/>
    <mergeCell ref="H1238:I1238"/>
    <mergeCell ref="H2782:I2782"/>
    <mergeCell ref="E2783:G2783"/>
    <mergeCell ref="H2772:I2772"/>
    <mergeCell ref="E2785:G2785"/>
    <mergeCell ref="H2785:I2785"/>
    <mergeCell ref="E2795:G2795"/>
    <mergeCell ref="H2795:I2795"/>
    <mergeCell ref="E2796:G2796"/>
    <mergeCell ref="E1228:G1228"/>
    <mergeCell ref="E1229:G1229"/>
    <mergeCell ref="H1268:I1268"/>
    <mergeCell ref="E1269:G1269"/>
    <mergeCell ref="E1276:G1276"/>
    <mergeCell ref="E1277:G1277"/>
  </mergeCells>
  <pageMargins left="0.51181102362204722" right="0.39370078740157483" top="0.59055118110236227" bottom="0.78740157480314965" header="0.31496062992125984" footer="0.31496062992125984"/>
  <pageSetup paperSize="9" scale="80" orientation="portrait" r:id="rId1"/>
  <ignoredErrors>
    <ignoredError sqref="I159 H243 I244 E2828" evalError="1"/>
    <ignoredError sqref="L12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"/>
  <sheetViews>
    <sheetView showGridLines="0" view="pageBreakPreview" topLeftCell="C150" zoomScaleNormal="100" zoomScaleSheetLayoutView="100" zoomScalePageLayoutView="90" workbookViewId="0">
      <selection activeCell="E164" sqref="E164"/>
    </sheetView>
  </sheetViews>
  <sheetFormatPr defaultRowHeight="15" x14ac:dyDescent="0.25"/>
  <cols>
    <col min="1" max="1" width="9.140625" style="6" hidden="1" customWidth="1"/>
    <col min="2" max="2" width="11.42578125" style="40" hidden="1" customWidth="1"/>
    <col min="3" max="3" width="7.85546875" style="48" bestFit="1" customWidth="1"/>
    <col min="4" max="4" width="46.85546875" style="92" customWidth="1"/>
    <col min="5" max="5" width="6" style="48" customWidth="1"/>
    <col min="6" max="6" width="8.28515625" style="50" customWidth="1"/>
    <col min="7" max="7" width="11.42578125" style="50" customWidth="1"/>
    <col min="8" max="8" width="11.140625" style="23" customWidth="1"/>
    <col min="9" max="9" width="9.85546875" style="163" hidden="1" customWidth="1"/>
    <col min="10" max="10" width="16.140625" style="6" hidden="1" customWidth="1"/>
    <col min="11" max="11" width="16.7109375" style="6" customWidth="1"/>
    <col min="12" max="12" width="2.5703125" customWidth="1"/>
    <col min="13" max="13" width="9.85546875" style="181" bestFit="1" customWidth="1"/>
    <col min="14" max="14" width="15.85546875" bestFit="1" customWidth="1"/>
    <col min="15" max="15" width="10.5703125" bestFit="1" customWidth="1"/>
    <col min="16" max="16" width="13.28515625" bestFit="1" customWidth="1"/>
  </cols>
  <sheetData>
    <row r="1" spans="1:15" s="14" customFormat="1" ht="26.25" customHeight="1" x14ac:dyDescent="0.25">
      <c r="A1" s="453" t="str">
        <f>'Resumo Geral'!A1:D4</f>
        <v>TERPLANC - TERRAPLENAGEM  PLANEJAMENTO CONSTRUÇÃO E SEVIÇOS  EIRELE - EPP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177"/>
    </row>
    <row r="2" spans="1:15" s="14" customFormat="1" ht="15.75" customHeight="1" x14ac:dyDescent="0.25">
      <c r="A2" s="453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177"/>
    </row>
    <row r="3" spans="1:15" s="14" customFormat="1" ht="15.75" customHeight="1" x14ac:dyDescent="0.25">
      <c r="A3" s="453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177"/>
    </row>
    <row r="4" spans="1:15" s="14" customFormat="1" ht="15" customHeight="1" x14ac:dyDescent="0.25">
      <c r="A4" s="453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177"/>
    </row>
    <row r="5" spans="1:15" s="14" customFormat="1" ht="26.25" customHeight="1" x14ac:dyDescent="0.25">
      <c r="A5" s="467" t="str">
        <f>Resumo!A9</f>
        <v xml:space="preserve"> PREFEITURA MUNICIPAL DE OEIRAS DO PARÁ</v>
      </c>
      <c r="B5" s="467"/>
      <c r="C5" s="467"/>
      <c r="D5" s="467"/>
      <c r="E5" s="74"/>
      <c r="F5" s="456"/>
      <c r="G5" s="456"/>
      <c r="H5" s="456"/>
      <c r="I5" s="456"/>
      <c r="J5" s="456"/>
      <c r="K5" s="104"/>
      <c r="M5" s="177"/>
    </row>
    <row r="6" spans="1:15" s="394" customFormat="1" ht="15" customHeight="1" x14ac:dyDescent="0.25">
      <c r="A6" s="474" t="str">
        <f>Resumo!A11</f>
        <v>OBRA:  CONSTRUÇÃO DE ESCOLA PADRÃO FNDE 12 (DOZE) SALAS DE AULA NO MUNICIPIO DE OEIRAS DO PARÁ/PA</v>
      </c>
      <c r="B6" s="474"/>
      <c r="C6" s="474"/>
      <c r="D6" s="474"/>
      <c r="E6" s="474"/>
      <c r="F6" s="474"/>
      <c r="G6" s="474"/>
      <c r="H6" s="474"/>
      <c r="I6" s="474"/>
      <c r="J6" s="474"/>
      <c r="K6" s="474"/>
      <c r="L6" s="392"/>
      <c r="M6" s="393"/>
    </row>
    <row r="7" spans="1:15" s="394" customFormat="1" x14ac:dyDescent="0.25">
      <c r="A7" s="474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392"/>
      <c r="M7" s="393"/>
    </row>
    <row r="8" spans="1:15" s="14" customFormat="1" ht="17.25" customHeight="1" x14ac:dyDescent="0.25">
      <c r="A8" s="472" t="str">
        <f>Resumo!A12</f>
        <v>PRAZO DE EXECUÇÃO: 9 MESES</v>
      </c>
      <c r="B8" s="473"/>
      <c r="C8" s="473"/>
      <c r="D8" s="473"/>
      <c r="E8" s="473"/>
      <c r="F8" s="473"/>
      <c r="G8" s="378"/>
      <c r="H8" s="105"/>
      <c r="I8" s="105"/>
      <c r="J8" s="109"/>
      <c r="K8" s="109"/>
      <c r="M8" s="177"/>
    </row>
    <row r="9" spans="1:15" s="14" customFormat="1" x14ac:dyDescent="0.25">
      <c r="A9" s="464" t="s">
        <v>0</v>
      </c>
      <c r="B9" s="464"/>
      <c r="C9" s="464"/>
      <c r="D9" s="464"/>
      <c r="E9" s="464"/>
      <c r="F9" s="464"/>
      <c r="G9" s="464"/>
      <c r="H9" s="464"/>
      <c r="I9" s="464"/>
      <c r="J9" s="464"/>
      <c r="K9" s="110"/>
      <c r="M9" s="177"/>
    </row>
    <row r="10" spans="1:15" s="14" customFormat="1" x14ac:dyDescent="0.25">
      <c r="A10" s="111"/>
      <c r="B10" s="112"/>
      <c r="C10" s="112"/>
      <c r="D10" s="113"/>
      <c r="E10" s="106"/>
      <c r="F10" s="107"/>
      <c r="G10" s="107"/>
      <c r="H10" s="105"/>
      <c r="I10" s="105"/>
      <c r="J10" s="108"/>
      <c r="K10" s="108"/>
      <c r="M10" s="177"/>
    </row>
    <row r="11" spans="1:15" s="14" customFormat="1" x14ac:dyDescent="0.25">
      <c r="A11" s="457"/>
      <c r="B11" s="462" t="s">
        <v>40</v>
      </c>
      <c r="C11" s="459" t="s">
        <v>1</v>
      </c>
      <c r="D11" s="459" t="s">
        <v>65</v>
      </c>
      <c r="E11" s="460" t="s">
        <v>66</v>
      </c>
      <c r="F11" s="461" t="s">
        <v>67</v>
      </c>
      <c r="G11" s="475" t="s">
        <v>490</v>
      </c>
      <c r="H11" s="465" t="s">
        <v>491</v>
      </c>
      <c r="I11" s="471" t="s">
        <v>103</v>
      </c>
      <c r="J11" s="452" t="s">
        <v>68</v>
      </c>
      <c r="K11" s="102"/>
      <c r="M11" s="454"/>
      <c r="N11" s="35"/>
    </row>
    <row r="12" spans="1:15" s="14" customFormat="1" x14ac:dyDescent="0.25">
      <c r="A12" s="458"/>
      <c r="B12" s="463"/>
      <c r="C12" s="459"/>
      <c r="D12" s="459"/>
      <c r="E12" s="460"/>
      <c r="F12" s="461"/>
      <c r="G12" s="476"/>
      <c r="H12" s="466"/>
      <c r="I12" s="471"/>
      <c r="J12" s="452"/>
      <c r="K12" s="102"/>
      <c r="M12" s="455"/>
      <c r="N12" s="36"/>
    </row>
    <row r="13" spans="1:15" s="14" customFormat="1" x14ac:dyDescent="0.25">
      <c r="A13" s="114"/>
      <c r="B13" s="167"/>
      <c r="C13" s="168">
        <v>1</v>
      </c>
      <c r="D13" s="169" t="s">
        <v>69</v>
      </c>
      <c r="E13" s="170"/>
      <c r="F13" s="171"/>
      <c r="G13" s="171"/>
      <c r="H13" s="172"/>
      <c r="I13" s="173"/>
      <c r="J13" s="174">
        <f>SUM(J19:J19)</f>
        <v>2254.7400000000002</v>
      </c>
      <c r="K13" s="174">
        <f>SUM(K14:K19)+0.02</f>
        <v>39731.124964448136</v>
      </c>
      <c r="L13" s="47"/>
      <c r="M13" s="177"/>
    </row>
    <row r="14" spans="1:15" s="14" customFormat="1" x14ac:dyDescent="0.25">
      <c r="A14" s="116"/>
      <c r="B14" s="115"/>
      <c r="C14" s="379" t="s">
        <v>4</v>
      </c>
      <c r="D14" s="510" t="s">
        <v>487</v>
      </c>
      <c r="E14" s="376" t="s">
        <v>9</v>
      </c>
      <c r="F14" s="377">
        <v>59</v>
      </c>
      <c r="G14" s="377">
        <v>148.58000000000001</v>
      </c>
      <c r="H14" s="61">
        <f>Comp!I49</f>
        <v>193.1549757114675</v>
      </c>
      <c r="I14" s="61"/>
      <c r="J14" s="45"/>
      <c r="K14" s="45">
        <f>F14*H14-0.05</f>
        <v>11396.093566976584</v>
      </c>
      <c r="M14" s="37"/>
      <c r="N14" s="37"/>
      <c r="O14" s="38"/>
    </row>
    <row r="15" spans="1:15" s="14" customFormat="1" x14ac:dyDescent="0.25">
      <c r="A15" s="116"/>
      <c r="B15" s="115"/>
      <c r="C15" s="379" t="s">
        <v>5</v>
      </c>
      <c r="D15" s="510" t="s">
        <v>488</v>
      </c>
      <c r="E15" s="376" t="s">
        <v>66</v>
      </c>
      <c r="F15" s="377">
        <v>1</v>
      </c>
      <c r="G15" s="377">
        <v>251</v>
      </c>
      <c r="H15" s="61">
        <f>Comp!I61</f>
        <v>326.29612235458558</v>
      </c>
      <c r="I15" s="61"/>
      <c r="J15" s="45"/>
      <c r="K15" s="45">
        <f t="shared" ref="K15:K17" si="0">F15*H15</f>
        <v>326.29612235458558</v>
      </c>
      <c r="M15" s="37"/>
      <c r="N15" s="37"/>
      <c r="O15" s="38"/>
    </row>
    <row r="16" spans="1:15" s="14" customFormat="1" x14ac:dyDescent="0.25">
      <c r="A16" s="116"/>
      <c r="B16" s="115"/>
      <c r="C16" s="379" t="s">
        <v>6</v>
      </c>
      <c r="D16" s="510" t="s">
        <v>494</v>
      </c>
      <c r="E16" s="376" t="s">
        <v>66</v>
      </c>
      <c r="F16" s="377">
        <v>1</v>
      </c>
      <c r="G16" s="377">
        <v>1137.43</v>
      </c>
      <c r="H16" s="61">
        <f>Comp!I72</f>
        <v>1478.6572537841998</v>
      </c>
      <c r="I16" s="61"/>
      <c r="J16" s="45"/>
      <c r="K16" s="45">
        <f t="shared" si="0"/>
        <v>1478.6572537841998</v>
      </c>
      <c r="M16" s="37"/>
      <c r="N16" s="37"/>
      <c r="O16" s="38"/>
    </row>
    <row r="17" spans="1:16" s="14" customFormat="1" x14ac:dyDescent="0.25">
      <c r="A17" s="116"/>
      <c r="B17" s="115"/>
      <c r="C17" s="379" t="s">
        <v>7</v>
      </c>
      <c r="D17" s="510" t="s">
        <v>489</v>
      </c>
      <c r="E17" s="376" t="s">
        <v>66</v>
      </c>
      <c r="F17" s="377">
        <v>1</v>
      </c>
      <c r="G17" s="377">
        <v>730.14</v>
      </c>
      <c r="H17" s="61">
        <f>Comp!I84</f>
        <v>949.17620908059598</v>
      </c>
      <c r="I17" s="61"/>
      <c r="J17" s="45"/>
      <c r="K17" s="45">
        <f t="shared" si="0"/>
        <v>949.17620908059598</v>
      </c>
      <c r="M17" s="37"/>
      <c r="N17" s="37"/>
      <c r="O17" s="38"/>
    </row>
    <row r="18" spans="1:16" s="14" customFormat="1" x14ac:dyDescent="0.25">
      <c r="A18" s="116"/>
      <c r="B18" s="115"/>
      <c r="C18" s="379" t="s">
        <v>98</v>
      </c>
      <c r="D18" s="510" t="s">
        <v>495</v>
      </c>
      <c r="E18" s="376" t="s">
        <v>9</v>
      </c>
      <c r="F18" s="377">
        <v>3121.38</v>
      </c>
      <c r="G18" s="377">
        <v>5.66</v>
      </c>
      <c r="H18" s="61">
        <f>Comp!I97</f>
        <v>7.3632159552000003</v>
      </c>
      <c r="I18" s="61"/>
      <c r="J18" s="45"/>
      <c r="K18" s="45">
        <f>F18*H18-16.29</f>
        <v>22967.105018242175</v>
      </c>
      <c r="M18" s="37"/>
      <c r="N18" s="37"/>
      <c r="O18" s="38"/>
    </row>
    <row r="19" spans="1:16" s="14" customFormat="1" x14ac:dyDescent="0.25">
      <c r="A19" s="116"/>
      <c r="B19" s="115" t="s">
        <v>246</v>
      </c>
      <c r="C19" s="87" t="s">
        <v>171</v>
      </c>
      <c r="D19" s="510" t="s">
        <v>104</v>
      </c>
      <c r="E19" s="73" t="s">
        <v>9</v>
      </c>
      <c r="F19" s="49">
        <v>6</v>
      </c>
      <c r="G19" s="377">
        <v>335.1</v>
      </c>
      <c r="H19" s="61">
        <f>Comp!I110</f>
        <v>435.6311323349999</v>
      </c>
      <c r="I19" s="61">
        <v>375.79</v>
      </c>
      <c r="J19" s="45">
        <f>F19*I19</f>
        <v>2254.7400000000002</v>
      </c>
      <c r="K19" s="45">
        <f>F19*H19-0.01</f>
        <v>2613.7767940099993</v>
      </c>
      <c r="M19" s="37"/>
      <c r="N19" s="37"/>
      <c r="O19" s="38"/>
    </row>
    <row r="20" spans="1:16" s="14" customFormat="1" x14ac:dyDescent="0.25">
      <c r="A20" s="116"/>
      <c r="B20" s="115"/>
      <c r="C20" s="468"/>
      <c r="D20" s="469"/>
      <c r="E20" s="469"/>
      <c r="F20" s="469"/>
      <c r="G20" s="469"/>
      <c r="H20" s="469"/>
      <c r="I20" s="469"/>
      <c r="J20" s="469"/>
      <c r="K20" s="470"/>
      <c r="M20" s="37"/>
      <c r="N20" s="37"/>
      <c r="O20" s="38"/>
    </row>
    <row r="21" spans="1:16" s="13" customFormat="1" x14ac:dyDescent="0.25">
      <c r="A21" s="116"/>
      <c r="B21" s="167"/>
      <c r="C21" s="168">
        <v>2</v>
      </c>
      <c r="D21" s="169" t="s">
        <v>492</v>
      </c>
      <c r="E21" s="170"/>
      <c r="F21" s="171"/>
      <c r="G21" s="171"/>
      <c r="H21" s="172"/>
      <c r="I21" s="173"/>
      <c r="J21" s="174">
        <f>SUM(J22:J25)</f>
        <v>21545.765199999998</v>
      </c>
      <c r="K21" s="174">
        <f>SUM(K22:K25)+0.01</f>
        <v>39870.368296809618</v>
      </c>
      <c r="L21" s="47"/>
      <c r="M21" s="178"/>
      <c r="N21" s="52"/>
      <c r="O21" s="46"/>
    </row>
    <row r="22" spans="1:16" s="13" customFormat="1" ht="24" x14ac:dyDescent="0.25">
      <c r="A22" s="116"/>
      <c r="B22" s="115">
        <v>79488</v>
      </c>
      <c r="C22" s="87" t="s">
        <v>13</v>
      </c>
      <c r="D22" s="510" t="s">
        <v>496</v>
      </c>
      <c r="E22" s="73" t="s">
        <v>11</v>
      </c>
      <c r="F22" s="49">
        <v>716.01</v>
      </c>
      <c r="G22" s="377">
        <v>22.5</v>
      </c>
      <c r="H22" s="61">
        <f>Comp!I119</f>
        <v>29.254428758809802</v>
      </c>
      <c r="I22" s="61">
        <v>23.53</v>
      </c>
      <c r="J22" s="45">
        <f>F22*I22</f>
        <v>16847.7153</v>
      </c>
      <c r="K22" s="45">
        <f>F22*H22-3.17</f>
        <v>20943.293535595407</v>
      </c>
      <c r="M22" s="52"/>
      <c r="N22" s="52"/>
      <c r="O22" s="46"/>
    </row>
    <row r="23" spans="1:16" s="13" customFormat="1" x14ac:dyDescent="0.25">
      <c r="A23" s="116"/>
      <c r="B23" s="115" t="s">
        <v>101</v>
      </c>
      <c r="C23" s="87" t="s">
        <v>14</v>
      </c>
      <c r="D23" s="510" t="s">
        <v>497</v>
      </c>
      <c r="E23" s="73" t="s">
        <v>11</v>
      </c>
      <c r="F23" s="49">
        <v>112.03</v>
      </c>
      <c r="G23" s="377">
        <v>32.99</v>
      </c>
      <c r="H23" s="61">
        <f>Comp!I128</f>
        <v>42.887044215409794</v>
      </c>
      <c r="I23" s="61">
        <v>19.690000000000001</v>
      </c>
      <c r="J23" s="45">
        <f t="shared" ref="J23:J24" si="1">F23*I23</f>
        <v>2205.8706999999999</v>
      </c>
      <c r="K23" s="45">
        <f>F23*H23-0.01</f>
        <v>4804.6255634523595</v>
      </c>
      <c r="M23" s="52"/>
      <c r="N23" s="52"/>
      <c r="O23" s="46"/>
    </row>
    <row r="24" spans="1:16" s="13" customFormat="1" x14ac:dyDescent="0.25">
      <c r="A24" s="117"/>
      <c r="B24" s="115" t="s">
        <v>106</v>
      </c>
      <c r="C24" s="87" t="s">
        <v>71</v>
      </c>
      <c r="D24" s="511" t="s">
        <v>498</v>
      </c>
      <c r="E24" s="115" t="s">
        <v>9</v>
      </c>
      <c r="F24" s="49">
        <v>282.24</v>
      </c>
      <c r="G24" s="377">
        <v>38.49</v>
      </c>
      <c r="H24" s="61">
        <f>Comp!I137</f>
        <v>50.041415808396593</v>
      </c>
      <c r="I24" s="61">
        <v>8.83</v>
      </c>
      <c r="J24" s="51">
        <f t="shared" si="1"/>
        <v>2492.1792</v>
      </c>
      <c r="K24" s="45">
        <f>F24*H24-1.25</f>
        <v>14122.439197761854</v>
      </c>
      <c r="M24" s="179"/>
    </row>
    <row r="25" spans="1:16" s="13" customFormat="1" x14ac:dyDescent="0.25">
      <c r="A25" s="116"/>
      <c r="B25" s="115"/>
      <c r="C25" s="115"/>
      <c r="D25" s="53"/>
      <c r="E25" s="73"/>
      <c r="F25" s="49"/>
      <c r="G25" s="377"/>
      <c r="H25" s="61"/>
      <c r="I25" s="61"/>
      <c r="J25" s="45"/>
      <c r="K25" s="45"/>
      <c r="M25" s="52"/>
      <c r="N25" s="52"/>
      <c r="O25" s="46"/>
    </row>
    <row r="26" spans="1:16" s="13" customFormat="1" x14ac:dyDescent="0.25">
      <c r="A26" s="116"/>
      <c r="B26" s="167" t="s">
        <v>35</v>
      </c>
      <c r="C26" s="168">
        <v>3</v>
      </c>
      <c r="D26" s="169" t="s">
        <v>508</v>
      </c>
      <c r="E26" s="175"/>
      <c r="F26" s="171"/>
      <c r="G26" s="171"/>
      <c r="H26" s="172"/>
      <c r="I26" s="173"/>
      <c r="J26" s="174">
        <f>SUM(J27:J35)</f>
        <v>144813.45319999999</v>
      </c>
      <c r="K26" s="174">
        <f>SUM(K27:K35)+0.01</f>
        <v>638991.15157507162</v>
      </c>
      <c r="L26" s="47"/>
      <c r="M26" s="178"/>
      <c r="N26" s="52"/>
      <c r="O26" s="46"/>
    </row>
    <row r="27" spans="1:16" s="13" customFormat="1" x14ac:dyDescent="0.25">
      <c r="A27" s="116"/>
      <c r="B27" s="115" t="s">
        <v>107</v>
      </c>
      <c r="C27" s="87" t="s">
        <v>15</v>
      </c>
      <c r="D27" s="510" t="s">
        <v>499</v>
      </c>
      <c r="E27" s="73" t="s">
        <v>9</v>
      </c>
      <c r="F27" s="49">
        <v>72.12</v>
      </c>
      <c r="G27" s="377">
        <v>519.16</v>
      </c>
      <c r="H27" s="61">
        <f>Comp!I148</f>
        <v>674.90691268980004</v>
      </c>
      <c r="I27" s="61">
        <v>20.49</v>
      </c>
      <c r="J27" s="45">
        <f t="shared" ref="J27:J35" si="2">F27*I27</f>
        <v>1477.7388000000001</v>
      </c>
      <c r="K27" s="45">
        <f>F27*H27+0.07</f>
        <v>48674.356543188384</v>
      </c>
      <c r="L27" s="47"/>
      <c r="M27" s="178"/>
      <c r="N27" s="52"/>
      <c r="O27" s="46"/>
    </row>
    <row r="28" spans="1:16" s="13" customFormat="1" x14ac:dyDescent="0.25">
      <c r="A28" s="116"/>
      <c r="B28" s="115" t="s">
        <v>109</v>
      </c>
      <c r="C28" s="87" t="s">
        <v>110</v>
      </c>
      <c r="D28" s="510" t="s">
        <v>500</v>
      </c>
      <c r="E28" s="73" t="s">
        <v>10</v>
      </c>
      <c r="F28" s="49">
        <v>1904</v>
      </c>
      <c r="G28" s="377">
        <v>78.92</v>
      </c>
      <c r="H28" s="61">
        <f>Comp!I162</f>
        <v>102.60290372178</v>
      </c>
      <c r="I28" s="61">
        <v>17.38</v>
      </c>
      <c r="J28" s="45">
        <f t="shared" si="2"/>
        <v>33091.519999999997</v>
      </c>
      <c r="K28" s="45">
        <f>F28*H28-7.62-5.53</f>
        <v>195342.77868626913</v>
      </c>
      <c r="L28" s="47"/>
      <c r="M28" s="178"/>
      <c r="N28" s="52"/>
      <c r="O28" s="46"/>
    </row>
    <row r="29" spans="1:16" s="13" customFormat="1" x14ac:dyDescent="0.25">
      <c r="A29" s="116"/>
      <c r="B29" s="115" t="s">
        <v>115</v>
      </c>
      <c r="C29" s="87" t="s">
        <v>111</v>
      </c>
      <c r="D29" s="510" t="s">
        <v>501</v>
      </c>
      <c r="E29" s="73" t="s">
        <v>11</v>
      </c>
      <c r="F29" s="49">
        <v>145.9</v>
      </c>
      <c r="G29" s="377">
        <v>49.49</v>
      </c>
      <c r="H29" s="61">
        <f>Comp!I170</f>
        <v>64.340264665130988</v>
      </c>
      <c r="I29" s="61">
        <v>6.19</v>
      </c>
      <c r="J29" s="45">
        <f t="shared" si="2"/>
        <v>903.12100000000009</v>
      </c>
      <c r="K29" s="45">
        <f>F29*H29-0.47</f>
        <v>9386.7746146426125</v>
      </c>
      <c r="L29" s="47"/>
      <c r="M29" s="178"/>
      <c r="N29" s="52"/>
      <c r="O29" s="46"/>
    </row>
    <row r="30" spans="1:16" s="13" customFormat="1" x14ac:dyDescent="0.25">
      <c r="A30" s="116"/>
      <c r="B30" s="115" t="s">
        <v>117</v>
      </c>
      <c r="C30" s="87" t="s">
        <v>112</v>
      </c>
      <c r="D30" s="510" t="s">
        <v>502</v>
      </c>
      <c r="E30" s="73" t="s">
        <v>11</v>
      </c>
      <c r="F30" s="49">
        <v>95.28</v>
      </c>
      <c r="G30" s="377">
        <v>32.99</v>
      </c>
      <c r="H30" s="61">
        <f>Comp!I179</f>
        <v>42.887044215409794</v>
      </c>
      <c r="I30" s="61">
        <v>6.57</v>
      </c>
      <c r="J30" s="45">
        <f t="shared" si="2"/>
        <v>625.9896</v>
      </c>
      <c r="K30" s="45">
        <f>F30*H30-0.01</f>
        <v>4086.267572844245</v>
      </c>
      <c r="L30" s="47"/>
      <c r="M30" s="178"/>
      <c r="N30" s="52"/>
      <c r="O30" s="46"/>
    </row>
    <row r="31" spans="1:16" s="13" customFormat="1" x14ac:dyDescent="0.25">
      <c r="A31" s="116"/>
      <c r="B31" s="115" t="s">
        <v>108</v>
      </c>
      <c r="C31" s="87" t="s">
        <v>113</v>
      </c>
      <c r="D31" s="510" t="s">
        <v>503</v>
      </c>
      <c r="E31" s="73" t="s">
        <v>11</v>
      </c>
      <c r="F31" s="49">
        <v>32.51</v>
      </c>
      <c r="G31" s="377">
        <v>276.67</v>
      </c>
      <c r="H31" s="61">
        <f>Comp!I188</f>
        <v>359.66880089038079</v>
      </c>
      <c r="I31" s="61">
        <v>1072.8800000000001</v>
      </c>
      <c r="J31" s="45">
        <f t="shared" si="2"/>
        <v>34879.328800000003</v>
      </c>
      <c r="K31" s="45">
        <f>F31*H31+0.07</f>
        <v>11692.902716946279</v>
      </c>
      <c r="L31" s="47"/>
      <c r="M31" s="178"/>
      <c r="N31" s="232"/>
      <c r="O31" s="46"/>
      <c r="P31" s="46"/>
    </row>
    <row r="32" spans="1:16" s="13" customFormat="1" x14ac:dyDescent="0.25">
      <c r="A32" s="116"/>
      <c r="B32" s="115" t="str">
        <f>B28</f>
        <v>74007/1</v>
      </c>
      <c r="C32" s="115" t="s">
        <v>114</v>
      </c>
      <c r="D32" s="512" t="s">
        <v>504</v>
      </c>
      <c r="E32" s="73" t="s">
        <v>11</v>
      </c>
      <c r="F32" s="49">
        <v>214.51</v>
      </c>
      <c r="G32" s="377">
        <v>387.44</v>
      </c>
      <c r="H32" s="51">
        <f>Comp!I198</f>
        <v>503.67052266411298</v>
      </c>
      <c r="I32" s="61">
        <f>I28</f>
        <v>17.38</v>
      </c>
      <c r="J32" s="45">
        <f t="shared" si="2"/>
        <v>3728.1837999999998</v>
      </c>
      <c r="K32" s="45">
        <f>F32*H32+0.32</f>
        <v>108042.68381667888</v>
      </c>
      <c r="L32" s="47"/>
      <c r="M32" s="178"/>
      <c r="N32" s="52"/>
      <c r="O32" s="46"/>
    </row>
    <row r="33" spans="1:15" s="13" customFormat="1" ht="24" x14ac:dyDescent="0.25">
      <c r="A33" s="116"/>
      <c r="B33" s="115" t="str">
        <f>B29</f>
        <v>74254/2</v>
      </c>
      <c r="C33" s="115" t="s">
        <v>116</v>
      </c>
      <c r="D33" s="512" t="s">
        <v>505</v>
      </c>
      <c r="E33" s="73" t="str">
        <f>E29</f>
        <v>m³</v>
      </c>
      <c r="F33" s="49">
        <v>130</v>
      </c>
      <c r="G33" s="377">
        <v>936.05</v>
      </c>
      <c r="H33" s="51">
        <f>Comp!I211</f>
        <v>1216.8701414095378</v>
      </c>
      <c r="I33" s="61">
        <f>I29</f>
        <v>6.19</v>
      </c>
      <c r="J33" s="45">
        <f t="shared" si="2"/>
        <v>804.7</v>
      </c>
      <c r="K33" s="45">
        <f>F33*H33-0.67</f>
        <v>158192.44838323991</v>
      </c>
      <c r="L33" s="47"/>
      <c r="M33" s="178"/>
      <c r="N33" s="52"/>
      <c r="O33" s="46"/>
    </row>
    <row r="34" spans="1:15" s="13" customFormat="1" ht="24" x14ac:dyDescent="0.25">
      <c r="A34" s="116"/>
      <c r="B34" s="115" t="str">
        <f>B30</f>
        <v>73942/2</v>
      </c>
      <c r="C34" s="115" t="s">
        <v>118</v>
      </c>
      <c r="D34" s="512" t="s">
        <v>506</v>
      </c>
      <c r="E34" s="73" t="str">
        <f>E30</f>
        <v>m³</v>
      </c>
      <c r="F34" s="49">
        <v>58</v>
      </c>
      <c r="G34" s="377">
        <v>936.05</v>
      </c>
      <c r="H34" s="51">
        <f>Comp!I211</f>
        <v>1216.8701414095378</v>
      </c>
      <c r="I34" s="61">
        <f>I30</f>
        <v>6.57</v>
      </c>
      <c r="J34" s="45">
        <f t="shared" si="2"/>
        <v>381.06</v>
      </c>
      <c r="K34" s="45">
        <f>F34*H34-0.3</f>
        <v>70578.168201753186</v>
      </c>
      <c r="L34" s="47"/>
      <c r="M34" s="178"/>
      <c r="N34" s="52"/>
      <c r="O34" s="46"/>
    </row>
    <row r="35" spans="1:15" s="13" customFormat="1" x14ac:dyDescent="0.25">
      <c r="A35" s="116"/>
      <c r="B35" s="115" t="str">
        <f>B31</f>
        <v>74138/3</v>
      </c>
      <c r="C35" s="115" t="s">
        <v>174</v>
      </c>
      <c r="D35" s="512" t="s">
        <v>507</v>
      </c>
      <c r="E35" s="73" t="str">
        <f>E31</f>
        <v>m³</v>
      </c>
      <c r="F35" s="103">
        <v>64.239999999999995</v>
      </c>
      <c r="G35" s="103">
        <v>395.09</v>
      </c>
      <c r="H35" s="51">
        <f>Comp!I220</f>
        <v>513.61972352909402</v>
      </c>
      <c r="I35" s="165">
        <f>I31</f>
        <v>1072.8800000000001</v>
      </c>
      <c r="J35" s="45">
        <f t="shared" si="2"/>
        <v>68921.811199999996</v>
      </c>
      <c r="K35" s="45">
        <f>F35*H35-0.17</f>
        <v>32994.761039509001</v>
      </c>
      <c r="L35" s="47"/>
      <c r="M35" s="178"/>
      <c r="N35" s="52"/>
      <c r="O35" s="46"/>
    </row>
    <row r="36" spans="1:15" s="13" customFormat="1" x14ac:dyDescent="0.25">
      <c r="A36" s="116"/>
      <c r="B36" s="115"/>
      <c r="C36" s="115"/>
      <c r="D36" s="118"/>
      <c r="E36" s="390"/>
      <c r="F36" s="103"/>
      <c r="G36" s="103"/>
      <c r="H36" s="51"/>
      <c r="I36" s="165"/>
      <c r="J36" s="45"/>
      <c r="K36" s="45"/>
      <c r="L36" s="47"/>
      <c r="M36" s="178"/>
      <c r="N36" s="52"/>
      <c r="O36" s="46"/>
    </row>
    <row r="37" spans="1:15" s="13" customFormat="1" x14ac:dyDescent="0.25">
      <c r="A37" s="116"/>
      <c r="B37" s="167" t="s">
        <v>35</v>
      </c>
      <c r="C37" s="168">
        <v>4</v>
      </c>
      <c r="D37" s="169" t="s">
        <v>509</v>
      </c>
      <c r="E37" s="170"/>
      <c r="F37" s="171"/>
      <c r="G37" s="171"/>
      <c r="H37" s="172"/>
      <c r="I37" s="173"/>
      <c r="J37" s="174">
        <f>SUM(J38:J39)</f>
        <v>10905.126899999999</v>
      </c>
      <c r="K37" s="174">
        <f>SUM(K38:K39)</f>
        <v>311228.15611453634</v>
      </c>
      <c r="L37" s="47"/>
      <c r="M37" s="178"/>
      <c r="N37" s="52"/>
      <c r="O37" s="46"/>
    </row>
    <row r="38" spans="1:15" s="13" customFormat="1" ht="24" x14ac:dyDescent="0.25">
      <c r="A38" s="116"/>
      <c r="B38" s="115">
        <v>84220</v>
      </c>
      <c r="C38" s="87" t="s">
        <v>16</v>
      </c>
      <c r="D38" s="510" t="str">
        <f>D33</f>
        <v>Concreto armado  fck=20 MPa,usinado,Bombeado, lançado e adensado, para uso geral, inclusive formas.</v>
      </c>
      <c r="E38" s="73" t="str">
        <f>E33</f>
        <v>m³</v>
      </c>
      <c r="F38" s="49">
        <v>170.5</v>
      </c>
      <c r="G38" s="377">
        <f>G33</f>
        <v>936.05</v>
      </c>
      <c r="H38" s="51">
        <f>H33</f>
        <v>1216.8701414095378</v>
      </c>
      <c r="I38" s="61">
        <v>21.9</v>
      </c>
      <c r="J38" s="45">
        <f t="shared" ref="J38:J39" si="3">F38*I38</f>
        <v>3733.95</v>
      </c>
      <c r="K38" s="45">
        <f>F38*H38-0.88</f>
        <v>207475.47911032621</v>
      </c>
      <c r="M38" s="52"/>
      <c r="N38" s="52"/>
      <c r="O38" s="46"/>
    </row>
    <row r="39" spans="1:15" s="13" customFormat="1" ht="24" x14ac:dyDescent="0.25">
      <c r="A39" s="116"/>
      <c r="B39" s="115" t="e">
        <f>#REF!</f>
        <v>#REF!</v>
      </c>
      <c r="C39" s="87" t="s">
        <v>17</v>
      </c>
      <c r="D39" s="512" t="s">
        <v>510</v>
      </c>
      <c r="E39" s="73" t="s">
        <v>9</v>
      </c>
      <c r="F39" s="49">
        <v>1158.51</v>
      </c>
      <c r="G39" s="377">
        <v>68.89</v>
      </c>
      <c r="H39" s="61">
        <f>Comp!I244</f>
        <v>89.558965398839987</v>
      </c>
      <c r="I39" s="61">
        <f>I29</f>
        <v>6.19</v>
      </c>
      <c r="J39" s="45">
        <f t="shared" si="3"/>
        <v>7171.1769000000004</v>
      </c>
      <c r="K39" s="45">
        <f>F39*H39-2.28</f>
        <v>103752.67700421011</v>
      </c>
      <c r="M39" s="52"/>
      <c r="N39" s="52"/>
      <c r="O39" s="46"/>
    </row>
    <row r="40" spans="1:15" s="13" customFormat="1" x14ac:dyDescent="0.25">
      <c r="A40" s="116"/>
      <c r="B40" s="115"/>
      <c r="C40" s="389"/>
      <c r="D40" s="118"/>
      <c r="E40" s="390"/>
      <c r="F40" s="391"/>
      <c r="G40" s="391"/>
      <c r="H40" s="61"/>
      <c r="I40" s="61"/>
      <c r="J40" s="45"/>
      <c r="K40" s="45"/>
      <c r="M40" s="52"/>
      <c r="N40" s="52"/>
      <c r="O40" s="46"/>
    </row>
    <row r="41" spans="1:15" s="13" customFormat="1" x14ac:dyDescent="0.25">
      <c r="A41" s="116"/>
      <c r="B41" s="167" t="s">
        <v>35</v>
      </c>
      <c r="C41" s="168">
        <v>5</v>
      </c>
      <c r="D41" s="169" t="s">
        <v>511</v>
      </c>
      <c r="E41" s="170"/>
      <c r="F41" s="171"/>
      <c r="G41" s="171"/>
      <c r="H41" s="172"/>
      <c r="I41" s="173"/>
      <c r="J41" s="174" t="e">
        <f>SUM(#REF!)</f>
        <v>#REF!</v>
      </c>
      <c r="K41" s="174">
        <f>SUM(K42:K134)+12.01</f>
        <v>315779.48777966353</v>
      </c>
      <c r="L41" s="47"/>
      <c r="M41" s="178"/>
      <c r="N41" s="52"/>
      <c r="O41" s="46"/>
    </row>
    <row r="42" spans="1:15" s="13" customFormat="1" ht="24" x14ac:dyDescent="0.25">
      <c r="A42" s="116"/>
      <c r="B42" s="115"/>
      <c r="C42" s="389" t="s">
        <v>175</v>
      </c>
      <c r="D42" s="512" t="s">
        <v>512</v>
      </c>
      <c r="E42" s="390" t="s">
        <v>513</v>
      </c>
      <c r="F42" s="391">
        <v>50</v>
      </c>
      <c r="G42" s="391">
        <v>59.17</v>
      </c>
      <c r="H42" s="61">
        <f>Comp!I253</f>
        <v>76.924434792575994</v>
      </c>
      <c r="I42" s="61"/>
      <c r="J42" s="45"/>
      <c r="K42" s="45">
        <f>H42*F42-0.17</f>
        <v>3846.0517396287996</v>
      </c>
      <c r="M42" s="52"/>
      <c r="N42" s="52"/>
      <c r="O42" s="46"/>
    </row>
    <row r="43" spans="1:15" s="13" customFormat="1" x14ac:dyDescent="0.25">
      <c r="A43" s="116"/>
      <c r="B43" s="115"/>
      <c r="C43" s="389" t="s">
        <v>176</v>
      </c>
      <c r="D43" s="512" t="s">
        <v>514</v>
      </c>
      <c r="E43" s="390" t="s">
        <v>513</v>
      </c>
      <c r="F43" s="391">
        <v>5</v>
      </c>
      <c r="G43" s="391">
        <v>39.61</v>
      </c>
      <c r="H43" s="61">
        <f>Comp!I263</f>
        <v>51.485391792575996</v>
      </c>
      <c r="I43" s="61"/>
      <c r="J43" s="45"/>
      <c r="K43" s="45">
        <f>H43*F43+0.04</f>
        <v>257.46695896288003</v>
      </c>
      <c r="M43" s="52"/>
      <c r="N43" s="52"/>
      <c r="O43" s="46"/>
    </row>
    <row r="44" spans="1:15" s="13" customFormat="1" x14ac:dyDescent="0.25">
      <c r="A44" s="116"/>
      <c r="B44" s="115"/>
      <c r="C44" s="389" t="s">
        <v>177</v>
      </c>
      <c r="D44" s="512" t="s">
        <v>515</v>
      </c>
      <c r="E44" s="390" t="s">
        <v>513</v>
      </c>
      <c r="F44" s="391">
        <v>5</v>
      </c>
      <c r="G44" s="391">
        <v>44.67</v>
      </c>
      <c r="H44" s="61">
        <f>Comp!I273</f>
        <v>58.070896192344001</v>
      </c>
      <c r="I44" s="61"/>
      <c r="J44" s="45"/>
      <c r="K44" s="45">
        <f>H44*F44+0.01</f>
        <v>290.36448096172001</v>
      </c>
      <c r="M44" s="52"/>
      <c r="N44" s="52"/>
      <c r="O44" s="46"/>
    </row>
    <row r="45" spans="1:15" s="13" customFormat="1" x14ac:dyDescent="0.25">
      <c r="A45" s="116"/>
      <c r="B45" s="115"/>
      <c r="C45" s="389" t="s">
        <v>178</v>
      </c>
      <c r="D45" s="512" t="s">
        <v>516</v>
      </c>
      <c r="E45" s="390" t="s">
        <v>513</v>
      </c>
      <c r="F45" s="391">
        <v>6</v>
      </c>
      <c r="G45" s="391">
        <v>16.78</v>
      </c>
      <c r="H45" s="61">
        <f>Comp!I283</f>
        <v>21.811485592343999</v>
      </c>
      <c r="I45" s="61"/>
      <c r="J45" s="45"/>
      <c r="K45" s="45">
        <f t="shared" ref="K45" si="4">H45*F45+0.01</f>
        <v>130.87891355406398</v>
      </c>
      <c r="M45" s="52"/>
      <c r="N45" s="52"/>
      <c r="O45" s="46"/>
    </row>
    <row r="46" spans="1:15" s="13" customFormat="1" x14ac:dyDescent="0.25">
      <c r="A46" s="116"/>
      <c r="B46" s="115"/>
      <c r="C46" s="389" t="s">
        <v>179</v>
      </c>
      <c r="D46" s="512" t="s">
        <v>517</v>
      </c>
      <c r="E46" s="390" t="s">
        <v>513</v>
      </c>
      <c r="F46" s="391">
        <v>1</v>
      </c>
      <c r="G46" s="391">
        <v>24.96</v>
      </c>
      <c r="H46" s="61">
        <f>Comp!I293</f>
        <v>32.449867192344001</v>
      </c>
      <c r="I46" s="61"/>
      <c r="J46" s="45"/>
      <c r="K46" s="45">
        <f>H46*F46</f>
        <v>32.449867192344001</v>
      </c>
      <c r="M46" s="52"/>
      <c r="N46" s="52"/>
      <c r="O46" s="46"/>
    </row>
    <row r="47" spans="1:15" s="13" customFormat="1" x14ac:dyDescent="0.25">
      <c r="A47" s="116"/>
      <c r="B47" s="115"/>
      <c r="C47" s="389" t="s">
        <v>180</v>
      </c>
      <c r="D47" s="512" t="s">
        <v>518</v>
      </c>
      <c r="E47" s="390" t="s">
        <v>10</v>
      </c>
      <c r="F47" s="391">
        <v>425</v>
      </c>
      <c r="G47" s="391">
        <v>6.47</v>
      </c>
      <c r="H47" s="61">
        <f>Comp!I303</f>
        <v>8.4114079988399997</v>
      </c>
      <c r="I47" s="61"/>
      <c r="J47" s="45"/>
      <c r="K47" s="45">
        <f>H47*F47-0.17</f>
        <v>3574.678399507</v>
      </c>
      <c r="M47" s="52"/>
      <c r="N47" s="52"/>
      <c r="O47" s="46"/>
    </row>
    <row r="48" spans="1:15" s="13" customFormat="1" x14ac:dyDescent="0.25">
      <c r="A48" s="116"/>
      <c r="B48" s="115"/>
      <c r="C48" s="389" t="s">
        <v>181</v>
      </c>
      <c r="D48" s="512" t="s">
        <v>519</v>
      </c>
      <c r="E48" s="390" t="s">
        <v>10</v>
      </c>
      <c r="F48" s="391">
        <v>38</v>
      </c>
      <c r="G48" s="391">
        <v>18.73</v>
      </c>
      <c r="H48" s="61">
        <f>Comp!I313</f>
        <v>24.348181998839998</v>
      </c>
      <c r="I48" s="61"/>
      <c r="J48" s="45"/>
      <c r="K48" s="45">
        <f>H48*F48+0.03</f>
        <v>925.26091595591993</v>
      </c>
      <c r="M48" s="52"/>
      <c r="N48" s="52"/>
      <c r="O48" s="46"/>
    </row>
    <row r="49" spans="1:15" s="13" customFormat="1" x14ac:dyDescent="0.25">
      <c r="A49" s="116"/>
      <c r="B49" s="115"/>
      <c r="C49" s="389" t="s">
        <v>520</v>
      </c>
      <c r="D49" s="512" t="s">
        <v>521</v>
      </c>
      <c r="E49" s="390" t="s">
        <v>10</v>
      </c>
      <c r="F49" s="391">
        <v>1350</v>
      </c>
      <c r="G49" s="391">
        <v>7.28</v>
      </c>
      <c r="H49" s="61">
        <f>Comp!I323</f>
        <v>9.4552276988399999</v>
      </c>
      <c r="I49" s="61"/>
      <c r="J49" s="45"/>
      <c r="K49" s="45">
        <f>H49*F49-0.16</f>
        <v>12764.397393433999</v>
      </c>
      <c r="M49" s="52"/>
      <c r="N49" s="52"/>
      <c r="O49" s="46"/>
    </row>
    <row r="50" spans="1:15" s="13" customFormat="1" x14ac:dyDescent="0.25">
      <c r="A50" s="116"/>
      <c r="B50" s="115"/>
      <c r="C50" s="389" t="s">
        <v>522</v>
      </c>
      <c r="D50" s="512" t="s">
        <v>523</v>
      </c>
      <c r="E50" s="390" t="s">
        <v>10</v>
      </c>
      <c r="F50" s="391">
        <v>56.56</v>
      </c>
      <c r="G50" s="391">
        <v>10.16</v>
      </c>
      <c r="H50" s="61">
        <f>Comp!I333</f>
        <v>13.208038998839999</v>
      </c>
      <c r="I50" s="61"/>
      <c r="J50" s="45"/>
      <c r="K50" s="45">
        <f>H50*F50-0.01</f>
        <v>747.03668577439043</v>
      </c>
      <c r="M50" s="52"/>
      <c r="N50" s="52"/>
      <c r="O50" s="46"/>
    </row>
    <row r="51" spans="1:15" s="13" customFormat="1" x14ac:dyDescent="0.25">
      <c r="A51" s="116"/>
      <c r="B51" s="115"/>
      <c r="C51" s="389" t="s">
        <v>525</v>
      </c>
      <c r="D51" s="512" t="s">
        <v>524</v>
      </c>
      <c r="E51" s="390" t="s">
        <v>10</v>
      </c>
      <c r="F51" s="391">
        <v>400</v>
      </c>
      <c r="G51" s="391">
        <v>2.91</v>
      </c>
      <c r="H51" s="61">
        <f>Comp!I343</f>
        <v>3.7797587989559998</v>
      </c>
      <c r="I51" s="61"/>
      <c r="J51" s="45"/>
      <c r="K51" s="45">
        <f>H51*F51+1.3</f>
        <v>1513.2035195823998</v>
      </c>
      <c r="M51" s="52"/>
      <c r="N51" s="52"/>
      <c r="O51" s="46"/>
    </row>
    <row r="52" spans="1:15" s="13" customFormat="1" x14ac:dyDescent="0.25">
      <c r="A52" s="116"/>
      <c r="B52" s="115"/>
      <c r="C52" s="389" t="s">
        <v>526</v>
      </c>
      <c r="D52" s="512" t="s">
        <v>527</v>
      </c>
      <c r="E52" s="390" t="s">
        <v>10</v>
      </c>
      <c r="F52" s="391">
        <v>92</v>
      </c>
      <c r="G52" s="391">
        <v>19.829999999999998</v>
      </c>
      <c r="H52" s="61">
        <f>Comp!I353</f>
        <v>25.781866198955999</v>
      </c>
      <c r="I52" s="61"/>
      <c r="J52" s="45"/>
      <c r="K52" s="45">
        <f>H52*F52-0.26</f>
        <v>2371.6716903039519</v>
      </c>
      <c r="M52" s="52"/>
      <c r="N52" s="52"/>
      <c r="O52" s="46"/>
    </row>
    <row r="53" spans="1:15" s="13" customFormat="1" x14ac:dyDescent="0.25">
      <c r="A53" s="116"/>
      <c r="B53" s="115"/>
      <c r="C53" s="389" t="s">
        <v>528</v>
      </c>
      <c r="D53" s="512" t="s">
        <v>529</v>
      </c>
      <c r="E53" s="390" t="s">
        <v>10</v>
      </c>
      <c r="F53" s="391">
        <v>2700</v>
      </c>
      <c r="G53" s="391">
        <v>4.29</v>
      </c>
      <c r="H53" s="61">
        <f>Comp!I363</f>
        <v>5.5827200989560009</v>
      </c>
      <c r="I53" s="61"/>
      <c r="J53" s="45"/>
      <c r="K53" s="45">
        <f>H53*F53-15.44</f>
        <v>15057.904267181202</v>
      </c>
      <c r="M53" s="52"/>
      <c r="N53" s="52"/>
      <c r="O53" s="46"/>
    </row>
    <row r="54" spans="1:15" s="13" customFormat="1" x14ac:dyDescent="0.25">
      <c r="A54" s="116"/>
      <c r="B54" s="115"/>
      <c r="C54" s="389" t="s">
        <v>530</v>
      </c>
      <c r="D54" s="512" t="s">
        <v>531</v>
      </c>
      <c r="E54" s="390" t="s">
        <v>10</v>
      </c>
      <c r="F54" s="391">
        <v>700</v>
      </c>
      <c r="G54" s="391">
        <v>5.19</v>
      </c>
      <c r="H54" s="61">
        <f>Comp!I373</f>
        <v>6.7513301989560004</v>
      </c>
      <c r="I54" s="61"/>
      <c r="J54" s="45"/>
      <c r="K54" s="45">
        <f>H54*F54-3.03</f>
        <v>4722.9011392692009</v>
      </c>
      <c r="M54" s="52"/>
      <c r="N54" s="52"/>
      <c r="O54" s="46"/>
    </row>
    <row r="55" spans="1:15" s="13" customFormat="1" x14ac:dyDescent="0.25">
      <c r="A55" s="116"/>
      <c r="B55" s="115"/>
      <c r="C55" s="389" t="s">
        <v>533</v>
      </c>
      <c r="D55" s="512" t="s">
        <v>532</v>
      </c>
      <c r="E55" s="390" t="s">
        <v>10</v>
      </c>
      <c r="F55" s="391">
        <v>280</v>
      </c>
      <c r="G55" s="391">
        <v>50.15</v>
      </c>
      <c r="H55" s="61">
        <f>Comp!I383</f>
        <v>65.203283548955994</v>
      </c>
      <c r="I55" s="61"/>
      <c r="J55" s="45"/>
      <c r="K55" s="45">
        <f>H55*F55-2.32</f>
        <v>18254.599393707678</v>
      </c>
      <c r="M55" s="52"/>
      <c r="N55" s="52"/>
      <c r="O55" s="46"/>
    </row>
    <row r="56" spans="1:15" s="13" customFormat="1" x14ac:dyDescent="0.25">
      <c r="A56" s="116"/>
      <c r="B56" s="115"/>
      <c r="C56" s="389" t="s">
        <v>534</v>
      </c>
      <c r="D56" s="512" t="s">
        <v>535</v>
      </c>
      <c r="E56" s="390" t="s">
        <v>10</v>
      </c>
      <c r="F56" s="391">
        <v>5200</v>
      </c>
      <c r="G56" s="391">
        <v>2.5299999999999998</v>
      </c>
      <c r="H56" s="61">
        <f>Comp!I393</f>
        <v>3.285796798956</v>
      </c>
      <c r="I56" s="61"/>
      <c r="J56" s="45"/>
      <c r="K56" s="45">
        <f>H56*F56+16.66</f>
        <v>17102.803354571199</v>
      </c>
      <c r="M56" s="52"/>
      <c r="N56" s="52"/>
      <c r="O56" s="46"/>
    </row>
    <row r="57" spans="1:15" s="13" customFormat="1" x14ac:dyDescent="0.25">
      <c r="A57" s="116"/>
      <c r="B57" s="115"/>
      <c r="C57" s="389" t="s">
        <v>536</v>
      </c>
      <c r="D57" s="512" t="s">
        <v>537</v>
      </c>
      <c r="E57" s="390" t="s">
        <v>10</v>
      </c>
      <c r="F57" s="391">
        <v>350</v>
      </c>
      <c r="G57" s="391">
        <v>3.73</v>
      </c>
      <c r="H57" s="61">
        <f>Comp!I403</f>
        <v>4.8469766989560004</v>
      </c>
      <c r="I57" s="61"/>
      <c r="J57" s="45"/>
      <c r="K57" s="45">
        <f>H57*F57+0.71</f>
        <v>1697.1518446346001</v>
      </c>
      <c r="M57" s="52"/>
      <c r="N57" s="52"/>
      <c r="O57" s="46"/>
    </row>
    <row r="58" spans="1:15" s="13" customFormat="1" x14ac:dyDescent="0.25">
      <c r="A58" s="116"/>
      <c r="B58" s="115"/>
      <c r="C58" s="389" t="s">
        <v>538</v>
      </c>
      <c r="D58" s="512" t="s">
        <v>539</v>
      </c>
      <c r="E58" s="390" t="s">
        <v>10</v>
      </c>
      <c r="F58" s="391">
        <v>37</v>
      </c>
      <c r="G58" s="391">
        <v>5.05</v>
      </c>
      <c r="H58" s="61">
        <f>Comp!I413</f>
        <v>6.5745437989560003</v>
      </c>
      <c r="I58" s="61"/>
      <c r="J58" s="45"/>
      <c r="K58" s="45">
        <f>H58*F58-0.35</f>
        <v>242.90812056137202</v>
      </c>
      <c r="M58" s="52"/>
      <c r="N58" s="52"/>
      <c r="O58" s="46"/>
    </row>
    <row r="59" spans="1:15" s="13" customFormat="1" x14ac:dyDescent="0.25">
      <c r="A59" s="116"/>
      <c r="B59" s="115"/>
      <c r="C59" s="389" t="s">
        <v>540</v>
      </c>
      <c r="D59" s="512" t="s">
        <v>541</v>
      </c>
      <c r="E59" s="390" t="s">
        <v>10</v>
      </c>
      <c r="F59" s="391">
        <v>106</v>
      </c>
      <c r="G59" s="391">
        <v>6.9</v>
      </c>
      <c r="H59" s="61">
        <f>Comp!I423</f>
        <v>8.9663597989560007</v>
      </c>
      <c r="I59" s="61"/>
      <c r="J59" s="45"/>
      <c r="K59" s="45">
        <f>H59*F59+0.39</f>
        <v>950.82413868933611</v>
      </c>
      <c r="M59" s="52"/>
      <c r="N59" s="52"/>
      <c r="O59" s="46"/>
    </row>
    <row r="60" spans="1:15" s="13" customFormat="1" x14ac:dyDescent="0.25">
      <c r="A60" s="116"/>
      <c r="B60" s="115"/>
      <c r="C60" s="389" t="s">
        <v>542</v>
      </c>
      <c r="D60" s="512" t="s">
        <v>543</v>
      </c>
      <c r="E60" s="390" t="s">
        <v>10</v>
      </c>
      <c r="F60" s="391">
        <v>44</v>
      </c>
      <c r="G60" s="391">
        <v>6.48</v>
      </c>
      <c r="H60" s="61">
        <f>Comp!I433</f>
        <v>8.4204017989560001</v>
      </c>
      <c r="I60" s="61"/>
      <c r="J60" s="45"/>
      <c r="K60" s="45">
        <f>H60*F60+0.16</f>
        <v>370.65767915406406</v>
      </c>
      <c r="M60" s="52"/>
      <c r="N60" s="52"/>
      <c r="O60" s="46"/>
    </row>
    <row r="61" spans="1:15" s="13" customFormat="1" x14ac:dyDescent="0.25">
      <c r="A61" s="116"/>
      <c r="B61" s="115"/>
      <c r="C61" s="389" t="s">
        <v>544</v>
      </c>
      <c r="D61" s="512" t="s">
        <v>545</v>
      </c>
      <c r="E61" s="390" t="s">
        <v>10</v>
      </c>
      <c r="F61" s="391">
        <v>305</v>
      </c>
      <c r="G61" s="391">
        <v>9.07</v>
      </c>
      <c r="H61" s="61">
        <f>Comp!I443</f>
        <v>11.787142798956001</v>
      </c>
      <c r="I61" s="61"/>
      <c r="J61" s="45"/>
      <c r="K61" s="45">
        <f>H61*F61+1.18</f>
        <v>3596.25855368158</v>
      </c>
      <c r="M61" s="52"/>
      <c r="N61" s="52"/>
      <c r="O61" s="46"/>
    </row>
    <row r="62" spans="1:15" s="13" customFormat="1" x14ac:dyDescent="0.25">
      <c r="A62" s="116"/>
      <c r="B62" s="115"/>
      <c r="C62" s="389" t="s">
        <v>546</v>
      </c>
      <c r="D62" s="512" t="s">
        <v>547</v>
      </c>
      <c r="E62" s="390" t="s">
        <v>10</v>
      </c>
      <c r="F62" s="391">
        <v>17</v>
      </c>
      <c r="G62" s="391">
        <v>4.38</v>
      </c>
      <c r="H62" s="61">
        <f>Comp!I453</f>
        <v>5.6906117989560006</v>
      </c>
      <c r="I62" s="61"/>
      <c r="J62" s="45"/>
      <c r="K62" s="45">
        <f>H62*F62+0.06</f>
        <v>96.80040058225201</v>
      </c>
      <c r="M62" s="52"/>
      <c r="N62" s="52"/>
      <c r="O62" s="46"/>
    </row>
    <row r="63" spans="1:15" s="13" customFormat="1" x14ac:dyDescent="0.25">
      <c r="A63" s="116"/>
      <c r="B63" s="115"/>
      <c r="C63" s="389" t="s">
        <v>548</v>
      </c>
      <c r="D63" s="512" t="s">
        <v>549</v>
      </c>
      <c r="E63" s="390" t="s">
        <v>10</v>
      </c>
      <c r="F63" s="391">
        <v>1150</v>
      </c>
      <c r="G63" s="391">
        <v>5.14</v>
      </c>
      <c r="H63" s="61">
        <f>Comp!I463</f>
        <v>6.6785357989560001</v>
      </c>
      <c r="I63" s="61"/>
      <c r="J63" s="45"/>
      <c r="K63" s="45">
        <f>H63*F63+3.98</f>
        <v>7684.2961687993993</v>
      </c>
      <c r="M63" s="52"/>
      <c r="N63" s="52"/>
      <c r="O63" s="46"/>
    </row>
    <row r="64" spans="1:15" s="13" customFormat="1" x14ac:dyDescent="0.25">
      <c r="A64" s="116"/>
      <c r="B64" s="115"/>
      <c r="C64" s="389" t="s">
        <v>550</v>
      </c>
      <c r="D64" s="512" t="s">
        <v>551</v>
      </c>
      <c r="E64" s="390" t="s">
        <v>513</v>
      </c>
      <c r="F64" s="391">
        <v>11</v>
      </c>
      <c r="G64" s="391">
        <v>51.47</v>
      </c>
      <c r="H64" s="61">
        <f>Comp!I473</f>
        <v>66.906870405731993</v>
      </c>
      <c r="I64" s="61"/>
      <c r="J64" s="45"/>
      <c r="K64" s="45">
        <f>H64*F64+0.04</f>
        <v>736.01557446305185</v>
      </c>
      <c r="M64" s="52"/>
      <c r="N64" s="52"/>
      <c r="O64" s="46"/>
    </row>
    <row r="65" spans="1:15" s="13" customFormat="1" x14ac:dyDescent="0.25">
      <c r="A65" s="116"/>
      <c r="B65" s="115"/>
      <c r="C65" s="389" t="s">
        <v>552</v>
      </c>
      <c r="D65" s="512" t="s">
        <v>553</v>
      </c>
      <c r="E65" s="390" t="s">
        <v>513</v>
      </c>
      <c r="F65" s="391">
        <v>1</v>
      </c>
      <c r="G65" s="391">
        <v>142.84</v>
      </c>
      <c r="H65" s="61">
        <f>Comp!I483</f>
        <v>185.688136882332</v>
      </c>
      <c r="I65" s="61"/>
      <c r="J65" s="45"/>
      <c r="K65" s="45">
        <f>H65*F65</f>
        <v>185.688136882332</v>
      </c>
      <c r="M65" s="52"/>
      <c r="N65" s="52"/>
      <c r="O65" s="46"/>
    </row>
    <row r="66" spans="1:15" s="13" customFormat="1" x14ac:dyDescent="0.25">
      <c r="A66" s="116"/>
      <c r="B66" s="115"/>
      <c r="C66" s="389" t="s">
        <v>554</v>
      </c>
      <c r="D66" s="512" t="s">
        <v>555</v>
      </c>
      <c r="E66" s="390" t="s">
        <v>513</v>
      </c>
      <c r="F66" s="391">
        <v>1</v>
      </c>
      <c r="G66" s="391">
        <v>203.31</v>
      </c>
      <c r="H66" s="61">
        <f>Comp!I493</f>
        <v>264.30227497573202</v>
      </c>
      <c r="I66" s="61"/>
      <c r="J66" s="45"/>
      <c r="K66" s="45">
        <f>H66*F66</f>
        <v>264.30227497573202</v>
      </c>
      <c r="M66" s="52"/>
      <c r="N66" s="52"/>
      <c r="O66" s="46"/>
    </row>
    <row r="67" spans="1:15" s="13" customFormat="1" x14ac:dyDescent="0.25">
      <c r="A67" s="116"/>
      <c r="B67" s="115"/>
      <c r="C67" s="389" t="s">
        <v>556</v>
      </c>
      <c r="D67" s="512" t="s">
        <v>557</v>
      </c>
      <c r="E67" s="390" t="s">
        <v>513</v>
      </c>
      <c r="F67" s="391">
        <v>8</v>
      </c>
      <c r="G67" s="391">
        <v>5.41</v>
      </c>
      <c r="H67" s="61">
        <f>Comp!I503</f>
        <v>7.0295347969559998</v>
      </c>
      <c r="I67" s="61"/>
      <c r="J67" s="45"/>
      <c r="K67" s="45">
        <f>H67*F67+0.02</f>
        <v>56.256278375648002</v>
      </c>
      <c r="M67" s="52"/>
      <c r="N67" s="52"/>
      <c r="O67" s="46"/>
    </row>
    <row r="68" spans="1:15" s="13" customFormat="1" x14ac:dyDescent="0.25">
      <c r="A68" s="116"/>
      <c r="B68" s="115"/>
      <c r="C68" s="389" t="s">
        <v>558</v>
      </c>
      <c r="D68" s="512" t="s">
        <v>559</v>
      </c>
      <c r="E68" s="390" t="s">
        <v>513</v>
      </c>
      <c r="F68" s="391">
        <v>302</v>
      </c>
      <c r="G68" s="391">
        <v>5.74</v>
      </c>
      <c r="H68" s="61">
        <f>Comp!I513</f>
        <v>7.4624809988400003</v>
      </c>
      <c r="I68" s="61"/>
      <c r="J68" s="45"/>
      <c r="K68" s="45">
        <f>H68*F68-0.15</f>
        <v>2253.5192616496802</v>
      </c>
      <c r="M68" s="52"/>
      <c r="N68" s="52"/>
      <c r="O68" s="46"/>
    </row>
    <row r="69" spans="1:15" s="13" customFormat="1" x14ac:dyDescent="0.25">
      <c r="A69" s="116"/>
      <c r="B69" s="115"/>
      <c r="C69" s="389" t="s">
        <v>560</v>
      </c>
      <c r="D69" s="512" t="s">
        <v>561</v>
      </c>
      <c r="E69" s="390" t="s">
        <v>513</v>
      </c>
      <c r="F69" s="391">
        <v>16</v>
      </c>
      <c r="G69" s="391">
        <v>7.33</v>
      </c>
      <c r="H69" s="61">
        <f>Comp!I523</f>
        <v>9.5308818788400007</v>
      </c>
      <c r="I69" s="61"/>
      <c r="J69" s="45"/>
      <c r="K69" s="45">
        <f>H69*F69-0.03</f>
        <v>152.46411006144001</v>
      </c>
      <c r="M69" s="52"/>
      <c r="N69" s="52"/>
      <c r="O69" s="46"/>
    </row>
    <row r="70" spans="1:15" s="13" customFormat="1" x14ac:dyDescent="0.25">
      <c r="A70" s="116"/>
      <c r="B70" s="115"/>
      <c r="C70" s="389" t="s">
        <v>562</v>
      </c>
      <c r="D70" s="512" t="s">
        <v>563</v>
      </c>
      <c r="E70" s="390" t="s">
        <v>513</v>
      </c>
      <c r="F70" s="391">
        <v>696</v>
      </c>
      <c r="G70" s="391">
        <v>6</v>
      </c>
      <c r="H70" s="61">
        <f>Comp!I533</f>
        <v>7.7970752588400005</v>
      </c>
      <c r="I70" s="61"/>
      <c r="J70" s="45"/>
      <c r="K70" s="45">
        <f>H70*F70+2.04</f>
        <v>5428.8043801526401</v>
      </c>
      <c r="M70" s="52"/>
      <c r="N70" s="52"/>
      <c r="O70" s="46"/>
    </row>
    <row r="71" spans="1:15" s="13" customFormat="1" x14ac:dyDescent="0.25">
      <c r="A71" s="116"/>
      <c r="B71" s="115"/>
      <c r="C71" s="389" t="s">
        <v>564</v>
      </c>
      <c r="D71" s="512" t="s">
        <v>565</v>
      </c>
      <c r="E71" s="390" t="s">
        <v>513</v>
      </c>
      <c r="F71" s="391">
        <v>11</v>
      </c>
      <c r="G71" s="391">
        <v>36.76</v>
      </c>
      <c r="H71" s="61">
        <f>Comp!I543</f>
        <v>47.788197338027999</v>
      </c>
      <c r="I71" s="61"/>
      <c r="J71" s="45"/>
      <c r="K71" s="45">
        <f>H71*F71</f>
        <v>525.67017071830799</v>
      </c>
      <c r="M71" s="52"/>
      <c r="N71" s="52"/>
      <c r="O71" s="46"/>
    </row>
    <row r="72" spans="1:15" s="13" customFormat="1" x14ac:dyDescent="0.25">
      <c r="A72" s="116"/>
      <c r="B72" s="115"/>
      <c r="C72" s="389" t="s">
        <v>566</v>
      </c>
      <c r="D72" s="512" t="s">
        <v>567</v>
      </c>
      <c r="E72" s="390" t="s">
        <v>513</v>
      </c>
      <c r="F72" s="391">
        <v>15</v>
      </c>
      <c r="G72" s="391">
        <v>331.27</v>
      </c>
      <c r="H72" s="61">
        <f>Comp!I553</f>
        <v>430.65372788171999</v>
      </c>
      <c r="I72" s="61"/>
      <c r="J72" s="45"/>
      <c r="K72" s="45">
        <f>H72*F72-0.04</f>
        <v>6459.7659182258003</v>
      </c>
      <c r="M72" s="52"/>
      <c r="N72" s="52"/>
      <c r="O72" s="46"/>
    </row>
    <row r="73" spans="1:15" s="13" customFormat="1" x14ac:dyDescent="0.25">
      <c r="A73" s="116"/>
      <c r="B73" s="115"/>
      <c r="C73" s="389" t="s">
        <v>568</v>
      </c>
      <c r="D73" s="512" t="s">
        <v>569</v>
      </c>
      <c r="E73" s="390" t="s">
        <v>513</v>
      </c>
      <c r="F73" s="391">
        <v>29</v>
      </c>
      <c r="G73" s="391">
        <v>193.99</v>
      </c>
      <c r="H73" s="61">
        <f>Comp!I563</f>
        <v>252.19331666171996</v>
      </c>
      <c r="I73" s="61"/>
      <c r="J73" s="45"/>
      <c r="K73" s="45">
        <f>H73*F73-0.19</f>
        <v>7313.4161831898791</v>
      </c>
      <c r="M73" s="52"/>
      <c r="N73" s="52"/>
      <c r="O73" s="46"/>
    </row>
    <row r="74" spans="1:15" s="13" customFormat="1" x14ac:dyDescent="0.25">
      <c r="A74" s="116"/>
      <c r="B74" s="115"/>
      <c r="C74" s="389" t="s">
        <v>570</v>
      </c>
      <c r="D74" s="512" t="s">
        <v>571</v>
      </c>
      <c r="E74" s="390" t="s">
        <v>513</v>
      </c>
      <c r="F74" s="391">
        <v>119</v>
      </c>
      <c r="G74" s="391">
        <v>10.52</v>
      </c>
      <c r="H74" s="61">
        <f>Comp!I571</f>
        <v>13.675779936</v>
      </c>
      <c r="I74" s="61"/>
      <c r="J74" s="45"/>
      <c r="K74" s="45">
        <f>H74*F74+0.02</f>
        <v>1627.4378123839999</v>
      </c>
      <c r="M74" s="52"/>
      <c r="N74" s="52"/>
      <c r="O74" s="46"/>
    </row>
    <row r="75" spans="1:15" s="13" customFormat="1" x14ac:dyDescent="0.25">
      <c r="A75" s="116"/>
      <c r="B75" s="115"/>
      <c r="C75" s="389" t="s">
        <v>572</v>
      </c>
      <c r="D75" s="512" t="s">
        <v>573</v>
      </c>
      <c r="E75" s="390" t="s">
        <v>513</v>
      </c>
      <c r="F75" s="391">
        <v>6</v>
      </c>
      <c r="G75" s="391">
        <v>13.01</v>
      </c>
      <c r="H75" s="61">
        <f>Comp!I581</f>
        <v>16.908046852956002</v>
      </c>
      <c r="I75" s="61"/>
      <c r="J75" s="45"/>
      <c r="K75" s="45">
        <f>H75*F75+0.03</f>
        <v>101.478281117736</v>
      </c>
      <c r="M75" s="52"/>
      <c r="N75" s="52"/>
      <c r="O75" s="46"/>
    </row>
    <row r="76" spans="1:15" s="13" customFormat="1" x14ac:dyDescent="0.25">
      <c r="A76" s="116"/>
      <c r="B76" s="115"/>
      <c r="C76" s="389" t="s">
        <v>574</v>
      </c>
      <c r="D76" s="512" t="s">
        <v>575</v>
      </c>
      <c r="E76" s="390" t="s">
        <v>513</v>
      </c>
      <c r="F76" s="391">
        <v>13</v>
      </c>
      <c r="G76" s="391">
        <v>23.34</v>
      </c>
      <c r="H76" s="61">
        <f>Comp!I591</f>
        <v>30.337807714955996</v>
      </c>
      <c r="I76" s="61"/>
      <c r="J76" s="45"/>
      <c r="K76" s="45">
        <f>H76*F76+0.06</f>
        <v>394.45150029442794</v>
      </c>
      <c r="M76" s="52"/>
      <c r="N76" s="52"/>
      <c r="O76" s="46"/>
    </row>
    <row r="77" spans="1:15" s="13" customFormat="1" x14ac:dyDescent="0.25">
      <c r="A77" s="116"/>
      <c r="B77" s="115"/>
      <c r="C77" s="389" t="s">
        <v>576</v>
      </c>
      <c r="D77" s="512" t="s">
        <v>577</v>
      </c>
      <c r="E77" s="390" t="s">
        <v>513</v>
      </c>
      <c r="F77" s="391">
        <v>1</v>
      </c>
      <c r="G77" s="391">
        <v>21.24</v>
      </c>
      <c r="H77" s="61">
        <f>Comp!I602</f>
        <v>27.608433682956004</v>
      </c>
      <c r="I77" s="61"/>
      <c r="J77" s="45"/>
      <c r="K77" s="45">
        <f>H77*F77</f>
        <v>27.608433682956004</v>
      </c>
      <c r="M77" s="52"/>
      <c r="N77" s="52"/>
      <c r="O77" s="46"/>
    </row>
    <row r="78" spans="1:15" s="13" customFormat="1" x14ac:dyDescent="0.25">
      <c r="A78" s="116"/>
      <c r="B78" s="115"/>
      <c r="C78" s="389" t="s">
        <v>578</v>
      </c>
      <c r="D78" s="512" t="s">
        <v>579</v>
      </c>
      <c r="E78" s="390" t="s">
        <v>513</v>
      </c>
      <c r="F78" s="391">
        <v>4</v>
      </c>
      <c r="G78" s="391">
        <v>122</v>
      </c>
      <c r="H78" s="61">
        <f>Comp!I612</f>
        <v>158.602879411956</v>
      </c>
      <c r="I78" s="61"/>
      <c r="J78" s="45"/>
      <c r="K78" s="45">
        <f>H78*F78-0.01</f>
        <v>634.40151764782399</v>
      </c>
      <c r="M78" s="52"/>
      <c r="N78" s="52"/>
      <c r="O78" s="46"/>
    </row>
    <row r="79" spans="1:15" s="13" customFormat="1" x14ac:dyDescent="0.25">
      <c r="A79" s="116"/>
      <c r="B79" s="115"/>
      <c r="C79" s="389" t="s">
        <v>580</v>
      </c>
      <c r="D79" s="512" t="s">
        <v>581</v>
      </c>
      <c r="E79" s="390" t="s">
        <v>513</v>
      </c>
      <c r="F79" s="391">
        <v>73</v>
      </c>
      <c r="G79" s="391">
        <v>8.15</v>
      </c>
      <c r="H79" s="61">
        <f>Comp!I622</f>
        <v>10.604233798955999</v>
      </c>
      <c r="I79" s="61"/>
      <c r="J79" s="45"/>
      <c r="K79" s="45">
        <f>H79*F79-0.67</f>
        <v>773.43906732378798</v>
      </c>
      <c r="M79" s="52"/>
      <c r="N79" s="52"/>
      <c r="O79" s="46"/>
    </row>
    <row r="80" spans="1:15" s="13" customFormat="1" x14ac:dyDescent="0.25">
      <c r="A80" s="116"/>
      <c r="B80" s="115"/>
      <c r="C80" s="389" t="s">
        <v>582</v>
      </c>
      <c r="D80" s="512" t="s">
        <v>584</v>
      </c>
      <c r="E80" s="390" t="s">
        <v>513</v>
      </c>
      <c r="F80" s="391">
        <v>32</v>
      </c>
      <c r="G80" s="391">
        <v>53.24</v>
      </c>
      <c r="H80" s="61">
        <f>Comp!I632</f>
        <v>69.21022529895599</v>
      </c>
      <c r="I80" s="61"/>
      <c r="J80" s="45"/>
      <c r="K80" s="45">
        <f>H80*F80+0.05</f>
        <v>2214.7772095665919</v>
      </c>
      <c r="M80" s="52"/>
      <c r="N80" s="52"/>
      <c r="O80" s="46"/>
    </row>
    <row r="81" spans="1:15" s="13" customFormat="1" x14ac:dyDescent="0.25">
      <c r="A81" s="116"/>
      <c r="B81" s="115"/>
      <c r="C81" s="389" t="s">
        <v>583</v>
      </c>
      <c r="D81" s="512" t="s">
        <v>585</v>
      </c>
      <c r="E81" s="390" t="s">
        <v>513</v>
      </c>
      <c r="F81" s="391">
        <v>10</v>
      </c>
      <c r="G81" s="391">
        <v>53.24</v>
      </c>
      <c r="H81" s="61">
        <f>Comp!I642</f>
        <v>69.21022529895599</v>
      </c>
      <c r="I81" s="61"/>
      <c r="J81" s="45"/>
      <c r="K81" s="45">
        <f t="shared" ref="K81" si="5">H81*F81+0.02</f>
        <v>692.12225298955991</v>
      </c>
      <c r="M81" s="52"/>
      <c r="N81" s="52"/>
      <c r="O81" s="46"/>
    </row>
    <row r="82" spans="1:15" s="13" customFormat="1" x14ac:dyDescent="0.25">
      <c r="A82" s="116"/>
      <c r="B82" s="115"/>
      <c r="C82" s="389" t="s">
        <v>586</v>
      </c>
      <c r="D82" s="512" t="s">
        <v>587</v>
      </c>
      <c r="E82" s="390" t="s">
        <v>513</v>
      </c>
      <c r="F82" s="391">
        <v>1</v>
      </c>
      <c r="G82" s="391">
        <v>834.11</v>
      </c>
      <c r="H82" s="61">
        <f>Comp!I652</f>
        <v>1084.3423494733199</v>
      </c>
      <c r="I82" s="61"/>
      <c r="J82" s="45"/>
      <c r="K82" s="45">
        <f>H82*F82</f>
        <v>1084.3423494733199</v>
      </c>
      <c r="M82" s="52"/>
      <c r="N82" s="52"/>
      <c r="O82" s="46"/>
    </row>
    <row r="83" spans="1:15" s="13" customFormat="1" x14ac:dyDescent="0.25">
      <c r="A83" s="116"/>
      <c r="B83" s="115"/>
      <c r="C83" s="389" t="s">
        <v>588</v>
      </c>
      <c r="D83" s="512" t="s">
        <v>589</v>
      </c>
      <c r="E83" s="390" t="s">
        <v>513</v>
      </c>
      <c r="F83" s="391">
        <v>8</v>
      </c>
      <c r="G83" s="391">
        <v>114.36</v>
      </c>
      <c r="H83" s="61">
        <f>Comp!I662</f>
        <v>148.66609283895599</v>
      </c>
      <c r="I83" s="61"/>
      <c r="J83" s="45"/>
      <c r="K83" s="45">
        <f>H83*F83+0.01</f>
        <v>1189.3387427116479</v>
      </c>
      <c r="M83" s="52"/>
      <c r="N83" s="52"/>
      <c r="O83" s="46"/>
    </row>
    <row r="84" spans="1:15" s="13" customFormat="1" x14ac:dyDescent="0.25">
      <c r="A84" s="116"/>
      <c r="B84" s="115"/>
      <c r="C84" s="389" t="s">
        <v>590</v>
      </c>
      <c r="D84" s="512" t="s">
        <v>591</v>
      </c>
      <c r="E84" s="390" t="s">
        <v>513</v>
      </c>
      <c r="F84" s="391">
        <v>1</v>
      </c>
      <c r="G84" s="391">
        <v>122</v>
      </c>
      <c r="H84" s="61">
        <f>Comp!I672</f>
        <v>158.60408831895597</v>
      </c>
      <c r="I84" s="61"/>
      <c r="J84" s="45"/>
      <c r="K84" s="45">
        <f>H84*F84</f>
        <v>158.60408831895597</v>
      </c>
      <c r="M84" s="52"/>
      <c r="N84" s="52"/>
      <c r="O84" s="46"/>
    </row>
    <row r="85" spans="1:15" s="13" customFormat="1" x14ac:dyDescent="0.25">
      <c r="A85" s="116"/>
      <c r="B85" s="115"/>
      <c r="C85" s="389" t="s">
        <v>592</v>
      </c>
      <c r="D85" s="512" t="s">
        <v>593</v>
      </c>
      <c r="E85" s="390" t="s">
        <v>10</v>
      </c>
      <c r="F85" s="391">
        <v>1500</v>
      </c>
      <c r="G85" s="391">
        <v>11.14</v>
      </c>
      <c r="H85" s="61">
        <f>Comp!I682</f>
        <v>14.484435298955999</v>
      </c>
      <c r="I85" s="61"/>
      <c r="J85" s="45"/>
      <c r="K85" s="45">
        <f>H85*F85-3.65</f>
        <v>21723.002948433998</v>
      </c>
      <c r="M85" s="52"/>
      <c r="N85" s="52"/>
      <c r="O85" s="46"/>
    </row>
    <row r="86" spans="1:15" s="13" customFormat="1" x14ac:dyDescent="0.25">
      <c r="A86" s="116"/>
      <c r="B86" s="115"/>
      <c r="C86" s="389" t="s">
        <v>594</v>
      </c>
      <c r="D86" s="512" t="s">
        <v>595</v>
      </c>
      <c r="E86" s="390" t="s">
        <v>248</v>
      </c>
      <c r="F86" s="391">
        <v>920</v>
      </c>
      <c r="G86" s="391">
        <v>19.920000000000002</v>
      </c>
      <c r="H86" s="61">
        <f>Comp!I692</f>
        <v>25.898012263956005</v>
      </c>
      <c r="I86" s="61"/>
      <c r="J86" s="45"/>
      <c r="K86" s="45">
        <f>H86*F86-1.85</f>
        <v>23824.321282839526</v>
      </c>
      <c r="M86" s="52"/>
      <c r="N86" s="52"/>
      <c r="O86" s="46"/>
    </row>
    <row r="87" spans="1:15" s="13" customFormat="1" x14ac:dyDescent="0.25">
      <c r="A87" s="116"/>
      <c r="B87" s="115"/>
      <c r="C87" s="389" t="s">
        <v>596</v>
      </c>
      <c r="D87" s="512" t="s">
        <v>597</v>
      </c>
      <c r="E87" s="390" t="s">
        <v>10</v>
      </c>
      <c r="F87" s="391">
        <v>50</v>
      </c>
      <c r="G87" s="391">
        <v>36.92</v>
      </c>
      <c r="H87" s="61">
        <f>Comp!I702</f>
        <v>47.998347855360002</v>
      </c>
      <c r="I87" s="61"/>
      <c r="J87" s="45"/>
      <c r="K87" s="45">
        <f>H87*F87-0.12</f>
        <v>2399.797392768</v>
      </c>
      <c r="M87" s="52"/>
      <c r="N87" s="52"/>
      <c r="O87" s="46"/>
    </row>
    <row r="88" spans="1:15" s="13" customFormat="1" ht="24" x14ac:dyDescent="0.25">
      <c r="A88" s="116"/>
      <c r="B88" s="115"/>
      <c r="C88" s="389" t="s">
        <v>598</v>
      </c>
      <c r="D88" s="512" t="s">
        <v>599</v>
      </c>
      <c r="E88" s="390" t="s">
        <v>10</v>
      </c>
      <c r="F88" s="391">
        <v>1450</v>
      </c>
      <c r="G88" s="391">
        <v>9.91</v>
      </c>
      <c r="H88" s="61">
        <f>Comp!I712</f>
        <v>12.884258398956</v>
      </c>
      <c r="I88" s="61"/>
      <c r="J88" s="45"/>
      <c r="K88" s="45">
        <f>H88*F88-1.82</f>
        <v>18680.354678486201</v>
      </c>
      <c r="M88" s="52"/>
      <c r="N88" s="52"/>
      <c r="O88" s="46"/>
    </row>
    <row r="89" spans="1:15" s="13" customFormat="1" x14ac:dyDescent="0.25">
      <c r="A89" s="116"/>
      <c r="B89" s="115"/>
      <c r="C89" s="389" t="s">
        <v>600</v>
      </c>
      <c r="D89" s="512" t="s">
        <v>601</v>
      </c>
      <c r="E89" s="390" t="s">
        <v>10</v>
      </c>
      <c r="F89" s="391">
        <v>110</v>
      </c>
      <c r="G89" s="391">
        <v>48.38</v>
      </c>
      <c r="H89" s="61">
        <f>Comp!I722</f>
        <v>62.886468087239997</v>
      </c>
      <c r="I89" s="61"/>
      <c r="J89" s="45"/>
      <c r="K89" s="45">
        <f>H89*F89+0.83</f>
        <v>6918.3414895963997</v>
      </c>
      <c r="M89" s="52"/>
      <c r="N89" s="52"/>
      <c r="O89" s="46"/>
    </row>
    <row r="90" spans="1:15" s="13" customFormat="1" ht="24" x14ac:dyDescent="0.25">
      <c r="A90" s="116"/>
      <c r="B90" s="115"/>
      <c r="C90" s="389" t="s">
        <v>602</v>
      </c>
      <c r="D90" s="512" t="s">
        <v>603</v>
      </c>
      <c r="E90" s="390" t="s">
        <v>10</v>
      </c>
      <c r="F90" s="391">
        <v>7</v>
      </c>
      <c r="G90" s="391">
        <v>56.8</v>
      </c>
      <c r="H90" s="61">
        <f>Comp!I732</f>
        <v>73.843195197240007</v>
      </c>
      <c r="I90" s="61"/>
      <c r="J90" s="45"/>
      <c r="K90" s="45">
        <f>H90*F90-0.02</f>
        <v>516.88236638068008</v>
      </c>
      <c r="M90" s="52"/>
      <c r="N90" s="52"/>
      <c r="O90" s="46"/>
    </row>
    <row r="91" spans="1:15" s="13" customFormat="1" x14ac:dyDescent="0.25">
      <c r="A91" s="116"/>
      <c r="B91" s="115"/>
      <c r="C91" s="389" t="s">
        <v>604</v>
      </c>
      <c r="D91" s="512" t="s">
        <v>605</v>
      </c>
      <c r="E91" s="390" t="s">
        <v>513</v>
      </c>
      <c r="F91" s="391">
        <v>42</v>
      </c>
      <c r="G91" s="391">
        <v>20.81</v>
      </c>
      <c r="H91" s="61">
        <f>Comp!I742</f>
        <v>27.046928878955999</v>
      </c>
      <c r="I91" s="61"/>
      <c r="J91" s="45"/>
      <c r="K91" s="45">
        <f>H91*F91+0.26</f>
        <v>1136.2310129161519</v>
      </c>
      <c r="M91" s="52"/>
      <c r="N91" s="52"/>
      <c r="O91" s="46"/>
    </row>
    <row r="92" spans="1:15" s="13" customFormat="1" x14ac:dyDescent="0.25">
      <c r="A92" s="116"/>
      <c r="B92" s="115"/>
      <c r="C92" s="389" t="s">
        <v>606</v>
      </c>
      <c r="D92" s="512" t="s">
        <v>607</v>
      </c>
      <c r="E92" s="390" t="s">
        <v>10</v>
      </c>
      <c r="F92" s="391">
        <v>280</v>
      </c>
      <c r="G92" s="391">
        <v>9.44</v>
      </c>
      <c r="H92" s="61">
        <f>Comp!I752</f>
        <v>12.268105798955999</v>
      </c>
      <c r="I92" s="61"/>
      <c r="J92" s="45"/>
      <c r="K92" s="45">
        <f>H92*F92+1.09</f>
        <v>3436.1596237076797</v>
      </c>
      <c r="M92" s="52"/>
      <c r="N92" s="52"/>
      <c r="O92" s="46"/>
    </row>
    <row r="93" spans="1:15" s="13" customFormat="1" x14ac:dyDescent="0.25">
      <c r="A93" s="116"/>
      <c r="B93" s="115"/>
      <c r="C93" s="389" t="s">
        <v>608</v>
      </c>
      <c r="D93" s="512" t="s">
        <v>609</v>
      </c>
      <c r="E93" s="390" t="s">
        <v>10</v>
      </c>
      <c r="F93" s="391">
        <v>370</v>
      </c>
      <c r="G93" s="391">
        <v>5.12</v>
      </c>
      <c r="H93" s="61">
        <f>Comp!I762</f>
        <v>6.6590372989560009</v>
      </c>
      <c r="I93" s="61"/>
      <c r="J93" s="45"/>
      <c r="K93" s="45">
        <f>H93*F93-1.12</f>
        <v>2462.7238006137204</v>
      </c>
      <c r="M93" s="52"/>
      <c r="N93" s="52"/>
      <c r="O93" s="46"/>
    </row>
    <row r="94" spans="1:15" s="13" customFormat="1" x14ac:dyDescent="0.25">
      <c r="A94" s="116"/>
      <c r="B94" s="115"/>
      <c r="C94" s="389" t="s">
        <v>610</v>
      </c>
      <c r="D94" s="512" t="s">
        <v>611</v>
      </c>
      <c r="E94" s="390" t="s">
        <v>513</v>
      </c>
      <c r="F94" s="391">
        <v>18</v>
      </c>
      <c r="G94" s="391">
        <v>41.76</v>
      </c>
      <c r="H94" s="61">
        <f>Comp!I772</f>
        <v>54.29363928491999</v>
      </c>
      <c r="I94" s="61"/>
      <c r="J94" s="45"/>
      <c r="K94" s="45">
        <f>H94*F94-0.11</f>
        <v>977.17550712855984</v>
      </c>
      <c r="M94" s="52"/>
      <c r="N94" s="52"/>
      <c r="O94" s="46"/>
    </row>
    <row r="95" spans="1:15" s="13" customFormat="1" x14ac:dyDescent="0.25">
      <c r="A95" s="116"/>
      <c r="B95" s="115"/>
      <c r="C95" s="389" t="s">
        <v>612</v>
      </c>
      <c r="D95" s="512" t="s">
        <v>613</v>
      </c>
      <c r="E95" s="390" t="s">
        <v>513</v>
      </c>
      <c r="F95" s="391">
        <v>11</v>
      </c>
      <c r="G95" s="391">
        <v>52.32</v>
      </c>
      <c r="H95" s="61">
        <f>Comp!I782</f>
        <v>68.016683584920003</v>
      </c>
      <c r="I95" s="61"/>
      <c r="J95" s="45"/>
      <c r="K95" s="45">
        <f>H95*F95</f>
        <v>748.18351943412006</v>
      </c>
      <c r="M95" s="52"/>
      <c r="N95" s="52"/>
      <c r="O95" s="46"/>
    </row>
    <row r="96" spans="1:15" s="13" customFormat="1" x14ac:dyDescent="0.25">
      <c r="A96" s="116"/>
      <c r="B96" s="115"/>
      <c r="C96" s="389" t="s">
        <v>614</v>
      </c>
      <c r="D96" s="512" t="s">
        <v>615</v>
      </c>
      <c r="E96" s="390" t="s">
        <v>513</v>
      </c>
      <c r="F96" s="391">
        <v>7</v>
      </c>
      <c r="G96" s="391">
        <v>9.51</v>
      </c>
      <c r="H96" s="61">
        <f>Comp!I793</f>
        <v>12.355199098956</v>
      </c>
      <c r="I96" s="61"/>
      <c r="J96" s="45"/>
      <c r="K96" s="45">
        <f>H96*F96+0.05</f>
        <v>86.536393692691988</v>
      </c>
      <c r="M96" s="52"/>
      <c r="N96" s="52"/>
      <c r="O96" s="46"/>
    </row>
    <row r="97" spans="1:15" s="13" customFormat="1" x14ac:dyDescent="0.25">
      <c r="A97" s="116"/>
      <c r="B97" s="115"/>
      <c r="C97" s="389" t="s">
        <v>616</v>
      </c>
      <c r="D97" s="512" t="s">
        <v>617</v>
      </c>
      <c r="E97" s="390" t="s">
        <v>513</v>
      </c>
      <c r="F97" s="391">
        <v>41</v>
      </c>
      <c r="G97" s="391">
        <v>8.11</v>
      </c>
      <c r="H97" s="61">
        <f>Comp!I803</f>
        <v>10.541838598956</v>
      </c>
      <c r="I97" s="61"/>
      <c r="J97" s="45"/>
      <c r="K97" s="45">
        <f>H97*F97+0.04</f>
        <v>432.25538255719601</v>
      </c>
      <c r="M97" s="52"/>
      <c r="N97" s="52"/>
      <c r="O97" s="46"/>
    </row>
    <row r="98" spans="1:15" s="13" customFormat="1" x14ac:dyDescent="0.25">
      <c r="A98" s="116"/>
      <c r="B98" s="115"/>
      <c r="C98" s="389" t="s">
        <v>618</v>
      </c>
      <c r="D98" s="512" t="s">
        <v>619</v>
      </c>
      <c r="E98" s="390" t="s">
        <v>513</v>
      </c>
      <c r="F98" s="391">
        <v>24</v>
      </c>
      <c r="G98" s="391">
        <v>15.14</v>
      </c>
      <c r="H98" s="61">
        <f>Comp!I813</f>
        <v>19.676235898955998</v>
      </c>
      <c r="I98" s="61"/>
      <c r="J98" s="45"/>
      <c r="K98" s="45">
        <f>H98*F98+0.14</f>
        <v>472.36966157494396</v>
      </c>
      <c r="M98" s="52"/>
      <c r="N98" s="52"/>
      <c r="O98" s="46"/>
    </row>
    <row r="99" spans="1:15" s="13" customFormat="1" x14ac:dyDescent="0.25">
      <c r="A99" s="116"/>
      <c r="B99" s="115"/>
      <c r="C99" s="389" t="s">
        <v>620</v>
      </c>
      <c r="D99" s="512" t="s">
        <v>621</v>
      </c>
      <c r="E99" s="390" t="s">
        <v>513</v>
      </c>
      <c r="F99" s="391">
        <v>1</v>
      </c>
      <c r="G99" s="391">
        <v>23.62</v>
      </c>
      <c r="H99" s="61">
        <f>Comp!I823</f>
        <v>30.711346978955998</v>
      </c>
      <c r="I99" s="61"/>
      <c r="J99" s="45"/>
      <c r="K99" s="45">
        <f>H99*F99</f>
        <v>30.711346978955998</v>
      </c>
      <c r="M99" s="52"/>
      <c r="N99" s="52"/>
      <c r="O99" s="46"/>
    </row>
    <row r="100" spans="1:15" s="13" customFormat="1" x14ac:dyDescent="0.25">
      <c r="A100" s="116"/>
      <c r="B100" s="115"/>
      <c r="C100" s="389" t="s">
        <v>623</v>
      </c>
      <c r="D100" s="512" t="s">
        <v>624</v>
      </c>
      <c r="E100" s="390" t="s">
        <v>513</v>
      </c>
      <c r="F100" s="391">
        <v>2</v>
      </c>
      <c r="G100" s="391">
        <v>17.579999999999998</v>
      </c>
      <c r="H100" s="61">
        <f>Comp!I833</f>
        <v>22.850322619656001</v>
      </c>
      <c r="I100" s="61"/>
      <c r="J100" s="45"/>
      <c r="K100" s="45">
        <f>H100*F100+0.01</f>
        <v>45.710645239312001</v>
      </c>
      <c r="M100" s="52"/>
      <c r="N100" s="52"/>
      <c r="O100" s="46"/>
    </row>
    <row r="101" spans="1:15" s="13" customFormat="1" x14ac:dyDescent="0.25">
      <c r="A101" s="116"/>
      <c r="B101" s="115"/>
      <c r="C101" s="389" t="s">
        <v>625</v>
      </c>
      <c r="D101" s="512" t="s">
        <v>626</v>
      </c>
      <c r="E101" s="390" t="s">
        <v>513</v>
      </c>
      <c r="F101" s="391">
        <v>66</v>
      </c>
      <c r="G101" s="391">
        <v>12.46</v>
      </c>
      <c r="H101" s="61">
        <f>Comp!I843</f>
        <v>16.195363678955999</v>
      </c>
      <c r="I101" s="61"/>
      <c r="J101" s="45"/>
      <c r="K101" s="45">
        <f>H101*F101+0.18</f>
        <v>1069.0740028110961</v>
      </c>
      <c r="M101" s="52"/>
      <c r="N101" s="52"/>
      <c r="O101" s="46"/>
    </row>
    <row r="102" spans="1:15" s="13" customFormat="1" x14ac:dyDescent="0.25">
      <c r="A102" s="116"/>
      <c r="B102" s="115"/>
      <c r="C102" s="389" t="s">
        <v>627</v>
      </c>
      <c r="D102" s="512" t="s">
        <v>628</v>
      </c>
      <c r="E102" s="390" t="s">
        <v>513</v>
      </c>
      <c r="F102" s="391">
        <v>21</v>
      </c>
      <c r="G102" s="391">
        <v>559.16</v>
      </c>
      <c r="H102" s="61">
        <f>Comp!I853</f>
        <v>726.91412879895597</v>
      </c>
      <c r="I102" s="61"/>
      <c r="J102" s="45"/>
      <c r="K102" s="45">
        <f>H102*F102-0.13</f>
        <v>15265.066704778075</v>
      </c>
      <c r="M102" s="52"/>
      <c r="N102" s="52"/>
      <c r="O102" s="46"/>
    </row>
    <row r="103" spans="1:15" s="13" customFormat="1" x14ac:dyDescent="0.25">
      <c r="A103" s="116"/>
      <c r="B103" s="115"/>
      <c r="C103" s="389" t="s">
        <v>629</v>
      </c>
      <c r="D103" s="512" t="s">
        <v>630</v>
      </c>
      <c r="E103" s="390" t="s">
        <v>513</v>
      </c>
      <c r="F103" s="391">
        <v>3</v>
      </c>
      <c r="G103" s="391">
        <v>111.48</v>
      </c>
      <c r="H103" s="61">
        <f>Comp!I863</f>
        <v>144.92319977595599</v>
      </c>
      <c r="I103" s="61"/>
      <c r="J103" s="45"/>
      <c r="K103" s="45">
        <f>H103*F103</f>
        <v>434.76959932786798</v>
      </c>
      <c r="M103" s="52"/>
      <c r="N103" s="52"/>
      <c r="O103" s="46"/>
    </row>
    <row r="104" spans="1:15" s="13" customFormat="1" ht="24" x14ac:dyDescent="0.25">
      <c r="A104" s="116"/>
      <c r="B104" s="115"/>
      <c r="C104" s="389" t="s">
        <v>631</v>
      </c>
      <c r="D104" s="512" t="s">
        <v>632</v>
      </c>
      <c r="E104" s="390" t="s">
        <v>513</v>
      </c>
      <c r="F104" s="391">
        <v>149</v>
      </c>
      <c r="G104" s="391">
        <v>91.5</v>
      </c>
      <c r="H104" s="61">
        <f>Comp!I873</f>
        <v>118.95076880895598</v>
      </c>
      <c r="I104" s="61"/>
      <c r="J104" s="45"/>
      <c r="K104" s="45">
        <f>H104*F104-0.11</f>
        <v>17723.554552534442</v>
      </c>
      <c r="M104" s="52"/>
      <c r="N104" s="52"/>
      <c r="O104" s="46"/>
    </row>
    <row r="105" spans="1:15" s="13" customFormat="1" x14ac:dyDescent="0.25">
      <c r="A105" s="116"/>
      <c r="B105" s="115"/>
      <c r="C105" s="389" t="s">
        <v>633</v>
      </c>
      <c r="D105" s="512" t="s">
        <v>634</v>
      </c>
      <c r="E105" s="390" t="s">
        <v>513</v>
      </c>
      <c r="F105" s="391">
        <v>12</v>
      </c>
      <c r="G105" s="391">
        <v>39.61</v>
      </c>
      <c r="H105" s="61">
        <f>Comp!I883</f>
        <v>51.492588298955994</v>
      </c>
      <c r="I105" s="61"/>
      <c r="J105" s="45"/>
      <c r="K105" s="45">
        <f>H105*F105+0.01</f>
        <v>617.92105958747197</v>
      </c>
      <c r="M105" s="52"/>
      <c r="N105" s="52"/>
      <c r="O105" s="46"/>
    </row>
    <row r="106" spans="1:15" s="13" customFormat="1" x14ac:dyDescent="0.25">
      <c r="A106" s="116"/>
      <c r="B106" s="115"/>
      <c r="C106" s="389" t="s">
        <v>635</v>
      </c>
      <c r="D106" s="512" t="s">
        <v>636</v>
      </c>
      <c r="E106" s="390" t="s">
        <v>513</v>
      </c>
      <c r="F106" s="391">
        <v>97</v>
      </c>
      <c r="G106" s="391">
        <v>12.06</v>
      </c>
      <c r="H106" s="61">
        <f>Comp!I893</f>
        <v>15.67732149942</v>
      </c>
      <c r="I106" s="61"/>
      <c r="J106" s="45"/>
      <c r="K106" s="45">
        <f>H106*F106+0.07</f>
        <v>1520.7701854437398</v>
      </c>
      <c r="M106" s="52"/>
      <c r="N106" s="52"/>
      <c r="O106" s="46"/>
    </row>
    <row r="107" spans="1:15" s="13" customFormat="1" x14ac:dyDescent="0.25">
      <c r="A107" s="116"/>
      <c r="B107" s="115"/>
      <c r="C107" s="389" t="s">
        <v>637</v>
      </c>
      <c r="D107" s="512" t="s">
        <v>638</v>
      </c>
      <c r="E107" s="390" t="s">
        <v>513</v>
      </c>
      <c r="F107" s="391">
        <v>10</v>
      </c>
      <c r="G107" s="391">
        <v>435.68</v>
      </c>
      <c r="H107" s="61">
        <f>Comp!I903</f>
        <v>566.37722670942003</v>
      </c>
      <c r="I107" s="61"/>
      <c r="J107" s="45"/>
      <c r="K107" s="45">
        <f>H107*F107+0.07</f>
        <v>5663.8422670942</v>
      </c>
      <c r="M107" s="52"/>
      <c r="N107" s="52"/>
      <c r="O107" s="46"/>
    </row>
    <row r="108" spans="1:15" s="13" customFormat="1" x14ac:dyDescent="0.25">
      <c r="A108" s="116"/>
      <c r="B108" s="115"/>
      <c r="C108" s="389" t="s">
        <v>639</v>
      </c>
      <c r="D108" s="512" t="s">
        <v>642</v>
      </c>
      <c r="E108" s="390" t="s">
        <v>513</v>
      </c>
      <c r="F108" s="391">
        <v>1</v>
      </c>
      <c r="G108" s="391">
        <v>13.16</v>
      </c>
      <c r="H108" s="61">
        <f>Comp!M913</f>
        <v>17.11</v>
      </c>
      <c r="I108" s="61"/>
      <c r="J108" s="45"/>
      <c r="K108" s="45">
        <f>H108*F108</f>
        <v>17.11</v>
      </c>
      <c r="M108" s="52"/>
      <c r="N108" s="52"/>
      <c r="O108" s="46"/>
    </row>
    <row r="109" spans="1:15" s="13" customFormat="1" x14ac:dyDescent="0.25">
      <c r="A109" s="116"/>
      <c r="B109" s="115"/>
      <c r="C109" s="389" t="s">
        <v>640</v>
      </c>
      <c r="D109" s="512" t="s">
        <v>643</v>
      </c>
      <c r="E109" s="390" t="s">
        <v>513</v>
      </c>
      <c r="F109" s="391">
        <v>6</v>
      </c>
      <c r="G109" s="391">
        <v>9.11</v>
      </c>
      <c r="H109" s="61">
        <f>Comp!I923</f>
        <v>11.83611699942</v>
      </c>
      <c r="I109" s="61"/>
      <c r="J109" s="45"/>
      <c r="K109" s="45">
        <f>H109*F109+0.04</f>
        <v>71.056701996520005</v>
      </c>
      <c r="M109" s="52"/>
      <c r="N109" s="52"/>
      <c r="O109" s="46"/>
    </row>
    <row r="110" spans="1:15" s="13" customFormat="1" x14ac:dyDescent="0.25">
      <c r="A110" s="116"/>
      <c r="B110" s="115"/>
      <c r="C110" s="389" t="s">
        <v>641</v>
      </c>
      <c r="D110" s="512" t="s">
        <v>644</v>
      </c>
      <c r="E110" s="390" t="s">
        <v>513</v>
      </c>
      <c r="F110" s="391">
        <v>1</v>
      </c>
      <c r="G110" s="391">
        <v>12.64</v>
      </c>
      <c r="H110" s="61">
        <f>Comp!I933</f>
        <v>16.432563399419998</v>
      </c>
      <c r="I110" s="61"/>
      <c r="J110" s="45"/>
      <c r="K110" s="45">
        <f>H110*F110</f>
        <v>16.432563399419998</v>
      </c>
      <c r="M110" s="52"/>
      <c r="N110" s="52"/>
      <c r="O110" s="46"/>
    </row>
    <row r="111" spans="1:15" s="13" customFormat="1" x14ac:dyDescent="0.25">
      <c r="A111" s="116"/>
      <c r="B111" s="115"/>
      <c r="C111" s="389" t="s">
        <v>645</v>
      </c>
      <c r="D111" s="512" t="s">
        <v>646</v>
      </c>
      <c r="E111" s="390" t="s">
        <v>513</v>
      </c>
      <c r="F111" s="391">
        <v>8</v>
      </c>
      <c r="G111" s="391">
        <v>1356.23</v>
      </c>
      <c r="H111" s="61">
        <f>Comp!I943</f>
        <v>1763.0971442494199</v>
      </c>
      <c r="I111" s="61"/>
      <c r="J111" s="45"/>
      <c r="K111" s="45">
        <f>H111*F111+0.01</f>
        <v>14104.787153995359</v>
      </c>
      <c r="M111" s="52"/>
      <c r="N111" s="52"/>
      <c r="O111" s="46"/>
    </row>
    <row r="112" spans="1:15" s="13" customFormat="1" ht="24" x14ac:dyDescent="0.25">
      <c r="A112" s="116"/>
      <c r="B112" s="115"/>
      <c r="C112" s="389" t="s">
        <v>648</v>
      </c>
      <c r="D112" s="512" t="s">
        <v>647</v>
      </c>
      <c r="E112" s="390" t="s">
        <v>513</v>
      </c>
      <c r="F112" s="391">
        <v>25</v>
      </c>
      <c r="G112" s="391">
        <v>228</v>
      </c>
      <c r="H112" s="61">
        <f>Comp!I953</f>
        <v>296.39847390342004</v>
      </c>
      <c r="I112" s="61"/>
      <c r="J112" s="45"/>
      <c r="K112" s="45">
        <f>H112*F112+0.04</f>
        <v>7410.0018475855013</v>
      </c>
      <c r="M112" s="52"/>
      <c r="N112" s="52"/>
      <c r="O112" s="46"/>
    </row>
    <row r="113" spans="1:15" s="13" customFormat="1" ht="24" x14ac:dyDescent="0.25">
      <c r="A113" s="116"/>
      <c r="B113" s="115"/>
      <c r="C113" s="389" t="s">
        <v>649</v>
      </c>
      <c r="D113" s="512" t="s">
        <v>650</v>
      </c>
      <c r="E113" s="390" t="s">
        <v>513</v>
      </c>
      <c r="F113" s="391">
        <v>3</v>
      </c>
      <c r="G113" s="391">
        <v>189.01</v>
      </c>
      <c r="H113" s="61">
        <f>Comp!I963</f>
        <v>245.70715753542004</v>
      </c>
      <c r="I113" s="61"/>
      <c r="J113" s="45"/>
      <c r="K113" s="45">
        <f>H113*F113+0.02</f>
        <v>737.14147260626009</v>
      </c>
      <c r="M113" s="52"/>
      <c r="N113" s="52"/>
      <c r="O113" s="46"/>
    </row>
    <row r="114" spans="1:15" s="13" customFormat="1" ht="24" x14ac:dyDescent="0.25">
      <c r="A114" s="116"/>
      <c r="B114" s="115"/>
      <c r="C114" s="389" t="s">
        <v>651</v>
      </c>
      <c r="D114" s="512" t="s">
        <v>652</v>
      </c>
      <c r="E114" s="390" t="s">
        <v>513</v>
      </c>
      <c r="F114" s="391">
        <v>14</v>
      </c>
      <c r="G114" s="391">
        <v>242.55</v>
      </c>
      <c r="H114" s="61">
        <f>Comp!I973</f>
        <v>315.31922034941999</v>
      </c>
      <c r="I114" s="61"/>
      <c r="J114" s="45"/>
      <c r="K114" s="45">
        <f>H114*F114-0.06</f>
        <v>4414.4090848918795</v>
      </c>
      <c r="M114" s="52"/>
      <c r="N114" s="52"/>
      <c r="O114" s="46"/>
    </row>
    <row r="115" spans="1:15" s="13" customFormat="1" x14ac:dyDescent="0.25">
      <c r="A115" s="116"/>
      <c r="B115" s="115"/>
      <c r="C115" s="389" t="s">
        <v>653</v>
      </c>
      <c r="D115" s="512" t="s">
        <v>654</v>
      </c>
      <c r="E115" s="390" t="s">
        <v>513</v>
      </c>
      <c r="F115" s="391">
        <v>4</v>
      </c>
      <c r="G115" s="391">
        <v>228.32</v>
      </c>
      <c r="H115" s="61">
        <f>Comp!I983</f>
        <v>296.82294324942001</v>
      </c>
      <c r="I115" s="61"/>
      <c r="J115" s="45"/>
      <c r="K115" s="45">
        <f>H115*F115-0.03</f>
        <v>1187.2617729976801</v>
      </c>
      <c r="M115" s="52"/>
      <c r="N115" s="52"/>
      <c r="O115" s="46"/>
    </row>
    <row r="116" spans="1:15" s="13" customFormat="1" x14ac:dyDescent="0.25">
      <c r="A116" s="116"/>
      <c r="B116" s="115"/>
      <c r="C116" s="389" t="s">
        <v>655</v>
      </c>
      <c r="D116" s="512" t="s">
        <v>656</v>
      </c>
      <c r="E116" s="390" t="s">
        <v>513</v>
      </c>
      <c r="F116" s="391">
        <v>1</v>
      </c>
      <c r="G116" s="391">
        <v>286.20999999999998</v>
      </c>
      <c r="H116" s="61">
        <f>Comp!I993</f>
        <v>372.06570489941998</v>
      </c>
      <c r="I116" s="61"/>
      <c r="J116" s="45"/>
      <c r="K116" s="45">
        <f>H116*F116</f>
        <v>372.06570489941998</v>
      </c>
      <c r="M116" s="52"/>
      <c r="N116" s="52"/>
      <c r="O116" s="46"/>
    </row>
    <row r="117" spans="1:15" s="13" customFormat="1" x14ac:dyDescent="0.25">
      <c r="A117" s="116"/>
      <c r="B117" s="115"/>
      <c r="C117" s="389" t="s">
        <v>657</v>
      </c>
      <c r="D117" s="512" t="s">
        <v>658</v>
      </c>
      <c r="E117" s="390" t="s">
        <v>513</v>
      </c>
      <c r="F117" s="391">
        <v>5</v>
      </c>
      <c r="G117" s="391">
        <v>391.59</v>
      </c>
      <c r="H117" s="61">
        <f>Comp!I1003</f>
        <v>509.06727450641995</v>
      </c>
      <c r="I117" s="61"/>
      <c r="J117" s="45"/>
      <c r="K117" s="45">
        <f>H117*F117</f>
        <v>2545.3363725320996</v>
      </c>
      <c r="M117" s="52"/>
      <c r="N117" s="52"/>
      <c r="O117" s="46"/>
    </row>
    <row r="118" spans="1:15" s="13" customFormat="1" x14ac:dyDescent="0.25">
      <c r="A118" s="116"/>
      <c r="B118" s="115"/>
      <c r="C118" s="389" t="s">
        <v>659</v>
      </c>
      <c r="D118" s="512" t="s">
        <v>660</v>
      </c>
      <c r="E118" s="390" t="s">
        <v>513</v>
      </c>
      <c r="F118" s="391">
        <v>1</v>
      </c>
      <c r="G118" s="391">
        <v>534.78</v>
      </c>
      <c r="H118" s="61">
        <f>Comp!I1013</f>
        <v>695.20982408723989</v>
      </c>
      <c r="I118" s="61"/>
      <c r="J118" s="45"/>
      <c r="K118" s="45">
        <f>H118*F118</f>
        <v>695.20982408723989</v>
      </c>
      <c r="M118" s="52"/>
      <c r="N118" s="52"/>
      <c r="O118" s="46"/>
    </row>
    <row r="119" spans="1:15" s="13" customFormat="1" x14ac:dyDescent="0.25">
      <c r="A119" s="116"/>
      <c r="B119" s="115"/>
      <c r="C119" s="389" t="s">
        <v>661</v>
      </c>
      <c r="D119" s="512" t="s">
        <v>662</v>
      </c>
      <c r="E119" s="390" t="s">
        <v>513</v>
      </c>
      <c r="F119" s="391">
        <v>1</v>
      </c>
      <c r="G119" s="391">
        <v>576.79999999999995</v>
      </c>
      <c r="H119" s="61">
        <f>Comp!I1023</f>
        <v>749.83722673607986</v>
      </c>
      <c r="I119" s="61"/>
      <c r="J119" s="45"/>
      <c r="K119" s="45">
        <f>H119*F119</f>
        <v>749.83722673607986</v>
      </c>
      <c r="M119" s="52"/>
      <c r="N119" s="52"/>
      <c r="O119" s="46"/>
    </row>
    <row r="120" spans="1:15" s="13" customFormat="1" x14ac:dyDescent="0.25">
      <c r="A120" s="116"/>
      <c r="B120" s="115"/>
      <c r="C120" s="389" t="s">
        <v>663</v>
      </c>
      <c r="D120" s="512" t="s">
        <v>664</v>
      </c>
      <c r="E120" s="390" t="s">
        <v>513</v>
      </c>
      <c r="F120" s="391">
        <v>4</v>
      </c>
      <c r="G120" s="391">
        <v>2014.24</v>
      </c>
      <c r="H120" s="61">
        <f>Comp!I1033</f>
        <v>2618.5054169710802</v>
      </c>
      <c r="I120" s="61"/>
      <c r="J120" s="45"/>
      <c r="K120" s="45">
        <f>H120*F120+0.03</f>
        <v>10474.051667884321</v>
      </c>
      <c r="M120" s="52"/>
      <c r="N120" s="52"/>
      <c r="O120" s="46"/>
    </row>
    <row r="121" spans="1:15" s="13" customFormat="1" x14ac:dyDescent="0.25">
      <c r="A121" s="116"/>
      <c r="B121" s="115"/>
      <c r="C121" s="389" t="s">
        <v>665</v>
      </c>
      <c r="D121" s="512" t="s">
        <v>666</v>
      </c>
      <c r="E121" s="390" t="s">
        <v>513</v>
      </c>
      <c r="F121" s="391">
        <v>5</v>
      </c>
      <c r="G121" s="391">
        <v>54.92</v>
      </c>
      <c r="H121" s="61">
        <f>Comp!I1043</f>
        <v>71.400556798955989</v>
      </c>
      <c r="I121" s="61"/>
      <c r="J121" s="45"/>
      <c r="K121" s="45">
        <f>H121*F121-0.02</f>
        <v>356.98278399477999</v>
      </c>
      <c r="M121" s="52"/>
      <c r="N121" s="52"/>
      <c r="O121" s="46"/>
    </row>
    <row r="122" spans="1:15" s="13" customFormat="1" x14ac:dyDescent="0.25">
      <c r="A122" s="116"/>
      <c r="B122" s="115"/>
      <c r="C122" s="389" t="s">
        <v>667</v>
      </c>
      <c r="D122" s="512" t="s">
        <v>668</v>
      </c>
      <c r="E122" s="390" t="s">
        <v>513</v>
      </c>
      <c r="F122" s="391">
        <v>4</v>
      </c>
      <c r="G122" s="391">
        <v>36.79</v>
      </c>
      <c r="H122" s="61">
        <f>Comp!I1053</f>
        <v>47.833369798955992</v>
      </c>
      <c r="I122" s="61"/>
      <c r="J122" s="45"/>
      <c r="K122" s="45">
        <f>H122*F122-0.02</f>
        <v>191.31347919582396</v>
      </c>
      <c r="M122" s="52"/>
      <c r="N122" s="52"/>
      <c r="O122" s="46"/>
    </row>
    <row r="123" spans="1:15" s="13" customFormat="1" x14ac:dyDescent="0.25">
      <c r="A123" s="116"/>
      <c r="B123" s="115"/>
      <c r="C123" s="389" t="s">
        <v>669</v>
      </c>
      <c r="D123" s="512" t="s">
        <v>670</v>
      </c>
      <c r="E123" s="390" t="s">
        <v>513</v>
      </c>
      <c r="F123" s="391">
        <v>6</v>
      </c>
      <c r="G123" s="391">
        <v>541.44000000000005</v>
      </c>
      <c r="H123" s="61">
        <f>Comp!I1063</f>
        <v>703.86560189895602</v>
      </c>
      <c r="I123" s="61"/>
      <c r="J123" s="45"/>
      <c r="K123" s="45">
        <f>H123*F123+0.04</f>
        <v>4223.2336113937363</v>
      </c>
      <c r="M123" s="52"/>
      <c r="N123" s="52"/>
      <c r="O123" s="46"/>
    </row>
    <row r="124" spans="1:15" s="13" customFormat="1" x14ac:dyDescent="0.25">
      <c r="A124" s="116"/>
      <c r="B124" s="115"/>
      <c r="C124" s="389" t="s">
        <v>671</v>
      </c>
      <c r="D124" s="512" t="s">
        <v>672</v>
      </c>
      <c r="E124" s="390" t="s">
        <v>513</v>
      </c>
      <c r="F124" s="391">
        <v>21</v>
      </c>
      <c r="G124" s="391">
        <v>3</v>
      </c>
      <c r="H124" s="61">
        <f>Comp!I1073</f>
        <v>3.8967497989559998</v>
      </c>
      <c r="I124" s="61"/>
      <c r="J124" s="45"/>
      <c r="K124" s="45">
        <f>H124*F124+0.07</f>
        <v>81.901745778075991</v>
      </c>
      <c r="M124" s="52"/>
      <c r="N124" s="52"/>
      <c r="O124" s="46"/>
    </row>
    <row r="125" spans="1:15" s="13" customFormat="1" x14ac:dyDescent="0.25">
      <c r="A125" s="116"/>
      <c r="B125" s="115"/>
      <c r="C125" s="389" t="s">
        <v>673</v>
      </c>
      <c r="D125" s="512" t="s">
        <v>674</v>
      </c>
      <c r="E125" s="390" t="s">
        <v>513</v>
      </c>
      <c r="F125" s="391">
        <v>2</v>
      </c>
      <c r="G125" s="391">
        <v>4.2300000000000004</v>
      </c>
      <c r="H125" s="61">
        <f>Comp!I1083</f>
        <v>5.5514169990719999</v>
      </c>
      <c r="I125" s="61"/>
      <c r="J125" s="45"/>
      <c r="K125" s="45">
        <f>H125*F125-0.1</f>
        <v>11.002833998144</v>
      </c>
      <c r="M125" s="52"/>
      <c r="N125" s="52"/>
      <c r="O125" s="46"/>
    </row>
    <row r="126" spans="1:15" s="13" customFormat="1" x14ac:dyDescent="0.25">
      <c r="A126" s="116"/>
      <c r="B126" s="115"/>
      <c r="C126" s="389" t="s">
        <v>675</v>
      </c>
      <c r="D126" s="512" t="s">
        <v>676</v>
      </c>
      <c r="E126" s="390" t="s">
        <v>9</v>
      </c>
      <c r="F126" s="391">
        <v>10</v>
      </c>
      <c r="G126" s="391">
        <v>52.67</v>
      </c>
      <c r="H126" s="61">
        <f>Comp!I1093</f>
        <v>68.467202458955995</v>
      </c>
      <c r="I126" s="61"/>
      <c r="J126" s="45"/>
      <c r="K126" s="45">
        <f>H126*F126+0.04</f>
        <v>684.71202458955986</v>
      </c>
      <c r="M126" s="52"/>
      <c r="N126" s="52"/>
      <c r="O126" s="46"/>
    </row>
    <row r="127" spans="1:15" s="13" customFormat="1" x14ac:dyDescent="0.25">
      <c r="A127" s="116"/>
      <c r="B127" s="115"/>
      <c r="C127" s="389" t="s">
        <v>677</v>
      </c>
      <c r="D127" s="512" t="s">
        <v>678</v>
      </c>
      <c r="E127" s="390" t="s">
        <v>513</v>
      </c>
      <c r="F127" s="391">
        <v>15</v>
      </c>
      <c r="G127" s="391">
        <v>241.89</v>
      </c>
      <c r="H127" s="61">
        <f>Comp!I1103</f>
        <v>314.455858798956</v>
      </c>
      <c r="I127" s="61"/>
      <c r="J127" s="45"/>
      <c r="K127" s="45">
        <f>H127*F127-0.04</f>
        <v>4716.7978819843402</v>
      </c>
      <c r="M127" s="52"/>
      <c r="N127" s="52"/>
      <c r="O127" s="46"/>
    </row>
    <row r="128" spans="1:15" s="13" customFormat="1" x14ac:dyDescent="0.25">
      <c r="A128" s="116"/>
      <c r="B128" s="115"/>
      <c r="C128" s="389" t="s">
        <v>679</v>
      </c>
      <c r="D128" s="512" t="s">
        <v>680</v>
      </c>
      <c r="E128" s="390" t="s">
        <v>513</v>
      </c>
      <c r="F128" s="391">
        <v>3</v>
      </c>
      <c r="G128" s="391">
        <v>4.92</v>
      </c>
      <c r="H128" s="61">
        <f>Comp!I1113</f>
        <v>6.4009751194199991</v>
      </c>
      <c r="I128" s="61"/>
      <c r="J128" s="45"/>
      <c r="K128" s="45">
        <f>H128*F128-0.01</f>
        <v>19.192925358259995</v>
      </c>
      <c r="M128" s="52"/>
      <c r="N128" s="52"/>
      <c r="O128" s="46"/>
    </row>
    <row r="129" spans="1:15" s="13" customFormat="1" x14ac:dyDescent="0.25">
      <c r="A129" s="116"/>
      <c r="B129" s="115"/>
      <c r="C129" s="389" t="s">
        <v>681</v>
      </c>
      <c r="D129" s="512" t="s">
        <v>682</v>
      </c>
      <c r="E129" s="390" t="s">
        <v>513</v>
      </c>
      <c r="F129" s="391">
        <v>8</v>
      </c>
      <c r="G129" s="391">
        <v>4.92</v>
      </c>
      <c r="H129" s="61">
        <f>Comp!I1123</f>
        <v>6.4009751194199991</v>
      </c>
      <c r="I129" s="61"/>
      <c r="J129" s="45"/>
      <c r="K129" s="45">
        <f>H129*F129-0.04</f>
        <v>51.167800955359994</v>
      </c>
      <c r="M129" s="52"/>
      <c r="N129" s="52"/>
      <c r="O129" s="46"/>
    </row>
    <row r="130" spans="1:15" s="13" customFormat="1" x14ac:dyDescent="0.25">
      <c r="A130" s="116"/>
      <c r="B130" s="115"/>
      <c r="C130" s="389" t="s">
        <v>683</v>
      </c>
      <c r="D130" s="512" t="s">
        <v>684</v>
      </c>
      <c r="E130" s="390" t="s">
        <v>513</v>
      </c>
      <c r="F130" s="391">
        <v>179</v>
      </c>
      <c r="G130" s="391">
        <v>9.64</v>
      </c>
      <c r="H130" s="61">
        <f>Comp!I1133</f>
        <v>12.525063999419999</v>
      </c>
      <c r="I130" s="61"/>
      <c r="J130" s="45"/>
      <c r="K130" s="45">
        <f>H130*F130+1.24</f>
        <v>2243.2264558961797</v>
      </c>
      <c r="M130" s="52"/>
      <c r="N130" s="52"/>
      <c r="O130" s="46"/>
    </row>
    <row r="131" spans="1:15" s="13" customFormat="1" x14ac:dyDescent="0.25">
      <c r="A131" s="116"/>
      <c r="B131" s="115"/>
      <c r="C131" s="389" t="s">
        <v>685</v>
      </c>
      <c r="D131" s="512" t="s">
        <v>686</v>
      </c>
      <c r="E131" s="390" t="s">
        <v>513</v>
      </c>
      <c r="F131" s="391">
        <v>15</v>
      </c>
      <c r="G131" s="391">
        <v>25.16</v>
      </c>
      <c r="H131" s="61">
        <f>Comp!I1143</f>
        <v>32.709911199419999</v>
      </c>
      <c r="I131" s="61"/>
      <c r="J131" s="45"/>
      <c r="K131" s="45">
        <f>H131*F131-0.03</f>
        <v>490.61866799130001</v>
      </c>
      <c r="M131" s="52"/>
      <c r="N131" s="52"/>
      <c r="O131" s="46"/>
    </row>
    <row r="132" spans="1:15" s="13" customFormat="1" x14ac:dyDescent="0.25">
      <c r="A132" s="116"/>
      <c r="B132" s="115"/>
      <c r="C132" s="389" t="s">
        <v>687</v>
      </c>
      <c r="D132" s="512" t="s">
        <v>688</v>
      </c>
      <c r="E132" s="390" t="s">
        <v>513</v>
      </c>
      <c r="F132" s="391">
        <v>134</v>
      </c>
      <c r="G132" s="391">
        <v>19.89</v>
      </c>
      <c r="H132" s="61">
        <f>Comp!I1153</f>
        <v>25.855798479420002</v>
      </c>
      <c r="I132" s="61"/>
      <c r="J132" s="45"/>
      <c r="K132" s="45">
        <f>H132*F132+0.16</f>
        <v>3464.8369962422803</v>
      </c>
      <c r="M132" s="52"/>
      <c r="N132" s="52"/>
      <c r="O132" s="46"/>
    </row>
    <row r="133" spans="1:15" s="13" customFormat="1" x14ac:dyDescent="0.25">
      <c r="A133" s="116"/>
      <c r="B133" s="115"/>
      <c r="C133" s="389" t="s">
        <v>689</v>
      </c>
      <c r="D133" s="512" t="s">
        <v>690</v>
      </c>
      <c r="E133" s="390" t="s">
        <v>513</v>
      </c>
      <c r="F133" s="391">
        <v>2</v>
      </c>
      <c r="G133" s="391">
        <v>9.64</v>
      </c>
      <c r="H133" s="61">
        <v>12.53</v>
      </c>
      <c r="I133" s="61"/>
      <c r="J133" s="45"/>
      <c r="K133" s="45">
        <f>H133*F133</f>
        <v>25.06</v>
      </c>
      <c r="M133" s="52"/>
      <c r="N133" s="52"/>
      <c r="O133" s="46"/>
    </row>
    <row r="134" spans="1:15" s="13" customFormat="1" x14ac:dyDescent="0.25">
      <c r="A134" s="116"/>
      <c r="B134" s="115"/>
      <c r="C134" s="389" t="s">
        <v>691</v>
      </c>
      <c r="D134" s="512" t="s">
        <v>692</v>
      </c>
      <c r="E134" s="390" t="s">
        <v>513</v>
      </c>
      <c r="F134" s="391">
        <v>10</v>
      </c>
      <c r="G134" s="391">
        <v>132.5</v>
      </c>
      <c r="H134" s="61">
        <f>Comp!I1173</f>
        <v>172.25045848542001</v>
      </c>
      <c r="I134" s="61"/>
      <c r="J134" s="45"/>
      <c r="K134" s="45">
        <f>H134*F134</f>
        <v>1722.5045848542002</v>
      </c>
      <c r="M134" s="52"/>
      <c r="N134" s="52"/>
      <c r="O134" s="46"/>
    </row>
    <row r="135" spans="1:15" s="13" customFormat="1" x14ac:dyDescent="0.25">
      <c r="A135" s="116"/>
      <c r="B135" s="115"/>
      <c r="C135" s="389"/>
      <c r="D135" s="118"/>
      <c r="E135" s="390"/>
      <c r="F135" s="391"/>
      <c r="G135" s="391"/>
      <c r="H135" s="61"/>
      <c r="I135" s="61"/>
      <c r="J135" s="45"/>
      <c r="K135" s="45"/>
      <c r="M135" s="52"/>
      <c r="N135" s="52"/>
      <c r="O135" s="46"/>
    </row>
    <row r="136" spans="1:15" s="13" customFormat="1" x14ac:dyDescent="0.25">
      <c r="A136" s="116"/>
      <c r="B136" s="167"/>
      <c r="C136" s="168">
        <v>6</v>
      </c>
      <c r="D136" s="169" t="s">
        <v>693</v>
      </c>
      <c r="E136" s="170"/>
      <c r="F136" s="171"/>
      <c r="G136" s="171"/>
      <c r="H136" s="172"/>
      <c r="I136" s="173"/>
      <c r="J136" s="174">
        <f>SUM(J233:J235)</f>
        <v>0</v>
      </c>
      <c r="K136" s="174">
        <f>SUM(K137:K152)+0.02</f>
        <v>15977.051454852171</v>
      </c>
      <c r="L136" s="47"/>
      <c r="M136" s="178"/>
      <c r="N136" s="52"/>
      <c r="O136" s="46"/>
    </row>
    <row r="137" spans="1:15" s="13" customFormat="1" x14ac:dyDescent="0.25">
      <c r="A137" s="116"/>
      <c r="B137" s="115"/>
      <c r="C137" s="389" t="s">
        <v>18</v>
      </c>
      <c r="D137" s="512" t="s">
        <v>694</v>
      </c>
      <c r="E137" s="390" t="s">
        <v>513</v>
      </c>
      <c r="F137" s="391">
        <v>1</v>
      </c>
      <c r="G137" s="391">
        <v>89.36</v>
      </c>
      <c r="H137" s="61">
        <f>Comp!I1184</f>
        <v>116.17016501601</v>
      </c>
      <c r="I137" s="61"/>
      <c r="J137" s="45"/>
      <c r="K137" s="45">
        <f>H137*F137</f>
        <v>116.17016501601</v>
      </c>
      <c r="M137" s="52"/>
      <c r="N137" s="52"/>
      <c r="O137" s="46"/>
    </row>
    <row r="138" spans="1:15" s="13" customFormat="1" x14ac:dyDescent="0.25">
      <c r="A138" s="116"/>
      <c r="B138" s="115"/>
      <c r="C138" s="389" t="s">
        <v>182</v>
      </c>
      <c r="D138" s="512" t="s">
        <v>696</v>
      </c>
      <c r="E138" s="390" t="s">
        <v>513</v>
      </c>
      <c r="F138" s="391">
        <v>1</v>
      </c>
      <c r="G138" s="391">
        <v>297.98</v>
      </c>
      <c r="H138" s="61">
        <f>Comp!I1195</f>
        <v>387.37128983615986</v>
      </c>
      <c r="I138" s="61"/>
      <c r="J138" s="45"/>
      <c r="K138" s="45">
        <f t="shared" ref="K138:K152" si="6">H138*F138</f>
        <v>387.37128983615986</v>
      </c>
      <c r="M138" s="52"/>
      <c r="N138" s="52"/>
      <c r="O138" s="46"/>
    </row>
    <row r="139" spans="1:15" s="13" customFormat="1" x14ac:dyDescent="0.25">
      <c r="A139" s="116"/>
      <c r="B139" s="115"/>
      <c r="C139" s="389" t="s">
        <v>183</v>
      </c>
      <c r="D139" s="512" t="s">
        <v>697</v>
      </c>
      <c r="E139" s="390" t="s">
        <v>513</v>
      </c>
      <c r="F139" s="391">
        <v>1</v>
      </c>
      <c r="G139" s="391">
        <v>431.18</v>
      </c>
      <c r="H139" s="61">
        <f>Comp!I1206</f>
        <v>560.53</v>
      </c>
      <c r="I139" s="61"/>
      <c r="J139" s="45"/>
      <c r="K139" s="45">
        <f t="shared" si="6"/>
        <v>560.53</v>
      </c>
      <c r="M139" s="52"/>
      <c r="N139" s="52"/>
      <c r="O139" s="46"/>
    </row>
    <row r="140" spans="1:15" s="13" customFormat="1" x14ac:dyDescent="0.25">
      <c r="A140" s="116"/>
      <c r="B140" s="115"/>
      <c r="C140" s="389" t="s">
        <v>184</v>
      </c>
      <c r="D140" s="512" t="s">
        <v>698</v>
      </c>
      <c r="E140" s="390" t="s">
        <v>513</v>
      </c>
      <c r="F140" s="391">
        <v>3</v>
      </c>
      <c r="G140" s="391">
        <v>290.05</v>
      </c>
      <c r="H140" s="61">
        <f>Comp!I1216</f>
        <v>377.07</v>
      </c>
      <c r="I140" s="61"/>
      <c r="J140" s="45"/>
      <c r="K140" s="45">
        <f>H140*F140-0.01</f>
        <v>1131.2</v>
      </c>
      <c r="M140" s="52"/>
      <c r="N140" s="52"/>
      <c r="O140" s="46"/>
    </row>
    <row r="141" spans="1:15" s="13" customFormat="1" x14ac:dyDescent="0.25">
      <c r="A141" s="116"/>
      <c r="B141" s="115"/>
      <c r="C141" s="389" t="s">
        <v>185</v>
      </c>
      <c r="D141" s="512" t="s">
        <v>699</v>
      </c>
      <c r="E141" s="390" t="s">
        <v>513</v>
      </c>
      <c r="F141" s="391">
        <v>2</v>
      </c>
      <c r="G141" s="391">
        <v>119.22</v>
      </c>
      <c r="H141" s="61">
        <f>Comp!I1228</f>
        <v>154.99</v>
      </c>
      <c r="I141" s="61"/>
      <c r="J141" s="45"/>
      <c r="K141" s="45">
        <f>H141*F141-0.01</f>
        <v>309.97000000000003</v>
      </c>
      <c r="M141" s="52"/>
      <c r="N141" s="52"/>
      <c r="O141" s="46"/>
    </row>
    <row r="142" spans="1:15" s="13" customFormat="1" x14ac:dyDescent="0.25">
      <c r="A142" s="116"/>
      <c r="B142" s="115"/>
      <c r="C142" s="389" t="s">
        <v>186</v>
      </c>
      <c r="D142" s="512" t="s">
        <v>700</v>
      </c>
      <c r="E142" s="390" t="s">
        <v>513</v>
      </c>
      <c r="F142" s="391">
        <v>2</v>
      </c>
      <c r="G142" s="391">
        <v>61.07</v>
      </c>
      <c r="H142" s="61">
        <f>Comp!I1239</f>
        <v>79.39</v>
      </c>
      <c r="I142" s="61"/>
      <c r="J142" s="45"/>
      <c r="K142" s="45">
        <f t="shared" si="6"/>
        <v>158.78</v>
      </c>
      <c r="M142" s="52"/>
      <c r="N142" s="52"/>
      <c r="O142" s="46"/>
    </row>
    <row r="143" spans="1:15" s="13" customFormat="1" x14ac:dyDescent="0.25">
      <c r="A143" s="116"/>
      <c r="B143" s="115"/>
      <c r="C143" s="389" t="s">
        <v>187</v>
      </c>
      <c r="D143" s="512" t="s">
        <v>701</v>
      </c>
      <c r="E143" s="390" t="s">
        <v>513</v>
      </c>
      <c r="F143" s="391">
        <v>1</v>
      </c>
      <c r="G143" s="391">
        <v>517.87</v>
      </c>
      <c r="H143" s="61">
        <f>673.23*Comp!N10</f>
        <v>673.23</v>
      </c>
      <c r="I143" s="61"/>
      <c r="J143" s="45"/>
      <c r="K143" s="45">
        <f t="shared" si="6"/>
        <v>673.23</v>
      </c>
      <c r="M143" s="52"/>
      <c r="N143" s="52"/>
      <c r="O143" s="46"/>
    </row>
    <row r="144" spans="1:15" s="13" customFormat="1" x14ac:dyDescent="0.25">
      <c r="A144" s="116"/>
      <c r="B144" s="115"/>
      <c r="C144" s="389" t="s">
        <v>188</v>
      </c>
      <c r="D144" s="512" t="s">
        <v>702</v>
      </c>
      <c r="E144" s="390" t="s">
        <v>10</v>
      </c>
      <c r="F144" s="391">
        <v>7</v>
      </c>
      <c r="G144" s="391">
        <v>48.38</v>
      </c>
      <c r="H144" s="61">
        <f>62.89*Comp!N10</f>
        <v>62.89</v>
      </c>
      <c r="I144" s="61"/>
      <c r="J144" s="45"/>
      <c r="K144" s="45">
        <f t="shared" si="6"/>
        <v>440.23</v>
      </c>
      <c r="M144" s="52"/>
      <c r="N144" s="52"/>
      <c r="O144" s="46"/>
    </row>
    <row r="145" spans="1:15" s="13" customFormat="1" x14ac:dyDescent="0.25">
      <c r="A145" s="116"/>
      <c r="B145" s="115"/>
      <c r="C145" s="389" t="s">
        <v>122</v>
      </c>
      <c r="D145" s="512" t="s">
        <v>703</v>
      </c>
      <c r="E145" s="390" t="s">
        <v>513</v>
      </c>
      <c r="F145" s="391">
        <v>3</v>
      </c>
      <c r="G145" s="391">
        <v>7.42</v>
      </c>
      <c r="H145" s="61">
        <f>9.65*Comp!N10</f>
        <v>9.65</v>
      </c>
      <c r="I145" s="61"/>
      <c r="J145" s="45"/>
      <c r="K145" s="45">
        <f t="shared" si="6"/>
        <v>28.950000000000003</v>
      </c>
      <c r="M145" s="52"/>
      <c r="N145" s="52"/>
      <c r="O145" s="46"/>
    </row>
    <row r="146" spans="1:15" s="13" customFormat="1" x14ac:dyDescent="0.25">
      <c r="A146" s="116"/>
      <c r="B146" s="115"/>
      <c r="C146" s="389" t="s">
        <v>123</v>
      </c>
      <c r="D146" s="512" t="s">
        <v>704</v>
      </c>
      <c r="E146" s="390" t="s">
        <v>513</v>
      </c>
      <c r="F146" s="391">
        <v>3</v>
      </c>
      <c r="G146" s="391">
        <v>47.51</v>
      </c>
      <c r="H146" s="61">
        <f>61.76*Comp!N10</f>
        <v>61.76</v>
      </c>
      <c r="I146" s="61"/>
      <c r="J146" s="45"/>
      <c r="K146" s="45">
        <f t="shared" si="6"/>
        <v>185.28</v>
      </c>
      <c r="M146" s="52"/>
      <c r="N146" s="52"/>
      <c r="O146" s="46"/>
    </row>
    <row r="147" spans="1:15" s="13" customFormat="1" x14ac:dyDescent="0.25">
      <c r="A147" s="116"/>
      <c r="B147" s="115"/>
      <c r="C147" s="389" t="s">
        <v>124</v>
      </c>
      <c r="D147" s="512" t="s">
        <v>705</v>
      </c>
      <c r="E147" s="390" t="s">
        <v>513</v>
      </c>
      <c r="F147" s="391">
        <v>1</v>
      </c>
      <c r="G147" s="391">
        <v>25.39</v>
      </c>
      <c r="H147" s="61">
        <f>33.01*Comp!N10</f>
        <v>33.01</v>
      </c>
      <c r="I147" s="61"/>
      <c r="J147" s="45"/>
      <c r="K147" s="45">
        <f t="shared" si="6"/>
        <v>33.01</v>
      </c>
      <c r="M147" s="52"/>
      <c r="N147" s="52"/>
      <c r="O147" s="46"/>
    </row>
    <row r="148" spans="1:15" s="13" customFormat="1" x14ac:dyDescent="0.25">
      <c r="A148" s="116"/>
      <c r="B148" s="115"/>
      <c r="C148" s="389" t="s">
        <v>125</v>
      </c>
      <c r="D148" s="512" t="s">
        <v>706</v>
      </c>
      <c r="E148" s="390" t="s">
        <v>513</v>
      </c>
      <c r="F148" s="391">
        <v>3</v>
      </c>
      <c r="G148" s="391">
        <v>18.059999999999999</v>
      </c>
      <c r="H148" s="61">
        <f>23.48*Comp!N10</f>
        <v>23.48</v>
      </c>
      <c r="I148" s="61"/>
      <c r="J148" s="45"/>
      <c r="K148" s="45">
        <f t="shared" si="6"/>
        <v>70.44</v>
      </c>
      <c r="M148" s="52"/>
      <c r="N148" s="52"/>
      <c r="O148" s="46"/>
    </row>
    <row r="149" spans="1:15" s="13" customFormat="1" x14ac:dyDescent="0.25">
      <c r="A149" s="116"/>
      <c r="B149" s="115"/>
      <c r="C149" s="389" t="s">
        <v>126</v>
      </c>
      <c r="D149" s="512" t="s">
        <v>707</v>
      </c>
      <c r="E149" s="390" t="s">
        <v>513</v>
      </c>
      <c r="F149" s="391">
        <v>3</v>
      </c>
      <c r="G149" s="391">
        <v>224.11</v>
      </c>
      <c r="H149" s="61">
        <f>291.34*Comp!N10</f>
        <v>291.33999999999997</v>
      </c>
      <c r="I149" s="61"/>
      <c r="J149" s="45"/>
      <c r="K149" s="45">
        <f t="shared" si="6"/>
        <v>874.02</v>
      </c>
      <c r="M149" s="52"/>
      <c r="N149" s="52"/>
      <c r="O149" s="46"/>
    </row>
    <row r="150" spans="1:15" s="13" customFormat="1" x14ac:dyDescent="0.25">
      <c r="A150" s="116"/>
      <c r="B150" s="115"/>
      <c r="C150" s="389" t="s">
        <v>128</v>
      </c>
      <c r="D150" s="512" t="s">
        <v>708</v>
      </c>
      <c r="E150" s="390" t="s">
        <v>513</v>
      </c>
      <c r="F150" s="391">
        <v>1</v>
      </c>
      <c r="G150" s="391">
        <v>847</v>
      </c>
      <c r="H150" s="61">
        <f>1101.1*Comp!N10</f>
        <v>1101.0999999999999</v>
      </c>
      <c r="I150" s="61"/>
      <c r="J150" s="45"/>
      <c r="K150" s="45">
        <f t="shared" si="6"/>
        <v>1101.0999999999999</v>
      </c>
      <c r="M150" s="52"/>
      <c r="N150" s="52"/>
      <c r="O150" s="46"/>
    </row>
    <row r="151" spans="1:15" s="13" customFormat="1" x14ac:dyDescent="0.25">
      <c r="A151" s="116"/>
      <c r="B151" s="115"/>
      <c r="C151" s="389" t="s">
        <v>129</v>
      </c>
      <c r="D151" s="512" t="s">
        <v>709</v>
      </c>
      <c r="E151" s="390" t="s">
        <v>513</v>
      </c>
      <c r="F151" s="391">
        <v>1</v>
      </c>
      <c r="G151" s="391">
        <v>127.22</v>
      </c>
      <c r="H151" s="61">
        <f>165.39*Comp!N10</f>
        <v>165.39</v>
      </c>
      <c r="I151" s="61"/>
      <c r="J151" s="45"/>
      <c r="K151" s="45">
        <f t="shared" si="6"/>
        <v>165.39</v>
      </c>
      <c r="M151" s="52"/>
      <c r="N151" s="52"/>
      <c r="O151" s="46"/>
    </row>
    <row r="152" spans="1:15" s="13" customFormat="1" x14ac:dyDescent="0.25">
      <c r="A152" s="116"/>
      <c r="B152" s="115"/>
      <c r="C152" s="389" t="s">
        <v>127</v>
      </c>
      <c r="D152" s="512" t="s">
        <v>710</v>
      </c>
      <c r="E152" s="390" t="s">
        <v>513</v>
      </c>
      <c r="F152" s="391">
        <v>1</v>
      </c>
      <c r="G152" s="391">
        <v>7493.35</v>
      </c>
      <c r="H152" s="61">
        <f>9741.36*Comp!N10</f>
        <v>9741.36</v>
      </c>
      <c r="I152" s="61"/>
      <c r="J152" s="45"/>
      <c r="K152" s="45">
        <f t="shared" si="6"/>
        <v>9741.36</v>
      </c>
      <c r="M152" s="52"/>
      <c r="N152" s="52"/>
      <c r="O152" s="46"/>
    </row>
    <row r="153" spans="1:15" s="13" customFormat="1" x14ac:dyDescent="0.25">
      <c r="A153" s="116"/>
      <c r="B153" s="115"/>
      <c r="C153" s="389"/>
      <c r="D153" s="118"/>
      <c r="E153" s="390"/>
      <c r="F153" s="391"/>
      <c r="G153" s="391"/>
      <c r="H153" s="61"/>
      <c r="I153" s="61"/>
      <c r="J153" s="45"/>
      <c r="K153" s="45"/>
      <c r="M153" s="52"/>
      <c r="N153" s="52"/>
      <c r="O153" s="46"/>
    </row>
    <row r="154" spans="1:15" s="13" customFormat="1" x14ac:dyDescent="0.25">
      <c r="A154" s="116"/>
      <c r="B154" s="167"/>
      <c r="C154" s="168">
        <v>7</v>
      </c>
      <c r="D154" s="169" t="s">
        <v>711</v>
      </c>
      <c r="E154" s="170"/>
      <c r="F154" s="171"/>
      <c r="G154" s="171"/>
      <c r="H154" s="172"/>
      <c r="I154" s="173"/>
      <c r="J154" s="174">
        <f>SUM(J244:J251)</f>
        <v>0</v>
      </c>
      <c r="K154" s="174">
        <f>SUM(K155:K234)+0.02</f>
        <v>122886.27</v>
      </c>
      <c r="L154" s="47"/>
      <c r="M154" s="178"/>
      <c r="N154" s="52"/>
      <c r="O154" s="46"/>
    </row>
    <row r="155" spans="1:15" s="13" customFormat="1" x14ac:dyDescent="0.25">
      <c r="A155" s="116"/>
      <c r="B155" s="115"/>
      <c r="C155" s="389" t="s">
        <v>19</v>
      </c>
      <c r="D155" s="513" t="s">
        <v>712</v>
      </c>
      <c r="E155" s="390" t="s">
        <v>513</v>
      </c>
      <c r="F155" s="391">
        <v>9</v>
      </c>
      <c r="G155" s="391">
        <v>21.66</v>
      </c>
      <c r="H155" s="61">
        <f>28.16*Comp!N10</f>
        <v>28.16</v>
      </c>
      <c r="I155" s="61"/>
      <c r="J155" s="45"/>
      <c r="K155" s="45">
        <f t="shared" ref="K155:K218" si="7">H155*F155</f>
        <v>253.44</v>
      </c>
      <c r="M155" s="52"/>
      <c r="N155" s="52"/>
      <c r="O155" s="46"/>
    </row>
    <row r="156" spans="1:15" s="13" customFormat="1" x14ac:dyDescent="0.25">
      <c r="A156" s="116"/>
      <c r="B156" s="115"/>
      <c r="C156" s="389" t="s">
        <v>131</v>
      </c>
      <c r="D156" s="513" t="s">
        <v>713</v>
      </c>
      <c r="E156" s="390" t="s">
        <v>513</v>
      </c>
      <c r="F156" s="391">
        <v>7</v>
      </c>
      <c r="G156" s="391">
        <v>36.76</v>
      </c>
      <c r="H156" s="61">
        <f>47.79*Comp!N10</f>
        <v>47.79</v>
      </c>
      <c r="I156" s="61"/>
      <c r="J156" s="45"/>
      <c r="K156" s="45">
        <f t="shared" si="7"/>
        <v>334.53</v>
      </c>
      <c r="M156" s="52"/>
      <c r="N156" s="52"/>
      <c r="O156" s="46"/>
    </row>
    <row r="157" spans="1:15" s="13" customFormat="1" x14ac:dyDescent="0.25">
      <c r="A157" s="116"/>
      <c r="B157" s="115"/>
      <c r="C157" s="389" t="s">
        <v>132</v>
      </c>
      <c r="D157" s="513" t="s">
        <v>714</v>
      </c>
      <c r="E157" s="390" t="s">
        <v>513</v>
      </c>
      <c r="F157" s="391">
        <v>12</v>
      </c>
      <c r="G157" s="391">
        <v>129.66</v>
      </c>
      <c r="H157" s="61">
        <f>168.56*Comp!N10</f>
        <v>168.56</v>
      </c>
      <c r="I157" s="61"/>
      <c r="J157" s="45"/>
      <c r="K157" s="45">
        <f t="shared" si="7"/>
        <v>2022.72</v>
      </c>
      <c r="M157" s="52"/>
      <c r="N157" s="52"/>
      <c r="O157" s="46"/>
    </row>
    <row r="158" spans="1:15" s="13" customFormat="1" x14ac:dyDescent="0.25">
      <c r="A158" s="116"/>
      <c r="B158" s="115"/>
      <c r="C158" s="389" t="s">
        <v>133</v>
      </c>
      <c r="D158" s="513" t="s">
        <v>715</v>
      </c>
      <c r="E158" s="390" t="s">
        <v>513</v>
      </c>
      <c r="F158" s="391">
        <v>8</v>
      </c>
      <c r="G158" s="391">
        <v>294.38</v>
      </c>
      <c r="H158" s="61">
        <f>382.69*Comp!N10</f>
        <v>382.69</v>
      </c>
      <c r="I158" s="61"/>
      <c r="J158" s="45"/>
      <c r="K158" s="45">
        <f t="shared" si="7"/>
        <v>3061.52</v>
      </c>
      <c r="M158" s="52"/>
      <c r="N158" s="52"/>
      <c r="O158" s="46"/>
    </row>
    <row r="159" spans="1:15" s="13" customFormat="1" x14ac:dyDescent="0.25">
      <c r="A159" s="116"/>
      <c r="B159" s="115"/>
      <c r="C159" s="389" t="s">
        <v>134</v>
      </c>
      <c r="D159" s="513" t="s">
        <v>716</v>
      </c>
      <c r="E159" s="390" t="s">
        <v>513</v>
      </c>
      <c r="F159" s="391">
        <v>1</v>
      </c>
      <c r="G159" s="391">
        <v>213.25</v>
      </c>
      <c r="H159" s="61">
        <f>277.23*Comp!N10</f>
        <v>277.23</v>
      </c>
      <c r="I159" s="61"/>
      <c r="J159" s="45"/>
      <c r="K159" s="45">
        <f t="shared" si="7"/>
        <v>277.23</v>
      </c>
      <c r="M159" s="52"/>
      <c r="N159" s="52"/>
      <c r="O159" s="46"/>
    </row>
    <row r="160" spans="1:15" s="13" customFormat="1" x14ac:dyDescent="0.25">
      <c r="A160" s="116"/>
      <c r="B160" s="115"/>
      <c r="C160" s="389" t="s">
        <v>135</v>
      </c>
      <c r="D160" s="513" t="s">
        <v>717</v>
      </c>
      <c r="E160" s="390" t="s">
        <v>513</v>
      </c>
      <c r="F160" s="391">
        <v>1</v>
      </c>
      <c r="G160" s="391">
        <v>1249.1600000000001</v>
      </c>
      <c r="H160" s="61">
        <f>1623.91*Comp!N10</f>
        <v>1623.91</v>
      </c>
      <c r="I160" s="61"/>
      <c r="J160" s="45"/>
      <c r="K160" s="45">
        <f t="shared" si="7"/>
        <v>1623.91</v>
      </c>
      <c r="M160" s="52"/>
      <c r="N160" s="52"/>
      <c r="O160" s="46"/>
    </row>
    <row r="161" spans="1:15" s="13" customFormat="1" x14ac:dyDescent="0.25">
      <c r="A161" s="116"/>
      <c r="B161" s="115"/>
      <c r="C161" s="389" t="s">
        <v>718</v>
      </c>
      <c r="D161" s="513" t="s">
        <v>719</v>
      </c>
      <c r="E161" s="390" t="s">
        <v>513</v>
      </c>
      <c r="F161" s="391">
        <v>20</v>
      </c>
      <c r="G161" s="391">
        <v>273.64999999999998</v>
      </c>
      <c r="H161" s="61">
        <f>355.75*Comp!N10</f>
        <v>355.75</v>
      </c>
      <c r="I161" s="61"/>
      <c r="J161" s="45"/>
      <c r="K161" s="45">
        <f t="shared" si="7"/>
        <v>7115</v>
      </c>
      <c r="M161" s="52"/>
      <c r="N161" s="52"/>
      <c r="O161" s="46"/>
    </row>
    <row r="162" spans="1:15" s="13" customFormat="1" x14ac:dyDescent="0.25">
      <c r="A162" s="116"/>
      <c r="B162" s="115"/>
      <c r="C162" s="389" t="s">
        <v>720</v>
      </c>
      <c r="D162" s="513" t="s">
        <v>721</v>
      </c>
      <c r="E162" s="390" t="s">
        <v>513</v>
      </c>
      <c r="F162" s="391">
        <v>11</v>
      </c>
      <c r="G162" s="391">
        <v>115.94</v>
      </c>
      <c r="H162" s="61">
        <f>150.72*Comp!N10</f>
        <v>150.72</v>
      </c>
      <c r="I162" s="61"/>
      <c r="J162" s="45"/>
      <c r="K162" s="45">
        <f t="shared" si="7"/>
        <v>1657.92</v>
      </c>
      <c r="M162" s="52"/>
      <c r="N162" s="52"/>
      <c r="O162" s="46"/>
    </row>
    <row r="163" spans="1:15" s="13" customFormat="1" x14ac:dyDescent="0.25">
      <c r="A163" s="116"/>
      <c r="B163" s="115"/>
      <c r="C163" s="389" t="s">
        <v>722</v>
      </c>
      <c r="D163" s="513" t="s">
        <v>723</v>
      </c>
      <c r="E163" s="390" t="s">
        <v>513</v>
      </c>
      <c r="F163" s="391">
        <v>9</v>
      </c>
      <c r="G163" s="391">
        <v>108.89</v>
      </c>
      <c r="H163" s="61">
        <f>141.56*Comp!N10</f>
        <v>141.56</v>
      </c>
      <c r="I163" s="61"/>
      <c r="J163" s="45"/>
      <c r="K163" s="45">
        <f t="shared" si="7"/>
        <v>1274.04</v>
      </c>
      <c r="M163" s="52"/>
      <c r="N163" s="52"/>
      <c r="O163" s="46"/>
    </row>
    <row r="164" spans="1:15" s="13" customFormat="1" x14ac:dyDescent="0.25">
      <c r="A164" s="116"/>
      <c r="B164" s="115"/>
      <c r="C164" s="389" t="s">
        <v>724</v>
      </c>
      <c r="D164" s="513" t="s">
        <v>725</v>
      </c>
      <c r="E164" s="390" t="s">
        <v>513</v>
      </c>
      <c r="F164" s="391">
        <v>7</v>
      </c>
      <c r="G164" s="391">
        <v>30.9</v>
      </c>
      <c r="H164" s="61">
        <f>40.17*Comp!N10</f>
        <v>40.17</v>
      </c>
      <c r="I164" s="61"/>
      <c r="J164" s="45"/>
      <c r="K164" s="45">
        <f t="shared" si="7"/>
        <v>281.19</v>
      </c>
      <c r="M164" s="52"/>
      <c r="N164" s="52"/>
      <c r="O164" s="46"/>
    </row>
    <row r="165" spans="1:15" s="13" customFormat="1" x14ac:dyDescent="0.25">
      <c r="A165" s="116"/>
      <c r="B165" s="115"/>
      <c r="C165" s="389" t="s">
        <v>726</v>
      </c>
      <c r="D165" s="513" t="s">
        <v>727</v>
      </c>
      <c r="E165" s="390" t="s">
        <v>513</v>
      </c>
      <c r="F165" s="391">
        <v>8</v>
      </c>
      <c r="G165" s="391">
        <v>40.15</v>
      </c>
      <c r="H165" s="61">
        <f>52.2*Comp!N10</f>
        <v>52.2</v>
      </c>
      <c r="I165" s="61"/>
      <c r="J165" s="45"/>
      <c r="K165" s="45">
        <f t="shared" si="7"/>
        <v>417.6</v>
      </c>
      <c r="M165" s="52"/>
      <c r="N165" s="52"/>
      <c r="O165" s="46"/>
    </row>
    <row r="166" spans="1:15" s="13" customFormat="1" x14ac:dyDescent="0.25">
      <c r="A166" s="116"/>
      <c r="B166" s="115"/>
      <c r="C166" s="389" t="s">
        <v>728</v>
      </c>
      <c r="D166" s="513" t="s">
        <v>729</v>
      </c>
      <c r="E166" s="390" t="s">
        <v>513</v>
      </c>
      <c r="F166" s="391">
        <v>4</v>
      </c>
      <c r="G166" s="391">
        <v>25.12</v>
      </c>
      <c r="H166" s="61">
        <f>32.66*Comp!N10</f>
        <v>32.659999999999997</v>
      </c>
      <c r="I166" s="61"/>
      <c r="J166" s="45"/>
      <c r="K166" s="45">
        <f t="shared" si="7"/>
        <v>130.63999999999999</v>
      </c>
      <c r="M166" s="52"/>
      <c r="N166" s="52"/>
      <c r="O166" s="46"/>
    </row>
    <row r="167" spans="1:15" s="13" customFormat="1" x14ac:dyDescent="0.25">
      <c r="A167" s="116"/>
      <c r="B167" s="115"/>
      <c r="C167" s="389" t="s">
        <v>730</v>
      </c>
      <c r="D167" s="513" t="s">
        <v>731</v>
      </c>
      <c r="E167" s="390" t="s">
        <v>513</v>
      </c>
      <c r="F167" s="391">
        <v>7</v>
      </c>
      <c r="G167" s="391">
        <v>24.2</v>
      </c>
      <c r="H167" s="61">
        <f>31.46*Comp!N10</f>
        <v>31.46</v>
      </c>
      <c r="I167" s="61"/>
      <c r="J167" s="45"/>
      <c r="K167" s="45">
        <f t="shared" si="7"/>
        <v>220.22</v>
      </c>
      <c r="M167" s="52"/>
      <c r="N167" s="52"/>
      <c r="O167" s="46"/>
    </row>
    <row r="168" spans="1:15" s="13" customFormat="1" x14ac:dyDescent="0.25">
      <c r="A168" s="116"/>
      <c r="B168" s="115"/>
      <c r="C168" s="389" t="s">
        <v>732</v>
      </c>
      <c r="D168" s="513" t="s">
        <v>733</v>
      </c>
      <c r="E168" s="390" t="s">
        <v>513</v>
      </c>
      <c r="F168" s="391">
        <v>13</v>
      </c>
      <c r="G168" s="391">
        <v>90.03</v>
      </c>
      <c r="H168" s="61">
        <f>117.04*Comp!N10</f>
        <v>117.04</v>
      </c>
      <c r="I168" s="61"/>
      <c r="J168" s="45"/>
      <c r="K168" s="45">
        <f t="shared" si="7"/>
        <v>1521.52</v>
      </c>
      <c r="M168" s="52"/>
      <c r="N168" s="52"/>
      <c r="O168" s="46"/>
    </row>
    <row r="169" spans="1:15" s="13" customFormat="1" x14ac:dyDescent="0.25">
      <c r="A169" s="116"/>
      <c r="B169" s="115"/>
      <c r="C169" s="389" t="s">
        <v>734</v>
      </c>
      <c r="D169" s="513" t="s">
        <v>735</v>
      </c>
      <c r="E169" s="390" t="s">
        <v>513</v>
      </c>
      <c r="F169" s="391">
        <v>1</v>
      </c>
      <c r="G169" s="391">
        <v>1149.99</v>
      </c>
      <c r="H169" s="61">
        <f>1494.99*Comp!N10</f>
        <v>1494.99</v>
      </c>
      <c r="I169" s="61"/>
      <c r="J169" s="45"/>
      <c r="K169" s="45">
        <f t="shared" si="7"/>
        <v>1494.99</v>
      </c>
      <c r="M169" s="52"/>
      <c r="N169" s="52"/>
      <c r="O169" s="46"/>
    </row>
    <row r="170" spans="1:15" s="13" customFormat="1" x14ac:dyDescent="0.25">
      <c r="A170" s="116"/>
      <c r="B170" s="115"/>
      <c r="C170" s="389" t="s">
        <v>736</v>
      </c>
      <c r="D170" s="513" t="s">
        <v>737</v>
      </c>
      <c r="E170" s="390" t="s">
        <v>513</v>
      </c>
      <c r="F170" s="391">
        <v>5</v>
      </c>
      <c r="G170" s="391">
        <v>808.07</v>
      </c>
      <c r="H170" s="61">
        <f>1050.49*Comp!N10</f>
        <v>1050.49</v>
      </c>
      <c r="I170" s="61"/>
      <c r="J170" s="45"/>
      <c r="K170" s="45">
        <f t="shared" si="7"/>
        <v>5252.45</v>
      </c>
      <c r="M170" s="52"/>
      <c r="N170" s="52"/>
      <c r="O170" s="46"/>
    </row>
    <row r="171" spans="1:15" s="13" customFormat="1" x14ac:dyDescent="0.25">
      <c r="A171" s="116"/>
      <c r="B171" s="115"/>
      <c r="C171" s="389" t="s">
        <v>738</v>
      </c>
      <c r="D171" s="513" t="s">
        <v>739</v>
      </c>
      <c r="E171" s="390" t="s">
        <v>513</v>
      </c>
      <c r="F171" s="391">
        <v>1</v>
      </c>
      <c r="G171" s="391">
        <v>782.25</v>
      </c>
      <c r="H171" s="61">
        <f>1016.93*Comp!N10</f>
        <v>1016.93</v>
      </c>
      <c r="I171" s="61"/>
      <c r="J171" s="45"/>
      <c r="K171" s="45">
        <f t="shared" si="7"/>
        <v>1016.93</v>
      </c>
      <c r="M171" s="52"/>
      <c r="N171" s="52"/>
      <c r="O171" s="46"/>
    </row>
    <row r="172" spans="1:15" s="13" customFormat="1" x14ac:dyDescent="0.25">
      <c r="A172" s="116"/>
      <c r="B172" s="115"/>
      <c r="C172" s="389" t="s">
        <v>740</v>
      </c>
      <c r="D172" s="513" t="s">
        <v>741</v>
      </c>
      <c r="E172" s="390" t="s">
        <v>513</v>
      </c>
      <c r="F172" s="391">
        <v>1</v>
      </c>
      <c r="G172" s="391">
        <v>4220</v>
      </c>
      <c r="H172" s="61">
        <f>5486*Comp!N10</f>
        <v>5486</v>
      </c>
      <c r="I172" s="61"/>
      <c r="J172" s="45"/>
      <c r="K172" s="45">
        <f t="shared" si="7"/>
        <v>5486</v>
      </c>
      <c r="M172" s="52"/>
      <c r="N172" s="52"/>
      <c r="O172" s="46"/>
    </row>
    <row r="173" spans="1:15" s="13" customFormat="1" x14ac:dyDescent="0.25">
      <c r="A173" s="116"/>
      <c r="B173" s="115"/>
      <c r="C173" s="389" t="s">
        <v>742</v>
      </c>
      <c r="D173" s="513" t="s">
        <v>743</v>
      </c>
      <c r="E173" s="390" t="s">
        <v>513</v>
      </c>
      <c r="F173" s="391">
        <v>1</v>
      </c>
      <c r="G173" s="391">
        <v>8108.28</v>
      </c>
      <c r="H173" s="61">
        <f>10540.76*Comp!N10</f>
        <v>10540.76</v>
      </c>
      <c r="I173" s="61"/>
      <c r="J173" s="45"/>
      <c r="K173" s="45">
        <f t="shared" si="7"/>
        <v>10540.76</v>
      </c>
      <c r="M173" s="52"/>
      <c r="N173" s="52"/>
      <c r="O173" s="46"/>
    </row>
    <row r="174" spans="1:15" s="13" customFormat="1" x14ac:dyDescent="0.25">
      <c r="A174" s="116"/>
      <c r="B174" s="115"/>
      <c r="C174" s="389" t="s">
        <v>744</v>
      </c>
      <c r="D174" s="513" t="s">
        <v>745</v>
      </c>
      <c r="E174" s="390" t="s">
        <v>513</v>
      </c>
      <c r="F174" s="391">
        <v>10</v>
      </c>
      <c r="G174" s="391">
        <v>14.17</v>
      </c>
      <c r="H174" s="61">
        <f>18.42*Comp!N10</f>
        <v>18.420000000000002</v>
      </c>
      <c r="I174" s="61"/>
      <c r="J174" s="45"/>
      <c r="K174" s="45">
        <f t="shared" si="7"/>
        <v>184.20000000000002</v>
      </c>
      <c r="M174" s="52"/>
      <c r="N174" s="52"/>
      <c r="O174" s="46"/>
    </row>
    <row r="175" spans="1:15" s="13" customFormat="1" x14ac:dyDescent="0.25">
      <c r="A175" s="116"/>
      <c r="B175" s="115"/>
      <c r="C175" s="389" t="s">
        <v>746</v>
      </c>
      <c r="D175" s="513" t="s">
        <v>747</v>
      </c>
      <c r="E175" s="390" t="s">
        <v>513</v>
      </c>
      <c r="F175" s="391">
        <v>4</v>
      </c>
      <c r="G175" s="391">
        <v>10.7</v>
      </c>
      <c r="H175" s="61">
        <f>13.91*Comp!N10</f>
        <v>13.91</v>
      </c>
      <c r="I175" s="61"/>
      <c r="J175" s="45"/>
      <c r="K175" s="45">
        <f t="shared" si="7"/>
        <v>55.64</v>
      </c>
      <c r="M175" s="52"/>
      <c r="N175" s="52"/>
      <c r="O175" s="46"/>
    </row>
    <row r="176" spans="1:15" s="13" customFormat="1" x14ac:dyDescent="0.25">
      <c r="A176" s="116"/>
      <c r="B176" s="115"/>
      <c r="C176" s="389" t="s">
        <v>748</v>
      </c>
      <c r="D176" s="513" t="s">
        <v>749</v>
      </c>
      <c r="E176" s="390" t="s">
        <v>513</v>
      </c>
      <c r="F176" s="391">
        <v>4</v>
      </c>
      <c r="G176" s="391">
        <v>3.4</v>
      </c>
      <c r="H176" s="61">
        <f>4.42*Comp!N10</f>
        <v>4.42</v>
      </c>
      <c r="I176" s="61"/>
      <c r="J176" s="45"/>
      <c r="K176" s="45">
        <f t="shared" si="7"/>
        <v>17.68</v>
      </c>
      <c r="M176" s="52"/>
      <c r="N176" s="52"/>
      <c r="O176" s="46"/>
    </row>
    <row r="177" spans="1:15" s="13" customFormat="1" x14ac:dyDescent="0.25">
      <c r="A177" s="116"/>
      <c r="B177" s="115"/>
      <c r="C177" s="389" t="s">
        <v>750</v>
      </c>
      <c r="D177" s="513" t="s">
        <v>751</v>
      </c>
      <c r="E177" s="390" t="s">
        <v>513</v>
      </c>
      <c r="F177" s="391">
        <v>8</v>
      </c>
      <c r="G177" s="391">
        <v>11</v>
      </c>
      <c r="H177" s="61">
        <f>14.3*Comp!N10</f>
        <v>14.3</v>
      </c>
      <c r="I177" s="61"/>
      <c r="J177" s="45"/>
      <c r="K177" s="45">
        <f t="shared" si="7"/>
        <v>114.4</v>
      </c>
      <c r="M177" s="52"/>
      <c r="N177" s="52"/>
      <c r="O177" s="46"/>
    </row>
    <row r="178" spans="1:15" s="13" customFormat="1" x14ac:dyDescent="0.25">
      <c r="A178" s="116"/>
      <c r="B178" s="115"/>
      <c r="C178" s="389" t="s">
        <v>752</v>
      </c>
      <c r="D178" s="513" t="s">
        <v>753</v>
      </c>
      <c r="E178" s="390" t="s">
        <v>513</v>
      </c>
      <c r="F178" s="391">
        <v>1</v>
      </c>
      <c r="G178" s="391">
        <v>83.7</v>
      </c>
      <c r="H178" s="61">
        <f>108.81*Comp!N10</f>
        <v>108.81</v>
      </c>
      <c r="I178" s="61"/>
      <c r="J178" s="45"/>
      <c r="K178" s="45">
        <f t="shared" si="7"/>
        <v>108.81</v>
      </c>
      <c r="M178" s="52"/>
      <c r="N178" s="52"/>
      <c r="O178" s="46"/>
    </row>
    <row r="179" spans="1:15" s="13" customFormat="1" x14ac:dyDescent="0.25">
      <c r="A179" s="116"/>
      <c r="B179" s="115"/>
      <c r="C179" s="389" t="s">
        <v>754</v>
      </c>
      <c r="D179" s="513" t="s">
        <v>755</v>
      </c>
      <c r="E179" s="390" t="s">
        <v>513</v>
      </c>
      <c r="F179" s="391">
        <v>1</v>
      </c>
      <c r="G179" s="391">
        <v>1981.88</v>
      </c>
      <c r="H179" s="61">
        <f>2576.44*Comp!N10</f>
        <v>2576.44</v>
      </c>
      <c r="I179" s="61"/>
      <c r="J179" s="45"/>
      <c r="K179" s="45">
        <f t="shared" si="7"/>
        <v>2576.44</v>
      </c>
      <c r="M179" s="52"/>
      <c r="N179" s="52"/>
      <c r="O179" s="46"/>
    </row>
    <row r="180" spans="1:15" s="13" customFormat="1" ht="24" x14ac:dyDescent="0.25">
      <c r="A180" s="116"/>
      <c r="B180" s="115"/>
      <c r="C180" s="389" t="s">
        <v>756</v>
      </c>
      <c r="D180" s="513" t="s">
        <v>757</v>
      </c>
      <c r="E180" s="390" t="s">
        <v>513</v>
      </c>
      <c r="F180" s="391">
        <v>8</v>
      </c>
      <c r="G180" s="391">
        <v>184.66</v>
      </c>
      <c r="H180" s="61">
        <f>240.06*Comp!N10</f>
        <v>240.06</v>
      </c>
      <c r="I180" s="61"/>
      <c r="J180" s="45"/>
      <c r="K180" s="45">
        <f t="shared" si="7"/>
        <v>1920.48</v>
      </c>
      <c r="M180" s="52"/>
      <c r="N180" s="52"/>
      <c r="O180" s="46"/>
    </row>
    <row r="181" spans="1:15" s="13" customFormat="1" x14ac:dyDescent="0.25">
      <c r="A181" s="116"/>
      <c r="B181" s="115"/>
      <c r="C181" s="389" t="s">
        <v>759</v>
      </c>
      <c r="D181" s="513" t="s">
        <v>758</v>
      </c>
      <c r="E181" s="390" t="s">
        <v>513</v>
      </c>
      <c r="F181" s="391">
        <v>4</v>
      </c>
      <c r="G181" s="391">
        <v>24.53</v>
      </c>
      <c r="H181" s="61">
        <f>31.89*Comp!N10</f>
        <v>31.89</v>
      </c>
      <c r="I181" s="61"/>
      <c r="J181" s="45"/>
      <c r="K181" s="45">
        <f t="shared" si="7"/>
        <v>127.56</v>
      </c>
      <c r="M181" s="52"/>
      <c r="N181" s="52"/>
      <c r="O181" s="46"/>
    </row>
    <row r="182" spans="1:15" s="13" customFormat="1" ht="36" x14ac:dyDescent="0.25">
      <c r="A182" s="116"/>
      <c r="B182" s="115"/>
      <c r="C182" s="389" t="s">
        <v>760</v>
      </c>
      <c r="D182" s="513" t="s">
        <v>761</v>
      </c>
      <c r="E182" s="390" t="s">
        <v>513</v>
      </c>
      <c r="F182" s="391">
        <v>5</v>
      </c>
      <c r="G182" s="391">
        <v>365.34</v>
      </c>
      <c r="H182" s="61">
        <f>474.94*Comp!N10</f>
        <v>474.94</v>
      </c>
      <c r="I182" s="61"/>
      <c r="J182" s="45"/>
      <c r="K182" s="45">
        <f t="shared" si="7"/>
        <v>2374.6999999999998</v>
      </c>
      <c r="M182" s="52"/>
      <c r="N182" s="52"/>
      <c r="O182" s="46"/>
    </row>
    <row r="183" spans="1:15" s="13" customFormat="1" x14ac:dyDescent="0.25">
      <c r="A183" s="116"/>
      <c r="B183" s="115"/>
      <c r="C183" s="389" t="s">
        <v>762</v>
      </c>
      <c r="D183" s="513" t="s">
        <v>763</v>
      </c>
      <c r="E183" s="390" t="s">
        <v>513</v>
      </c>
      <c r="F183" s="391">
        <v>13</v>
      </c>
      <c r="G183" s="391">
        <v>28.37</v>
      </c>
      <c r="H183" s="61">
        <f>36.88*Comp!N10</f>
        <v>36.880000000000003</v>
      </c>
      <c r="I183" s="61"/>
      <c r="J183" s="45"/>
      <c r="K183" s="45">
        <f t="shared" si="7"/>
        <v>479.44000000000005</v>
      </c>
      <c r="M183" s="52"/>
      <c r="N183" s="52"/>
      <c r="O183" s="46"/>
    </row>
    <row r="184" spans="1:15" s="13" customFormat="1" x14ac:dyDescent="0.25">
      <c r="A184" s="116"/>
      <c r="B184" s="115"/>
      <c r="C184" s="389" t="s">
        <v>764</v>
      </c>
      <c r="D184" s="513" t="s">
        <v>765</v>
      </c>
      <c r="E184" s="390" t="s">
        <v>513</v>
      </c>
      <c r="F184" s="391">
        <v>10</v>
      </c>
      <c r="G184" s="391">
        <v>8.16</v>
      </c>
      <c r="H184" s="61">
        <f>10.61*Comp!N10</f>
        <v>10.61</v>
      </c>
      <c r="I184" s="61"/>
      <c r="J184" s="45"/>
      <c r="K184" s="45">
        <f t="shared" si="7"/>
        <v>106.1</v>
      </c>
      <c r="M184" s="52"/>
      <c r="N184" s="52"/>
      <c r="O184" s="46"/>
    </row>
    <row r="185" spans="1:15" s="13" customFormat="1" x14ac:dyDescent="0.25">
      <c r="A185" s="116"/>
      <c r="B185" s="115"/>
      <c r="C185" s="389" t="s">
        <v>766</v>
      </c>
      <c r="D185" s="513" t="s">
        <v>767</v>
      </c>
      <c r="E185" s="390" t="s">
        <v>513</v>
      </c>
      <c r="F185" s="391">
        <v>6</v>
      </c>
      <c r="G185" s="391">
        <v>5.21</v>
      </c>
      <c r="H185" s="61">
        <f>6.77*Comp!N10</f>
        <v>6.77</v>
      </c>
      <c r="I185" s="61"/>
      <c r="J185" s="45"/>
      <c r="K185" s="45">
        <f t="shared" si="7"/>
        <v>40.619999999999997</v>
      </c>
      <c r="M185" s="52"/>
      <c r="N185" s="52"/>
      <c r="O185" s="46"/>
    </row>
    <row r="186" spans="1:15" s="13" customFormat="1" x14ac:dyDescent="0.25">
      <c r="A186" s="116"/>
      <c r="B186" s="115"/>
      <c r="C186" s="389" t="s">
        <v>768</v>
      </c>
      <c r="D186" s="513" t="s">
        <v>769</v>
      </c>
      <c r="E186" s="390" t="s">
        <v>513</v>
      </c>
      <c r="F186" s="391">
        <v>2</v>
      </c>
      <c r="G186" s="391">
        <v>7.16</v>
      </c>
      <c r="H186" s="61">
        <f>9.31*Comp!N10</f>
        <v>9.31</v>
      </c>
      <c r="I186" s="61"/>
      <c r="J186" s="45"/>
      <c r="K186" s="45">
        <f t="shared" si="7"/>
        <v>18.62</v>
      </c>
      <c r="M186" s="52"/>
      <c r="N186" s="52"/>
      <c r="O186" s="46"/>
    </row>
    <row r="187" spans="1:15" s="13" customFormat="1" x14ac:dyDescent="0.25">
      <c r="A187" s="116"/>
      <c r="B187" s="115"/>
      <c r="C187" s="389" t="s">
        <v>770</v>
      </c>
      <c r="D187" s="513" t="s">
        <v>771</v>
      </c>
      <c r="E187" s="390" t="s">
        <v>513</v>
      </c>
      <c r="F187" s="391">
        <v>6</v>
      </c>
      <c r="G187" s="391">
        <v>8.16</v>
      </c>
      <c r="H187" s="61">
        <f>10.61*Comp!N10</f>
        <v>10.61</v>
      </c>
      <c r="I187" s="61"/>
      <c r="J187" s="45"/>
      <c r="K187" s="45">
        <f t="shared" si="7"/>
        <v>63.66</v>
      </c>
      <c r="M187" s="52"/>
      <c r="N187" s="52"/>
      <c r="O187" s="46"/>
    </row>
    <row r="188" spans="1:15" s="13" customFormat="1" x14ac:dyDescent="0.25">
      <c r="A188" s="116"/>
      <c r="B188" s="115"/>
      <c r="C188" s="389" t="s">
        <v>772</v>
      </c>
      <c r="D188" s="513" t="s">
        <v>773</v>
      </c>
      <c r="E188" s="390" t="s">
        <v>513</v>
      </c>
      <c r="F188" s="391">
        <v>2</v>
      </c>
      <c r="G188" s="391">
        <v>42.37</v>
      </c>
      <c r="H188" s="61">
        <f>55.08*Comp!N10</f>
        <v>55.08</v>
      </c>
      <c r="I188" s="61"/>
      <c r="J188" s="45"/>
      <c r="K188" s="45">
        <f t="shared" si="7"/>
        <v>110.16</v>
      </c>
      <c r="M188" s="52"/>
      <c r="N188" s="52"/>
      <c r="O188" s="46"/>
    </row>
    <row r="189" spans="1:15" s="13" customFormat="1" x14ac:dyDescent="0.25">
      <c r="A189" s="116"/>
      <c r="B189" s="115"/>
      <c r="C189" s="389" t="s">
        <v>774</v>
      </c>
      <c r="D189" s="513" t="s">
        <v>775</v>
      </c>
      <c r="E189" s="390" t="s">
        <v>513</v>
      </c>
      <c r="F189" s="391">
        <v>2</v>
      </c>
      <c r="G189" s="391">
        <v>70.87</v>
      </c>
      <c r="H189" s="61">
        <f>92.13*Comp!N10</f>
        <v>92.13</v>
      </c>
      <c r="I189" s="61"/>
      <c r="J189" s="45"/>
      <c r="K189" s="45">
        <f t="shared" si="7"/>
        <v>184.26</v>
      </c>
      <c r="M189" s="52"/>
      <c r="N189" s="52"/>
      <c r="O189" s="46"/>
    </row>
    <row r="190" spans="1:15" s="13" customFormat="1" x14ac:dyDescent="0.25">
      <c r="A190" s="116"/>
      <c r="B190" s="115"/>
      <c r="C190" s="389" t="s">
        <v>776</v>
      </c>
      <c r="D190" s="513" t="s">
        <v>777</v>
      </c>
      <c r="E190" s="390" t="s">
        <v>513</v>
      </c>
      <c r="F190" s="391">
        <v>2</v>
      </c>
      <c r="G190" s="391">
        <v>90.29</v>
      </c>
      <c r="H190" s="61">
        <f>117.38*Comp!N10</f>
        <v>117.38</v>
      </c>
      <c r="I190" s="61"/>
      <c r="J190" s="45"/>
      <c r="K190" s="45">
        <f t="shared" si="7"/>
        <v>234.76</v>
      </c>
      <c r="M190" s="52"/>
      <c r="N190" s="52"/>
      <c r="O190" s="46"/>
    </row>
    <row r="191" spans="1:15" s="13" customFormat="1" x14ac:dyDescent="0.25">
      <c r="A191" s="116"/>
      <c r="B191" s="115"/>
      <c r="C191" s="389" t="s">
        <v>778</v>
      </c>
      <c r="D191" s="513" t="s">
        <v>779</v>
      </c>
      <c r="E191" s="390" t="s">
        <v>513</v>
      </c>
      <c r="F191" s="391">
        <v>8</v>
      </c>
      <c r="G191" s="391">
        <v>69.62</v>
      </c>
      <c r="H191" s="61">
        <f>90.51*Comp!N10</f>
        <v>90.51</v>
      </c>
      <c r="I191" s="61"/>
      <c r="J191" s="45"/>
      <c r="K191" s="45">
        <f t="shared" si="7"/>
        <v>724.08</v>
      </c>
      <c r="M191" s="52"/>
      <c r="N191" s="52"/>
      <c r="O191" s="46"/>
    </row>
    <row r="192" spans="1:15" s="13" customFormat="1" x14ac:dyDescent="0.25">
      <c r="A192" s="116"/>
      <c r="B192" s="115"/>
      <c r="C192" s="389" t="s">
        <v>782</v>
      </c>
      <c r="D192" s="513" t="s">
        <v>781</v>
      </c>
      <c r="E192" s="390" t="s">
        <v>513</v>
      </c>
      <c r="F192" s="391">
        <v>1</v>
      </c>
      <c r="G192" s="391">
        <v>140.66</v>
      </c>
      <c r="H192" s="61">
        <f>182.86*Comp!N10</f>
        <v>182.86</v>
      </c>
      <c r="I192" s="61"/>
      <c r="J192" s="45"/>
      <c r="K192" s="45">
        <f t="shared" si="7"/>
        <v>182.86</v>
      </c>
      <c r="M192" s="52"/>
      <c r="N192" s="52"/>
      <c r="O192" s="46"/>
    </row>
    <row r="193" spans="1:15" s="13" customFormat="1" x14ac:dyDescent="0.25">
      <c r="A193" s="116"/>
      <c r="B193" s="115"/>
      <c r="C193" s="389" t="s">
        <v>783</v>
      </c>
      <c r="D193" s="513" t="s">
        <v>784</v>
      </c>
      <c r="E193" s="390" t="s">
        <v>513</v>
      </c>
      <c r="F193" s="391">
        <v>18</v>
      </c>
      <c r="G193" s="391">
        <v>69.900000000000006</v>
      </c>
      <c r="H193" s="61">
        <f>90.87*Comp!N10</f>
        <v>90.87</v>
      </c>
      <c r="I193" s="61"/>
      <c r="J193" s="45"/>
      <c r="K193" s="45">
        <f t="shared" si="7"/>
        <v>1635.66</v>
      </c>
      <c r="M193" s="52"/>
      <c r="N193" s="52"/>
      <c r="O193" s="46"/>
    </row>
    <row r="194" spans="1:15" s="13" customFormat="1" ht="24" x14ac:dyDescent="0.25">
      <c r="A194" s="116"/>
      <c r="B194" s="115"/>
      <c r="C194" s="389" t="s">
        <v>780</v>
      </c>
      <c r="D194" s="513" t="s">
        <v>785</v>
      </c>
      <c r="E194" s="390" t="s">
        <v>513</v>
      </c>
      <c r="F194" s="391">
        <v>9</v>
      </c>
      <c r="G194" s="391">
        <v>83.54</v>
      </c>
      <c r="H194" s="61">
        <f>108.6*Comp!N10</f>
        <v>108.6</v>
      </c>
      <c r="I194" s="61"/>
      <c r="J194" s="45"/>
      <c r="K194" s="45">
        <f t="shared" si="7"/>
        <v>977.4</v>
      </c>
      <c r="M194" s="52"/>
      <c r="N194" s="52"/>
      <c r="O194" s="46"/>
    </row>
    <row r="195" spans="1:15" s="13" customFormat="1" x14ac:dyDescent="0.25">
      <c r="A195" s="116"/>
      <c r="B195" s="115"/>
      <c r="C195" s="389" t="s">
        <v>786</v>
      </c>
      <c r="D195" s="513" t="s">
        <v>787</v>
      </c>
      <c r="E195" s="390" t="s">
        <v>513</v>
      </c>
      <c r="F195" s="391">
        <v>9</v>
      </c>
      <c r="G195" s="391">
        <v>26.57</v>
      </c>
      <c r="H195" s="61">
        <f>34.54*Comp!N10</f>
        <v>34.54</v>
      </c>
      <c r="I195" s="61"/>
      <c r="J195" s="45"/>
      <c r="K195" s="45">
        <f t="shared" si="7"/>
        <v>310.86</v>
      </c>
      <c r="M195" s="52"/>
      <c r="N195" s="52"/>
      <c r="O195" s="46"/>
    </row>
    <row r="196" spans="1:15" s="13" customFormat="1" x14ac:dyDescent="0.25">
      <c r="A196" s="116"/>
      <c r="B196" s="115"/>
      <c r="C196" s="389" t="s">
        <v>788</v>
      </c>
      <c r="D196" s="513" t="s">
        <v>789</v>
      </c>
      <c r="E196" s="390" t="s">
        <v>513</v>
      </c>
      <c r="F196" s="391">
        <v>13</v>
      </c>
      <c r="G196" s="391">
        <v>85.77</v>
      </c>
      <c r="H196" s="61">
        <f>111.5*Comp!N10</f>
        <v>111.5</v>
      </c>
      <c r="I196" s="61"/>
      <c r="J196" s="45"/>
      <c r="K196" s="45">
        <f t="shared" si="7"/>
        <v>1449.5</v>
      </c>
      <c r="M196" s="52"/>
      <c r="N196" s="52"/>
      <c r="O196" s="46"/>
    </row>
    <row r="197" spans="1:15" s="13" customFormat="1" x14ac:dyDescent="0.25">
      <c r="A197" s="116"/>
      <c r="B197" s="115"/>
      <c r="C197" s="389" t="s">
        <v>790</v>
      </c>
      <c r="D197" s="513" t="s">
        <v>791</v>
      </c>
      <c r="E197" s="390" t="s">
        <v>513</v>
      </c>
      <c r="F197" s="391">
        <v>10</v>
      </c>
      <c r="G197" s="391">
        <v>82.78</v>
      </c>
      <c r="H197" s="61">
        <f>107.61*Comp!N10</f>
        <v>107.61</v>
      </c>
      <c r="I197" s="61"/>
      <c r="J197" s="45"/>
      <c r="K197" s="45">
        <f t="shared" si="7"/>
        <v>1076.0999999999999</v>
      </c>
      <c r="M197" s="52"/>
      <c r="N197" s="52"/>
      <c r="O197" s="46"/>
    </row>
    <row r="198" spans="1:15" s="13" customFormat="1" x14ac:dyDescent="0.25">
      <c r="A198" s="116"/>
      <c r="B198" s="115"/>
      <c r="C198" s="389" t="s">
        <v>792</v>
      </c>
      <c r="D198" s="513" t="s">
        <v>793</v>
      </c>
      <c r="E198" s="390" t="s">
        <v>513</v>
      </c>
      <c r="F198" s="391">
        <v>1</v>
      </c>
      <c r="G198" s="391">
        <v>21.18</v>
      </c>
      <c r="H198" s="61">
        <f>27.53*Comp!N10</f>
        <v>27.53</v>
      </c>
      <c r="I198" s="61"/>
      <c r="J198" s="45"/>
      <c r="K198" s="45">
        <f t="shared" si="7"/>
        <v>27.53</v>
      </c>
      <c r="M198" s="52"/>
      <c r="N198" s="52"/>
      <c r="O198" s="46"/>
    </row>
    <row r="199" spans="1:15" s="13" customFormat="1" x14ac:dyDescent="0.25">
      <c r="A199" s="116"/>
      <c r="B199" s="115"/>
      <c r="C199" s="389" t="s">
        <v>794</v>
      </c>
      <c r="D199" s="513" t="s">
        <v>795</v>
      </c>
      <c r="E199" s="390" t="s">
        <v>513</v>
      </c>
      <c r="F199" s="391">
        <v>3</v>
      </c>
      <c r="G199" s="391">
        <v>1750.06</v>
      </c>
      <c r="H199" s="61">
        <f>2275.08*Comp!N10</f>
        <v>2275.08</v>
      </c>
      <c r="I199" s="61"/>
      <c r="J199" s="45"/>
      <c r="K199" s="45">
        <f t="shared" si="7"/>
        <v>6825.24</v>
      </c>
      <c r="M199" s="52"/>
      <c r="N199" s="52"/>
      <c r="O199" s="46"/>
    </row>
    <row r="200" spans="1:15" s="13" customFormat="1" x14ac:dyDescent="0.25">
      <c r="A200" s="116"/>
      <c r="B200" s="115"/>
      <c r="C200" s="389" t="s">
        <v>796</v>
      </c>
      <c r="D200" s="513" t="s">
        <v>797</v>
      </c>
      <c r="E200" s="390" t="s">
        <v>513</v>
      </c>
      <c r="F200" s="391">
        <v>12</v>
      </c>
      <c r="G200" s="391">
        <v>261.79000000000002</v>
      </c>
      <c r="H200" s="61">
        <f>340.33*Comp!N10</f>
        <v>340.33</v>
      </c>
      <c r="I200" s="61"/>
      <c r="J200" s="45"/>
      <c r="K200" s="45">
        <f t="shared" si="7"/>
        <v>4083.96</v>
      </c>
      <c r="M200" s="52"/>
      <c r="N200" s="52"/>
      <c r="O200" s="46"/>
    </row>
    <row r="201" spans="1:15" s="13" customFormat="1" x14ac:dyDescent="0.25">
      <c r="A201" s="116"/>
      <c r="B201" s="115"/>
      <c r="C201" s="389" t="s">
        <v>798</v>
      </c>
      <c r="D201" s="513" t="s">
        <v>799</v>
      </c>
      <c r="E201" s="390" t="s">
        <v>513</v>
      </c>
      <c r="F201" s="391">
        <v>7</v>
      </c>
      <c r="G201" s="391">
        <v>65.099999999999994</v>
      </c>
      <c r="H201" s="61">
        <f>84.63*Comp!N10</f>
        <v>84.63</v>
      </c>
      <c r="I201" s="61"/>
      <c r="J201" s="45"/>
      <c r="K201" s="45">
        <f t="shared" si="7"/>
        <v>592.41</v>
      </c>
      <c r="M201" s="52"/>
      <c r="N201" s="52"/>
      <c r="O201" s="46"/>
    </row>
    <row r="202" spans="1:15" s="13" customFormat="1" ht="36" x14ac:dyDescent="0.25">
      <c r="A202" s="116"/>
      <c r="B202" s="115"/>
      <c r="C202" s="389" t="s">
        <v>800</v>
      </c>
      <c r="D202" s="513" t="s">
        <v>801</v>
      </c>
      <c r="E202" s="390" t="s">
        <v>513</v>
      </c>
      <c r="F202" s="391">
        <v>1</v>
      </c>
      <c r="G202" s="391">
        <v>222.8</v>
      </c>
      <c r="H202" s="61">
        <f>289.64*Comp!N10</f>
        <v>289.64</v>
      </c>
      <c r="I202" s="61"/>
      <c r="J202" s="45"/>
      <c r="K202" s="45">
        <f t="shared" si="7"/>
        <v>289.64</v>
      </c>
      <c r="M202" s="52"/>
      <c r="N202" s="52"/>
      <c r="O202" s="46"/>
    </row>
    <row r="203" spans="1:15" s="13" customFormat="1" x14ac:dyDescent="0.25">
      <c r="A203" s="116"/>
      <c r="B203" s="115"/>
      <c r="C203" s="389" t="s">
        <v>802</v>
      </c>
      <c r="D203" s="513" t="s">
        <v>803</v>
      </c>
      <c r="E203" s="390" t="s">
        <v>513</v>
      </c>
      <c r="F203" s="391">
        <v>1</v>
      </c>
      <c r="G203" s="391">
        <v>27.91</v>
      </c>
      <c r="H203" s="61">
        <f>36.28*Comp!N10</f>
        <v>36.28</v>
      </c>
      <c r="I203" s="61"/>
      <c r="J203" s="45"/>
      <c r="K203" s="45">
        <f t="shared" si="7"/>
        <v>36.28</v>
      </c>
      <c r="M203" s="52"/>
      <c r="N203" s="52"/>
      <c r="O203" s="46"/>
    </row>
    <row r="204" spans="1:15" s="13" customFormat="1" x14ac:dyDescent="0.25">
      <c r="A204" s="116"/>
      <c r="B204" s="115"/>
      <c r="C204" s="389" t="s">
        <v>804</v>
      </c>
      <c r="D204" s="513" t="s">
        <v>805</v>
      </c>
      <c r="E204" s="390" t="s">
        <v>513</v>
      </c>
      <c r="F204" s="391">
        <v>4</v>
      </c>
      <c r="G204" s="391">
        <v>76.010000000000005</v>
      </c>
      <c r="H204" s="61">
        <f>98.81*Comp!N10</f>
        <v>98.81</v>
      </c>
      <c r="I204" s="61"/>
      <c r="J204" s="45"/>
      <c r="K204" s="45">
        <f t="shared" si="7"/>
        <v>395.24</v>
      </c>
      <c r="M204" s="52"/>
      <c r="N204" s="52"/>
      <c r="O204" s="46"/>
    </row>
    <row r="205" spans="1:15" s="13" customFormat="1" ht="24" x14ac:dyDescent="0.25">
      <c r="A205" s="116"/>
      <c r="B205" s="115"/>
      <c r="C205" s="389" t="s">
        <v>806</v>
      </c>
      <c r="D205" s="513" t="s">
        <v>807</v>
      </c>
      <c r="E205" s="390" t="s">
        <v>513</v>
      </c>
      <c r="F205" s="391">
        <v>7</v>
      </c>
      <c r="G205" s="391">
        <v>31.51</v>
      </c>
      <c r="H205" s="61">
        <f>40.96*Comp!N10</f>
        <v>40.96</v>
      </c>
      <c r="I205" s="61"/>
      <c r="J205" s="45"/>
      <c r="K205" s="45">
        <f t="shared" si="7"/>
        <v>286.72000000000003</v>
      </c>
      <c r="M205" s="52"/>
      <c r="N205" s="52"/>
      <c r="O205" s="46"/>
    </row>
    <row r="206" spans="1:15" s="13" customFormat="1" x14ac:dyDescent="0.25">
      <c r="A206" s="116"/>
      <c r="B206" s="115"/>
      <c r="C206" s="389" t="s">
        <v>808</v>
      </c>
      <c r="D206" s="513" t="s">
        <v>809</v>
      </c>
      <c r="E206" s="390" t="s">
        <v>513</v>
      </c>
      <c r="F206" s="391">
        <v>10</v>
      </c>
      <c r="G206" s="391">
        <v>22.81</v>
      </c>
      <c r="H206" s="61">
        <f>29.65*Comp!N10</f>
        <v>29.65</v>
      </c>
      <c r="I206" s="61"/>
      <c r="J206" s="45"/>
      <c r="K206" s="45">
        <f t="shared" si="7"/>
        <v>296.5</v>
      </c>
      <c r="M206" s="52"/>
      <c r="N206" s="52"/>
      <c r="O206" s="46"/>
    </row>
    <row r="207" spans="1:15" s="13" customFormat="1" ht="24" x14ac:dyDescent="0.25">
      <c r="A207" s="116"/>
      <c r="B207" s="115"/>
      <c r="C207" s="389" t="s">
        <v>810</v>
      </c>
      <c r="D207" s="513" t="s">
        <v>811</v>
      </c>
      <c r="E207" s="390" t="s">
        <v>513</v>
      </c>
      <c r="F207" s="391">
        <v>1</v>
      </c>
      <c r="G207" s="391">
        <v>22.81</v>
      </c>
      <c r="H207" s="61">
        <f>29.65*Comp!N10</f>
        <v>29.65</v>
      </c>
      <c r="I207" s="61"/>
      <c r="J207" s="45"/>
      <c r="K207" s="45">
        <f t="shared" si="7"/>
        <v>29.65</v>
      </c>
      <c r="M207" s="52"/>
      <c r="N207" s="52"/>
      <c r="O207" s="46"/>
    </row>
    <row r="208" spans="1:15" s="13" customFormat="1" x14ac:dyDescent="0.25">
      <c r="A208" s="116"/>
      <c r="B208" s="115"/>
      <c r="C208" s="389" t="s">
        <v>812</v>
      </c>
      <c r="D208" s="513" t="s">
        <v>813</v>
      </c>
      <c r="E208" s="390" t="s">
        <v>513</v>
      </c>
      <c r="F208" s="391">
        <v>21</v>
      </c>
      <c r="G208" s="391">
        <v>76.010000000000005</v>
      </c>
      <c r="H208" s="61">
        <f>98.81*Comp!N10</f>
        <v>98.81</v>
      </c>
      <c r="I208" s="61"/>
      <c r="J208" s="45"/>
      <c r="K208" s="45">
        <f t="shared" si="7"/>
        <v>2075.0100000000002</v>
      </c>
      <c r="M208" s="52"/>
      <c r="N208" s="52"/>
      <c r="O208" s="46"/>
    </row>
    <row r="209" spans="1:15" s="13" customFormat="1" x14ac:dyDescent="0.25">
      <c r="A209" s="116"/>
      <c r="B209" s="115"/>
      <c r="C209" s="389" t="s">
        <v>814</v>
      </c>
      <c r="D209" s="513" t="s">
        <v>815</v>
      </c>
      <c r="E209" s="390" t="s">
        <v>513</v>
      </c>
      <c r="F209" s="391">
        <v>7</v>
      </c>
      <c r="G209" s="391">
        <v>106.31</v>
      </c>
      <c r="H209" s="61">
        <f>138.2*Comp!N10</f>
        <v>138.19999999999999</v>
      </c>
      <c r="I209" s="61"/>
      <c r="J209" s="45"/>
      <c r="K209" s="45">
        <f t="shared" si="7"/>
        <v>967.39999999999986</v>
      </c>
      <c r="M209" s="52"/>
      <c r="N209" s="52"/>
      <c r="O209" s="46"/>
    </row>
    <row r="210" spans="1:15" s="13" customFormat="1" x14ac:dyDescent="0.25">
      <c r="A210" s="116"/>
      <c r="B210" s="115"/>
      <c r="C210" s="389" t="s">
        <v>816</v>
      </c>
      <c r="D210" s="513" t="s">
        <v>817</v>
      </c>
      <c r="E210" s="390" t="s">
        <v>10</v>
      </c>
      <c r="F210" s="391">
        <v>3.5</v>
      </c>
      <c r="G210" s="391">
        <v>46.11</v>
      </c>
      <c r="H210" s="61">
        <f>59.94*Comp!N10</f>
        <v>59.94</v>
      </c>
      <c r="I210" s="61"/>
      <c r="J210" s="45"/>
      <c r="K210" s="45">
        <f t="shared" si="7"/>
        <v>209.79</v>
      </c>
      <c r="M210" s="52"/>
      <c r="N210" s="52"/>
      <c r="O210" s="46"/>
    </row>
    <row r="211" spans="1:15" s="13" customFormat="1" ht="24" x14ac:dyDescent="0.25">
      <c r="A211" s="116"/>
      <c r="B211" s="115"/>
      <c r="C211" s="389" t="s">
        <v>818</v>
      </c>
      <c r="D211" s="513" t="s">
        <v>819</v>
      </c>
      <c r="E211" s="390" t="s">
        <v>10</v>
      </c>
      <c r="F211" s="391">
        <v>72</v>
      </c>
      <c r="G211" s="391">
        <v>35.03</v>
      </c>
      <c r="H211" s="61">
        <f>45.54*Comp!N10</f>
        <v>45.54</v>
      </c>
      <c r="I211" s="61"/>
      <c r="J211" s="45"/>
      <c r="K211" s="45">
        <f t="shared" si="7"/>
        <v>3278.88</v>
      </c>
      <c r="M211" s="52"/>
      <c r="N211" s="52"/>
      <c r="O211" s="46"/>
    </row>
    <row r="212" spans="1:15" s="13" customFormat="1" ht="24" x14ac:dyDescent="0.25">
      <c r="A212" s="116"/>
      <c r="B212" s="115"/>
      <c r="C212" s="389" t="s">
        <v>820</v>
      </c>
      <c r="D212" s="513" t="s">
        <v>821</v>
      </c>
      <c r="E212" s="390" t="s">
        <v>10</v>
      </c>
      <c r="F212" s="391">
        <v>24</v>
      </c>
      <c r="G212" s="391">
        <v>58.75</v>
      </c>
      <c r="H212" s="61">
        <f>76.38*Comp!N10</f>
        <v>76.38</v>
      </c>
      <c r="I212" s="61"/>
      <c r="J212" s="45"/>
      <c r="K212" s="45">
        <f t="shared" si="7"/>
        <v>1833.12</v>
      </c>
      <c r="M212" s="52"/>
      <c r="N212" s="52"/>
      <c r="O212" s="46"/>
    </row>
    <row r="213" spans="1:15" s="13" customFormat="1" ht="24" x14ac:dyDescent="0.25">
      <c r="A213" s="116"/>
      <c r="B213" s="115"/>
      <c r="C213" s="389" t="s">
        <v>822</v>
      </c>
      <c r="D213" s="513" t="s">
        <v>823</v>
      </c>
      <c r="E213" s="390" t="s">
        <v>10</v>
      </c>
      <c r="F213" s="391">
        <v>36</v>
      </c>
      <c r="G213" s="391">
        <v>64.25</v>
      </c>
      <c r="H213" s="61">
        <f>83.53*Comp!N10</f>
        <v>83.53</v>
      </c>
      <c r="I213" s="61"/>
      <c r="J213" s="45"/>
      <c r="K213" s="45">
        <f t="shared" si="7"/>
        <v>3007.08</v>
      </c>
      <c r="M213" s="52"/>
      <c r="N213" s="52"/>
      <c r="O213" s="46"/>
    </row>
    <row r="214" spans="1:15" s="13" customFormat="1" ht="24" x14ac:dyDescent="0.25">
      <c r="A214" s="116"/>
      <c r="B214" s="115"/>
      <c r="C214" s="389" t="s">
        <v>824</v>
      </c>
      <c r="D214" s="513" t="s">
        <v>825</v>
      </c>
      <c r="E214" s="390" t="s">
        <v>10</v>
      </c>
      <c r="F214" s="391">
        <v>96</v>
      </c>
      <c r="G214" s="391">
        <v>68.3</v>
      </c>
      <c r="H214" s="61">
        <f>88.79*Comp!N10</f>
        <v>88.79</v>
      </c>
      <c r="I214" s="61"/>
      <c r="J214" s="45"/>
      <c r="K214" s="45">
        <f t="shared" si="7"/>
        <v>8523.84</v>
      </c>
      <c r="M214" s="52"/>
      <c r="N214" s="52"/>
      <c r="O214" s="46"/>
    </row>
    <row r="215" spans="1:15" s="13" customFormat="1" x14ac:dyDescent="0.25">
      <c r="A215" s="116"/>
      <c r="B215" s="115"/>
      <c r="C215" s="389" t="s">
        <v>826</v>
      </c>
      <c r="D215" s="513" t="s">
        <v>827</v>
      </c>
      <c r="E215" s="390" t="s">
        <v>10</v>
      </c>
      <c r="F215" s="391">
        <v>100</v>
      </c>
      <c r="G215" s="391">
        <v>7.1</v>
      </c>
      <c r="H215" s="61">
        <f>9.23*Comp!N10</f>
        <v>9.23</v>
      </c>
      <c r="I215" s="61"/>
      <c r="J215" s="45"/>
      <c r="K215" s="45">
        <f t="shared" si="7"/>
        <v>923</v>
      </c>
      <c r="M215" s="52"/>
      <c r="N215" s="52"/>
      <c r="O215" s="46"/>
    </row>
    <row r="216" spans="1:15" s="13" customFormat="1" x14ac:dyDescent="0.25">
      <c r="A216" s="116"/>
      <c r="B216" s="115"/>
      <c r="C216" s="389" t="s">
        <v>828</v>
      </c>
      <c r="D216" s="513" t="s">
        <v>829</v>
      </c>
      <c r="E216" s="390" t="s">
        <v>10</v>
      </c>
      <c r="F216" s="391">
        <v>110</v>
      </c>
      <c r="G216" s="391">
        <v>10.73</v>
      </c>
      <c r="H216" s="61">
        <f>13.95*Comp!N10</f>
        <v>13.95</v>
      </c>
      <c r="I216" s="61"/>
      <c r="J216" s="45"/>
      <c r="K216" s="45">
        <f t="shared" si="7"/>
        <v>1534.5</v>
      </c>
      <c r="M216" s="52"/>
      <c r="N216" s="52"/>
      <c r="O216" s="46"/>
    </row>
    <row r="217" spans="1:15" s="13" customFormat="1" x14ac:dyDescent="0.25">
      <c r="A217" s="116"/>
      <c r="B217" s="115"/>
      <c r="C217" s="389" t="s">
        <v>830</v>
      </c>
      <c r="D217" s="513" t="s">
        <v>831</v>
      </c>
      <c r="E217" s="390" t="s">
        <v>10</v>
      </c>
      <c r="F217" s="391">
        <v>365</v>
      </c>
      <c r="G217" s="391">
        <v>19.27</v>
      </c>
      <c r="H217" s="61">
        <f>25.05*Comp!N10</f>
        <v>25.05</v>
      </c>
      <c r="I217" s="61"/>
      <c r="J217" s="45"/>
      <c r="K217" s="45">
        <f t="shared" si="7"/>
        <v>9143.25</v>
      </c>
      <c r="M217" s="52"/>
      <c r="N217" s="52"/>
      <c r="O217" s="46"/>
    </row>
    <row r="218" spans="1:15" s="13" customFormat="1" x14ac:dyDescent="0.25">
      <c r="A218" s="116"/>
      <c r="B218" s="115"/>
      <c r="C218" s="389" t="s">
        <v>832</v>
      </c>
      <c r="D218" s="513" t="s">
        <v>833</v>
      </c>
      <c r="E218" s="390" t="s">
        <v>10</v>
      </c>
      <c r="F218" s="391">
        <v>54</v>
      </c>
      <c r="G218" s="391">
        <v>14.55</v>
      </c>
      <c r="H218" s="61">
        <f>18.92*Comp!N10</f>
        <v>18.920000000000002</v>
      </c>
      <c r="I218" s="61"/>
      <c r="J218" s="45"/>
      <c r="K218" s="45">
        <f t="shared" si="7"/>
        <v>1021.6800000000001</v>
      </c>
      <c r="M218" s="52"/>
      <c r="N218" s="52"/>
      <c r="O218" s="46"/>
    </row>
    <row r="219" spans="1:15" s="13" customFormat="1" x14ac:dyDescent="0.25">
      <c r="A219" s="116"/>
      <c r="B219" s="115"/>
      <c r="C219" s="389" t="s">
        <v>834</v>
      </c>
      <c r="D219" s="513" t="s">
        <v>835</v>
      </c>
      <c r="E219" s="390" t="s">
        <v>10</v>
      </c>
      <c r="F219" s="391">
        <v>200</v>
      </c>
      <c r="G219" s="391">
        <v>2.36</v>
      </c>
      <c r="H219" s="61">
        <f>3.07*Comp!N10</f>
        <v>3.07</v>
      </c>
      <c r="I219" s="61"/>
      <c r="J219" s="45"/>
      <c r="K219" s="45">
        <f t="shared" ref="K219:K234" si="8">H219*F219</f>
        <v>614</v>
      </c>
      <c r="M219" s="52"/>
      <c r="N219" s="52"/>
      <c r="O219" s="46"/>
    </row>
    <row r="220" spans="1:15" s="13" customFormat="1" x14ac:dyDescent="0.25">
      <c r="A220" s="116"/>
      <c r="B220" s="115"/>
      <c r="C220" s="389" t="s">
        <v>836</v>
      </c>
      <c r="D220" s="513" t="s">
        <v>837</v>
      </c>
      <c r="E220" s="390" t="s">
        <v>10</v>
      </c>
      <c r="F220" s="391">
        <v>160</v>
      </c>
      <c r="G220" s="391">
        <v>4.7</v>
      </c>
      <c r="H220" s="61">
        <f>6.11*Comp!N10</f>
        <v>6.11</v>
      </c>
      <c r="I220" s="61"/>
      <c r="J220" s="45"/>
      <c r="K220" s="45">
        <f t="shared" si="8"/>
        <v>977.6</v>
      </c>
      <c r="M220" s="52"/>
      <c r="N220" s="52"/>
      <c r="O220" s="46"/>
    </row>
    <row r="221" spans="1:15" s="13" customFormat="1" x14ac:dyDescent="0.25">
      <c r="A221" s="116"/>
      <c r="B221" s="115"/>
      <c r="C221" s="389" t="s">
        <v>838</v>
      </c>
      <c r="D221" s="513" t="s">
        <v>839</v>
      </c>
      <c r="E221" s="390" t="s">
        <v>10</v>
      </c>
      <c r="F221" s="391">
        <v>35</v>
      </c>
      <c r="G221" s="391">
        <v>6.73</v>
      </c>
      <c r="H221" s="61">
        <f>8.75*Comp!N10</f>
        <v>8.75</v>
      </c>
      <c r="I221" s="61"/>
      <c r="J221" s="45"/>
      <c r="K221" s="45">
        <f t="shared" si="8"/>
        <v>306.25</v>
      </c>
      <c r="M221" s="52"/>
      <c r="N221" s="52"/>
      <c r="O221" s="46"/>
    </row>
    <row r="222" spans="1:15" s="13" customFormat="1" x14ac:dyDescent="0.25">
      <c r="A222" s="116"/>
      <c r="B222" s="115"/>
      <c r="C222" s="389" t="s">
        <v>840</v>
      </c>
      <c r="D222" s="513" t="s">
        <v>841</v>
      </c>
      <c r="E222" s="390" t="s">
        <v>10</v>
      </c>
      <c r="F222" s="391">
        <v>125</v>
      </c>
      <c r="G222" s="391">
        <v>8.33</v>
      </c>
      <c r="H222" s="61">
        <f>10.83*Comp!N10</f>
        <v>10.83</v>
      </c>
      <c r="I222" s="61"/>
      <c r="J222" s="45"/>
      <c r="K222" s="45">
        <f t="shared" si="8"/>
        <v>1353.75</v>
      </c>
      <c r="M222" s="52"/>
      <c r="N222" s="52"/>
      <c r="O222" s="46"/>
    </row>
    <row r="223" spans="1:15" s="13" customFormat="1" x14ac:dyDescent="0.25">
      <c r="A223" s="116"/>
      <c r="B223" s="115"/>
      <c r="C223" s="389" t="s">
        <v>842</v>
      </c>
      <c r="D223" s="513" t="s">
        <v>843</v>
      </c>
      <c r="E223" s="390" t="s">
        <v>10</v>
      </c>
      <c r="F223" s="391">
        <v>133</v>
      </c>
      <c r="G223" s="391">
        <v>12.69</v>
      </c>
      <c r="H223" s="61">
        <f>16.5*Comp!N10</f>
        <v>16.5</v>
      </c>
      <c r="I223" s="61"/>
      <c r="J223" s="45"/>
      <c r="K223" s="45">
        <f t="shared" si="8"/>
        <v>2194.5</v>
      </c>
      <c r="M223" s="52"/>
      <c r="N223" s="52"/>
      <c r="O223" s="46"/>
    </row>
    <row r="224" spans="1:15" s="13" customFormat="1" x14ac:dyDescent="0.25">
      <c r="A224" s="116"/>
      <c r="B224" s="115"/>
      <c r="C224" s="389" t="s">
        <v>844</v>
      </c>
      <c r="D224" s="513" t="s">
        <v>845</v>
      </c>
      <c r="E224" s="390" t="s">
        <v>10</v>
      </c>
      <c r="F224" s="391">
        <v>125</v>
      </c>
      <c r="G224" s="391">
        <v>17.670000000000002</v>
      </c>
      <c r="H224" s="61">
        <f>22.97*Comp!N10</f>
        <v>22.97</v>
      </c>
      <c r="I224" s="61"/>
      <c r="J224" s="45"/>
      <c r="K224" s="45">
        <f t="shared" si="8"/>
        <v>2871.25</v>
      </c>
      <c r="M224" s="52"/>
      <c r="N224" s="52"/>
      <c r="O224" s="46"/>
    </row>
    <row r="225" spans="1:15" s="13" customFormat="1" x14ac:dyDescent="0.25">
      <c r="A225" s="116"/>
      <c r="B225" s="115"/>
      <c r="C225" s="389" t="s">
        <v>846</v>
      </c>
      <c r="D225" s="513" t="s">
        <v>847</v>
      </c>
      <c r="E225" s="390" t="s">
        <v>10</v>
      </c>
      <c r="F225" s="391">
        <v>3</v>
      </c>
      <c r="G225" s="391">
        <v>22.12</v>
      </c>
      <c r="H225" s="61">
        <f>28.76*Comp!N10</f>
        <v>28.76</v>
      </c>
      <c r="I225" s="61"/>
      <c r="J225" s="45"/>
      <c r="K225" s="45">
        <f t="shared" si="8"/>
        <v>86.28</v>
      </c>
      <c r="M225" s="52"/>
      <c r="N225" s="52"/>
      <c r="O225" s="46"/>
    </row>
    <row r="226" spans="1:15" s="13" customFormat="1" x14ac:dyDescent="0.25">
      <c r="A226" s="116"/>
      <c r="B226" s="115"/>
      <c r="C226" s="389" t="s">
        <v>848</v>
      </c>
      <c r="D226" s="513" t="s">
        <v>849</v>
      </c>
      <c r="E226" s="390" t="s">
        <v>513</v>
      </c>
      <c r="F226" s="391">
        <v>3</v>
      </c>
      <c r="G226" s="391">
        <v>181.37</v>
      </c>
      <c r="H226" s="61">
        <f>235.78*Comp!N10</f>
        <v>235.78</v>
      </c>
      <c r="I226" s="61"/>
      <c r="J226" s="45"/>
      <c r="K226" s="45">
        <f t="shared" si="8"/>
        <v>707.34</v>
      </c>
      <c r="M226" s="52"/>
      <c r="N226" s="52"/>
      <c r="O226" s="46"/>
    </row>
    <row r="227" spans="1:15" s="13" customFormat="1" x14ac:dyDescent="0.25">
      <c r="A227" s="116"/>
      <c r="B227" s="115"/>
      <c r="C227" s="389" t="s">
        <v>850</v>
      </c>
      <c r="D227" s="513" t="s">
        <v>851</v>
      </c>
      <c r="E227" s="390" t="s">
        <v>513</v>
      </c>
      <c r="F227" s="391">
        <v>10</v>
      </c>
      <c r="G227" s="391">
        <v>233.98</v>
      </c>
      <c r="H227" s="61">
        <f>304.17*Comp!N10</f>
        <v>304.17</v>
      </c>
      <c r="I227" s="61"/>
      <c r="J227" s="45"/>
      <c r="K227" s="45">
        <f t="shared" si="8"/>
        <v>3041.7000000000003</v>
      </c>
      <c r="M227" s="52"/>
      <c r="N227" s="52"/>
      <c r="O227" s="46"/>
    </row>
    <row r="228" spans="1:15" s="13" customFormat="1" x14ac:dyDescent="0.25">
      <c r="A228" s="116"/>
      <c r="B228" s="115"/>
      <c r="C228" s="389" t="s">
        <v>852</v>
      </c>
      <c r="D228" s="513" t="s">
        <v>853</v>
      </c>
      <c r="E228" s="390" t="s">
        <v>513</v>
      </c>
      <c r="F228" s="391">
        <v>1</v>
      </c>
      <c r="G228" s="391">
        <v>102.24</v>
      </c>
      <c r="H228" s="61">
        <f>132.91*Comp!N10</f>
        <v>132.91</v>
      </c>
      <c r="I228" s="61"/>
      <c r="J228" s="45"/>
      <c r="K228" s="45">
        <f t="shared" si="8"/>
        <v>132.91</v>
      </c>
      <c r="M228" s="52"/>
      <c r="N228" s="52"/>
      <c r="O228" s="46"/>
    </row>
    <row r="229" spans="1:15" s="13" customFormat="1" x14ac:dyDescent="0.25">
      <c r="A229" s="116"/>
      <c r="B229" s="115"/>
      <c r="C229" s="389" t="s">
        <v>854</v>
      </c>
      <c r="D229" s="513" t="s">
        <v>855</v>
      </c>
      <c r="E229" s="390" t="s">
        <v>513</v>
      </c>
      <c r="F229" s="391">
        <v>1</v>
      </c>
      <c r="G229" s="391">
        <v>53.82</v>
      </c>
      <c r="H229" s="61">
        <f>69.97*Comp!N10</f>
        <v>69.97</v>
      </c>
      <c r="I229" s="61"/>
      <c r="J229" s="45"/>
      <c r="K229" s="45">
        <f t="shared" si="8"/>
        <v>69.97</v>
      </c>
      <c r="M229" s="52"/>
      <c r="N229" s="52"/>
      <c r="O229" s="46"/>
    </row>
    <row r="230" spans="1:15" s="13" customFormat="1" x14ac:dyDescent="0.25">
      <c r="A230" s="116"/>
      <c r="B230" s="115"/>
      <c r="C230" s="389" t="s">
        <v>856</v>
      </c>
      <c r="D230" s="513" t="s">
        <v>857</v>
      </c>
      <c r="E230" s="390" t="s">
        <v>513</v>
      </c>
      <c r="F230" s="391">
        <v>1</v>
      </c>
      <c r="G230" s="391">
        <v>35.03</v>
      </c>
      <c r="H230" s="61">
        <f>45.54*Comp!N10</f>
        <v>45.54</v>
      </c>
      <c r="I230" s="61"/>
      <c r="J230" s="45"/>
      <c r="K230" s="45">
        <f t="shared" si="8"/>
        <v>45.54</v>
      </c>
      <c r="M230" s="52"/>
      <c r="N230" s="52"/>
      <c r="O230" s="46"/>
    </row>
    <row r="231" spans="1:15" s="13" customFormat="1" x14ac:dyDescent="0.25">
      <c r="A231" s="116"/>
      <c r="B231" s="115"/>
      <c r="C231" s="389" t="s">
        <v>858</v>
      </c>
      <c r="D231" s="513" t="s">
        <v>860</v>
      </c>
      <c r="E231" s="390" t="s">
        <v>513</v>
      </c>
      <c r="F231" s="391">
        <v>3</v>
      </c>
      <c r="G231" s="391">
        <v>30.28</v>
      </c>
      <c r="H231" s="61">
        <f>39.36*Comp!N10</f>
        <v>39.36</v>
      </c>
      <c r="I231" s="61"/>
      <c r="J231" s="45"/>
      <c r="K231" s="45">
        <f t="shared" si="8"/>
        <v>118.08</v>
      </c>
      <c r="M231" s="52"/>
      <c r="N231" s="52"/>
      <c r="O231" s="46"/>
    </row>
    <row r="232" spans="1:15" s="13" customFormat="1" x14ac:dyDescent="0.25">
      <c r="A232" s="116"/>
      <c r="B232" s="115"/>
      <c r="C232" s="389" t="s">
        <v>859</v>
      </c>
      <c r="D232" s="513" t="s">
        <v>861</v>
      </c>
      <c r="E232" s="390" t="s">
        <v>513</v>
      </c>
      <c r="F232" s="391">
        <v>5</v>
      </c>
      <c r="G232" s="391">
        <v>30.28</v>
      </c>
      <c r="H232" s="61">
        <f>39.36*Comp!N10</f>
        <v>39.36</v>
      </c>
      <c r="I232" s="61"/>
      <c r="J232" s="45"/>
      <c r="K232" s="45">
        <f t="shared" si="8"/>
        <v>196.8</v>
      </c>
      <c r="M232" s="52"/>
      <c r="N232" s="52"/>
      <c r="O232" s="46"/>
    </row>
    <row r="233" spans="1:15" s="13" customFormat="1" x14ac:dyDescent="0.25">
      <c r="A233" s="116"/>
      <c r="B233" s="115"/>
      <c r="C233" s="87" t="s">
        <v>862</v>
      </c>
      <c r="D233" s="514" t="s">
        <v>863</v>
      </c>
      <c r="E233" s="73" t="s">
        <v>513</v>
      </c>
      <c r="F233" s="49">
        <v>5</v>
      </c>
      <c r="G233" s="377">
        <v>37.950000000000003</v>
      </c>
      <c r="H233" s="61">
        <f>49.34*Comp!N10</f>
        <v>49.34</v>
      </c>
      <c r="I233" s="61"/>
      <c r="J233" s="45"/>
      <c r="K233" s="45">
        <f t="shared" si="8"/>
        <v>246.70000000000002</v>
      </c>
      <c r="L233" s="47"/>
      <c r="M233" s="178"/>
      <c r="N233" s="52"/>
      <c r="O233" s="46"/>
    </row>
    <row r="234" spans="1:15" s="13" customFormat="1" ht="36" x14ac:dyDescent="0.25">
      <c r="A234" s="116"/>
      <c r="B234" s="115"/>
      <c r="C234" s="389" t="s">
        <v>864</v>
      </c>
      <c r="D234" s="514" t="s">
        <v>865</v>
      </c>
      <c r="E234" s="390" t="s">
        <v>513</v>
      </c>
      <c r="F234" s="391">
        <v>13</v>
      </c>
      <c r="G234" s="391">
        <v>324.63</v>
      </c>
      <c r="H234" s="61">
        <f>422.02*Comp!N10</f>
        <v>422.02</v>
      </c>
      <c r="I234" s="61"/>
      <c r="J234" s="45"/>
      <c r="K234" s="45">
        <f t="shared" si="8"/>
        <v>5486.26</v>
      </c>
      <c r="L234" s="47"/>
      <c r="M234" s="178"/>
      <c r="N234" s="52"/>
      <c r="O234" s="46"/>
    </row>
    <row r="235" spans="1:15" s="13" customFormat="1" x14ac:dyDescent="0.25">
      <c r="A235" s="116"/>
      <c r="B235" s="115"/>
      <c r="C235" s="87"/>
      <c r="D235" s="53"/>
      <c r="E235" s="73"/>
      <c r="F235" s="49"/>
      <c r="G235" s="377"/>
      <c r="H235" s="61"/>
      <c r="I235" s="61"/>
      <c r="J235" s="45"/>
      <c r="K235" s="45"/>
      <c r="M235" s="52"/>
      <c r="N235" s="52"/>
      <c r="O235" s="46"/>
    </row>
    <row r="236" spans="1:15" s="13" customFormat="1" x14ac:dyDescent="0.25">
      <c r="A236" s="116"/>
      <c r="B236" s="167"/>
      <c r="C236" s="168">
        <v>8</v>
      </c>
      <c r="D236" s="169" t="s">
        <v>866</v>
      </c>
      <c r="E236" s="175"/>
      <c r="F236" s="171"/>
      <c r="G236" s="171"/>
      <c r="H236" s="172"/>
      <c r="I236" s="173"/>
      <c r="J236" s="174">
        <f>SUM(J237:J273)</f>
        <v>770680.01059999992</v>
      </c>
      <c r="K236" s="174">
        <f>SUM(K237:K239)</f>
        <v>130033.75729999998</v>
      </c>
      <c r="L236" s="47"/>
      <c r="M236" s="52"/>
      <c r="N236" s="52">
        <v>147265.372789769</v>
      </c>
      <c r="O236" s="46">
        <f>K236-N236</f>
        <v>-17231.615489769014</v>
      </c>
    </row>
    <row r="237" spans="1:15" s="13" customFormat="1" x14ac:dyDescent="0.25">
      <c r="A237" s="116"/>
      <c r="B237" s="115" t="s">
        <v>247</v>
      </c>
      <c r="C237" s="87" t="s">
        <v>41</v>
      </c>
      <c r="D237" s="53" t="s">
        <v>869</v>
      </c>
      <c r="E237" s="73" t="s">
        <v>9</v>
      </c>
      <c r="F237" s="49">
        <v>1710.32</v>
      </c>
      <c r="G237" s="377">
        <v>44.54</v>
      </c>
      <c r="H237" s="61">
        <f>57.9*Comp!N10</f>
        <v>57.9</v>
      </c>
      <c r="I237" s="61">
        <v>382.36</v>
      </c>
      <c r="J237" s="45">
        <f t="shared" ref="J237:J239" si="9">F237*I237</f>
        <v>653957.95519999997</v>
      </c>
      <c r="K237" s="45">
        <f>F237*H237</f>
        <v>99027.527999999991</v>
      </c>
      <c r="M237" s="52"/>
      <c r="N237" s="52"/>
      <c r="O237" s="46"/>
    </row>
    <row r="238" spans="1:15" s="13" customFormat="1" x14ac:dyDescent="0.25">
      <c r="A238" s="116"/>
      <c r="B238" s="115" t="s">
        <v>121</v>
      </c>
      <c r="C238" s="87" t="s">
        <v>867</v>
      </c>
      <c r="D238" s="53" t="s">
        <v>870</v>
      </c>
      <c r="E238" s="73" t="s">
        <v>9</v>
      </c>
      <c r="F238" s="49">
        <v>40.229999999999997</v>
      </c>
      <c r="G238" s="377">
        <v>32.78</v>
      </c>
      <c r="H238" s="61">
        <f>42.61*Comp!N10</f>
        <v>42.61</v>
      </c>
      <c r="I238" s="61">
        <v>773.51</v>
      </c>
      <c r="J238" s="45">
        <f t="shared" si="9"/>
        <v>31118.307299999997</v>
      </c>
      <c r="K238" s="45">
        <f t="shared" ref="K238:K279" si="10">F238*H238</f>
        <v>1714.2002999999997</v>
      </c>
      <c r="M238" s="52"/>
      <c r="N238" s="52"/>
      <c r="O238" s="46"/>
    </row>
    <row r="239" spans="1:15" s="13" customFormat="1" x14ac:dyDescent="0.25">
      <c r="A239" s="116"/>
      <c r="B239" s="115" t="s">
        <v>120</v>
      </c>
      <c r="C239" s="87" t="s">
        <v>868</v>
      </c>
      <c r="D239" s="53" t="s">
        <v>871</v>
      </c>
      <c r="E239" s="73" t="s">
        <v>9</v>
      </c>
      <c r="F239" s="49">
        <v>205.27</v>
      </c>
      <c r="G239" s="377">
        <v>109.77</v>
      </c>
      <c r="H239" s="61">
        <f>142.7*Comp!N10</f>
        <v>142.69999999999999</v>
      </c>
      <c r="I239" s="61">
        <v>417.03</v>
      </c>
      <c r="J239" s="45">
        <f t="shared" si="9"/>
        <v>85603.748099999997</v>
      </c>
      <c r="K239" s="45">
        <f t="shared" si="10"/>
        <v>29292.028999999999</v>
      </c>
      <c r="M239" s="52"/>
      <c r="N239" s="52"/>
      <c r="O239" s="46"/>
    </row>
    <row r="240" spans="1:15" s="13" customFormat="1" ht="18.75" customHeight="1" x14ac:dyDescent="0.25">
      <c r="A240" s="116"/>
      <c r="B240" s="115"/>
      <c r="C240" s="87"/>
      <c r="D240" s="53"/>
      <c r="E240" s="73"/>
      <c r="F240" s="49"/>
      <c r="G240" s="377"/>
      <c r="H240" s="61"/>
      <c r="I240" s="61"/>
      <c r="J240" s="45"/>
      <c r="K240" s="45"/>
      <c r="M240" s="52"/>
      <c r="N240" s="52"/>
      <c r="O240" s="46"/>
    </row>
    <row r="241" spans="1:15" s="13" customFormat="1" x14ac:dyDescent="0.25">
      <c r="A241" s="116"/>
      <c r="B241" s="167"/>
      <c r="C241" s="168">
        <v>9</v>
      </c>
      <c r="D241" s="169" t="s">
        <v>72</v>
      </c>
      <c r="E241" s="175"/>
      <c r="F241" s="171"/>
      <c r="G241" s="171"/>
      <c r="H241" s="172"/>
      <c r="I241" s="173"/>
      <c r="J241" s="174"/>
      <c r="K241" s="174">
        <f>SUM(K242:K244)</f>
        <v>18626.026400000002</v>
      </c>
      <c r="L241" s="47"/>
      <c r="M241" s="52"/>
      <c r="N241" s="52"/>
      <c r="O241" s="46"/>
    </row>
    <row r="242" spans="1:15" s="13" customFormat="1" x14ac:dyDescent="0.25">
      <c r="A242" s="116"/>
      <c r="B242" s="119"/>
      <c r="C242" s="95" t="s">
        <v>39</v>
      </c>
      <c r="D242" s="97" t="s">
        <v>872</v>
      </c>
      <c r="E242" s="93" t="s">
        <v>9</v>
      </c>
      <c r="F242" s="94">
        <v>631.46</v>
      </c>
      <c r="G242" s="94">
        <v>20.49</v>
      </c>
      <c r="H242" s="61">
        <f>26.64*Comp!N10</f>
        <v>26.64</v>
      </c>
      <c r="I242" s="61"/>
      <c r="J242" s="45"/>
      <c r="K242" s="45">
        <f t="shared" si="10"/>
        <v>16822.094400000002</v>
      </c>
      <c r="M242" s="52"/>
      <c r="N242" s="52"/>
      <c r="O242" s="46"/>
    </row>
    <row r="243" spans="1:15" s="13" customFormat="1" x14ac:dyDescent="0.25">
      <c r="A243" s="117"/>
      <c r="B243" s="119"/>
      <c r="C243" s="95" t="s">
        <v>46</v>
      </c>
      <c r="D243" s="120" t="s">
        <v>873</v>
      </c>
      <c r="E243" s="119" t="s">
        <v>9</v>
      </c>
      <c r="F243" s="94">
        <v>32.74</v>
      </c>
      <c r="G243" s="94">
        <v>22</v>
      </c>
      <c r="H243" s="61">
        <f>28.6*Comp!N10</f>
        <v>28.6</v>
      </c>
      <c r="I243" s="61"/>
      <c r="J243" s="45"/>
      <c r="K243" s="45">
        <f t="shared" si="10"/>
        <v>936.36400000000015</v>
      </c>
      <c r="M243" s="179"/>
    </row>
    <row r="244" spans="1:15" s="13" customFormat="1" x14ac:dyDescent="0.25">
      <c r="A244" s="117"/>
      <c r="B244" s="119"/>
      <c r="C244" s="95" t="s">
        <v>47</v>
      </c>
      <c r="D244" s="120" t="s">
        <v>874</v>
      </c>
      <c r="E244" s="119" t="s">
        <v>9</v>
      </c>
      <c r="F244" s="94">
        <v>31.04</v>
      </c>
      <c r="G244" s="94">
        <v>21.5</v>
      </c>
      <c r="H244" s="61">
        <f>27.95*Comp!N10</f>
        <v>27.95</v>
      </c>
      <c r="I244" s="61"/>
      <c r="J244" s="45"/>
      <c r="K244" s="45">
        <f t="shared" si="10"/>
        <v>867.56799999999998</v>
      </c>
      <c r="M244" s="179"/>
    </row>
    <row r="245" spans="1:15" s="13" customFormat="1" x14ac:dyDescent="0.25">
      <c r="A245" s="117"/>
      <c r="B245" s="119"/>
      <c r="C245" s="95"/>
      <c r="D245" s="120"/>
      <c r="E245" s="119"/>
      <c r="F245" s="94"/>
      <c r="G245" s="94"/>
      <c r="H245" s="96"/>
      <c r="I245" s="61"/>
      <c r="J245" s="45"/>
      <c r="K245" s="45"/>
      <c r="M245" s="179"/>
    </row>
    <row r="246" spans="1:15" s="13" customFormat="1" x14ac:dyDescent="0.25">
      <c r="A246" s="116"/>
      <c r="B246" s="167"/>
      <c r="C246" s="168">
        <v>10</v>
      </c>
      <c r="D246" s="169" t="s">
        <v>875</v>
      </c>
      <c r="E246" s="175"/>
      <c r="F246" s="171"/>
      <c r="G246" s="171"/>
      <c r="H246" s="172"/>
      <c r="I246" s="173"/>
      <c r="J246" s="174"/>
      <c r="K246" s="174">
        <f>SUM(K247)</f>
        <v>559632.64772699971</v>
      </c>
      <c r="L246" s="47"/>
      <c r="M246" s="52"/>
      <c r="N246" s="52"/>
      <c r="O246" s="46"/>
    </row>
    <row r="247" spans="1:15" s="13" customFormat="1" x14ac:dyDescent="0.25">
      <c r="A247" s="117"/>
      <c r="B247" s="119"/>
      <c r="C247" s="95" t="s">
        <v>20</v>
      </c>
      <c r="D247" s="120" t="s">
        <v>876</v>
      </c>
      <c r="E247" s="119" t="s">
        <v>12</v>
      </c>
      <c r="F247" s="94">
        <v>51725</v>
      </c>
      <c r="G247" s="94">
        <v>8.32</v>
      </c>
      <c r="H247" s="96">
        <f>Comp!I2818</f>
        <v>10.819384199652001</v>
      </c>
      <c r="I247" s="61"/>
      <c r="J247" s="45"/>
      <c r="K247" s="45">
        <f t="shared" si="10"/>
        <v>559632.64772699971</v>
      </c>
      <c r="M247" s="179"/>
    </row>
    <row r="248" spans="1:15" s="13" customFormat="1" x14ac:dyDescent="0.25">
      <c r="A248" s="117"/>
      <c r="B248" s="119"/>
      <c r="C248" s="95"/>
      <c r="D248" s="120"/>
      <c r="E248" s="119"/>
      <c r="F248" s="94"/>
      <c r="G248" s="94"/>
      <c r="H248" s="96"/>
      <c r="I248" s="61"/>
      <c r="J248" s="45"/>
      <c r="K248" s="45"/>
      <c r="M248" s="179"/>
    </row>
    <row r="249" spans="1:15" s="13" customFormat="1" x14ac:dyDescent="0.25">
      <c r="A249" s="116"/>
      <c r="B249" s="167"/>
      <c r="C249" s="168">
        <v>11</v>
      </c>
      <c r="D249" s="169" t="s">
        <v>877</v>
      </c>
      <c r="E249" s="175"/>
      <c r="F249" s="171"/>
      <c r="G249" s="171"/>
      <c r="H249" s="172"/>
      <c r="I249" s="173"/>
      <c r="J249" s="174"/>
      <c r="K249" s="174">
        <f>SUM(K250:K256)</f>
        <v>211220.04819999999</v>
      </c>
      <c r="L249" s="47"/>
      <c r="M249" s="52"/>
      <c r="N249" s="52"/>
      <c r="O249" s="46"/>
    </row>
    <row r="250" spans="1:15" s="13" customFormat="1" x14ac:dyDescent="0.25">
      <c r="A250" s="116"/>
      <c r="B250" s="115"/>
      <c r="C250" s="235" t="s">
        <v>21</v>
      </c>
      <c r="D250" s="53" t="s">
        <v>878</v>
      </c>
      <c r="E250" s="233" t="s">
        <v>9</v>
      </c>
      <c r="F250" s="234">
        <v>2423.3200000000002</v>
      </c>
      <c r="G250" s="377">
        <v>40.28</v>
      </c>
      <c r="H250" s="61">
        <f>52.36*Comp!N10</f>
        <v>52.36</v>
      </c>
      <c r="I250" s="61"/>
      <c r="J250" s="45"/>
      <c r="K250" s="45">
        <f t="shared" si="10"/>
        <v>126885.03520000001</v>
      </c>
      <c r="M250" s="52"/>
      <c r="N250" s="52"/>
      <c r="O250" s="46"/>
    </row>
    <row r="251" spans="1:15" s="13" customFormat="1" x14ac:dyDescent="0.25">
      <c r="A251" s="116"/>
      <c r="B251" s="115"/>
      <c r="C251" s="87" t="s">
        <v>22</v>
      </c>
      <c r="D251" s="53" t="s">
        <v>879</v>
      </c>
      <c r="E251" s="73" t="s">
        <v>9</v>
      </c>
      <c r="F251" s="49">
        <v>75</v>
      </c>
      <c r="G251" s="377">
        <v>39.47</v>
      </c>
      <c r="H251" s="61">
        <f>51.31*Comp!N10</f>
        <v>51.31</v>
      </c>
      <c r="I251" s="61"/>
      <c r="J251" s="45"/>
      <c r="K251" s="45">
        <f t="shared" si="10"/>
        <v>3848.25</v>
      </c>
      <c r="M251" s="52"/>
      <c r="N251" s="52"/>
      <c r="O251" s="46"/>
    </row>
    <row r="252" spans="1:15" s="13" customFormat="1" ht="24" x14ac:dyDescent="0.25">
      <c r="A252" s="116"/>
      <c r="B252" s="115"/>
      <c r="C252" s="389" t="s">
        <v>23</v>
      </c>
      <c r="D252" s="53" t="s">
        <v>880</v>
      </c>
      <c r="E252" s="390" t="s">
        <v>9</v>
      </c>
      <c r="F252" s="391">
        <v>1607</v>
      </c>
      <c r="G252" s="391">
        <v>32.07</v>
      </c>
      <c r="H252" s="61">
        <f>41.69*Comp!N10</f>
        <v>41.69</v>
      </c>
      <c r="I252" s="61"/>
      <c r="J252" s="45"/>
      <c r="K252" s="45">
        <f t="shared" si="10"/>
        <v>66995.83</v>
      </c>
      <c r="M252" s="52"/>
      <c r="N252" s="52"/>
      <c r="O252" s="46"/>
    </row>
    <row r="253" spans="1:15" s="13" customFormat="1" x14ac:dyDescent="0.25">
      <c r="A253" s="116"/>
      <c r="B253" s="115"/>
      <c r="C253" s="389" t="s">
        <v>74</v>
      </c>
      <c r="D253" s="53" t="s">
        <v>881</v>
      </c>
      <c r="E253" s="390" t="s">
        <v>10</v>
      </c>
      <c r="F253" s="391">
        <v>259.39999999999998</v>
      </c>
      <c r="G253" s="391">
        <v>18.100000000000001</v>
      </c>
      <c r="H253" s="61">
        <f>23.53*Comp!N10</f>
        <v>23.53</v>
      </c>
      <c r="I253" s="61"/>
      <c r="J253" s="45"/>
      <c r="K253" s="45">
        <f t="shared" si="10"/>
        <v>6103.6819999999998</v>
      </c>
      <c r="M253" s="52"/>
      <c r="N253" s="52"/>
      <c r="O253" s="46"/>
    </row>
    <row r="254" spans="1:15" s="13" customFormat="1" x14ac:dyDescent="0.25">
      <c r="A254" s="116"/>
      <c r="B254" s="115"/>
      <c r="C254" s="389" t="s">
        <v>149</v>
      </c>
      <c r="D254" s="53" t="s">
        <v>882</v>
      </c>
      <c r="E254" s="390" t="s">
        <v>10</v>
      </c>
      <c r="F254" s="391">
        <v>46.1</v>
      </c>
      <c r="G254" s="391">
        <v>29.78</v>
      </c>
      <c r="H254" s="61">
        <f>38.71*Comp!N10</f>
        <v>38.71</v>
      </c>
      <c r="I254" s="61"/>
      <c r="J254" s="45"/>
      <c r="K254" s="45">
        <f t="shared" si="10"/>
        <v>1784.5310000000002</v>
      </c>
      <c r="M254" s="52"/>
      <c r="N254" s="52"/>
      <c r="O254" s="46"/>
    </row>
    <row r="255" spans="1:15" s="13" customFormat="1" x14ac:dyDescent="0.25">
      <c r="A255" s="116"/>
      <c r="B255" s="115"/>
      <c r="C255" s="389" t="s">
        <v>150</v>
      </c>
      <c r="D255" s="53" t="s">
        <v>883</v>
      </c>
      <c r="E255" s="390" t="s">
        <v>10</v>
      </c>
      <c r="F255" s="391">
        <v>504</v>
      </c>
      <c r="G255" s="391">
        <v>5.97</v>
      </c>
      <c r="H255" s="61">
        <f>7.76*Comp!N10</f>
        <v>7.76</v>
      </c>
      <c r="I255" s="61"/>
      <c r="J255" s="45"/>
      <c r="K255" s="45">
        <f t="shared" si="10"/>
        <v>3911.04</v>
      </c>
      <c r="M255" s="52"/>
      <c r="N255" s="52"/>
      <c r="O255" s="46"/>
    </row>
    <row r="256" spans="1:15" s="13" customFormat="1" x14ac:dyDescent="0.25">
      <c r="A256" s="116"/>
      <c r="B256" s="115"/>
      <c r="C256" s="389" t="s">
        <v>189</v>
      </c>
      <c r="D256" s="53" t="s">
        <v>884</v>
      </c>
      <c r="E256" s="390" t="s">
        <v>10</v>
      </c>
      <c r="F256" s="391">
        <v>218</v>
      </c>
      <c r="G256" s="391">
        <v>5.97</v>
      </c>
      <c r="H256" s="61">
        <f>7.76*Comp!N10</f>
        <v>7.76</v>
      </c>
      <c r="I256" s="61"/>
      <c r="J256" s="45"/>
      <c r="K256" s="45">
        <f t="shared" si="10"/>
        <v>1691.68</v>
      </c>
      <c r="M256" s="52"/>
      <c r="N256" s="52"/>
      <c r="O256" s="46"/>
    </row>
    <row r="257" spans="1:15" s="13" customFormat="1" x14ac:dyDescent="0.25">
      <c r="A257" s="116"/>
      <c r="B257" s="115"/>
      <c r="C257" s="389"/>
      <c r="D257" s="53"/>
      <c r="E257" s="390"/>
      <c r="F257" s="391"/>
      <c r="G257" s="391"/>
      <c r="H257" s="61"/>
      <c r="I257" s="61"/>
      <c r="J257" s="45"/>
      <c r="K257" s="45"/>
      <c r="M257" s="52"/>
      <c r="N257" s="52"/>
      <c r="O257" s="46"/>
    </row>
    <row r="258" spans="1:15" s="13" customFormat="1" x14ac:dyDescent="0.25">
      <c r="A258" s="116"/>
      <c r="B258" s="167"/>
      <c r="C258" s="168">
        <v>12</v>
      </c>
      <c r="D258" s="169" t="s">
        <v>885</v>
      </c>
      <c r="E258" s="175"/>
      <c r="F258" s="171"/>
      <c r="G258" s="171"/>
      <c r="H258" s="172"/>
      <c r="I258" s="173"/>
      <c r="J258" s="174"/>
      <c r="K258" s="174">
        <f>SUM(K259:K279)</f>
        <v>370375.38810000016</v>
      </c>
      <c r="L258" s="47"/>
      <c r="M258" s="52"/>
      <c r="N258" s="52"/>
      <c r="O258" s="46"/>
    </row>
    <row r="259" spans="1:15" s="13" customFormat="1" x14ac:dyDescent="0.25">
      <c r="A259" s="116"/>
      <c r="B259" s="115"/>
      <c r="C259" s="389" t="s">
        <v>42</v>
      </c>
      <c r="D259" s="53" t="s">
        <v>886</v>
      </c>
      <c r="E259" s="390" t="s">
        <v>10</v>
      </c>
      <c r="F259" s="391">
        <v>2.93</v>
      </c>
      <c r="G259" s="391">
        <v>214.96</v>
      </c>
      <c r="H259" s="61">
        <f>279.45*Comp!N10</f>
        <v>279.45</v>
      </c>
      <c r="I259" s="61"/>
      <c r="J259" s="45"/>
      <c r="K259" s="45">
        <f t="shared" si="10"/>
        <v>818.7885</v>
      </c>
      <c r="M259" s="52"/>
      <c r="N259" s="52"/>
      <c r="O259" s="46"/>
    </row>
    <row r="260" spans="1:15" s="13" customFormat="1" x14ac:dyDescent="0.25">
      <c r="A260" s="116"/>
      <c r="B260" s="115"/>
      <c r="C260" s="389" t="s">
        <v>24</v>
      </c>
      <c r="D260" s="53" t="s">
        <v>887</v>
      </c>
      <c r="E260" s="390" t="s">
        <v>10</v>
      </c>
      <c r="F260" s="391">
        <v>7</v>
      </c>
      <c r="G260" s="391">
        <v>303.7</v>
      </c>
      <c r="H260" s="61">
        <f>394.81*Comp!N10</f>
        <v>394.81</v>
      </c>
      <c r="I260" s="61"/>
      <c r="J260" s="45"/>
      <c r="K260" s="45">
        <f t="shared" si="10"/>
        <v>2763.67</v>
      </c>
      <c r="M260" s="52"/>
      <c r="N260" s="52"/>
      <c r="O260" s="46"/>
    </row>
    <row r="261" spans="1:15" s="13" customFormat="1" x14ac:dyDescent="0.25">
      <c r="A261" s="116"/>
      <c r="B261" s="115"/>
      <c r="C261" s="389" t="s">
        <v>43</v>
      </c>
      <c r="D261" s="53" t="s">
        <v>888</v>
      </c>
      <c r="E261" s="390" t="s">
        <v>9</v>
      </c>
      <c r="F261" s="391">
        <v>88.39</v>
      </c>
      <c r="G261" s="391">
        <v>439.26</v>
      </c>
      <c r="H261" s="61">
        <f>571.04*Comp!N10</f>
        <v>571.04</v>
      </c>
      <c r="I261" s="61"/>
      <c r="J261" s="45"/>
      <c r="K261" s="45">
        <f t="shared" si="10"/>
        <v>50474.225599999998</v>
      </c>
      <c r="M261" s="52"/>
      <c r="N261" s="52"/>
      <c r="O261" s="46"/>
    </row>
    <row r="262" spans="1:15" s="13" customFormat="1" x14ac:dyDescent="0.25">
      <c r="A262" s="116"/>
      <c r="B262" s="115"/>
      <c r="C262" s="389" t="s">
        <v>75</v>
      </c>
      <c r="D262" s="53" t="s">
        <v>889</v>
      </c>
      <c r="E262" s="390" t="s">
        <v>9</v>
      </c>
      <c r="F262" s="391">
        <v>135.65</v>
      </c>
      <c r="G262" s="391">
        <v>389.26</v>
      </c>
      <c r="H262" s="61">
        <f>506.04*Comp!N10</f>
        <v>506.04</v>
      </c>
      <c r="I262" s="61"/>
      <c r="J262" s="45"/>
      <c r="K262" s="45">
        <f t="shared" si="10"/>
        <v>68644.326000000001</v>
      </c>
      <c r="M262" s="52"/>
      <c r="N262" s="52"/>
      <c r="O262" s="46"/>
    </row>
    <row r="263" spans="1:15" s="13" customFormat="1" ht="24" x14ac:dyDescent="0.25">
      <c r="A263" s="116"/>
      <c r="B263" s="115"/>
      <c r="C263" s="389" t="s">
        <v>154</v>
      </c>
      <c r="D263" s="53" t="s">
        <v>890</v>
      </c>
      <c r="E263" s="390" t="s">
        <v>9</v>
      </c>
      <c r="F263" s="391">
        <v>1.26</v>
      </c>
      <c r="G263" s="391">
        <v>307.27</v>
      </c>
      <c r="H263" s="61">
        <f>399.45*Comp!N10</f>
        <v>399.45</v>
      </c>
      <c r="I263" s="61"/>
      <c r="J263" s="45"/>
      <c r="K263" s="45">
        <f t="shared" si="10"/>
        <v>503.30700000000002</v>
      </c>
      <c r="M263" s="52"/>
      <c r="N263" s="52"/>
      <c r="O263" s="46"/>
    </row>
    <row r="264" spans="1:15" s="13" customFormat="1" ht="24" x14ac:dyDescent="0.25">
      <c r="A264" s="116"/>
      <c r="B264" s="115"/>
      <c r="C264" s="389" t="s">
        <v>155</v>
      </c>
      <c r="D264" s="53" t="s">
        <v>891</v>
      </c>
      <c r="E264" s="390" t="s">
        <v>9</v>
      </c>
      <c r="F264" s="391">
        <v>0.42</v>
      </c>
      <c r="G264" s="391">
        <v>250.9</v>
      </c>
      <c r="H264" s="61">
        <f>326.17*Comp!N10</f>
        <v>326.17</v>
      </c>
      <c r="I264" s="61"/>
      <c r="J264" s="45"/>
      <c r="K264" s="45">
        <f t="shared" si="10"/>
        <v>136.9914</v>
      </c>
      <c r="M264" s="52"/>
      <c r="N264" s="52"/>
      <c r="O264" s="46"/>
    </row>
    <row r="265" spans="1:15" s="13" customFormat="1" x14ac:dyDescent="0.25">
      <c r="A265" s="116"/>
      <c r="B265" s="115"/>
      <c r="C265" s="389" t="s">
        <v>156</v>
      </c>
      <c r="D265" s="53" t="s">
        <v>892</v>
      </c>
      <c r="E265" s="390" t="s">
        <v>10</v>
      </c>
      <c r="F265" s="391">
        <v>120</v>
      </c>
      <c r="G265" s="391">
        <v>201.32</v>
      </c>
      <c r="H265" s="61">
        <f>261.72*Comp!N10</f>
        <v>261.72000000000003</v>
      </c>
      <c r="I265" s="61"/>
      <c r="J265" s="45"/>
      <c r="K265" s="45">
        <f t="shared" si="10"/>
        <v>31406.400000000001</v>
      </c>
      <c r="M265" s="52"/>
      <c r="N265" s="52"/>
      <c r="O265" s="46"/>
    </row>
    <row r="266" spans="1:15" s="13" customFormat="1" x14ac:dyDescent="0.25">
      <c r="A266" s="116"/>
      <c r="B266" s="115"/>
      <c r="C266" s="389" t="s">
        <v>157</v>
      </c>
      <c r="D266" s="53" t="s">
        <v>893</v>
      </c>
      <c r="E266" s="390" t="s">
        <v>9</v>
      </c>
      <c r="F266" s="391">
        <v>141.72</v>
      </c>
      <c r="G266" s="391">
        <v>353.34</v>
      </c>
      <c r="H266" s="61">
        <f>459.34*Comp!N10</f>
        <v>459.34</v>
      </c>
      <c r="I266" s="61"/>
      <c r="J266" s="45"/>
      <c r="K266" s="45">
        <f t="shared" si="10"/>
        <v>65097.664799999999</v>
      </c>
      <c r="M266" s="52"/>
      <c r="N266" s="52"/>
      <c r="O266" s="46"/>
    </row>
    <row r="267" spans="1:15" s="13" customFormat="1" x14ac:dyDescent="0.25">
      <c r="A267" s="116"/>
      <c r="B267" s="115"/>
      <c r="C267" s="389" t="s">
        <v>158</v>
      </c>
      <c r="D267" s="53" t="s">
        <v>894</v>
      </c>
      <c r="E267" s="390" t="s">
        <v>10</v>
      </c>
      <c r="F267" s="391">
        <v>144</v>
      </c>
      <c r="G267" s="391">
        <v>201.32</v>
      </c>
      <c r="H267" s="61">
        <f>261.72*Comp!N10</f>
        <v>261.72000000000003</v>
      </c>
      <c r="I267" s="61"/>
      <c r="J267" s="45"/>
      <c r="K267" s="45">
        <f t="shared" si="10"/>
        <v>37687.680000000008</v>
      </c>
      <c r="M267" s="52"/>
      <c r="N267" s="52"/>
      <c r="O267" s="46"/>
    </row>
    <row r="268" spans="1:15" s="13" customFormat="1" x14ac:dyDescent="0.25">
      <c r="A268" s="116"/>
      <c r="B268" s="115"/>
      <c r="C268" s="389" t="s">
        <v>159</v>
      </c>
      <c r="D268" s="53" t="s">
        <v>895</v>
      </c>
      <c r="E268" s="390" t="s">
        <v>10</v>
      </c>
      <c r="F268" s="391">
        <v>24</v>
      </c>
      <c r="G268" s="391">
        <v>86.6</v>
      </c>
      <c r="H268" s="61">
        <f>112.58*Comp!N10</f>
        <v>112.58</v>
      </c>
      <c r="I268" s="61"/>
      <c r="J268" s="45"/>
      <c r="K268" s="45">
        <f t="shared" si="10"/>
        <v>2701.92</v>
      </c>
      <c r="M268" s="52"/>
      <c r="N268" s="52"/>
      <c r="O268" s="46"/>
    </row>
    <row r="269" spans="1:15" s="13" customFormat="1" x14ac:dyDescent="0.25">
      <c r="A269" s="116"/>
      <c r="B269" s="115"/>
      <c r="C269" s="389" t="s">
        <v>160</v>
      </c>
      <c r="D269" s="53" t="s">
        <v>896</v>
      </c>
      <c r="E269" s="390" t="s">
        <v>9</v>
      </c>
      <c r="F269" s="391">
        <v>3.36</v>
      </c>
      <c r="G269" s="391">
        <v>531.09</v>
      </c>
      <c r="H269" s="61">
        <f>690.42*Comp!N10</f>
        <v>690.42</v>
      </c>
      <c r="I269" s="61"/>
      <c r="J269" s="45"/>
      <c r="K269" s="45">
        <f t="shared" si="10"/>
        <v>2319.8111999999996</v>
      </c>
      <c r="M269" s="52"/>
      <c r="N269" s="52"/>
      <c r="O269" s="46"/>
    </row>
    <row r="270" spans="1:15" s="13" customFormat="1" x14ac:dyDescent="0.25">
      <c r="A270" s="116"/>
      <c r="B270" s="115"/>
      <c r="C270" s="389" t="s">
        <v>161</v>
      </c>
      <c r="D270" s="53" t="s">
        <v>897</v>
      </c>
      <c r="E270" s="390" t="s">
        <v>9</v>
      </c>
      <c r="F270" s="391">
        <v>18.72</v>
      </c>
      <c r="G270" s="391">
        <v>246.17</v>
      </c>
      <c r="H270" s="61">
        <f>320.02*Comp!N10</f>
        <v>320.02</v>
      </c>
      <c r="I270" s="61"/>
      <c r="J270" s="45"/>
      <c r="K270" s="45">
        <f t="shared" si="10"/>
        <v>5990.7743999999993</v>
      </c>
      <c r="M270" s="52"/>
      <c r="N270" s="52"/>
      <c r="O270" s="46"/>
    </row>
    <row r="271" spans="1:15" s="13" customFormat="1" x14ac:dyDescent="0.25">
      <c r="A271" s="116"/>
      <c r="B271" s="115"/>
      <c r="C271" s="389" t="s">
        <v>162</v>
      </c>
      <c r="D271" s="53" t="s">
        <v>898</v>
      </c>
      <c r="E271" s="390" t="s">
        <v>9</v>
      </c>
      <c r="F271" s="391">
        <v>4.92</v>
      </c>
      <c r="G271" s="391">
        <v>300.19</v>
      </c>
      <c r="H271" s="61">
        <f>390.25*Comp!N10</f>
        <v>390.25</v>
      </c>
      <c r="I271" s="61"/>
      <c r="J271" s="45"/>
      <c r="K271" s="45">
        <f t="shared" si="10"/>
        <v>1920.03</v>
      </c>
      <c r="M271" s="52"/>
      <c r="N271" s="52"/>
      <c r="O271" s="46"/>
    </row>
    <row r="272" spans="1:15" s="13" customFormat="1" x14ac:dyDescent="0.25">
      <c r="A272" s="116"/>
      <c r="B272" s="115"/>
      <c r="C272" s="389" t="s">
        <v>163</v>
      </c>
      <c r="D272" s="53" t="s">
        <v>899</v>
      </c>
      <c r="E272" s="390" t="s">
        <v>9</v>
      </c>
      <c r="F272" s="391">
        <v>79.53</v>
      </c>
      <c r="G272" s="391">
        <v>531.09</v>
      </c>
      <c r="H272" s="61">
        <f>690.42*Comp!N10</f>
        <v>690.42</v>
      </c>
      <c r="I272" s="61"/>
      <c r="J272" s="45"/>
      <c r="K272" s="45">
        <f t="shared" si="10"/>
        <v>54909.102599999998</v>
      </c>
      <c r="M272" s="52"/>
      <c r="N272" s="52"/>
      <c r="O272" s="46"/>
    </row>
    <row r="273" spans="1:15" s="13" customFormat="1" x14ac:dyDescent="0.25">
      <c r="A273" s="116"/>
      <c r="B273" s="115"/>
      <c r="C273" s="389" t="s">
        <v>164</v>
      </c>
      <c r="D273" s="53" t="s">
        <v>900</v>
      </c>
      <c r="E273" s="390" t="s">
        <v>9</v>
      </c>
      <c r="F273" s="391">
        <v>23.83</v>
      </c>
      <c r="G273" s="391">
        <f>G272</f>
        <v>531.09</v>
      </c>
      <c r="H273" s="61">
        <f>690.42*Comp!N10</f>
        <v>690.42</v>
      </c>
      <c r="I273" s="61"/>
      <c r="J273" s="45"/>
      <c r="K273" s="45">
        <f t="shared" si="10"/>
        <v>16452.708599999998</v>
      </c>
      <c r="M273" s="52"/>
      <c r="N273" s="52"/>
      <c r="O273" s="46"/>
    </row>
    <row r="274" spans="1:15" s="13" customFormat="1" x14ac:dyDescent="0.25">
      <c r="A274" s="116"/>
      <c r="B274" s="115"/>
      <c r="C274" s="389" t="s">
        <v>165</v>
      </c>
      <c r="D274" s="53" t="s">
        <v>901</v>
      </c>
      <c r="E274" s="390" t="s">
        <v>9</v>
      </c>
      <c r="F274" s="391">
        <v>1.94</v>
      </c>
      <c r="G274" s="391">
        <v>298.58</v>
      </c>
      <c r="H274" s="61">
        <f>388.15*Comp!N10</f>
        <v>388.15</v>
      </c>
      <c r="I274" s="61"/>
      <c r="J274" s="45"/>
      <c r="K274" s="45">
        <f t="shared" si="10"/>
        <v>753.01099999999997</v>
      </c>
      <c r="M274" s="52"/>
      <c r="N274" s="52"/>
      <c r="O274" s="46"/>
    </row>
    <row r="275" spans="1:15" s="13" customFormat="1" x14ac:dyDescent="0.25">
      <c r="A275" s="116"/>
      <c r="B275" s="115"/>
      <c r="C275" s="389" t="s">
        <v>166</v>
      </c>
      <c r="D275" s="53" t="s">
        <v>902</v>
      </c>
      <c r="E275" s="390" t="s">
        <v>9</v>
      </c>
      <c r="F275" s="391">
        <v>64</v>
      </c>
      <c r="G275" s="391">
        <v>197.66</v>
      </c>
      <c r="H275" s="61">
        <f>256.96*Comp!N10</f>
        <v>256.95999999999998</v>
      </c>
      <c r="I275" s="61"/>
      <c r="J275" s="45"/>
      <c r="K275" s="45">
        <f t="shared" si="10"/>
        <v>16445.439999999999</v>
      </c>
      <c r="M275" s="52"/>
      <c r="N275" s="52"/>
      <c r="O275" s="46"/>
    </row>
    <row r="276" spans="1:15" s="13" customFormat="1" x14ac:dyDescent="0.25">
      <c r="A276" s="116"/>
      <c r="B276" s="115"/>
      <c r="C276" s="389" t="s">
        <v>167</v>
      </c>
      <c r="D276" s="53" t="s">
        <v>903</v>
      </c>
      <c r="E276" s="390" t="s">
        <v>9</v>
      </c>
      <c r="F276" s="391">
        <v>15.86</v>
      </c>
      <c r="G276" s="391">
        <v>411.09</v>
      </c>
      <c r="H276" s="61">
        <f>534.42*Comp!N10</f>
        <v>534.41999999999996</v>
      </c>
      <c r="I276" s="61"/>
      <c r="J276" s="45"/>
      <c r="K276" s="45">
        <f t="shared" si="10"/>
        <v>8475.9011999999984</v>
      </c>
      <c r="M276" s="52"/>
      <c r="N276" s="52"/>
      <c r="O276" s="46"/>
    </row>
    <row r="277" spans="1:15" s="13" customFormat="1" x14ac:dyDescent="0.25">
      <c r="A277" s="116"/>
      <c r="B277" s="115"/>
      <c r="C277" s="389" t="s">
        <v>168</v>
      </c>
      <c r="D277" s="53" t="s">
        <v>904</v>
      </c>
      <c r="E277" s="390" t="s">
        <v>9</v>
      </c>
      <c r="F277" s="391">
        <v>4.8</v>
      </c>
      <c r="G277" s="391">
        <f>G276</f>
        <v>411.09</v>
      </c>
      <c r="H277" s="61">
        <f>534.42*Comp!N10</f>
        <v>534.41999999999996</v>
      </c>
      <c r="I277" s="61"/>
      <c r="J277" s="45"/>
      <c r="K277" s="45">
        <f t="shared" si="10"/>
        <v>2565.2159999999999</v>
      </c>
      <c r="M277" s="52"/>
      <c r="N277" s="52"/>
      <c r="O277" s="46"/>
    </row>
    <row r="278" spans="1:15" s="13" customFormat="1" x14ac:dyDescent="0.25">
      <c r="A278" s="116"/>
      <c r="B278" s="115"/>
      <c r="C278" s="389" t="s">
        <v>169</v>
      </c>
      <c r="D278" s="53" t="s">
        <v>905</v>
      </c>
      <c r="E278" s="390" t="s">
        <v>10</v>
      </c>
      <c r="F278" s="391">
        <v>8.15</v>
      </c>
      <c r="G278" s="391">
        <v>16.059999999999999</v>
      </c>
      <c r="H278" s="61">
        <f>20.88*Comp!N10</f>
        <v>20.88</v>
      </c>
      <c r="I278" s="61"/>
      <c r="J278" s="45"/>
      <c r="K278" s="45">
        <f t="shared" si="10"/>
        <v>170.172</v>
      </c>
      <c r="M278" s="52"/>
      <c r="N278" s="52"/>
      <c r="O278" s="46"/>
    </row>
    <row r="279" spans="1:15" s="13" customFormat="1" x14ac:dyDescent="0.25">
      <c r="A279" s="116"/>
      <c r="B279" s="115"/>
      <c r="C279" s="389" t="s">
        <v>170</v>
      </c>
      <c r="D279" s="53" t="s">
        <v>906</v>
      </c>
      <c r="E279" s="390" t="s">
        <v>9</v>
      </c>
      <c r="F279" s="391">
        <v>0.56999999999999995</v>
      </c>
      <c r="G279" s="391">
        <v>186.57</v>
      </c>
      <c r="H279" s="61">
        <f>242.54*Comp!N10</f>
        <v>242.54</v>
      </c>
      <c r="I279" s="61"/>
      <c r="J279" s="45"/>
      <c r="K279" s="45">
        <f t="shared" si="10"/>
        <v>138.24779999999998</v>
      </c>
      <c r="M279" s="52"/>
      <c r="N279" s="52"/>
      <c r="O279" s="46"/>
    </row>
    <row r="280" spans="1:15" s="13" customFormat="1" x14ac:dyDescent="0.25">
      <c r="A280" s="116"/>
      <c r="B280" s="115"/>
      <c r="C280" s="389"/>
      <c r="D280" s="53"/>
      <c r="E280" s="390"/>
      <c r="F280" s="391"/>
      <c r="G280" s="391"/>
      <c r="H280" s="61"/>
      <c r="I280" s="61"/>
      <c r="J280" s="45"/>
      <c r="K280" s="45"/>
      <c r="M280" s="52"/>
      <c r="N280" s="52"/>
      <c r="O280" s="46"/>
    </row>
    <row r="281" spans="1:15" s="13" customFormat="1" x14ac:dyDescent="0.25">
      <c r="A281" s="114"/>
      <c r="B281" s="167"/>
      <c r="C281" s="168">
        <v>13</v>
      </c>
      <c r="D281" s="169" t="s">
        <v>130</v>
      </c>
      <c r="E281" s="175"/>
      <c r="F281" s="171"/>
      <c r="G281" s="171"/>
      <c r="H281" s="172"/>
      <c r="I281" s="173"/>
      <c r="J281" s="174">
        <f>SUM(J282:J284)</f>
        <v>25366.441000000003</v>
      </c>
      <c r="K281" s="174">
        <f>SUM(K282:K284)</f>
        <v>18004.844000000001</v>
      </c>
      <c r="L281" s="47"/>
      <c r="M281" s="52"/>
      <c r="N281" s="52"/>
      <c r="O281" s="46"/>
    </row>
    <row r="282" spans="1:15" s="13" customFormat="1" x14ac:dyDescent="0.25">
      <c r="A282" s="116"/>
      <c r="B282" s="115" t="s">
        <v>119</v>
      </c>
      <c r="C282" s="87" t="s">
        <v>25</v>
      </c>
      <c r="D282" s="53" t="s">
        <v>907</v>
      </c>
      <c r="E282" s="73" t="s">
        <v>9</v>
      </c>
      <c r="F282" s="49">
        <v>207.82</v>
      </c>
      <c r="G282" s="377">
        <v>59.57</v>
      </c>
      <c r="H282" s="61">
        <f>77.44*Comp!N10</f>
        <v>77.44</v>
      </c>
      <c r="I282" s="61">
        <v>117.59</v>
      </c>
      <c r="J282" s="45">
        <f t="shared" ref="J282:J283" si="11">F282*I282</f>
        <v>24437.553800000002</v>
      </c>
      <c r="K282" s="45">
        <f t="shared" ref="K282:K313" si="12">F282*H282</f>
        <v>16093.5808</v>
      </c>
      <c r="M282" s="52"/>
      <c r="N282" s="52"/>
      <c r="O282" s="46"/>
    </row>
    <row r="283" spans="1:15" s="13" customFormat="1" x14ac:dyDescent="0.25">
      <c r="A283" s="116"/>
      <c r="B283" s="115" t="s">
        <v>119</v>
      </c>
      <c r="C283" s="87" t="s">
        <v>44</v>
      </c>
      <c r="D283" s="97" t="s">
        <v>908</v>
      </c>
      <c r="E283" s="73" t="s">
        <v>9</v>
      </c>
      <c r="F283" s="49">
        <v>17.48</v>
      </c>
      <c r="G283" s="377">
        <v>84.11</v>
      </c>
      <c r="H283" s="61">
        <f>109.34*Comp!N10</f>
        <v>109.34</v>
      </c>
      <c r="I283" s="61">
        <v>53.14</v>
      </c>
      <c r="J283" s="45">
        <f t="shared" si="11"/>
        <v>928.88720000000001</v>
      </c>
      <c r="K283" s="45">
        <f t="shared" si="12"/>
        <v>1911.2632000000001</v>
      </c>
      <c r="M283" s="52"/>
      <c r="N283" s="52"/>
      <c r="O283" s="46"/>
    </row>
    <row r="284" spans="1:15" s="13" customFormat="1" x14ac:dyDescent="0.25">
      <c r="A284" s="116"/>
      <c r="B284" s="115"/>
      <c r="C284" s="87"/>
      <c r="D284" s="53"/>
      <c r="E284" s="73"/>
      <c r="F284" s="49"/>
      <c r="G284" s="377"/>
      <c r="H284" s="61"/>
      <c r="I284" s="61"/>
      <c r="J284" s="45"/>
      <c r="K284" s="45"/>
      <c r="M284" s="52"/>
      <c r="N284" s="52"/>
      <c r="O284" s="46"/>
    </row>
    <row r="285" spans="1:15" s="13" customFormat="1" x14ac:dyDescent="0.25">
      <c r="A285" s="116"/>
      <c r="B285" s="167"/>
      <c r="C285" s="168">
        <v>14</v>
      </c>
      <c r="D285" s="169" t="s">
        <v>909</v>
      </c>
      <c r="E285" s="170"/>
      <c r="F285" s="171"/>
      <c r="G285" s="171"/>
      <c r="H285" s="172"/>
      <c r="I285" s="173"/>
      <c r="J285" s="174">
        <f>J290</f>
        <v>0</v>
      </c>
      <c r="K285" s="174">
        <f>SUM(K286:K290)</f>
        <v>180082.46</v>
      </c>
      <c r="L285" s="47"/>
      <c r="M285" s="178"/>
      <c r="N285" s="52"/>
      <c r="O285" s="46"/>
    </row>
    <row r="286" spans="1:15" s="13" customFormat="1" x14ac:dyDescent="0.25">
      <c r="A286" s="116"/>
      <c r="B286" s="115"/>
      <c r="C286" s="389" t="s">
        <v>26</v>
      </c>
      <c r="D286" s="53" t="s">
        <v>910</v>
      </c>
      <c r="E286" s="390" t="s">
        <v>9</v>
      </c>
      <c r="F286" s="391">
        <v>3989</v>
      </c>
      <c r="G286" s="391">
        <v>5.35</v>
      </c>
      <c r="H286" s="61">
        <f>6.96*Comp!N10</f>
        <v>6.96</v>
      </c>
      <c r="I286" s="61"/>
      <c r="J286" s="45"/>
      <c r="K286" s="45">
        <f t="shared" si="12"/>
        <v>27763.439999999999</v>
      </c>
      <c r="M286" s="52"/>
      <c r="N286" s="52"/>
      <c r="O286" s="46"/>
    </row>
    <row r="287" spans="1:15" s="13" customFormat="1" x14ac:dyDescent="0.25">
      <c r="A287" s="116"/>
      <c r="B287" s="115"/>
      <c r="C287" s="389" t="s">
        <v>45</v>
      </c>
      <c r="D287" s="53" t="s">
        <v>911</v>
      </c>
      <c r="E287" s="390" t="s">
        <v>9</v>
      </c>
      <c r="F287" s="391">
        <v>565</v>
      </c>
      <c r="G287" s="391">
        <v>18.84</v>
      </c>
      <c r="H287" s="61">
        <f>24.49*Comp!N10</f>
        <v>24.49</v>
      </c>
      <c r="I287" s="61"/>
      <c r="J287" s="45"/>
      <c r="K287" s="45">
        <f t="shared" si="12"/>
        <v>13836.849999999999</v>
      </c>
      <c r="M287" s="52"/>
      <c r="N287" s="52"/>
      <c r="O287" s="46"/>
    </row>
    <row r="288" spans="1:15" s="13" customFormat="1" x14ac:dyDescent="0.25">
      <c r="A288" s="116"/>
      <c r="B288" s="115"/>
      <c r="C288" s="389" t="s">
        <v>48</v>
      </c>
      <c r="D288" s="53" t="s">
        <v>912</v>
      </c>
      <c r="E288" s="390" t="s">
        <v>9</v>
      </c>
      <c r="F288" s="391">
        <v>3416</v>
      </c>
      <c r="G288" s="391">
        <v>21.88</v>
      </c>
      <c r="H288" s="61">
        <f>28.44*Comp!N10</f>
        <v>28.44</v>
      </c>
      <c r="I288" s="61"/>
      <c r="J288" s="45"/>
      <c r="K288" s="45">
        <f t="shared" si="12"/>
        <v>97151.040000000008</v>
      </c>
      <c r="M288" s="52"/>
      <c r="N288" s="52"/>
      <c r="O288" s="46"/>
    </row>
    <row r="289" spans="1:16" s="13" customFormat="1" x14ac:dyDescent="0.25">
      <c r="A289" s="116"/>
      <c r="B289" s="115"/>
      <c r="C289" s="389" t="s">
        <v>49</v>
      </c>
      <c r="D289" s="53" t="s">
        <v>913</v>
      </c>
      <c r="E289" s="390" t="s">
        <v>9</v>
      </c>
      <c r="F289" s="391">
        <v>161</v>
      </c>
      <c r="G289" s="391">
        <v>66.930000000000007</v>
      </c>
      <c r="H289" s="61">
        <f>87.01*Comp!N10</f>
        <v>87.01</v>
      </c>
      <c r="I289" s="61"/>
      <c r="J289" s="45"/>
      <c r="K289" s="45">
        <f t="shared" si="12"/>
        <v>14008.61</v>
      </c>
      <c r="M289" s="52"/>
      <c r="N289" s="52"/>
      <c r="O289" s="46"/>
    </row>
    <row r="290" spans="1:16" s="13" customFormat="1" x14ac:dyDescent="0.25">
      <c r="A290" s="116"/>
      <c r="B290" s="115"/>
      <c r="C290" s="389" t="s">
        <v>77</v>
      </c>
      <c r="D290" s="53" t="s">
        <v>914</v>
      </c>
      <c r="E290" s="390" t="s">
        <v>9</v>
      </c>
      <c r="F290" s="391">
        <v>404</v>
      </c>
      <c r="G290" s="391">
        <v>52.02</v>
      </c>
      <c r="H290" s="61">
        <f>67.63*Comp!N10</f>
        <v>67.63</v>
      </c>
      <c r="I290" s="61"/>
      <c r="J290" s="45"/>
      <c r="K290" s="45">
        <f t="shared" si="12"/>
        <v>27322.519999999997</v>
      </c>
      <c r="M290" s="52"/>
      <c r="N290" s="52"/>
      <c r="O290" s="46"/>
    </row>
    <row r="291" spans="1:16" s="13" customFormat="1" x14ac:dyDescent="0.25">
      <c r="A291" s="116"/>
      <c r="B291" s="115"/>
      <c r="C291" s="389"/>
      <c r="D291" s="53"/>
      <c r="E291" s="390"/>
      <c r="F291" s="391"/>
      <c r="G291" s="391"/>
      <c r="H291" s="61"/>
      <c r="I291" s="61"/>
      <c r="J291" s="45"/>
      <c r="K291" s="45"/>
      <c r="M291" s="52"/>
      <c r="N291" s="52"/>
      <c r="O291" s="46"/>
    </row>
    <row r="292" spans="1:16" s="13" customFormat="1" x14ac:dyDescent="0.25">
      <c r="A292" s="116"/>
      <c r="B292" s="167"/>
      <c r="C292" s="168">
        <v>15</v>
      </c>
      <c r="D292" s="169" t="s">
        <v>915</v>
      </c>
      <c r="E292" s="170"/>
      <c r="F292" s="171"/>
      <c r="G292" s="171"/>
      <c r="H292" s="172"/>
      <c r="I292" s="173"/>
      <c r="J292" s="174">
        <f>SUM(J293:J297)</f>
        <v>15758.824000000001</v>
      </c>
      <c r="K292" s="174">
        <f>SUM(K293:K297)</f>
        <v>57201.067999999999</v>
      </c>
      <c r="L292" s="47"/>
      <c r="M292" s="178"/>
      <c r="N292" s="52"/>
      <c r="O292" s="46"/>
    </row>
    <row r="293" spans="1:16" s="13" customFormat="1" x14ac:dyDescent="0.25">
      <c r="A293" s="116"/>
      <c r="B293" s="115">
        <v>87878</v>
      </c>
      <c r="C293" s="87" t="s">
        <v>27</v>
      </c>
      <c r="D293" s="53" t="s">
        <v>916</v>
      </c>
      <c r="E293" s="73" t="s">
        <v>9</v>
      </c>
      <c r="F293" s="49">
        <v>818</v>
      </c>
      <c r="G293" s="377">
        <v>2.65</v>
      </c>
      <c r="H293" s="61">
        <f>3.45*Comp!N10</f>
        <v>3.45</v>
      </c>
      <c r="I293" s="61">
        <v>2.7</v>
      </c>
      <c r="J293" s="45">
        <f t="shared" ref="J293:J296" si="13">F293*I293</f>
        <v>2208.6000000000004</v>
      </c>
      <c r="K293" s="45">
        <f>F293*H293</f>
        <v>2822.1000000000004</v>
      </c>
      <c r="M293" s="52"/>
      <c r="N293" s="52"/>
      <c r="O293" s="46"/>
      <c r="P293" s="13">
        <f>O293*1.9882</f>
        <v>0</v>
      </c>
    </row>
    <row r="294" spans="1:16" s="13" customFormat="1" x14ac:dyDescent="0.25">
      <c r="A294" s="116"/>
      <c r="B294" s="115">
        <v>87535</v>
      </c>
      <c r="C294" s="87" t="s">
        <v>28</v>
      </c>
      <c r="D294" s="53" t="s">
        <v>917</v>
      </c>
      <c r="E294" s="73" t="s">
        <v>9</v>
      </c>
      <c r="F294" s="49">
        <v>684</v>
      </c>
      <c r="G294" s="377">
        <v>20.57</v>
      </c>
      <c r="H294" s="61">
        <f>26.74*Comp!N10</f>
        <v>26.74</v>
      </c>
      <c r="I294" s="61">
        <v>19.62</v>
      </c>
      <c r="J294" s="45">
        <f t="shared" si="13"/>
        <v>13420.08</v>
      </c>
      <c r="K294" s="45">
        <f t="shared" ref="K294:K296" si="14">F294*H294</f>
        <v>18290.16</v>
      </c>
      <c r="M294" s="52"/>
      <c r="N294" s="52"/>
      <c r="O294" s="46"/>
    </row>
    <row r="295" spans="1:16" s="13" customFormat="1" x14ac:dyDescent="0.25">
      <c r="A295" s="116"/>
      <c r="B295" s="115"/>
      <c r="C295" s="235" t="s">
        <v>29</v>
      </c>
      <c r="D295" s="53" t="s">
        <v>918</v>
      </c>
      <c r="E295" s="233" t="s">
        <v>9</v>
      </c>
      <c r="F295" s="234">
        <v>806</v>
      </c>
      <c r="G295" s="377">
        <v>34.14</v>
      </c>
      <c r="H295" s="61">
        <f>44.38*Comp!N10</f>
        <v>44.38</v>
      </c>
      <c r="I295" s="61"/>
      <c r="J295" s="45"/>
      <c r="K295" s="45">
        <f t="shared" si="14"/>
        <v>35770.28</v>
      </c>
      <c r="M295" s="52"/>
      <c r="N295" s="52"/>
      <c r="O295" s="46"/>
    </row>
    <row r="296" spans="1:16" s="13" customFormat="1" x14ac:dyDescent="0.25">
      <c r="A296" s="116"/>
      <c r="B296" s="115">
        <v>75481</v>
      </c>
      <c r="C296" s="87" t="s">
        <v>30</v>
      </c>
      <c r="D296" s="53" t="s">
        <v>919</v>
      </c>
      <c r="E296" s="73" t="str">
        <f>E294</f>
        <v>m²</v>
      </c>
      <c r="F296" s="49">
        <v>11.2</v>
      </c>
      <c r="G296" s="377">
        <v>21.88</v>
      </c>
      <c r="H296" s="61">
        <f>28.44*Comp!N10</f>
        <v>28.44</v>
      </c>
      <c r="I296" s="61">
        <v>11.62</v>
      </c>
      <c r="J296" s="45">
        <f t="shared" si="13"/>
        <v>130.14399999999998</v>
      </c>
      <c r="K296" s="45">
        <f t="shared" si="14"/>
        <v>318.52800000000002</v>
      </c>
      <c r="M296" s="52"/>
      <c r="N296" s="52"/>
      <c r="O296" s="46"/>
    </row>
    <row r="297" spans="1:16" s="13" customFormat="1" x14ac:dyDescent="0.25">
      <c r="A297" s="116"/>
      <c r="B297" s="115"/>
      <c r="C297" s="87"/>
      <c r="D297" s="53"/>
      <c r="E297" s="73"/>
      <c r="F297" s="49"/>
      <c r="G297" s="377"/>
      <c r="H297" s="61"/>
      <c r="I297" s="61"/>
      <c r="J297" s="45"/>
      <c r="K297" s="45"/>
      <c r="M297" s="52"/>
      <c r="N297" s="52"/>
      <c r="O297" s="46"/>
    </row>
    <row r="298" spans="1:16" s="13" customFormat="1" x14ac:dyDescent="0.25">
      <c r="A298" s="116"/>
      <c r="B298" s="167"/>
      <c r="C298" s="168">
        <v>16</v>
      </c>
      <c r="D298" s="169" t="s">
        <v>920</v>
      </c>
      <c r="E298" s="170"/>
      <c r="F298" s="171"/>
      <c r="G298" s="171"/>
      <c r="H298" s="172"/>
      <c r="I298" s="173"/>
      <c r="J298" s="174">
        <f>SUM(J299:J314)</f>
        <v>786699.18729999987</v>
      </c>
      <c r="K298" s="174">
        <f>SUM(K299:K314)</f>
        <v>735612.32579999999</v>
      </c>
      <c r="L298" s="47"/>
      <c r="M298" s="178"/>
      <c r="N298" s="52"/>
      <c r="O298" s="46"/>
    </row>
    <row r="299" spans="1:16" s="13" customFormat="1" x14ac:dyDescent="0.25">
      <c r="A299" s="116"/>
      <c r="B299" s="115" t="s">
        <v>136</v>
      </c>
      <c r="C299" s="87" t="s">
        <v>31</v>
      </c>
      <c r="D299" s="53" t="s">
        <v>921</v>
      </c>
      <c r="E299" s="73" t="s">
        <v>9</v>
      </c>
      <c r="F299" s="49">
        <v>80.41</v>
      </c>
      <c r="G299" s="377">
        <v>60.63</v>
      </c>
      <c r="H299" s="61">
        <f>78.82*Comp!N10</f>
        <v>78.819999999999993</v>
      </c>
      <c r="I299" s="61">
        <v>12.63</v>
      </c>
      <c r="J299" s="45">
        <f t="shared" ref="J299:J313" si="15">F299*I299</f>
        <v>1015.5783</v>
      </c>
      <c r="K299" s="45">
        <f t="shared" si="12"/>
        <v>6337.9161999999988</v>
      </c>
      <c r="M299" s="52"/>
      <c r="N299" s="52"/>
      <c r="O299" s="46"/>
    </row>
    <row r="300" spans="1:16" s="13" customFormat="1" x14ac:dyDescent="0.25">
      <c r="A300" s="116"/>
      <c r="B300" s="115">
        <v>87650</v>
      </c>
      <c r="C300" s="87" t="s">
        <v>32</v>
      </c>
      <c r="D300" s="53" t="s">
        <v>922</v>
      </c>
      <c r="E300" s="73" t="s">
        <v>9</v>
      </c>
      <c r="F300" s="49">
        <v>720</v>
      </c>
      <c r="G300" s="377">
        <v>44.88</v>
      </c>
      <c r="H300" s="61">
        <f>58.34*Comp!N10</f>
        <v>58.34</v>
      </c>
      <c r="I300" s="61">
        <v>25.22</v>
      </c>
      <c r="J300" s="45">
        <f t="shared" si="15"/>
        <v>18158.399999999998</v>
      </c>
      <c r="K300" s="45">
        <f t="shared" si="12"/>
        <v>42004.800000000003</v>
      </c>
      <c r="M300" s="52"/>
      <c r="N300" s="52"/>
      <c r="O300" s="46"/>
    </row>
    <row r="301" spans="1:16" s="13" customFormat="1" x14ac:dyDescent="0.25">
      <c r="A301" s="116"/>
      <c r="B301" s="115" t="s">
        <v>137</v>
      </c>
      <c r="C301" s="87" t="s">
        <v>33</v>
      </c>
      <c r="D301" s="53" t="s">
        <v>923</v>
      </c>
      <c r="E301" s="73" t="s">
        <v>9</v>
      </c>
      <c r="F301" s="49">
        <v>2227</v>
      </c>
      <c r="G301" s="377">
        <v>10.34</v>
      </c>
      <c r="H301" s="61">
        <f>13.44*Comp!N10</f>
        <v>13.44</v>
      </c>
      <c r="I301" s="61">
        <v>30.74</v>
      </c>
      <c r="J301" s="45">
        <f t="shared" si="15"/>
        <v>68457.98</v>
      </c>
      <c r="K301" s="45">
        <f t="shared" si="12"/>
        <v>29930.879999999997</v>
      </c>
      <c r="M301" s="52"/>
      <c r="N301" s="52"/>
      <c r="O301" s="46"/>
    </row>
    <row r="302" spans="1:16" s="13" customFormat="1" x14ac:dyDescent="0.25">
      <c r="A302" s="116"/>
      <c r="B302" s="115">
        <v>72815</v>
      </c>
      <c r="C302" s="87" t="s">
        <v>190</v>
      </c>
      <c r="D302" s="53" t="s">
        <v>924</v>
      </c>
      <c r="E302" s="73" t="s">
        <v>9</v>
      </c>
      <c r="F302" s="49">
        <v>1274</v>
      </c>
      <c r="G302" s="377">
        <v>64.52</v>
      </c>
      <c r="H302" s="61">
        <f>83.88*Comp!N10</f>
        <v>83.88</v>
      </c>
      <c r="I302" s="61">
        <v>26.17</v>
      </c>
      <c r="J302" s="45">
        <f t="shared" si="15"/>
        <v>33340.58</v>
      </c>
      <c r="K302" s="45">
        <f t="shared" si="12"/>
        <v>106863.12</v>
      </c>
      <c r="M302" s="52"/>
      <c r="N302" s="52"/>
      <c r="O302" s="46"/>
    </row>
    <row r="303" spans="1:16" s="13" customFormat="1" x14ac:dyDescent="0.25">
      <c r="A303" s="116"/>
      <c r="B303" s="115">
        <v>87251</v>
      </c>
      <c r="C303" s="87" t="s">
        <v>191</v>
      </c>
      <c r="D303" s="53" t="s">
        <v>925</v>
      </c>
      <c r="E303" s="73" t="s">
        <v>9</v>
      </c>
      <c r="F303" s="49">
        <v>1993</v>
      </c>
      <c r="G303" s="377">
        <v>51.4</v>
      </c>
      <c r="H303" s="61">
        <f>66.82*Comp!N10</f>
        <v>66.819999999999993</v>
      </c>
      <c r="I303" s="61">
        <v>36.01</v>
      </c>
      <c r="J303" s="45">
        <f t="shared" si="15"/>
        <v>71767.929999999993</v>
      </c>
      <c r="K303" s="45">
        <f t="shared" si="12"/>
        <v>133172.25999999998</v>
      </c>
      <c r="M303" s="52"/>
      <c r="N303" s="52"/>
      <c r="O303" s="46"/>
    </row>
    <row r="304" spans="1:16" s="13" customFormat="1" x14ac:dyDescent="0.25">
      <c r="A304" s="116"/>
      <c r="B304" s="115">
        <v>87257</v>
      </c>
      <c r="C304" s="87" t="s">
        <v>192</v>
      </c>
      <c r="D304" s="53" t="s">
        <v>926</v>
      </c>
      <c r="E304" s="73" t="s">
        <v>9</v>
      </c>
      <c r="F304" s="49">
        <v>890</v>
      </c>
      <c r="G304" s="377">
        <v>83.82</v>
      </c>
      <c r="H304" s="61">
        <v>108.97</v>
      </c>
      <c r="I304" s="61">
        <v>61.55</v>
      </c>
      <c r="J304" s="45">
        <f t="shared" si="15"/>
        <v>54779.5</v>
      </c>
      <c r="K304" s="45">
        <f t="shared" si="12"/>
        <v>96983.3</v>
      </c>
      <c r="M304" s="52"/>
      <c r="N304" s="52"/>
      <c r="O304" s="46"/>
    </row>
    <row r="305" spans="1:15" s="13" customFormat="1" x14ac:dyDescent="0.25">
      <c r="A305" s="116"/>
      <c r="B305" s="115">
        <v>72185</v>
      </c>
      <c r="C305" s="87" t="s">
        <v>193</v>
      </c>
      <c r="D305" s="53" t="s">
        <v>927</v>
      </c>
      <c r="E305" s="73" t="s">
        <v>9</v>
      </c>
      <c r="F305" s="49">
        <v>1902.96</v>
      </c>
      <c r="G305" s="377">
        <v>20.100000000000001</v>
      </c>
      <c r="H305" s="61">
        <f>26.13*Comp!N10</f>
        <v>26.13</v>
      </c>
      <c r="I305" s="61">
        <v>87.24</v>
      </c>
      <c r="J305" s="45">
        <f t="shared" si="15"/>
        <v>166014.2304</v>
      </c>
      <c r="K305" s="45">
        <f t="shared" si="12"/>
        <v>49724.344799999999</v>
      </c>
      <c r="M305" s="52"/>
      <c r="N305" s="52"/>
      <c r="O305" s="46"/>
    </row>
    <row r="306" spans="1:15" s="13" customFormat="1" ht="24" x14ac:dyDescent="0.25">
      <c r="A306" s="116"/>
      <c r="B306" s="115" t="s">
        <v>138</v>
      </c>
      <c r="C306" s="87" t="s">
        <v>194</v>
      </c>
      <c r="D306" s="53" t="s">
        <v>928</v>
      </c>
      <c r="E306" s="73" t="s">
        <v>9</v>
      </c>
      <c r="F306" s="49">
        <v>350.28</v>
      </c>
      <c r="G306" s="377">
        <v>65.010000000000005</v>
      </c>
      <c r="H306" s="61">
        <f>84.51*Comp!N10</f>
        <v>84.51</v>
      </c>
      <c r="I306" s="61">
        <v>109.47</v>
      </c>
      <c r="J306" s="45">
        <f t="shared" si="15"/>
        <v>38345.151599999997</v>
      </c>
      <c r="K306" s="45">
        <f t="shared" si="12"/>
        <v>29602.162799999998</v>
      </c>
      <c r="M306" s="52"/>
      <c r="N306" s="52"/>
      <c r="O306" s="46"/>
    </row>
    <row r="307" spans="1:15" s="13" customFormat="1" x14ac:dyDescent="0.25">
      <c r="A307" s="116"/>
      <c r="B307" s="115" t="s">
        <v>138</v>
      </c>
      <c r="C307" s="87" t="s">
        <v>195</v>
      </c>
      <c r="D307" s="53" t="s">
        <v>929</v>
      </c>
      <c r="E307" s="73" t="s">
        <v>9</v>
      </c>
      <c r="F307" s="49">
        <v>190</v>
      </c>
      <c r="G307" s="377">
        <v>21.14</v>
      </c>
      <c r="H307" s="61">
        <f>27.48*Comp!N10</f>
        <v>27.48</v>
      </c>
      <c r="I307" s="61">
        <v>109.47</v>
      </c>
      <c r="J307" s="45">
        <f t="shared" si="15"/>
        <v>20799.3</v>
      </c>
      <c r="K307" s="45">
        <f t="shared" si="12"/>
        <v>5221.2</v>
      </c>
      <c r="M307" s="52"/>
      <c r="N307" s="52"/>
      <c r="O307" s="46"/>
    </row>
    <row r="308" spans="1:15" s="13" customFormat="1" x14ac:dyDescent="0.25">
      <c r="A308" s="116"/>
      <c r="B308" s="115" t="s">
        <v>139</v>
      </c>
      <c r="C308" s="87" t="s">
        <v>196</v>
      </c>
      <c r="D308" s="53" t="s">
        <v>930</v>
      </c>
      <c r="E308" s="73" t="s">
        <v>9</v>
      </c>
      <c r="F308" s="49">
        <v>862</v>
      </c>
      <c r="G308" s="377">
        <v>44.88</v>
      </c>
      <c r="H308" s="61">
        <f>58.34*Comp!N10</f>
        <v>58.34</v>
      </c>
      <c r="I308" s="61">
        <v>95.16</v>
      </c>
      <c r="J308" s="45">
        <f t="shared" si="15"/>
        <v>82027.92</v>
      </c>
      <c r="K308" s="45">
        <f t="shared" si="12"/>
        <v>50289.08</v>
      </c>
      <c r="M308" s="52"/>
      <c r="N308" s="52"/>
      <c r="O308" s="46"/>
    </row>
    <row r="309" spans="1:15" s="13" customFormat="1" x14ac:dyDescent="0.25">
      <c r="A309" s="116"/>
      <c r="B309" s="115" t="s">
        <v>140</v>
      </c>
      <c r="C309" s="87" t="s">
        <v>197</v>
      </c>
      <c r="D309" s="53" t="s">
        <v>931</v>
      </c>
      <c r="E309" s="73" t="s">
        <v>9</v>
      </c>
      <c r="F309" s="49">
        <v>863</v>
      </c>
      <c r="G309" s="377">
        <v>66.53</v>
      </c>
      <c r="H309" s="61">
        <f>86.49*Comp!N10</f>
        <v>86.49</v>
      </c>
      <c r="I309" s="61">
        <v>172</v>
      </c>
      <c r="J309" s="45">
        <f t="shared" si="15"/>
        <v>148436</v>
      </c>
      <c r="K309" s="45">
        <f t="shared" si="12"/>
        <v>74640.87</v>
      </c>
      <c r="M309" s="52"/>
      <c r="N309" s="52"/>
      <c r="O309" s="46"/>
    </row>
    <row r="310" spans="1:15" s="13" customFormat="1" x14ac:dyDescent="0.25">
      <c r="A310" s="116"/>
      <c r="B310" s="115" t="s">
        <v>143</v>
      </c>
      <c r="C310" s="87" t="s">
        <v>198</v>
      </c>
      <c r="D310" s="53" t="s">
        <v>932</v>
      </c>
      <c r="E310" s="73" t="s">
        <v>11</v>
      </c>
      <c r="F310" s="49">
        <v>192.9</v>
      </c>
      <c r="G310" s="377">
        <v>351.91</v>
      </c>
      <c r="H310" s="61">
        <f>457.48*Comp!N10</f>
        <v>457.48</v>
      </c>
      <c r="I310" s="61">
        <v>46.73</v>
      </c>
      <c r="J310" s="45">
        <f t="shared" si="15"/>
        <v>9014.2170000000006</v>
      </c>
      <c r="K310" s="45">
        <f t="shared" si="12"/>
        <v>88247.892000000007</v>
      </c>
      <c r="M310" s="52"/>
      <c r="N310" s="52"/>
      <c r="O310" s="46"/>
    </row>
    <row r="311" spans="1:15" s="13" customFormat="1" x14ac:dyDescent="0.25">
      <c r="A311" s="116"/>
      <c r="B311" s="115" t="s">
        <v>136</v>
      </c>
      <c r="C311" s="87" t="s">
        <v>199</v>
      </c>
      <c r="D311" s="53" t="s">
        <v>933</v>
      </c>
      <c r="E311" s="73" t="s">
        <v>9</v>
      </c>
      <c r="F311" s="49">
        <v>720</v>
      </c>
      <c r="G311" s="377">
        <v>11.82</v>
      </c>
      <c r="H311" s="61">
        <f>15.37*Comp!N10</f>
        <v>15.37</v>
      </c>
      <c r="I311" s="61">
        <v>31.26</v>
      </c>
      <c r="J311" s="45">
        <f t="shared" si="15"/>
        <v>22507.200000000001</v>
      </c>
      <c r="K311" s="45">
        <f t="shared" si="12"/>
        <v>11066.4</v>
      </c>
      <c r="M311" s="52"/>
      <c r="N311" s="52"/>
      <c r="O311" s="46"/>
    </row>
    <row r="312" spans="1:15" s="13" customFormat="1" x14ac:dyDescent="0.25">
      <c r="A312" s="116"/>
      <c r="B312" s="115" t="s">
        <v>144</v>
      </c>
      <c r="C312" s="87" t="s">
        <v>141</v>
      </c>
      <c r="D312" s="53" t="s">
        <v>934</v>
      </c>
      <c r="E312" s="73" t="s">
        <v>10</v>
      </c>
      <c r="F312" s="49">
        <v>922</v>
      </c>
      <c r="G312" s="377">
        <v>7.92</v>
      </c>
      <c r="H312" s="61">
        <f>10.3*Comp!N10</f>
        <v>10.3</v>
      </c>
      <c r="I312" s="61">
        <v>42.5</v>
      </c>
      <c r="J312" s="45">
        <f t="shared" si="15"/>
        <v>39185</v>
      </c>
      <c r="K312" s="45">
        <f>F312*H312-4</f>
        <v>9492.6</v>
      </c>
      <c r="M312" s="52"/>
      <c r="N312" s="52"/>
      <c r="O312" s="46"/>
    </row>
    <row r="313" spans="1:15" s="13" customFormat="1" x14ac:dyDescent="0.25">
      <c r="A313" s="116"/>
      <c r="B313" s="115" t="s">
        <v>145</v>
      </c>
      <c r="C313" s="87" t="s">
        <v>142</v>
      </c>
      <c r="D313" s="53" t="s">
        <v>935</v>
      </c>
      <c r="E313" s="73" t="s">
        <v>9</v>
      </c>
      <c r="F313" s="49">
        <v>295</v>
      </c>
      <c r="G313" s="377">
        <v>5.31</v>
      </c>
      <c r="H313" s="61">
        <f>6.9*Comp!N10</f>
        <v>6.9</v>
      </c>
      <c r="I313" s="61">
        <v>43.56</v>
      </c>
      <c r="J313" s="45">
        <f t="shared" si="15"/>
        <v>12850.2</v>
      </c>
      <c r="K313" s="45">
        <f t="shared" si="12"/>
        <v>2035.5</v>
      </c>
      <c r="M313" s="52"/>
      <c r="N313" s="52"/>
      <c r="O313" s="46"/>
    </row>
    <row r="314" spans="1:15" s="13" customFormat="1" x14ac:dyDescent="0.25">
      <c r="A314" s="116"/>
      <c r="B314" s="115"/>
      <c r="C314" s="87"/>
      <c r="D314" s="53"/>
      <c r="E314" s="73"/>
      <c r="F314" s="49"/>
      <c r="G314" s="377"/>
      <c r="H314" s="61"/>
      <c r="I314" s="61"/>
      <c r="J314" s="45"/>
      <c r="K314" s="45"/>
      <c r="M314" s="52"/>
      <c r="N314" s="52"/>
      <c r="O314" s="46"/>
    </row>
    <row r="315" spans="1:15" s="13" customFormat="1" x14ac:dyDescent="0.25">
      <c r="A315" s="114"/>
      <c r="B315" s="167"/>
      <c r="C315" s="168">
        <v>17</v>
      </c>
      <c r="D315" s="169" t="s">
        <v>73</v>
      </c>
      <c r="E315" s="175"/>
      <c r="F315" s="171"/>
      <c r="G315" s="171"/>
      <c r="H315" s="172"/>
      <c r="I315" s="173"/>
      <c r="J315" s="174">
        <f>SUM(J317:J327)</f>
        <v>171041.60080000001</v>
      </c>
      <c r="K315" s="174">
        <f>SUM(K317:K332)</f>
        <v>269826.21199999994</v>
      </c>
      <c r="L315" s="47"/>
      <c r="M315" s="52"/>
      <c r="N315" s="52"/>
      <c r="O315" s="46"/>
    </row>
    <row r="316" spans="1:15" s="13" customFormat="1" x14ac:dyDescent="0.25">
      <c r="A316" s="116"/>
      <c r="B316" s="115"/>
      <c r="C316" s="389" t="s">
        <v>34</v>
      </c>
      <c r="D316" s="53" t="s">
        <v>936</v>
      </c>
      <c r="E316" s="390" t="s">
        <v>10</v>
      </c>
      <c r="F316" s="391">
        <v>26.1</v>
      </c>
      <c r="G316" s="391">
        <v>7.33</v>
      </c>
      <c r="H316" s="61">
        <f>9.53*Comp!N10</f>
        <v>9.5299999999999994</v>
      </c>
      <c r="I316" s="61"/>
      <c r="J316" s="45"/>
      <c r="K316" s="45">
        <f t="shared" ref="K316:K326" si="16">F316*H316</f>
        <v>248.733</v>
      </c>
      <c r="M316" s="52"/>
      <c r="N316" s="52"/>
      <c r="O316" s="46"/>
    </row>
    <row r="317" spans="1:15" s="13" customFormat="1" x14ac:dyDescent="0.25">
      <c r="A317" s="116"/>
      <c r="B317" s="115" t="s">
        <v>146</v>
      </c>
      <c r="C317" s="87" t="s">
        <v>200</v>
      </c>
      <c r="D317" s="53" t="s">
        <v>937</v>
      </c>
      <c r="E317" s="73" t="s">
        <v>9</v>
      </c>
      <c r="F317" s="49">
        <v>1581</v>
      </c>
      <c r="G317" s="377">
        <v>12</v>
      </c>
      <c r="H317" s="61">
        <f>15.6*Comp!N10</f>
        <v>15.6</v>
      </c>
      <c r="I317" s="61">
        <v>11.4</v>
      </c>
      <c r="J317" s="45">
        <f t="shared" ref="J317:J327" si="17">F317*I317</f>
        <v>18023.400000000001</v>
      </c>
      <c r="K317" s="45">
        <f t="shared" si="16"/>
        <v>24663.599999999999</v>
      </c>
      <c r="M317" s="52"/>
      <c r="N317" s="52"/>
      <c r="O317" s="46"/>
    </row>
    <row r="318" spans="1:15" s="13" customFormat="1" x14ac:dyDescent="0.25">
      <c r="A318" s="116"/>
      <c r="B318" s="115">
        <v>88489</v>
      </c>
      <c r="C318" s="87" t="s">
        <v>201</v>
      </c>
      <c r="D318" s="53" t="s">
        <v>938</v>
      </c>
      <c r="E318" s="73" t="s">
        <v>9</v>
      </c>
      <c r="F318" s="49">
        <v>1160.8599999999999</v>
      </c>
      <c r="G318" s="377">
        <v>5.46</v>
      </c>
      <c r="H318" s="61">
        <f>7.1*Comp!N10</f>
        <v>7.1</v>
      </c>
      <c r="I318" s="61">
        <v>9.2799999999999994</v>
      </c>
      <c r="J318" s="45">
        <f t="shared" si="17"/>
        <v>10772.780799999999</v>
      </c>
      <c r="K318" s="45">
        <f t="shared" si="16"/>
        <v>8242.1059999999998</v>
      </c>
      <c r="M318" s="52"/>
      <c r="N318" s="52"/>
      <c r="O318" s="46"/>
    </row>
    <row r="319" spans="1:15" s="13" customFormat="1" x14ac:dyDescent="0.25">
      <c r="A319" s="116"/>
      <c r="B319" s="115">
        <v>88486</v>
      </c>
      <c r="C319" s="87" t="s">
        <v>202</v>
      </c>
      <c r="D319" s="53" t="s">
        <v>939</v>
      </c>
      <c r="E319" s="73" t="s">
        <v>9</v>
      </c>
      <c r="F319" s="49">
        <v>9.6</v>
      </c>
      <c r="G319" s="377">
        <v>4.0599999999999996</v>
      </c>
      <c r="H319" s="61">
        <f>5.28*Comp!N10</f>
        <v>5.28</v>
      </c>
      <c r="I319" s="61">
        <v>13.65</v>
      </c>
      <c r="J319" s="45">
        <f t="shared" si="17"/>
        <v>131.04</v>
      </c>
      <c r="K319" s="45">
        <f t="shared" si="16"/>
        <v>50.688000000000002</v>
      </c>
      <c r="M319" s="52"/>
      <c r="N319" s="52"/>
      <c r="O319" s="46"/>
    </row>
    <row r="320" spans="1:15" s="13" customFormat="1" x14ac:dyDescent="0.25">
      <c r="A320" s="116"/>
      <c r="B320" s="115" t="s">
        <v>147</v>
      </c>
      <c r="C320" s="87" t="s">
        <v>203</v>
      </c>
      <c r="D320" s="53" t="s">
        <v>940</v>
      </c>
      <c r="E320" s="73" t="s">
        <v>9</v>
      </c>
      <c r="F320" s="49">
        <v>2</v>
      </c>
      <c r="G320" s="377">
        <v>80.11</v>
      </c>
      <c r="H320" s="61">
        <f>104.14*Comp!N10</f>
        <v>104.14</v>
      </c>
      <c r="I320" s="61">
        <v>16.34</v>
      </c>
      <c r="J320" s="45">
        <f t="shared" si="17"/>
        <v>32.68</v>
      </c>
      <c r="K320" s="45">
        <f t="shared" si="16"/>
        <v>208.28</v>
      </c>
      <c r="M320" s="52"/>
      <c r="N320" s="52"/>
      <c r="O320" s="46"/>
    </row>
    <row r="321" spans="1:15" s="13" customFormat="1" x14ac:dyDescent="0.25">
      <c r="A321" s="114"/>
      <c r="B321" s="115" t="s">
        <v>148</v>
      </c>
      <c r="C321" s="87" t="s">
        <v>204</v>
      </c>
      <c r="D321" s="53" t="s">
        <v>941</v>
      </c>
      <c r="E321" s="73" t="s">
        <v>9</v>
      </c>
      <c r="F321" s="49">
        <v>212</v>
      </c>
      <c r="G321" s="377">
        <v>12.19</v>
      </c>
      <c r="H321" s="61">
        <f>15.85*Comp!N10</f>
        <v>15.85</v>
      </c>
      <c r="I321" s="61">
        <v>16.41</v>
      </c>
      <c r="J321" s="45">
        <f t="shared" si="17"/>
        <v>3478.92</v>
      </c>
      <c r="K321" s="45">
        <f t="shared" si="16"/>
        <v>3360.2</v>
      </c>
      <c r="M321" s="52"/>
      <c r="N321" s="52"/>
      <c r="O321" s="46"/>
    </row>
    <row r="322" spans="1:15" s="13" customFormat="1" x14ac:dyDescent="0.25">
      <c r="A322" s="116"/>
      <c r="B322" s="115">
        <v>79460</v>
      </c>
      <c r="C322" s="87" t="s">
        <v>205</v>
      </c>
      <c r="D322" s="53" t="s">
        <v>942</v>
      </c>
      <c r="E322" s="73" t="s">
        <v>9</v>
      </c>
      <c r="F322" s="49">
        <v>1500</v>
      </c>
      <c r="G322" s="377">
        <v>18.100000000000001</v>
      </c>
      <c r="H322" s="61">
        <f>23.53*Comp!N10</f>
        <v>23.53</v>
      </c>
      <c r="I322" s="61">
        <v>20.04</v>
      </c>
      <c r="J322" s="45">
        <f t="shared" si="17"/>
        <v>30060</v>
      </c>
      <c r="K322" s="45">
        <f t="shared" si="16"/>
        <v>35295</v>
      </c>
      <c r="M322" s="52"/>
      <c r="N322" s="52"/>
      <c r="O322" s="46"/>
    </row>
    <row r="323" spans="1:15" s="13" customFormat="1" x14ac:dyDescent="0.25">
      <c r="A323" s="116"/>
      <c r="B323" s="115"/>
      <c r="C323" s="389" t="s">
        <v>206</v>
      </c>
      <c r="D323" s="53" t="s">
        <v>943</v>
      </c>
      <c r="E323" s="390" t="s">
        <v>9</v>
      </c>
      <c r="F323" s="391">
        <v>1000</v>
      </c>
      <c r="G323" s="391">
        <v>9.43</v>
      </c>
      <c r="H323" s="61">
        <f>12.26*Comp!N10</f>
        <v>12.26</v>
      </c>
      <c r="I323" s="61"/>
      <c r="J323" s="45">
        <f t="shared" si="17"/>
        <v>0</v>
      </c>
      <c r="K323" s="45">
        <f t="shared" si="16"/>
        <v>12260</v>
      </c>
      <c r="M323" s="52"/>
      <c r="N323" s="52"/>
      <c r="O323" s="46"/>
    </row>
    <row r="324" spans="1:15" s="13" customFormat="1" x14ac:dyDescent="0.25">
      <c r="A324" s="116"/>
      <c r="B324" s="115" t="s">
        <v>151</v>
      </c>
      <c r="C324" s="87" t="s">
        <v>207</v>
      </c>
      <c r="D324" s="53" t="s">
        <v>944</v>
      </c>
      <c r="E324" s="73" t="s">
        <v>9</v>
      </c>
      <c r="F324" s="49">
        <v>155</v>
      </c>
      <c r="G324" s="377">
        <v>10.53</v>
      </c>
      <c r="H324" s="61">
        <f>13.69*Comp!N10</f>
        <v>13.69</v>
      </c>
      <c r="I324" s="61">
        <v>8.4</v>
      </c>
      <c r="J324" s="45">
        <f t="shared" si="17"/>
        <v>1302</v>
      </c>
      <c r="K324" s="45">
        <f t="shared" si="16"/>
        <v>2121.9499999999998</v>
      </c>
      <c r="M324" s="52"/>
      <c r="N324" s="52"/>
      <c r="O324" s="46"/>
    </row>
    <row r="325" spans="1:15" s="13" customFormat="1" x14ac:dyDescent="0.25">
      <c r="A325" s="116"/>
      <c r="B325" s="115" t="s">
        <v>152</v>
      </c>
      <c r="C325" s="87" t="s">
        <v>208</v>
      </c>
      <c r="D325" s="53" t="s">
        <v>945</v>
      </c>
      <c r="E325" s="73" t="s">
        <v>9</v>
      </c>
      <c r="F325" s="49">
        <v>548</v>
      </c>
      <c r="G325" s="377">
        <v>2.61</v>
      </c>
      <c r="H325" s="61">
        <f>3.39*Comp!N10</f>
        <v>3.39</v>
      </c>
      <c r="I325" s="61">
        <v>25.11</v>
      </c>
      <c r="J325" s="45">
        <f t="shared" si="17"/>
        <v>13760.279999999999</v>
      </c>
      <c r="K325" s="45">
        <f t="shared" si="16"/>
        <v>1857.72</v>
      </c>
      <c r="M325" s="52"/>
      <c r="N325" s="52"/>
      <c r="O325" s="46"/>
    </row>
    <row r="326" spans="1:15" s="13" customFormat="1" x14ac:dyDescent="0.25">
      <c r="A326" s="116"/>
      <c r="B326" s="115">
        <v>79460</v>
      </c>
      <c r="C326" s="87" t="s">
        <v>209</v>
      </c>
      <c r="D326" s="53" t="s">
        <v>946</v>
      </c>
      <c r="E326" s="73" t="s">
        <v>9</v>
      </c>
      <c r="F326" s="49">
        <v>1272</v>
      </c>
      <c r="G326" s="377">
        <v>17.77</v>
      </c>
      <c r="H326" s="61">
        <f>23.1*Comp!N10</f>
        <v>23.1</v>
      </c>
      <c r="I326" s="61">
        <v>18.5</v>
      </c>
      <c r="J326" s="45">
        <f t="shared" si="17"/>
        <v>23532</v>
      </c>
      <c r="K326" s="45">
        <f t="shared" si="16"/>
        <v>29383.200000000001</v>
      </c>
      <c r="M326" s="52"/>
      <c r="N326" s="52"/>
      <c r="O326" s="46"/>
    </row>
    <row r="327" spans="1:15" s="13" customFormat="1" x14ac:dyDescent="0.25">
      <c r="A327" s="116"/>
      <c r="B327" s="115" t="s">
        <v>153</v>
      </c>
      <c r="C327" s="87" t="s">
        <v>210</v>
      </c>
      <c r="D327" s="53" t="s">
        <v>947</v>
      </c>
      <c r="E327" s="73" t="s">
        <v>9</v>
      </c>
      <c r="F327" s="49">
        <v>3781</v>
      </c>
      <c r="G327" s="377">
        <f>G326</f>
        <v>17.77</v>
      </c>
      <c r="H327" s="61">
        <f>H326</f>
        <v>23.1</v>
      </c>
      <c r="I327" s="61">
        <f>I326</f>
        <v>18.5</v>
      </c>
      <c r="J327" s="45">
        <f t="shared" si="17"/>
        <v>69948.5</v>
      </c>
      <c r="K327" s="45">
        <f t="shared" ref="K327:K332" si="18">F327*H327</f>
        <v>87341.1</v>
      </c>
      <c r="M327" s="52"/>
      <c r="N327" s="52"/>
      <c r="O327" s="46"/>
    </row>
    <row r="328" spans="1:15" s="13" customFormat="1" x14ac:dyDescent="0.25">
      <c r="A328" s="116"/>
      <c r="B328" s="115"/>
      <c r="C328" s="389" t="s">
        <v>211</v>
      </c>
      <c r="D328" s="53" t="s">
        <v>948</v>
      </c>
      <c r="E328" s="390" t="s">
        <v>9</v>
      </c>
      <c r="F328" s="391">
        <v>1966</v>
      </c>
      <c r="G328" s="391">
        <v>8.76</v>
      </c>
      <c r="H328" s="61">
        <f>11.39*Comp!N10</f>
        <v>11.39</v>
      </c>
      <c r="I328" s="61"/>
      <c r="J328" s="45"/>
      <c r="K328" s="45">
        <f t="shared" si="18"/>
        <v>22392.74</v>
      </c>
      <c r="M328" s="52"/>
      <c r="N328" s="52"/>
      <c r="O328" s="46"/>
    </row>
    <row r="329" spans="1:15" s="13" customFormat="1" x14ac:dyDescent="0.25">
      <c r="A329" s="116"/>
      <c r="B329" s="115"/>
      <c r="C329" s="389" t="s">
        <v>212</v>
      </c>
      <c r="D329" s="53" t="s">
        <v>949</v>
      </c>
      <c r="E329" s="390" t="s">
        <v>9</v>
      </c>
      <c r="F329" s="391">
        <v>72.69</v>
      </c>
      <c r="G329" s="391">
        <v>9.9</v>
      </c>
      <c r="H329" s="61">
        <f>12.87*Comp!N10</f>
        <v>12.87</v>
      </c>
      <c r="I329" s="61"/>
      <c r="J329" s="45"/>
      <c r="K329" s="45">
        <f t="shared" si="18"/>
        <v>935.52029999999991</v>
      </c>
      <c r="M329" s="52"/>
      <c r="N329" s="52"/>
      <c r="O329" s="46"/>
    </row>
    <row r="330" spans="1:15" s="13" customFormat="1" x14ac:dyDescent="0.25">
      <c r="A330" s="116"/>
      <c r="B330" s="115"/>
      <c r="C330" s="389" t="s">
        <v>213</v>
      </c>
      <c r="D330" s="53" t="s">
        <v>950</v>
      </c>
      <c r="E330" s="390" t="s">
        <v>9</v>
      </c>
      <c r="F330" s="391">
        <v>860.66</v>
      </c>
      <c r="G330" s="391">
        <v>6.48</v>
      </c>
      <c r="H330" s="61">
        <f>8.42*Comp!N10</f>
        <v>8.42</v>
      </c>
      <c r="I330" s="61"/>
      <c r="J330" s="45"/>
      <c r="K330" s="45">
        <f t="shared" si="18"/>
        <v>7246.7572</v>
      </c>
      <c r="M330" s="52"/>
      <c r="N330" s="52"/>
      <c r="O330" s="46"/>
    </row>
    <row r="331" spans="1:15" s="13" customFormat="1" x14ac:dyDescent="0.25">
      <c r="A331" s="116"/>
      <c r="B331" s="115"/>
      <c r="C331" s="389" t="s">
        <v>214</v>
      </c>
      <c r="D331" s="53" t="s">
        <v>951</v>
      </c>
      <c r="E331" s="390" t="s">
        <v>9</v>
      </c>
      <c r="F331" s="391">
        <v>2964</v>
      </c>
      <c r="G331" s="391">
        <v>5.17</v>
      </c>
      <c r="H331" s="61">
        <f>6.72*Comp!N10</f>
        <v>6.72</v>
      </c>
      <c r="I331" s="61"/>
      <c r="J331" s="45"/>
      <c r="K331" s="45">
        <f t="shared" si="18"/>
        <v>19918.079999999998</v>
      </c>
      <c r="M331" s="52"/>
      <c r="N331" s="52"/>
      <c r="O331" s="46"/>
    </row>
    <row r="332" spans="1:15" s="13" customFormat="1" x14ac:dyDescent="0.25">
      <c r="A332" s="116"/>
      <c r="B332" s="115"/>
      <c r="C332" s="389" t="s">
        <v>215</v>
      </c>
      <c r="D332" s="53" t="s">
        <v>952</v>
      </c>
      <c r="E332" s="390" t="s">
        <v>9</v>
      </c>
      <c r="F332" s="391">
        <v>879.11</v>
      </c>
      <c r="G332" s="391">
        <v>12.73</v>
      </c>
      <c r="H332" s="61">
        <f>16.55*Comp!N10</f>
        <v>16.55</v>
      </c>
      <c r="I332" s="61"/>
      <c r="J332" s="45"/>
      <c r="K332" s="45">
        <f t="shared" si="18"/>
        <v>14549.270500000001</v>
      </c>
      <c r="M332" s="52"/>
      <c r="N332" s="52"/>
      <c r="O332" s="46"/>
    </row>
    <row r="333" spans="1:15" s="13" customFormat="1" x14ac:dyDescent="0.25">
      <c r="A333" s="116"/>
      <c r="B333" s="115"/>
      <c r="C333" s="389"/>
      <c r="D333" s="53"/>
      <c r="E333" s="390"/>
      <c r="F333" s="391"/>
      <c r="G333" s="391"/>
      <c r="H333" s="61"/>
      <c r="I333" s="61"/>
      <c r="J333" s="45"/>
      <c r="K333" s="45"/>
      <c r="M333" s="52"/>
      <c r="N333" s="52"/>
      <c r="O333" s="46"/>
    </row>
    <row r="334" spans="1:15" s="13" customFormat="1" x14ac:dyDescent="0.25">
      <c r="A334" s="116"/>
      <c r="B334" s="115"/>
      <c r="C334" s="389"/>
      <c r="D334" s="53"/>
      <c r="E334" s="390"/>
      <c r="F334" s="391"/>
      <c r="G334" s="391"/>
      <c r="H334" s="61"/>
      <c r="I334" s="61"/>
      <c r="J334" s="45"/>
      <c r="K334" s="45"/>
      <c r="M334" s="52"/>
      <c r="N334" s="52"/>
      <c r="O334" s="46"/>
    </row>
    <row r="335" spans="1:15" s="13" customFormat="1" x14ac:dyDescent="0.25">
      <c r="A335" s="116"/>
      <c r="B335" s="115"/>
      <c r="C335" s="389"/>
      <c r="D335" s="53"/>
      <c r="E335" s="390"/>
      <c r="F335" s="391"/>
      <c r="G335" s="391"/>
      <c r="H335" s="61"/>
      <c r="I335" s="61"/>
      <c r="J335" s="45"/>
      <c r="K335" s="45"/>
      <c r="M335" s="52"/>
      <c r="N335" s="52"/>
      <c r="O335" s="46"/>
    </row>
    <row r="336" spans="1:15" s="13" customFormat="1" ht="24" x14ac:dyDescent="0.25">
      <c r="A336" s="116"/>
      <c r="B336" s="167" t="s">
        <v>35</v>
      </c>
      <c r="C336" s="168">
        <v>18</v>
      </c>
      <c r="D336" s="169" t="s">
        <v>953</v>
      </c>
      <c r="E336" s="175"/>
      <c r="F336" s="171"/>
      <c r="G336" s="171"/>
      <c r="H336" s="172"/>
      <c r="I336" s="173"/>
      <c r="J336" s="174">
        <f>SUM(J337:J375)</f>
        <v>82635.861600000004</v>
      </c>
      <c r="K336" s="174">
        <f>SUM(K337:K342)</f>
        <v>65208.71</v>
      </c>
      <c r="L336" s="47"/>
      <c r="M336" s="52"/>
      <c r="N336" s="52"/>
      <c r="O336" s="46"/>
    </row>
    <row r="337" spans="1:15" s="13" customFormat="1" x14ac:dyDescent="0.25">
      <c r="A337" s="116"/>
      <c r="B337" s="115"/>
      <c r="C337" s="87" t="s">
        <v>216</v>
      </c>
      <c r="D337" s="53" t="s">
        <v>954</v>
      </c>
      <c r="E337" s="73" t="s">
        <v>513</v>
      </c>
      <c r="F337" s="49">
        <v>1</v>
      </c>
      <c r="G337" s="377">
        <v>109.79</v>
      </c>
      <c r="H337" s="61">
        <f>142.73*Comp!N10</f>
        <v>142.72999999999999</v>
      </c>
      <c r="I337" s="61"/>
      <c r="J337" s="45"/>
      <c r="K337" s="45">
        <f t="shared" ref="K337:K342" si="19">F337*H337</f>
        <v>142.72999999999999</v>
      </c>
      <c r="M337" s="52"/>
      <c r="N337" s="52"/>
      <c r="O337" s="46"/>
    </row>
    <row r="338" spans="1:15" s="13" customFormat="1" x14ac:dyDescent="0.25">
      <c r="A338" s="116"/>
      <c r="B338" s="115"/>
      <c r="C338" s="87" t="s">
        <v>217</v>
      </c>
      <c r="D338" s="53" t="s">
        <v>955</v>
      </c>
      <c r="E338" s="73" t="s">
        <v>10</v>
      </c>
      <c r="F338" s="49">
        <v>1071</v>
      </c>
      <c r="G338" s="377">
        <v>18.73</v>
      </c>
      <c r="H338" s="61">
        <f>24.35*Comp!N10</f>
        <v>24.35</v>
      </c>
      <c r="I338" s="61"/>
      <c r="J338" s="45"/>
      <c r="K338" s="45">
        <f t="shared" si="19"/>
        <v>26078.850000000002</v>
      </c>
      <c r="M338" s="52"/>
      <c r="N338" s="52"/>
      <c r="O338" s="46"/>
    </row>
    <row r="339" spans="1:15" s="98" customFormat="1" x14ac:dyDescent="0.25">
      <c r="A339" s="116"/>
      <c r="B339" s="115"/>
      <c r="C339" s="87" t="s">
        <v>218</v>
      </c>
      <c r="D339" s="53" t="s">
        <v>956</v>
      </c>
      <c r="E339" s="73" t="s">
        <v>10</v>
      </c>
      <c r="F339" s="49">
        <v>804</v>
      </c>
      <c r="G339" s="377">
        <v>26.52</v>
      </c>
      <c r="H339" s="61">
        <f>34.48*Comp!N10</f>
        <v>34.479999999999997</v>
      </c>
      <c r="I339" s="61"/>
      <c r="J339" s="45"/>
      <c r="K339" s="45">
        <f t="shared" si="19"/>
        <v>27721.919999999998</v>
      </c>
      <c r="M339" s="99"/>
      <c r="N339" s="99"/>
      <c r="O339" s="100"/>
    </row>
    <row r="340" spans="1:15" s="13" customFormat="1" x14ac:dyDescent="0.25">
      <c r="A340" s="116"/>
      <c r="B340" s="115"/>
      <c r="C340" s="87" t="s">
        <v>219</v>
      </c>
      <c r="D340" s="53" t="s">
        <v>957</v>
      </c>
      <c r="E340" s="73" t="s">
        <v>513</v>
      </c>
      <c r="F340" s="49">
        <v>51</v>
      </c>
      <c r="G340" s="377">
        <v>22.77</v>
      </c>
      <c r="H340" s="61">
        <f>29.6*Comp!N10</f>
        <v>29.6</v>
      </c>
      <c r="I340" s="61"/>
      <c r="J340" s="45"/>
      <c r="K340" s="45">
        <f t="shared" si="19"/>
        <v>1509.6000000000001</v>
      </c>
      <c r="M340" s="52"/>
      <c r="N340" s="52"/>
      <c r="O340" s="46"/>
    </row>
    <row r="341" spans="1:15" s="13" customFormat="1" x14ac:dyDescent="0.25">
      <c r="A341" s="116"/>
      <c r="B341" s="115"/>
      <c r="C341" s="87" t="s">
        <v>220</v>
      </c>
      <c r="D341" s="53" t="s">
        <v>958</v>
      </c>
      <c r="E341" s="73" t="s">
        <v>513</v>
      </c>
      <c r="F341" s="49">
        <v>51</v>
      </c>
      <c r="G341" s="377">
        <v>36.64</v>
      </c>
      <c r="H341" s="61">
        <f>47.63*Comp!N10</f>
        <v>47.63</v>
      </c>
      <c r="I341" s="61"/>
      <c r="J341" s="45"/>
      <c r="K341" s="45">
        <f t="shared" si="19"/>
        <v>2429.13</v>
      </c>
      <c r="M341" s="52"/>
      <c r="N341" s="52"/>
      <c r="O341" s="46"/>
    </row>
    <row r="342" spans="1:15" s="13" customFormat="1" x14ac:dyDescent="0.25">
      <c r="A342" s="116"/>
      <c r="B342" s="115"/>
      <c r="C342" s="87" t="s">
        <v>221</v>
      </c>
      <c r="D342" s="402" t="s">
        <v>959</v>
      </c>
      <c r="E342" s="73" t="s">
        <v>513</v>
      </c>
      <c r="F342" s="49">
        <v>267</v>
      </c>
      <c r="G342" s="377">
        <v>21.11</v>
      </c>
      <c r="H342" s="61">
        <f>27.44*Comp!N10</f>
        <v>27.44</v>
      </c>
      <c r="I342" s="61"/>
      <c r="J342" s="45"/>
      <c r="K342" s="45">
        <f t="shared" si="19"/>
        <v>7326.4800000000005</v>
      </c>
      <c r="M342" s="52"/>
      <c r="N342" s="52"/>
      <c r="O342" s="46"/>
    </row>
    <row r="343" spans="1:15" s="343" customFormat="1" x14ac:dyDescent="0.25">
      <c r="A343" s="335"/>
      <c r="B343" s="336"/>
      <c r="C343" s="337"/>
      <c r="D343" s="338"/>
      <c r="E343" s="339"/>
      <c r="F343" s="340"/>
      <c r="G343" s="340"/>
      <c r="H343" s="341"/>
      <c r="I343" s="341"/>
      <c r="J343" s="342"/>
      <c r="K343" s="342"/>
      <c r="M343" s="344"/>
      <c r="N343" s="344"/>
      <c r="O343" s="345"/>
    </row>
    <row r="344" spans="1:15" s="13" customFormat="1" ht="24" x14ac:dyDescent="0.25">
      <c r="A344" s="116"/>
      <c r="B344" s="167"/>
      <c r="C344" s="168">
        <v>19</v>
      </c>
      <c r="D344" s="169" t="s">
        <v>960</v>
      </c>
      <c r="E344" s="175"/>
      <c r="F344" s="171"/>
      <c r="G344" s="171"/>
      <c r="H344" s="172"/>
      <c r="I344" s="173"/>
      <c r="J344" s="174"/>
      <c r="K344" s="174">
        <f>SUM(K345:K349)</f>
        <v>8396.9900000000016</v>
      </c>
      <c r="L344" s="47"/>
      <c r="M344" s="52"/>
      <c r="N344" s="52"/>
      <c r="O344" s="46"/>
    </row>
    <row r="345" spans="1:15" s="343" customFormat="1" x14ac:dyDescent="0.25">
      <c r="A345" s="335"/>
      <c r="B345" s="336"/>
      <c r="C345" s="337" t="s">
        <v>222</v>
      </c>
      <c r="D345" s="338" t="s">
        <v>961</v>
      </c>
      <c r="E345" s="339" t="s">
        <v>513</v>
      </c>
      <c r="F345" s="340">
        <v>1</v>
      </c>
      <c r="G345" s="340">
        <v>268.93</v>
      </c>
      <c r="H345" s="61">
        <f>349.61*Comp!N10</f>
        <v>349.61</v>
      </c>
      <c r="I345" s="341"/>
      <c r="J345" s="342"/>
      <c r="K345" s="45">
        <f t="shared" ref="K345:K349" si="20">F345*H345</f>
        <v>349.61</v>
      </c>
      <c r="M345" s="344"/>
      <c r="N345" s="344"/>
      <c r="O345" s="345"/>
    </row>
    <row r="346" spans="1:15" s="343" customFormat="1" x14ac:dyDescent="0.25">
      <c r="A346" s="335"/>
      <c r="B346" s="336"/>
      <c r="C346" s="337" t="s">
        <v>223</v>
      </c>
      <c r="D346" s="338" t="s">
        <v>962</v>
      </c>
      <c r="E346" s="339" t="s">
        <v>513</v>
      </c>
      <c r="F346" s="340">
        <v>8</v>
      </c>
      <c r="G346" s="340">
        <v>168.93</v>
      </c>
      <c r="H346" s="61">
        <f>219.61*Comp!N10</f>
        <v>219.61</v>
      </c>
      <c r="I346" s="341"/>
      <c r="J346" s="342"/>
      <c r="K346" s="45">
        <f t="shared" si="20"/>
        <v>1756.88</v>
      </c>
      <c r="M346" s="344"/>
      <c r="N346" s="344"/>
      <c r="O346" s="345"/>
    </row>
    <row r="347" spans="1:15" s="343" customFormat="1" x14ac:dyDescent="0.25">
      <c r="A347" s="335"/>
      <c r="B347" s="336"/>
      <c r="C347" s="337" t="s">
        <v>963</v>
      </c>
      <c r="D347" s="338" t="s">
        <v>964</v>
      </c>
      <c r="E347" s="339" t="s">
        <v>513</v>
      </c>
      <c r="F347" s="340">
        <v>8</v>
      </c>
      <c r="G347" s="340">
        <v>408.93</v>
      </c>
      <c r="H347" s="61">
        <f>531.61*Comp!N10</f>
        <v>531.61</v>
      </c>
      <c r="I347" s="341"/>
      <c r="J347" s="342"/>
      <c r="K347" s="45">
        <f t="shared" si="20"/>
        <v>4252.88</v>
      </c>
      <c r="M347" s="344"/>
      <c r="N347" s="344"/>
      <c r="O347" s="345"/>
    </row>
    <row r="348" spans="1:15" s="343" customFormat="1" x14ac:dyDescent="0.25">
      <c r="A348" s="335"/>
      <c r="B348" s="336"/>
      <c r="C348" s="337" t="s">
        <v>965</v>
      </c>
      <c r="D348" s="338" t="s">
        <v>966</v>
      </c>
      <c r="E348" s="339" t="s">
        <v>513</v>
      </c>
      <c r="F348" s="340">
        <v>17</v>
      </c>
      <c r="G348" s="340">
        <v>40.630000000000003</v>
      </c>
      <c r="H348" s="61">
        <f>52.82*Comp!N10</f>
        <v>52.82</v>
      </c>
      <c r="I348" s="341"/>
      <c r="J348" s="342"/>
      <c r="K348" s="45">
        <f t="shared" si="20"/>
        <v>897.94</v>
      </c>
      <c r="M348" s="344"/>
      <c r="N348" s="344"/>
      <c r="O348" s="345"/>
    </row>
    <row r="349" spans="1:15" s="343" customFormat="1" x14ac:dyDescent="0.25">
      <c r="A349" s="335"/>
      <c r="B349" s="336"/>
      <c r="C349" s="337" t="s">
        <v>967</v>
      </c>
      <c r="D349" s="338" t="s">
        <v>968</v>
      </c>
      <c r="E349" s="339" t="s">
        <v>513</v>
      </c>
      <c r="F349" s="340">
        <v>17</v>
      </c>
      <c r="G349" s="340">
        <v>51.57</v>
      </c>
      <c r="H349" s="61">
        <f>67.04*Comp!N10</f>
        <v>67.040000000000006</v>
      </c>
      <c r="I349" s="341"/>
      <c r="J349" s="342"/>
      <c r="K349" s="45">
        <f t="shared" si="20"/>
        <v>1139.68</v>
      </c>
      <c r="M349" s="344"/>
      <c r="N349" s="344"/>
      <c r="O349" s="345"/>
    </row>
    <row r="350" spans="1:15" s="343" customFormat="1" x14ac:dyDescent="0.25">
      <c r="A350" s="335"/>
      <c r="B350" s="336"/>
      <c r="C350" s="337"/>
      <c r="D350" s="338"/>
      <c r="E350" s="339"/>
      <c r="F350" s="340"/>
      <c r="G350" s="340"/>
      <c r="H350" s="61"/>
      <c r="I350" s="341"/>
      <c r="J350" s="342"/>
      <c r="K350" s="45"/>
      <c r="M350" s="344"/>
      <c r="N350" s="344"/>
      <c r="O350" s="345"/>
    </row>
    <row r="351" spans="1:15" s="13" customFormat="1" x14ac:dyDescent="0.25">
      <c r="A351" s="116"/>
      <c r="B351" s="167"/>
      <c r="C351" s="168">
        <v>20</v>
      </c>
      <c r="D351" s="169" t="s">
        <v>969</v>
      </c>
      <c r="E351" s="175"/>
      <c r="F351" s="171"/>
      <c r="G351" s="171"/>
      <c r="H351" s="172"/>
      <c r="I351" s="173"/>
      <c r="J351" s="174"/>
      <c r="K351" s="174">
        <f>SUM(K352:K375)</f>
        <v>126068.17710000002</v>
      </c>
      <c r="L351" s="47"/>
      <c r="M351" s="52"/>
      <c r="N351" s="52"/>
      <c r="O351" s="46"/>
    </row>
    <row r="352" spans="1:15" s="343" customFormat="1" x14ac:dyDescent="0.25">
      <c r="A352" s="335"/>
      <c r="B352" s="336">
        <v>89610</v>
      </c>
      <c r="C352" s="337" t="s">
        <v>224</v>
      </c>
      <c r="D352" s="338" t="s">
        <v>970</v>
      </c>
      <c r="E352" s="339" t="s">
        <v>9</v>
      </c>
      <c r="F352" s="340">
        <v>83.2</v>
      </c>
      <c r="G352" s="340">
        <v>179.61</v>
      </c>
      <c r="H352" s="61">
        <f>233.49*Comp!N10</f>
        <v>233.49</v>
      </c>
      <c r="I352" s="341">
        <v>10.26</v>
      </c>
      <c r="J352" s="342">
        <f t="shared" ref="J352:J375" si="21">F352*I352</f>
        <v>853.63200000000006</v>
      </c>
      <c r="K352" s="342">
        <f t="shared" ref="K352:K375" si="22">F352*H352</f>
        <v>19426.368000000002</v>
      </c>
      <c r="M352" s="344"/>
      <c r="N352" s="344"/>
      <c r="O352" s="345"/>
    </row>
    <row r="353" spans="1:15" s="343" customFormat="1" x14ac:dyDescent="0.25">
      <c r="A353" s="335"/>
      <c r="B353" s="336">
        <v>89613</v>
      </c>
      <c r="C353" s="337" t="s">
        <v>225</v>
      </c>
      <c r="D353" s="338" t="s">
        <v>971</v>
      </c>
      <c r="E353" s="339" t="s">
        <v>9</v>
      </c>
      <c r="F353" s="340">
        <v>51.93</v>
      </c>
      <c r="G353" s="340">
        <v>132.36000000000001</v>
      </c>
      <c r="H353" s="61">
        <f>172.07*Comp!N10</f>
        <v>172.07</v>
      </c>
      <c r="I353" s="341">
        <v>16.72</v>
      </c>
      <c r="J353" s="342">
        <f t="shared" si="21"/>
        <v>868.26959999999997</v>
      </c>
      <c r="K353" s="342">
        <f t="shared" si="22"/>
        <v>8935.5951000000005</v>
      </c>
      <c r="M353" s="344"/>
      <c r="N353" s="344"/>
      <c r="O353" s="345"/>
    </row>
    <row r="354" spans="1:15" s="343" customFormat="1" ht="21.75" customHeight="1" x14ac:dyDescent="0.25">
      <c r="A354" s="335"/>
      <c r="B354" s="336"/>
      <c r="C354" s="337" t="s">
        <v>226</v>
      </c>
      <c r="D354" s="338" t="s">
        <v>972</v>
      </c>
      <c r="E354" s="339" t="s">
        <v>9</v>
      </c>
      <c r="F354" s="340">
        <v>40.200000000000003</v>
      </c>
      <c r="G354" s="340">
        <v>298.89999999999998</v>
      </c>
      <c r="H354" s="61">
        <f>388.57*Comp!N10</f>
        <v>388.57</v>
      </c>
      <c r="I354" s="341"/>
      <c r="J354" s="342"/>
      <c r="K354" s="342">
        <f t="shared" si="22"/>
        <v>15620.514000000001</v>
      </c>
      <c r="M354" s="344"/>
      <c r="N354" s="344"/>
      <c r="O354" s="345"/>
    </row>
    <row r="355" spans="1:15" s="343" customFormat="1" ht="21.75" customHeight="1" x14ac:dyDescent="0.25">
      <c r="A355" s="335"/>
      <c r="B355" s="336"/>
      <c r="C355" s="337" t="s">
        <v>227</v>
      </c>
      <c r="D355" s="338" t="s">
        <v>973</v>
      </c>
      <c r="E355" s="339" t="s">
        <v>9</v>
      </c>
      <c r="F355" s="340">
        <v>33.799999999999997</v>
      </c>
      <c r="G355" s="340">
        <v>145</v>
      </c>
      <c r="H355" s="61">
        <f>188.5*Comp!N10</f>
        <v>188.5</v>
      </c>
      <c r="I355" s="341"/>
      <c r="J355" s="342"/>
      <c r="K355" s="342">
        <f t="shared" si="22"/>
        <v>6371.2999999999993</v>
      </c>
      <c r="M355" s="344"/>
      <c r="N355" s="344"/>
      <c r="O355" s="345"/>
    </row>
    <row r="356" spans="1:15" s="343" customFormat="1" ht="21.75" customHeight="1" x14ac:dyDescent="0.25">
      <c r="A356" s="335"/>
      <c r="B356" s="336"/>
      <c r="C356" s="337" t="s">
        <v>228</v>
      </c>
      <c r="D356" s="338" t="s">
        <v>974</v>
      </c>
      <c r="E356" s="339" t="s">
        <v>70</v>
      </c>
      <c r="F356" s="340">
        <v>4</v>
      </c>
      <c r="G356" s="340">
        <v>59.49</v>
      </c>
      <c r="H356" s="61">
        <f>77.34*Comp!N10</f>
        <v>77.34</v>
      </c>
      <c r="I356" s="341"/>
      <c r="J356" s="342"/>
      <c r="K356" s="342">
        <f t="shared" si="22"/>
        <v>309.36</v>
      </c>
      <c r="M356" s="344"/>
      <c r="N356" s="344"/>
      <c r="O356" s="345"/>
    </row>
    <row r="357" spans="1:15" s="13" customFormat="1" ht="24" x14ac:dyDescent="0.25">
      <c r="A357" s="114"/>
      <c r="B357" s="115"/>
      <c r="C357" s="87" t="s">
        <v>229</v>
      </c>
      <c r="D357" s="53" t="s">
        <v>975</v>
      </c>
      <c r="E357" s="73" t="s">
        <v>70</v>
      </c>
      <c r="F357" s="49">
        <v>1</v>
      </c>
      <c r="G357" s="377">
        <v>679.46</v>
      </c>
      <c r="H357" s="61">
        <f>883.3*Comp!N10</f>
        <v>883.3</v>
      </c>
      <c r="I357" s="61">
        <v>8.3000000000000007</v>
      </c>
      <c r="J357" s="45">
        <f t="shared" si="21"/>
        <v>8.3000000000000007</v>
      </c>
      <c r="K357" s="45">
        <f t="shared" si="22"/>
        <v>883.3</v>
      </c>
      <c r="M357" s="52"/>
      <c r="N357" s="52"/>
      <c r="O357" s="46"/>
    </row>
    <row r="358" spans="1:15" s="13" customFormat="1" ht="24" x14ac:dyDescent="0.25">
      <c r="A358" s="116"/>
      <c r="B358" s="115"/>
      <c r="C358" s="87" t="s">
        <v>230</v>
      </c>
      <c r="D358" s="53" t="s">
        <v>976</v>
      </c>
      <c r="E358" s="73" t="s">
        <v>10</v>
      </c>
      <c r="F358" s="49">
        <v>274</v>
      </c>
      <c r="G358" s="377">
        <v>33.74</v>
      </c>
      <c r="H358" s="61">
        <f>43.86*Comp!N10</f>
        <v>43.86</v>
      </c>
      <c r="I358" s="61">
        <v>16.600000000000001</v>
      </c>
      <c r="J358" s="45">
        <f t="shared" si="21"/>
        <v>4548.4000000000005</v>
      </c>
      <c r="K358" s="45">
        <f t="shared" si="22"/>
        <v>12017.64</v>
      </c>
      <c r="M358" s="52"/>
      <c r="N358" s="52"/>
      <c r="O358" s="46"/>
    </row>
    <row r="359" spans="1:15" s="13" customFormat="1" x14ac:dyDescent="0.25">
      <c r="A359" s="116"/>
      <c r="B359" s="115"/>
      <c r="C359" s="237" t="s">
        <v>231</v>
      </c>
      <c r="D359" s="53" t="s">
        <v>977</v>
      </c>
      <c r="E359" s="238" t="s">
        <v>10</v>
      </c>
      <c r="F359" s="239">
        <v>1.4</v>
      </c>
      <c r="G359" s="377">
        <v>214.96</v>
      </c>
      <c r="H359" s="61">
        <f>279.45*Comp!N10</f>
        <v>279.45</v>
      </c>
      <c r="I359" s="61"/>
      <c r="J359" s="45"/>
      <c r="K359" s="45">
        <f t="shared" si="22"/>
        <v>391.22999999999996</v>
      </c>
      <c r="M359" s="52"/>
      <c r="N359" s="52"/>
      <c r="O359" s="46"/>
    </row>
    <row r="360" spans="1:15" s="13" customFormat="1" x14ac:dyDescent="0.25">
      <c r="A360" s="116"/>
      <c r="B360" s="115"/>
      <c r="C360" s="87" t="s">
        <v>232</v>
      </c>
      <c r="D360" s="53" t="s">
        <v>978</v>
      </c>
      <c r="E360" s="73" t="s">
        <v>70</v>
      </c>
      <c r="F360" s="49">
        <v>1</v>
      </c>
      <c r="G360" s="377">
        <v>243.29</v>
      </c>
      <c r="H360" s="61">
        <f>316.28*Comp!N10</f>
        <v>316.27999999999997</v>
      </c>
      <c r="I360" s="61">
        <v>7.51</v>
      </c>
      <c r="J360" s="45">
        <f t="shared" si="21"/>
        <v>7.51</v>
      </c>
      <c r="K360" s="45">
        <f t="shared" si="22"/>
        <v>316.27999999999997</v>
      </c>
      <c r="M360" s="52"/>
      <c r="N360" s="52"/>
      <c r="O360" s="46"/>
    </row>
    <row r="361" spans="1:15" s="13" customFormat="1" ht="24" x14ac:dyDescent="0.25">
      <c r="A361" s="116"/>
      <c r="B361" s="115"/>
      <c r="C361" s="237" t="s">
        <v>233</v>
      </c>
      <c r="D361" s="53" t="s">
        <v>979</v>
      </c>
      <c r="E361" s="238" t="s">
        <v>70</v>
      </c>
      <c r="F361" s="239">
        <v>1</v>
      </c>
      <c r="G361" s="377">
        <v>1327.28</v>
      </c>
      <c r="H361" s="61">
        <f>1725.46*Comp!N10</f>
        <v>1725.46</v>
      </c>
      <c r="I361" s="61"/>
      <c r="J361" s="45"/>
      <c r="K361" s="45">
        <f t="shared" si="22"/>
        <v>1725.46</v>
      </c>
      <c r="M361" s="52"/>
      <c r="N361" s="52"/>
      <c r="O361" s="46"/>
    </row>
    <row r="362" spans="1:15" s="13" customFormat="1" ht="24" x14ac:dyDescent="0.25">
      <c r="A362" s="116"/>
      <c r="B362" s="115"/>
      <c r="C362" s="87" t="s">
        <v>234</v>
      </c>
      <c r="D362" s="53" t="s">
        <v>980</v>
      </c>
      <c r="E362" s="73" t="s">
        <v>70</v>
      </c>
      <c r="F362" s="49">
        <v>1</v>
      </c>
      <c r="G362" s="377">
        <v>1150.6099999999999</v>
      </c>
      <c r="H362" s="61">
        <f>1495.79*Comp!N10</f>
        <v>1495.79</v>
      </c>
      <c r="I362" s="61">
        <v>6.02</v>
      </c>
      <c r="J362" s="45">
        <f t="shared" si="21"/>
        <v>6.02</v>
      </c>
      <c r="K362" s="45">
        <f t="shared" si="22"/>
        <v>1495.79</v>
      </c>
      <c r="M362" s="52"/>
      <c r="N362" s="52"/>
      <c r="O362" s="46"/>
    </row>
    <row r="363" spans="1:15" s="13" customFormat="1" ht="24" x14ac:dyDescent="0.25">
      <c r="A363" s="114"/>
      <c r="B363" s="115"/>
      <c r="C363" s="87" t="s">
        <v>235</v>
      </c>
      <c r="D363" s="53" t="s">
        <v>981</v>
      </c>
      <c r="E363" s="73" t="s">
        <v>70</v>
      </c>
      <c r="F363" s="49">
        <v>12</v>
      </c>
      <c r="G363" s="377">
        <v>1151.1400000000001</v>
      </c>
      <c r="H363" s="61">
        <f>1496.48*Comp!N10</f>
        <v>1496.48</v>
      </c>
      <c r="I363" s="61">
        <v>26.87</v>
      </c>
      <c r="J363" s="45">
        <f t="shared" si="21"/>
        <v>322.44</v>
      </c>
      <c r="K363" s="45">
        <f t="shared" si="22"/>
        <v>17957.760000000002</v>
      </c>
      <c r="M363" s="52"/>
      <c r="N363" s="52"/>
      <c r="O363" s="46"/>
    </row>
    <row r="364" spans="1:15" s="13" customFormat="1" x14ac:dyDescent="0.25">
      <c r="A364" s="114"/>
      <c r="B364" s="115"/>
      <c r="C364" s="237" t="s">
        <v>236</v>
      </c>
      <c r="D364" s="53" t="s">
        <v>982</v>
      </c>
      <c r="E364" s="238" t="s">
        <v>70</v>
      </c>
      <c r="F364" s="239">
        <v>2</v>
      </c>
      <c r="G364" s="377">
        <v>815.2</v>
      </c>
      <c r="H364" s="61">
        <f>1059.76*Comp!N10</f>
        <v>1059.76</v>
      </c>
      <c r="I364" s="61"/>
      <c r="J364" s="45"/>
      <c r="K364" s="45">
        <f t="shared" si="22"/>
        <v>2119.52</v>
      </c>
      <c r="M364" s="52"/>
      <c r="N364" s="52"/>
      <c r="O364" s="46"/>
    </row>
    <row r="365" spans="1:15" s="13" customFormat="1" x14ac:dyDescent="0.25">
      <c r="A365" s="116"/>
      <c r="B365" s="115">
        <v>89359</v>
      </c>
      <c r="C365" s="87" t="s">
        <v>238</v>
      </c>
      <c r="D365" s="53" t="s">
        <v>983</v>
      </c>
      <c r="E365" s="73" t="s">
        <v>70</v>
      </c>
      <c r="F365" s="49">
        <v>2</v>
      </c>
      <c r="G365" s="377">
        <v>1686.9</v>
      </c>
      <c r="H365" s="61">
        <f>2192.97*Comp!N10</f>
        <v>2192.9699999999998</v>
      </c>
      <c r="I365" s="61">
        <v>3.6</v>
      </c>
      <c r="J365" s="45">
        <f t="shared" si="21"/>
        <v>7.2</v>
      </c>
      <c r="K365" s="45">
        <f t="shared" si="22"/>
        <v>4385.9399999999996</v>
      </c>
      <c r="M365" s="52"/>
      <c r="N365" s="52"/>
      <c r="O365" s="46"/>
    </row>
    <row r="366" spans="1:15" s="13" customFormat="1" ht="24" x14ac:dyDescent="0.25">
      <c r="A366" s="116"/>
      <c r="B366" s="115">
        <v>89485</v>
      </c>
      <c r="C366" s="87" t="s">
        <v>237</v>
      </c>
      <c r="D366" s="53" t="s">
        <v>984</v>
      </c>
      <c r="E366" s="73" t="s">
        <v>70</v>
      </c>
      <c r="F366" s="49">
        <v>2</v>
      </c>
      <c r="G366" s="377">
        <v>625.98</v>
      </c>
      <c r="H366" s="61">
        <f>813.77*Comp!N10</f>
        <v>813.77</v>
      </c>
      <c r="I366" s="61">
        <v>2.35</v>
      </c>
      <c r="J366" s="45">
        <f t="shared" si="21"/>
        <v>4.7</v>
      </c>
      <c r="K366" s="45">
        <f t="shared" si="22"/>
        <v>1627.54</v>
      </c>
      <c r="M366" s="52"/>
      <c r="N366" s="52"/>
      <c r="O366" s="46"/>
    </row>
    <row r="367" spans="1:15" s="13" customFormat="1" x14ac:dyDescent="0.25">
      <c r="A367" s="116"/>
      <c r="B367" s="115">
        <v>89502</v>
      </c>
      <c r="C367" s="87" t="s">
        <v>239</v>
      </c>
      <c r="D367" s="53" t="s">
        <v>985</v>
      </c>
      <c r="E367" s="73" t="s">
        <v>70</v>
      </c>
      <c r="F367" s="49">
        <v>8</v>
      </c>
      <c r="G367" s="377">
        <v>248.6</v>
      </c>
      <c r="H367" s="61">
        <f>323.18*Comp!N10</f>
        <v>323.18</v>
      </c>
      <c r="I367" s="61">
        <v>6.3</v>
      </c>
      <c r="J367" s="45">
        <f t="shared" si="21"/>
        <v>50.4</v>
      </c>
      <c r="K367" s="45">
        <f t="shared" si="22"/>
        <v>2585.44</v>
      </c>
      <c r="M367" s="52"/>
      <c r="N367" s="52"/>
      <c r="O367" s="46"/>
    </row>
    <row r="368" spans="1:15" s="13" customFormat="1" x14ac:dyDescent="0.25">
      <c r="A368" s="116"/>
      <c r="B368" s="115">
        <v>89515</v>
      </c>
      <c r="C368" s="87" t="s">
        <v>240</v>
      </c>
      <c r="D368" s="53" t="s">
        <v>986</v>
      </c>
      <c r="E368" s="73" t="s">
        <v>70</v>
      </c>
      <c r="F368" s="49">
        <v>48</v>
      </c>
      <c r="G368" s="377">
        <v>98.9</v>
      </c>
      <c r="H368" s="61">
        <f>128.57*Comp!N10</f>
        <v>128.57</v>
      </c>
      <c r="I368" s="61">
        <v>30.64</v>
      </c>
      <c r="J368" s="45">
        <f t="shared" si="21"/>
        <v>1470.72</v>
      </c>
      <c r="K368" s="45">
        <f t="shared" si="22"/>
        <v>6171.36</v>
      </c>
      <c r="M368" s="52"/>
      <c r="N368" s="52"/>
      <c r="O368" s="46"/>
    </row>
    <row r="369" spans="1:16" s="13" customFormat="1" x14ac:dyDescent="0.25">
      <c r="A369" s="116"/>
      <c r="B369" s="115"/>
      <c r="C369" s="237" t="s">
        <v>241</v>
      </c>
      <c r="D369" s="53" t="s">
        <v>987</v>
      </c>
      <c r="E369" s="238" t="s">
        <v>70</v>
      </c>
      <c r="F369" s="239">
        <v>16</v>
      </c>
      <c r="G369" s="377">
        <v>54.7</v>
      </c>
      <c r="H369" s="61">
        <f>71.11*Comp!N10</f>
        <v>71.11</v>
      </c>
      <c r="I369" s="61"/>
      <c r="J369" s="45"/>
      <c r="K369" s="45">
        <f t="shared" si="22"/>
        <v>1137.76</v>
      </c>
      <c r="M369" s="52"/>
      <c r="N369" s="52"/>
      <c r="O369" s="46"/>
    </row>
    <row r="370" spans="1:16" s="13" customFormat="1" x14ac:dyDescent="0.25">
      <c r="A370" s="116"/>
      <c r="B370" s="115"/>
      <c r="C370" s="237" t="s">
        <v>242</v>
      </c>
      <c r="D370" s="53" t="s">
        <v>988</v>
      </c>
      <c r="E370" s="238" t="s">
        <v>70</v>
      </c>
      <c r="F370" s="239">
        <v>1</v>
      </c>
      <c r="G370" s="377">
        <v>768.74</v>
      </c>
      <c r="H370" s="61">
        <f>999.36*Comp!N10</f>
        <v>999.36</v>
      </c>
      <c r="I370" s="61"/>
      <c r="J370" s="45"/>
      <c r="K370" s="45">
        <f t="shared" si="22"/>
        <v>999.36</v>
      </c>
      <c r="M370" s="52"/>
      <c r="N370" s="52"/>
      <c r="O370" s="46"/>
    </row>
    <row r="371" spans="1:16" s="13" customFormat="1" x14ac:dyDescent="0.25">
      <c r="A371" s="116"/>
      <c r="B371" s="115">
        <v>89358</v>
      </c>
      <c r="C371" s="87" t="s">
        <v>243</v>
      </c>
      <c r="D371" s="53" t="s">
        <v>989</v>
      </c>
      <c r="E371" s="73" t="s">
        <v>70</v>
      </c>
      <c r="F371" s="49">
        <v>2</v>
      </c>
      <c r="G371" s="377">
        <v>2411.7199999999998</v>
      </c>
      <c r="H371" s="61">
        <f>3135.24*Comp!N10</f>
        <v>3135.24</v>
      </c>
      <c r="I371" s="61">
        <v>3.57</v>
      </c>
      <c r="J371" s="45">
        <f t="shared" si="21"/>
        <v>7.14</v>
      </c>
      <c r="K371" s="45">
        <f t="shared" si="22"/>
        <v>6270.48</v>
      </c>
      <c r="M371" s="52"/>
      <c r="N371" s="52"/>
      <c r="O371" s="46"/>
    </row>
    <row r="372" spans="1:16" s="13" customFormat="1" ht="24" x14ac:dyDescent="0.25">
      <c r="A372" s="116"/>
      <c r="B372" s="115">
        <v>89362</v>
      </c>
      <c r="C372" s="87" t="s">
        <v>244</v>
      </c>
      <c r="D372" s="53" t="s">
        <v>990</v>
      </c>
      <c r="E372" s="73" t="s">
        <v>76</v>
      </c>
      <c r="F372" s="49">
        <v>1</v>
      </c>
      <c r="G372" s="377">
        <v>2133.14</v>
      </c>
      <c r="H372" s="61">
        <f>2773.08*Comp!N10</f>
        <v>2773.08</v>
      </c>
      <c r="I372" s="61">
        <v>4.1399999999999997</v>
      </c>
      <c r="J372" s="45">
        <f t="shared" si="21"/>
        <v>4.1399999999999997</v>
      </c>
      <c r="K372" s="45">
        <f t="shared" si="22"/>
        <v>2773.08</v>
      </c>
      <c r="M372" s="52"/>
      <c r="N372" s="52"/>
      <c r="O372" s="46"/>
    </row>
    <row r="373" spans="1:16" s="13" customFormat="1" ht="24" x14ac:dyDescent="0.25">
      <c r="A373" s="116"/>
      <c r="B373" s="115"/>
      <c r="C373" s="237" t="s">
        <v>245</v>
      </c>
      <c r="D373" s="53" t="s">
        <v>991</v>
      </c>
      <c r="E373" s="238" t="s">
        <v>70</v>
      </c>
      <c r="F373" s="239">
        <v>2</v>
      </c>
      <c r="G373" s="377">
        <v>408.21</v>
      </c>
      <c r="H373" s="61">
        <f>530.67*Comp!N10</f>
        <v>530.66999999999996</v>
      </c>
      <c r="I373" s="61"/>
      <c r="J373" s="45"/>
      <c r="K373" s="45">
        <f t="shared" si="22"/>
        <v>1061.3399999999999</v>
      </c>
      <c r="M373" s="52"/>
      <c r="N373" s="52"/>
      <c r="O373" s="46"/>
    </row>
    <row r="374" spans="1:16" s="13" customFormat="1" x14ac:dyDescent="0.25">
      <c r="A374" s="116"/>
      <c r="B374" s="115">
        <v>89501</v>
      </c>
      <c r="C374" s="87" t="s">
        <v>459</v>
      </c>
      <c r="D374" s="53" t="s">
        <v>992</v>
      </c>
      <c r="E374" s="73" t="s">
        <v>70</v>
      </c>
      <c r="F374" s="49">
        <v>2</v>
      </c>
      <c r="G374" s="377">
        <v>116.6</v>
      </c>
      <c r="H374" s="61">
        <f>151.58*Comp!N10</f>
        <v>151.58000000000001</v>
      </c>
      <c r="I374" s="61">
        <v>5.52</v>
      </c>
      <c r="J374" s="45">
        <f t="shared" si="21"/>
        <v>11.04</v>
      </c>
      <c r="K374" s="45">
        <f t="shared" si="22"/>
        <v>303.16000000000003</v>
      </c>
      <c r="M374" s="52"/>
      <c r="N374" s="52"/>
      <c r="O374" s="46"/>
    </row>
    <row r="375" spans="1:16" s="13" customFormat="1" x14ac:dyDescent="0.25">
      <c r="A375" s="116"/>
      <c r="B375" s="115">
        <v>89505</v>
      </c>
      <c r="C375" s="87" t="s">
        <v>460</v>
      </c>
      <c r="D375" s="53" t="s">
        <v>993</v>
      </c>
      <c r="E375" s="73" t="s">
        <v>9</v>
      </c>
      <c r="F375" s="49">
        <v>5083</v>
      </c>
      <c r="G375" s="377">
        <v>1.69</v>
      </c>
      <c r="H375" s="61">
        <f>2.2*Comp!N10</f>
        <v>2.2000000000000002</v>
      </c>
      <c r="I375" s="61">
        <v>14.65</v>
      </c>
      <c r="J375" s="45">
        <f t="shared" si="21"/>
        <v>74465.95</v>
      </c>
      <c r="K375" s="45">
        <f t="shared" si="22"/>
        <v>11182.6</v>
      </c>
      <c r="M375" s="52"/>
      <c r="N375" s="52"/>
      <c r="O375" s="46"/>
    </row>
    <row r="376" spans="1:16" s="13" customFormat="1" x14ac:dyDescent="0.25">
      <c r="A376" s="116"/>
      <c r="B376" s="115"/>
      <c r="C376" s="450"/>
      <c r="D376" s="450"/>
      <c r="E376" s="450"/>
      <c r="F376" s="450"/>
      <c r="G376" s="450"/>
      <c r="H376" s="450"/>
      <c r="I376" s="450"/>
      <c r="J376" s="450"/>
      <c r="K376" s="45"/>
      <c r="M376" s="179"/>
    </row>
    <row r="377" spans="1:16" s="13" customFormat="1" x14ac:dyDescent="0.25">
      <c r="A377" s="116"/>
      <c r="B377" s="115"/>
      <c r="C377" s="451" t="s">
        <v>78</v>
      </c>
      <c r="D377" s="451"/>
      <c r="E377" s="451"/>
      <c r="F377" s="451"/>
      <c r="G377" s="451"/>
      <c r="H377" s="451"/>
      <c r="I377" s="164"/>
      <c r="J377" s="79" t="e">
        <f>J13+J21+J26+J37+J136+J236+J281+J285+J292+J298+J315+J336+#REF!+#REF!+#REF!+#REF!+#REF!+#REF!+#REF!+#REF!+#REF!+#REF!+#REF!+#REF!</f>
        <v>#REF!</v>
      </c>
      <c r="K377" s="79">
        <f>K13+K21+K26+K37+K41+K136+K154+K236+K241+K246+K249+K258+K281+K285+K292+K298+K315+K336+K344+K351</f>
        <v>4234752.2648123819</v>
      </c>
      <c r="M377" s="179"/>
      <c r="N377" s="231">
        <v>1249782.67</v>
      </c>
      <c r="P377" s="232"/>
    </row>
    <row r="378" spans="1:16" s="13" customFormat="1" x14ac:dyDescent="0.25">
      <c r="A378" s="78"/>
      <c r="B378" s="39"/>
      <c r="C378" s="39"/>
      <c r="D378" s="90"/>
      <c r="E378" s="39"/>
      <c r="F378" s="80"/>
      <c r="G378" s="80"/>
      <c r="H378" s="81"/>
      <c r="I378" s="162"/>
      <c r="J378" s="78"/>
      <c r="K378" s="78"/>
      <c r="M378" s="179"/>
    </row>
    <row r="379" spans="1:16" s="13" customFormat="1" x14ac:dyDescent="0.25">
      <c r="A379" s="78"/>
      <c r="B379" s="39"/>
      <c r="C379" s="39"/>
      <c r="D379" s="90"/>
      <c r="E379" s="39"/>
      <c r="F379" s="80"/>
      <c r="G379" s="80"/>
      <c r="H379" s="81"/>
      <c r="I379" s="162"/>
      <c r="J379" s="78">
        <v>1250909.3899999999</v>
      </c>
      <c r="K379" s="78"/>
      <c r="M379" s="179"/>
    </row>
    <row r="380" spans="1:16" s="13" customFormat="1" x14ac:dyDescent="0.25">
      <c r="A380" s="78"/>
      <c r="B380" s="39"/>
      <c r="C380" s="39"/>
      <c r="D380" s="90"/>
      <c r="E380" s="39"/>
      <c r="F380" s="80"/>
      <c r="G380" s="80"/>
      <c r="H380" s="81"/>
      <c r="I380" s="162"/>
      <c r="J380" s="81"/>
      <c r="K380" s="81"/>
      <c r="M380" s="179"/>
    </row>
    <row r="381" spans="1:16" s="13" customFormat="1" x14ac:dyDescent="0.25">
      <c r="A381" s="78"/>
      <c r="B381" s="39"/>
      <c r="C381" s="39"/>
      <c r="D381" s="91"/>
      <c r="E381" s="39"/>
      <c r="F381" s="80"/>
      <c r="G381" s="80"/>
      <c r="H381" s="81"/>
      <c r="I381" s="162"/>
      <c r="J381" s="166" t="e">
        <f>J379-J377</f>
        <v>#REF!</v>
      </c>
      <c r="K381" s="83">
        <f>J379-K377</f>
        <v>-2983842.8748123823</v>
      </c>
      <c r="L381" s="84"/>
      <c r="M381" s="180"/>
      <c r="N381" s="85"/>
    </row>
    <row r="382" spans="1:16" s="13" customFormat="1" x14ac:dyDescent="0.25">
      <c r="A382" s="78"/>
      <c r="B382" s="39"/>
      <c r="C382" s="39"/>
      <c r="D382" s="91"/>
      <c r="E382" s="39"/>
      <c r="F382" s="80"/>
      <c r="G382" s="80"/>
      <c r="H382" s="81"/>
      <c r="I382" s="162"/>
      <c r="J382" s="82"/>
      <c r="K382" s="81"/>
      <c r="M382" s="179"/>
    </row>
    <row r="383" spans="1:16" s="13" customFormat="1" x14ac:dyDescent="0.25">
      <c r="A383" s="78"/>
      <c r="B383" s="39"/>
      <c r="C383" s="39"/>
      <c r="D383" s="90"/>
      <c r="E383" s="39"/>
      <c r="F383" s="80"/>
      <c r="G383" s="80"/>
      <c r="H383" s="81"/>
      <c r="I383" s="162"/>
      <c r="J383" s="78"/>
      <c r="K383" s="101"/>
      <c r="M383" s="179"/>
    </row>
    <row r="384" spans="1:16" s="13" customFormat="1" x14ac:dyDescent="0.25">
      <c r="A384" s="78"/>
      <c r="B384" s="39"/>
      <c r="C384" s="39"/>
      <c r="D384" s="90"/>
      <c r="E384" s="39"/>
      <c r="F384" s="80"/>
      <c r="G384" s="80"/>
      <c r="H384" s="81"/>
      <c r="I384" s="162"/>
      <c r="J384" s="176" t="e">
        <f>J13+J21+J26+J37+J136+J236+J281+J285+J292+J298+J315+J336+#REF!+#REF!+#REF!+#REF!+#REF!+#REF!+#REF!+#REF!+#REF!+#REF!+#REF!+#REF!</f>
        <v>#REF!</v>
      </c>
      <c r="K384" s="176" t="e">
        <f>K13+K21+K26+K37+K136+K236+K281+K285+K292+K298+K315+K336+#REF!+#REF!+#REF!+#REF!+#REF!+#REF!+#REF!+#REF!+#REF!+#REF!+#REF!+#REF!</f>
        <v>#REF!</v>
      </c>
      <c r="M384" s="179"/>
    </row>
  </sheetData>
  <mergeCells count="20">
    <mergeCell ref="I11:I12"/>
    <mergeCell ref="A8:F8"/>
    <mergeCell ref="A6:K7"/>
    <mergeCell ref="G11:G12"/>
    <mergeCell ref="C376:J376"/>
    <mergeCell ref="C377:H377"/>
    <mergeCell ref="J11:J12"/>
    <mergeCell ref="A1:L4"/>
    <mergeCell ref="M11:M12"/>
    <mergeCell ref="F5:J5"/>
    <mergeCell ref="A11:A12"/>
    <mergeCell ref="D11:D12"/>
    <mergeCell ref="E11:E12"/>
    <mergeCell ref="F11:F12"/>
    <mergeCell ref="B11:B12"/>
    <mergeCell ref="A9:J9"/>
    <mergeCell ref="C11:C12"/>
    <mergeCell ref="H11:H12"/>
    <mergeCell ref="A5:D5"/>
    <mergeCell ref="C20:K20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83" fitToHeight="0" orientation="portrait" horizontalDpi="4294967295" verticalDpi="4294967295" r:id="rId1"/>
  <rowBreaks count="5" manualBreakCount="5">
    <brk id="197" max="11" man="1"/>
    <brk id="239" max="11" man="1"/>
    <brk id="284" max="11" man="1"/>
    <brk id="324" max="11" man="1"/>
    <brk id="360" max="11" man="1"/>
  </rowBreaks>
  <ignoredErrors>
    <ignoredError sqref="K292 K298 K46 K72 K75 K78 K82:K83 K85 K90 K96:K97 K100 K106 K108:K109 K111 K120 K123 K127:K128 K130 K140 H266 K3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showGridLines="0" view="pageBreakPreview" zoomScale="80" zoomScaleNormal="100" zoomScaleSheetLayoutView="80" workbookViewId="0">
      <selection activeCell="C43" sqref="C42:C44"/>
    </sheetView>
  </sheetViews>
  <sheetFormatPr defaultRowHeight="12.75" x14ac:dyDescent="0.2"/>
  <cols>
    <col min="1" max="1" width="5.42578125" style="193" customWidth="1"/>
    <col min="2" max="2" width="51.7109375" style="202" customWidth="1"/>
    <col min="3" max="3" width="16.28515625" style="193" bestFit="1" customWidth="1"/>
    <col min="4" max="4" width="8.85546875" style="193" bestFit="1" customWidth="1"/>
    <col min="5" max="5" width="15.85546875" style="193" bestFit="1" customWidth="1"/>
    <col min="6" max="6" width="8" style="193" bestFit="1" customWidth="1"/>
    <col min="7" max="7" width="17" style="193" bestFit="1" customWidth="1"/>
    <col min="8" max="8" width="8.140625" style="193" bestFit="1" customWidth="1"/>
    <col min="9" max="9" width="16.5703125" style="193" bestFit="1" customWidth="1"/>
    <col min="10" max="10" width="8" style="193" bestFit="1" customWidth="1"/>
    <col min="11" max="11" width="18.28515625" style="193" bestFit="1" customWidth="1"/>
    <col min="12" max="12" width="8.140625" style="193" bestFit="1" customWidth="1"/>
    <col min="13" max="13" width="18.42578125" style="193" bestFit="1" customWidth="1"/>
    <col min="14" max="14" width="8" style="193" bestFit="1" customWidth="1"/>
    <col min="15" max="15" width="18.28515625" style="193" bestFit="1" customWidth="1"/>
    <col min="16" max="16" width="8" style="193" bestFit="1" customWidth="1"/>
    <col min="17" max="17" width="18.28515625" style="193" bestFit="1" customWidth="1"/>
    <col min="18" max="18" width="8" style="193" bestFit="1" customWidth="1"/>
    <col min="19" max="19" width="18.7109375" style="193" bestFit="1" customWidth="1"/>
    <col min="20" max="20" width="8" style="193" customWidth="1"/>
    <col min="21" max="21" width="18.28515625" style="193" bestFit="1" customWidth="1"/>
    <col min="22" max="22" width="12.28515625" style="193" bestFit="1" customWidth="1"/>
    <col min="23" max="28" width="12.7109375" style="193" customWidth="1"/>
    <col min="29" max="29" width="13.5703125" style="194" bestFit="1" customWidth="1"/>
    <col min="30" max="30" width="9.140625" style="193"/>
    <col min="31" max="31" width="24.42578125" style="193" bestFit="1" customWidth="1"/>
    <col min="32" max="16384" width="9.140625" style="193"/>
  </cols>
  <sheetData>
    <row r="1" spans="1:29" ht="23.25" customHeight="1" x14ac:dyDescent="0.2">
      <c r="A1" s="477" t="str">
        <f>orçamento!A1</f>
        <v>TERPLANC - TERRAPLENAGEM  PLANEJAMENTO CONSTRUÇÃO E SEVIÇOS  EIRELE - EPP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202"/>
      <c r="X1" s="202"/>
      <c r="Y1" s="202"/>
      <c r="Z1" s="202"/>
      <c r="AA1" s="202"/>
      <c r="AB1" s="202"/>
      <c r="AC1" s="369"/>
    </row>
    <row r="2" spans="1:29" x14ac:dyDescent="0.2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202"/>
      <c r="X2" s="202"/>
      <c r="Y2" s="202"/>
      <c r="Z2" s="202"/>
      <c r="AA2" s="202"/>
      <c r="AB2" s="202"/>
      <c r="AC2" s="369"/>
    </row>
    <row r="3" spans="1:29" ht="15" customHeight="1" x14ac:dyDescent="0.2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370"/>
      <c r="X3" s="370"/>
      <c r="Y3" s="370"/>
      <c r="Z3" s="370"/>
      <c r="AA3" s="370"/>
      <c r="AB3" s="370"/>
      <c r="AC3" s="370"/>
    </row>
    <row r="4" spans="1:29" ht="15" customHeight="1" x14ac:dyDescent="0.2">
      <c r="A4" s="477"/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197"/>
      <c r="X4" s="197"/>
      <c r="Y4" s="197"/>
      <c r="Z4" s="197"/>
      <c r="AA4" s="197"/>
      <c r="AB4" s="197"/>
      <c r="AC4" s="197"/>
    </row>
    <row r="5" spans="1:29" x14ac:dyDescent="0.2">
      <c r="A5" s="371" t="str">
        <f>orçamento!A5</f>
        <v xml:space="preserve"> PREFEITURA MUNICIPAL DE OEIRAS DO PARÁ</v>
      </c>
      <c r="B5" s="371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195"/>
      <c r="X5" s="195"/>
      <c r="Y5" s="195"/>
      <c r="Z5" s="195"/>
      <c r="AA5" s="195"/>
      <c r="AB5" s="195"/>
      <c r="AC5" s="195"/>
    </row>
    <row r="6" spans="1:29" x14ac:dyDescent="0.2">
      <c r="A6" s="371" t="str">
        <f>orçamento!A6</f>
        <v>OBRA:  CONSTRUÇÃO DE ESCOLA PADRÃO FNDE 12 (DOZE) SALAS DE AULA NO MUNICIPIO DE OEIRAS DO PARÁ/PA</v>
      </c>
      <c r="B6" s="371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</row>
    <row r="7" spans="1:29" x14ac:dyDescent="0.2">
      <c r="A7" s="483" t="str">
        <f>Comp!C7</f>
        <v>PRAZO DE EXECUÇÃO: 9 MESES</v>
      </c>
      <c r="B7" s="483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</row>
    <row r="8" spans="1:29" ht="15" customHeight="1" x14ac:dyDescent="0.2">
      <c r="A8" s="484" t="s">
        <v>96</v>
      </c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484"/>
      <c r="T8" s="484"/>
      <c r="U8" s="484"/>
      <c r="V8" s="484"/>
      <c r="W8" s="197"/>
      <c r="X8" s="197"/>
      <c r="Y8" s="197"/>
      <c r="Z8" s="197"/>
      <c r="AA8" s="197"/>
      <c r="AB8" s="197"/>
      <c r="AC8" s="197"/>
    </row>
    <row r="9" spans="1:29" ht="15" customHeight="1" x14ac:dyDescent="0.2">
      <c r="A9" s="198"/>
      <c r="B9" s="199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</row>
    <row r="10" spans="1:29" ht="10.5" customHeight="1" x14ac:dyDescent="0.2">
      <c r="A10" s="200"/>
      <c r="B10" s="201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</row>
    <row r="11" spans="1:29" ht="12.75" customHeight="1" x14ac:dyDescent="0.2"/>
    <row r="12" spans="1:29" ht="12.75" customHeight="1" x14ac:dyDescent="0.2">
      <c r="A12" s="485" t="s">
        <v>1</v>
      </c>
      <c r="B12" s="485" t="s">
        <v>65</v>
      </c>
      <c r="C12" s="486" t="s">
        <v>79</v>
      </c>
      <c r="D12" s="486"/>
      <c r="E12" s="480" t="s">
        <v>80</v>
      </c>
      <c r="F12" s="480"/>
      <c r="G12" s="480" t="s">
        <v>81</v>
      </c>
      <c r="H12" s="480"/>
      <c r="I12" s="480" t="s">
        <v>315</v>
      </c>
      <c r="J12" s="480"/>
      <c r="K12" s="480" t="s">
        <v>316</v>
      </c>
      <c r="L12" s="480"/>
      <c r="M12" s="480" t="s">
        <v>317</v>
      </c>
      <c r="N12" s="480"/>
      <c r="O12" s="480" t="s">
        <v>318</v>
      </c>
      <c r="P12" s="480"/>
      <c r="Q12" s="480" t="s">
        <v>319</v>
      </c>
      <c r="R12" s="480"/>
      <c r="S12" s="480" t="s">
        <v>320</v>
      </c>
      <c r="T12" s="480"/>
      <c r="U12" s="478" t="s">
        <v>3</v>
      </c>
      <c r="V12" s="479"/>
    </row>
    <row r="13" spans="1:29" ht="12.75" customHeight="1" x14ac:dyDescent="0.2">
      <c r="A13" s="485"/>
      <c r="B13" s="485"/>
      <c r="C13" s="203" t="s">
        <v>82</v>
      </c>
      <c r="D13" s="204" t="s">
        <v>38</v>
      </c>
      <c r="E13" s="203" t="s">
        <v>82</v>
      </c>
      <c r="F13" s="204" t="s">
        <v>38</v>
      </c>
      <c r="G13" s="203" t="s">
        <v>82</v>
      </c>
      <c r="H13" s="204" t="s">
        <v>38</v>
      </c>
      <c r="I13" s="203" t="s">
        <v>82</v>
      </c>
      <c r="J13" s="204" t="s">
        <v>38</v>
      </c>
      <c r="K13" s="203" t="s">
        <v>82</v>
      </c>
      <c r="L13" s="204" t="s">
        <v>38</v>
      </c>
      <c r="M13" s="205"/>
      <c r="N13" s="204"/>
      <c r="O13" s="204"/>
      <c r="P13" s="204"/>
      <c r="Q13" s="204"/>
      <c r="R13" s="204"/>
      <c r="S13" s="204"/>
      <c r="T13" s="204"/>
      <c r="U13" s="206" t="s">
        <v>83</v>
      </c>
      <c r="V13" s="207" t="s">
        <v>84</v>
      </c>
    </row>
    <row r="14" spans="1:29" x14ac:dyDescent="0.2">
      <c r="A14" s="208">
        <v>1</v>
      </c>
      <c r="B14" s="209" t="str">
        <f>'Resumo Geral'!B14</f>
        <v>SERVIÇOS PRLIMINARES</v>
      </c>
      <c r="C14" s="210">
        <f>D14*U14</f>
        <v>39731.124964448136</v>
      </c>
      <c r="D14" s="211">
        <v>1</v>
      </c>
      <c r="E14" s="212"/>
      <c r="F14" s="213"/>
      <c r="G14" s="212"/>
      <c r="H14" s="213"/>
      <c r="I14" s="212"/>
      <c r="J14" s="213"/>
      <c r="K14" s="212"/>
      <c r="L14" s="213"/>
      <c r="M14" s="214"/>
      <c r="N14" s="213"/>
      <c r="O14" s="213"/>
      <c r="P14" s="213"/>
      <c r="Q14" s="213"/>
      <c r="R14" s="213"/>
      <c r="S14" s="213"/>
      <c r="T14" s="213"/>
      <c r="U14" s="210">
        <f>'Resumo Geral'!C14</f>
        <v>39731.124964448136</v>
      </c>
      <c r="V14" s="213">
        <f t="shared" ref="V14:V33" si="0">D14+F14+H14+J14+L14+N14+P14+R14+T14</f>
        <v>1</v>
      </c>
    </row>
    <row r="15" spans="1:29" x14ac:dyDescent="0.2">
      <c r="A15" s="208">
        <v>2</v>
      </c>
      <c r="B15" s="209" t="str">
        <f>'Resumo Geral'!B15</f>
        <v>SERVIÇO EM TERRA</v>
      </c>
      <c r="C15" s="210">
        <f>D15*U15</f>
        <v>19935.184148404809</v>
      </c>
      <c r="D15" s="211">
        <v>0.5</v>
      </c>
      <c r="E15" s="210">
        <f>F15*U15</f>
        <v>19935.184148404809</v>
      </c>
      <c r="F15" s="211">
        <v>0.5</v>
      </c>
      <c r="G15" s="212"/>
      <c r="H15" s="213"/>
      <c r="I15" s="212"/>
      <c r="J15" s="213"/>
      <c r="K15" s="212"/>
      <c r="L15" s="213"/>
      <c r="M15" s="214"/>
      <c r="N15" s="213"/>
      <c r="O15" s="213"/>
      <c r="P15" s="213"/>
      <c r="Q15" s="213"/>
      <c r="R15" s="213"/>
      <c r="S15" s="213"/>
      <c r="T15" s="213"/>
      <c r="U15" s="210">
        <f>'Resumo Geral'!C15</f>
        <v>39870.368296809618</v>
      </c>
      <c r="V15" s="213">
        <f t="shared" si="0"/>
        <v>1</v>
      </c>
    </row>
    <row r="16" spans="1:29" x14ac:dyDescent="0.2">
      <c r="A16" s="208">
        <v>3</v>
      </c>
      <c r="B16" s="209" t="str">
        <f>'Resumo Geral'!B16</f>
        <v>FUNDAÇÃO E SONDAGENS</v>
      </c>
      <c r="C16" s="210">
        <f>D16*U16</f>
        <v>319495.57578753581</v>
      </c>
      <c r="D16" s="211">
        <v>0.5</v>
      </c>
      <c r="E16" s="210">
        <f>F16*U16</f>
        <v>319495.57578753581</v>
      </c>
      <c r="F16" s="211">
        <v>0.5</v>
      </c>
      <c r="G16" s="212"/>
      <c r="H16" s="211"/>
      <c r="I16" s="212"/>
      <c r="J16" s="211"/>
      <c r="K16" s="212"/>
      <c r="L16" s="211"/>
      <c r="M16" s="214"/>
      <c r="N16" s="211"/>
      <c r="O16" s="211"/>
      <c r="P16" s="211"/>
      <c r="Q16" s="211"/>
      <c r="R16" s="211"/>
      <c r="S16" s="211"/>
      <c r="T16" s="211"/>
      <c r="U16" s="210">
        <f>'Resumo Geral'!C16</f>
        <v>638991.15157507162</v>
      </c>
      <c r="V16" s="213">
        <f t="shared" si="0"/>
        <v>1</v>
      </c>
    </row>
    <row r="17" spans="1:29" x14ac:dyDescent="0.2">
      <c r="A17" s="208">
        <v>4</v>
      </c>
      <c r="B17" s="209" t="str">
        <f>'Resumo Geral'!B17</f>
        <v>ESTRUTURA</v>
      </c>
      <c r="C17" s="210">
        <f>D17*U17</f>
        <v>93368.446834360904</v>
      </c>
      <c r="D17" s="211">
        <v>0.3</v>
      </c>
      <c r="E17" s="210">
        <f>F17*U17</f>
        <v>93368.446834360904</v>
      </c>
      <c r="F17" s="211">
        <v>0.3</v>
      </c>
      <c r="G17" s="210">
        <f>H17*U17</f>
        <v>124491.26244581454</v>
      </c>
      <c r="H17" s="213">
        <v>0.4</v>
      </c>
      <c r="I17" s="215"/>
      <c r="J17" s="213"/>
      <c r="K17" s="212"/>
      <c r="L17" s="213"/>
      <c r="M17" s="214"/>
      <c r="N17" s="213"/>
      <c r="O17" s="213"/>
      <c r="P17" s="213"/>
      <c r="Q17" s="213"/>
      <c r="R17" s="213"/>
      <c r="S17" s="213"/>
      <c r="T17" s="213"/>
      <c r="U17" s="210">
        <f>'Resumo Geral'!C17</f>
        <v>311228.15611453634</v>
      </c>
      <c r="V17" s="213">
        <f t="shared" si="0"/>
        <v>1</v>
      </c>
    </row>
    <row r="18" spans="1:29" x14ac:dyDescent="0.2">
      <c r="A18" s="208">
        <v>5</v>
      </c>
      <c r="B18" s="209" t="str">
        <f>'Resumo Geral'!B18</f>
        <v>INSTALAÇÕES ELÉTRICAS/TELEFONICAS/LÓGICA</v>
      </c>
      <c r="C18" s="212"/>
      <c r="D18" s="211"/>
      <c r="E18" s="210">
        <f>F18*U18</f>
        <v>78944.871944915882</v>
      </c>
      <c r="F18" s="211">
        <v>0.25</v>
      </c>
      <c r="G18" s="210">
        <f>H18*U18</f>
        <v>78944.871944915882</v>
      </c>
      <c r="H18" s="213">
        <v>0.25</v>
      </c>
      <c r="I18" s="210">
        <f>J18*U18</f>
        <v>78944.871944915882</v>
      </c>
      <c r="J18" s="213">
        <v>0.25</v>
      </c>
      <c r="K18" s="210">
        <f>L18*U18</f>
        <v>78944.871944915882</v>
      </c>
      <c r="L18" s="213">
        <v>0.25</v>
      </c>
      <c r="M18" s="214"/>
      <c r="N18" s="213"/>
      <c r="O18" s="213"/>
      <c r="P18" s="213"/>
      <c r="Q18" s="213"/>
      <c r="R18" s="213"/>
      <c r="S18" s="213"/>
      <c r="T18" s="213"/>
      <c r="U18" s="210">
        <f>'Resumo Geral'!C18</f>
        <v>315779.48777966353</v>
      </c>
      <c r="V18" s="213">
        <f t="shared" si="0"/>
        <v>1</v>
      </c>
    </row>
    <row r="19" spans="1:29" x14ac:dyDescent="0.2">
      <c r="A19" s="208">
        <v>6</v>
      </c>
      <c r="B19" s="209" t="str">
        <f>'Resumo Geral'!B19</f>
        <v>SUBESTAÇÃO</v>
      </c>
      <c r="C19" s="212"/>
      <c r="D19" s="211"/>
      <c r="E19" s="215"/>
      <c r="F19" s="211"/>
      <c r="G19" s="210">
        <f>H19*U19</f>
        <v>3994.2628637130429</v>
      </c>
      <c r="H19" s="213">
        <f>H18</f>
        <v>0.25</v>
      </c>
      <c r="I19" s="210">
        <f>J19*U19</f>
        <v>5591.96800919826</v>
      </c>
      <c r="J19" s="213">
        <v>0.35</v>
      </c>
      <c r="K19" s="210">
        <f>L19*U19</f>
        <v>6390.8205819408686</v>
      </c>
      <c r="L19" s="213">
        <v>0.4</v>
      </c>
      <c r="M19" s="214"/>
      <c r="N19" s="213"/>
      <c r="O19" s="213"/>
      <c r="P19" s="213"/>
      <c r="Q19" s="213"/>
      <c r="R19" s="213"/>
      <c r="S19" s="213"/>
      <c r="T19" s="213"/>
      <c r="U19" s="210">
        <f>'Resumo Geral'!C19</f>
        <v>15977.051454852171</v>
      </c>
      <c r="V19" s="213">
        <f t="shared" si="0"/>
        <v>1</v>
      </c>
      <c r="W19" s="216"/>
      <c r="X19" s="216"/>
      <c r="Y19" s="216"/>
      <c r="Z19" s="216"/>
      <c r="AA19" s="216"/>
      <c r="AB19" s="216"/>
      <c r="AC19" s="216"/>
    </row>
    <row r="20" spans="1:29" x14ac:dyDescent="0.2">
      <c r="A20" s="208">
        <v>7</v>
      </c>
      <c r="B20" s="209" t="str">
        <f>'Resumo Geral'!B20</f>
        <v xml:space="preserve">INSTALAÇÃO HIDRO - SANITARIAS </v>
      </c>
      <c r="C20" s="212"/>
      <c r="D20" s="211"/>
      <c r="E20" s="215"/>
      <c r="F20" s="211"/>
      <c r="G20" s="210">
        <f>H20*U20</f>
        <v>36865.881000000001</v>
      </c>
      <c r="H20" s="213">
        <v>0.3</v>
      </c>
      <c r="I20" s="210">
        <f>J20*U20</f>
        <v>36865.881000000001</v>
      </c>
      <c r="J20" s="213">
        <v>0.3</v>
      </c>
      <c r="K20" s="210">
        <f>L20*U20</f>
        <v>49154.508000000002</v>
      </c>
      <c r="L20" s="213">
        <v>0.4</v>
      </c>
      <c r="M20" s="217"/>
      <c r="N20" s="213"/>
      <c r="O20" s="213"/>
      <c r="P20" s="213"/>
      <c r="Q20" s="213"/>
      <c r="R20" s="213"/>
      <c r="S20" s="213"/>
      <c r="T20" s="213"/>
      <c r="U20" s="210">
        <f>'Resumo Geral'!C20</f>
        <v>122886.27</v>
      </c>
      <c r="V20" s="213">
        <f t="shared" si="0"/>
        <v>1</v>
      </c>
      <c r="W20" s="218"/>
      <c r="X20" s="218"/>
      <c r="Y20" s="218"/>
      <c r="Z20" s="218"/>
      <c r="AA20" s="218"/>
      <c r="AB20" s="218"/>
      <c r="AC20" s="218"/>
    </row>
    <row r="21" spans="1:29" x14ac:dyDescent="0.2">
      <c r="A21" s="208">
        <v>8</v>
      </c>
      <c r="B21" s="209" t="str">
        <f>'Resumo Geral'!B21</f>
        <v>ALVENARIA E DIVISORIAS</v>
      </c>
      <c r="C21" s="212"/>
      <c r="D21" s="211"/>
      <c r="E21" s="210">
        <f>F21*U21</f>
        <v>65016.878649999991</v>
      </c>
      <c r="F21" s="211">
        <v>0.5</v>
      </c>
      <c r="G21" s="210">
        <f>H21*U21</f>
        <v>65016.878649999991</v>
      </c>
      <c r="H21" s="213">
        <v>0.5</v>
      </c>
      <c r="I21" s="215"/>
      <c r="J21" s="219"/>
      <c r="K21" s="215"/>
      <c r="L21" s="219"/>
      <c r="M21" s="217"/>
      <c r="N21" s="213"/>
      <c r="O21" s="213"/>
      <c r="P21" s="213"/>
      <c r="Q21" s="213"/>
      <c r="R21" s="213"/>
      <c r="S21" s="213"/>
      <c r="T21" s="213"/>
      <c r="U21" s="210">
        <f>'Resumo Geral'!C21</f>
        <v>130033.75729999998</v>
      </c>
      <c r="V21" s="213">
        <f t="shared" si="0"/>
        <v>1</v>
      </c>
    </row>
    <row r="22" spans="1:29" x14ac:dyDescent="0.2">
      <c r="A22" s="208">
        <v>9</v>
      </c>
      <c r="B22" s="209" t="str">
        <f>'Resumo Geral'!B22</f>
        <v>IMPERMEABILIZAÇÃO</v>
      </c>
      <c r="C22" s="212"/>
      <c r="D22" s="211"/>
      <c r="E22" s="212"/>
      <c r="F22" s="211"/>
      <c r="G22" s="215"/>
      <c r="H22" s="220"/>
      <c r="I22" s="215"/>
      <c r="J22" s="211"/>
      <c r="K22" s="210">
        <f>L22*U22</f>
        <v>3725.2052800000006</v>
      </c>
      <c r="L22" s="211">
        <v>0.2</v>
      </c>
      <c r="M22" s="221">
        <f>N22*U22</f>
        <v>3725.2052800000006</v>
      </c>
      <c r="N22" s="211">
        <v>0.2</v>
      </c>
      <c r="O22" s="221">
        <f>P22*U22</f>
        <v>3725.2052800000006</v>
      </c>
      <c r="P22" s="211">
        <v>0.2</v>
      </c>
      <c r="Q22" s="221">
        <f t="shared" ref="Q22:Q33" si="1">R22*U22</f>
        <v>3725.2052800000006</v>
      </c>
      <c r="R22" s="211">
        <v>0.2</v>
      </c>
      <c r="S22" s="221">
        <f>T22*U22</f>
        <v>3725.2052800000006</v>
      </c>
      <c r="T22" s="211">
        <v>0.2</v>
      </c>
      <c r="U22" s="210">
        <f>'Resumo Geral'!C22</f>
        <v>18626.026400000002</v>
      </c>
      <c r="V22" s="213">
        <f t="shared" si="0"/>
        <v>1</v>
      </c>
    </row>
    <row r="23" spans="1:29" x14ac:dyDescent="0.2">
      <c r="A23" s="208">
        <v>10</v>
      </c>
      <c r="B23" s="209" t="str">
        <f>'Resumo Geral'!B23</f>
        <v>ESTRUTURA METALICA</v>
      </c>
      <c r="C23" s="212"/>
      <c r="D23" s="211"/>
      <c r="E23" s="212"/>
      <c r="F23" s="211"/>
      <c r="G23" s="215"/>
      <c r="H23" s="220"/>
      <c r="I23" s="215"/>
      <c r="J23" s="211"/>
      <c r="K23" s="210">
        <f>L23*U23</f>
        <v>111926.52954539994</v>
      </c>
      <c r="L23" s="211">
        <v>0.2</v>
      </c>
      <c r="M23" s="221">
        <f>N23*U23</f>
        <v>111926.52954539994</v>
      </c>
      <c r="N23" s="211">
        <v>0.2</v>
      </c>
      <c r="O23" s="221">
        <f>P23*U23</f>
        <v>111926.52954539994</v>
      </c>
      <c r="P23" s="211">
        <v>0.2</v>
      </c>
      <c r="Q23" s="221">
        <f t="shared" si="1"/>
        <v>111926.52954539994</v>
      </c>
      <c r="R23" s="211">
        <v>0.2</v>
      </c>
      <c r="S23" s="221">
        <f>T23*U23</f>
        <v>111926.52954539994</v>
      </c>
      <c r="T23" s="211">
        <v>0.2</v>
      </c>
      <c r="U23" s="210">
        <f>'Resumo Geral'!C23</f>
        <v>559632.64772699971</v>
      </c>
      <c r="V23" s="213">
        <f t="shared" si="0"/>
        <v>1</v>
      </c>
    </row>
    <row r="24" spans="1:29" x14ac:dyDescent="0.2">
      <c r="A24" s="208">
        <v>11</v>
      </c>
      <c r="B24" s="209" t="str">
        <f>'Resumo Geral'!B24</f>
        <v>COBERTURA</v>
      </c>
      <c r="C24" s="212"/>
      <c r="D24" s="211"/>
      <c r="E24" s="212"/>
      <c r="F24" s="211"/>
      <c r="G24" s="212"/>
      <c r="H24" s="211"/>
      <c r="I24" s="212"/>
      <c r="J24" s="220"/>
      <c r="K24" s="215"/>
      <c r="L24" s="220"/>
      <c r="M24" s="217"/>
      <c r="N24" s="220"/>
      <c r="O24" s="217"/>
      <c r="P24" s="211"/>
      <c r="Q24" s="221">
        <f t="shared" si="1"/>
        <v>105610.0241</v>
      </c>
      <c r="R24" s="211">
        <v>0.5</v>
      </c>
      <c r="S24" s="221">
        <f>T24*U24</f>
        <v>105610.0241</v>
      </c>
      <c r="T24" s="211">
        <v>0.5</v>
      </c>
      <c r="U24" s="210">
        <f>'Resumo Geral'!C24</f>
        <v>211220.04819999999</v>
      </c>
      <c r="V24" s="213">
        <f t="shared" si="0"/>
        <v>1</v>
      </c>
    </row>
    <row r="25" spans="1:29" x14ac:dyDescent="0.2">
      <c r="A25" s="208">
        <v>12</v>
      </c>
      <c r="B25" s="209" t="str">
        <f>'Resumo Geral'!B25</f>
        <v>ESQUADRIAS METALICAS</v>
      </c>
      <c r="C25" s="215"/>
      <c r="D25" s="220"/>
      <c r="E25" s="215"/>
      <c r="F25" s="220"/>
      <c r="G25" s="215"/>
      <c r="H25" s="220"/>
      <c r="I25" s="215"/>
      <c r="J25" s="220"/>
      <c r="K25" s="215"/>
      <c r="L25" s="211"/>
      <c r="M25" s="221">
        <f>N25*U25</f>
        <v>74075.07762000004</v>
      </c>
      <c r="N25" s="211">
        <v>0.2</v>
      </c>
      <c r="O25" s="221">
        <f>P25*U25</f>
        <v>74075.07762000004</v>
      </c>
      <c r="P25" s="211">
        <v>0.2</v>
      </c>
      <c r="Q25" s="221">
        <f t="shared" si="1"/>
        <v>111112.61643000004</v>
      </c>
      <c r="R25" s="211">
        <v>0.3</v>
      </c>
      <c r="S25" s="221">
        <f>T25*U25</f>
        <v>111112.61643000004</v>
      </c>
      <c r="T25" s="211">
        <v>0.3</v>
      </c>
      <c r="U25" s="210">
        <f>'Resumo Geral'!C25</f>
        <v>370375.38810000016</v>
      </c>
      <c r="V25" s="213">
        <f t="shared" si="0"/>
        <v>1</v>
      </c>
    </row>
    <row r="26" spans="1:29" x14ac:dyDescent="0.2">
      <c r="A26" s="208">
        <v>13</v>
      </c>
      <c r="B26" s="209" t="str">
        <f>'Resumo Geral'!B26</f>
        <v>VIDROS</v>
      </c>
      <c r="C26" s="215"/>
      <c r="D26" s="220"/>
      <c r="E26" s="215"/>
      <c r="F26" s="220"/>
      <c r="G26" s="215"/>
      <c r="H26" s="220"/>
      <c r="I26" s="215"/>
      <c r="J26" s="220"/>
      <c r="K26" s="215"/>
      <c r="L26" s="211"/>
      <c r="M26" s="221">
        <f>N26*U26</f>
        <v>3600.9688000000006</v>
      </c>
      <c r="N26" s="211">
        <v>0.2</v>
      </c>
      <c r="O26" s="221">
        <f>P26*U26</f>
        <v>3600.9688000000006</v>
      </c>
      <c r="P26" s="211">
        <v>0.2</v>
      </c>
      <c r="Q26" s="221">
        <f t="shared" si="1"/>
        <v>5401.4531999999999</v>
      </c>
      <c r="R26" s="211">
        <v>0.3</v>
      </c>
      <c r="S26" s="221">
        <f>T26*U26</f>
        <v>5401.4531999999999</v>
      </c>
      <c r="T26" s="211">
        <v>0.3</v>
      </c>
      <c r="U26" s="210">
        <f>'Resumo Geral'!C26</f>
        <v>18004.844000000001</v>
      </c>
      <c r="V26" s="213">
        <f t="shared" si="0"/>
        <v>1</v>
      </c>
    </row>
    <row r="27" spans="1:29" x14ac:dyDescent="0.2">
      <c r="A27" s="208">
        <v>14</v>
      </c>
      <c r="B27" s="209" t="str">
        <f>'Resumo Geral'!B27</f>
        <v>REVESTIMENTO DE PAREDES</v>
      </c>
      <c r="C27" s="215"/>
      <c r="D27" s="220"/>
      <c r="E27" s="215"/>
      <c r="F27" s="220"/>
      <c r="G27" s="215"/>
      <c r="H27" s="220"/>
      <c r="I27" s="215"/>
      <c r="J27" s="220"/>
      <c r="K27" s="215"/>
      <c r="L27" s="211"/>
      <c r="M27" s="221">
        <f>N27*U27</f>
        <v>54024.737999999998</v>
      </c>
      <c r="N27" s="211">
        <v>0.3</v>
      </c>
      <c r="O27" s="221">
        <f>P27*U27</f>
        <v>54024.737999999998</v>
      </c>
      <c r="P27" s="211">
        <v>0.3</v>
      </c>
      <c r="Q27" s="221">
        <f t="shared" si="1"/>
        <v>72032.983999999997</v>
      </c>
      <c r="R27" s="211">
        <v>0.4</v>
      </c>
      <c r="S27" s="217"/>
      <c r="T27" s="220"/>
      <c r="U27" s="210">
        <f>'Resumo Geral'!C27</f>
        <v>180082.46</v>
      </c>
      <c r="V27" s="213">
        <f t="shared" si="0"/>
        <v>1</v>
      </c>
    </row>
    <row r="28" spans="1:29" x14ac:dyDescent="0.2">
      <c r="A28" s="208">
        <v>15</v>
      </c>
      <c r="B28" s="209" t="str">
        <f>'Resumo Geral'!B28</f>
        <v>FORROS</v>
      </c>
      <c r="C28" s="215"/>
      <c r="D28" s="220"/>
      <c r="E28" s="215"/>
      <c r="F28" s="220"/>
      <c r="G28" s="215"/>
      <c r="H28" s="220"/>
      <c r="I28" s="215"/>
      <c r="J28" s="220"/>
      <c r="K28" s="215"/>
      <c r="L28" s="211"/>
      <c r="M28" s="217">
        <f>N28*U28</f>
        <v>14300.267</v>
      </c>
      <c r="N28" s="220">
        <v>0.25</v>
      </c>
      <c r="O28" s="217">
        <f>P28*U28</f>
        <v>14300.267</v>
      </c>
      <c r="P28" s="220">
        <v>0.25</v>
      </c>
      <c r="Q28" s="217">
        <f t="shared" si="1"/>
        <v>14300.267</v>
      </c>
      <c r="R28" s="220">
        <v>0.25</v>
      </c>
      <c r="S28" s="217"/>
      <c r="T28" s="211">
        <v>0.25</v>
      </c>
      <c r="U28" s="210">
        <f>'Resumo Geral'!C28</f>
        <v>57201.067999999999</v>
      </c>
      <c r="V28" s="213">
        <f t="shared" si="0"/>
        <v>1</v>
      </c>
    </row>
    <row r="29" spans="1:29" x14ac:dyDescent="0.2">
      <c r="A29" s="208">
        <v>16</v>
      </c>
      <c r="B29" s="209" t="str">
        <f>'Resumo Geral'!B29</f>
        <v>REVESTIMENTOS DE PISO</v>
      </c>
      <c r="C29" s="215"/>
      <c r="D29" s="220"/>
      <c r="E29" s="215"/>
      <c r="F29" s="220"/>
      <c r="G29" s="215"/>
      <c r="H29" s="220"/>
      <c r="I29" s="215"/>
      <c r="J29" s="220"/>
      <c r="K29" s="215"/>
      <c r="L29" s="211"/>
      <c r="M29" s="221">
        <f>N29*U29</f>
        <v>147122.46515999999</v>
      </c>
      <c r="N29" s="211">
        <v>0.2</v>
      </c>
      <c r="O29" s="221">
        <f>P29*U29</f>
        <v>147122.46515999999</v>
      </c>
      <c r="P29" s="211">
        <v>0.2</v>
      </c>
      <c r="Q29" s="221">
        <f t="shared" si="1"/>
        <v>220683.69774</v>
      </c>
      <c r="R29" s="211">
        <v>0.3</v>
      </c>
      <c r="S29" s="221">
        <f>T29*U29</f>
        <v>220683.69774</v>
      </c>
      <c r="T29" s="211">
        <v>0.3</v>
      </c>
      <c r="U29" s="210">
        <f>'Resumo Geral'!C29</f>
        <v>735612.32579999999</v>
      </c>
      <c r="V29" s="213">
        <f t="shared" si="0"/>
        <v>1</v>
      </c>
    </row>
    <row r="30" spans="1:29" x14ac:dyDescent="0.2">
      <c r="A30" s="208">
        <v>17</v>
      </c>
      <c r="B30" s="209" t="str">
        <f>'Resumo Geral'!B30</f>
        <v>PINTURA</v>
      </c>
      <c r="C30" s="215"/>
      <c r="D30" s="220"/>
      <c r="E30" s="215"/>
      <c r="F30" s="220"/>
      <c r="G30" s="215"/>
      <c r="H30" s="220"/>
      <c r="I30" s="215"/>
      <c r="J30" s="220"/>
      <c r="K30" s="215"/>
      <c r="L30" s="220"/>
      <c r="M30" s="217"/>
      <c r="N30" s="220"/>
      <c r="O30" s="217"/>
      <c r="P30" s="220"/>
      <c r="Q30" s="217">
        <f t="shared" si="1"/>
        <v>134913.10599999997</v>
      </c>
      <c r="R30" s="211">
        <v>0.5</v>
      </c>
      <c r="S30" s="221">
        <f>T30*U30</f>
        <v>134913.10599999997</v>
      </c>
      <c r="T30" s="211">
        <v>0.5</v>
      </c>
      <c r="U30" s="210">
        <f>'Resumo Geral'!C30</f>
        <v>269826.21199999994</v>
      </c>
      <c r="V30" s="213">
        <f t="shared" si="0"/>
        <v>1</v>
      </c>
    </row>
    <row r="31" spans="1:29" ht="25.5" x14ac:dyDescent="0.2">
      <c r="A31" s="208">
        <v>18</v>
      </c>
      <c r="B31" s="209" t="str">
        <f>'Resumo Geral'!B31</f>
        <v>ATERRAMENTO E PROTEÇÃO CONTRA DESCARGAS ATMOSFERICAS - SPDA</v>
      </c>
      <c r="C31" s="215"/>
      <c r="D31" s="220"/>
      <c r="E31" s="215"/>
      <c r="F31" s="220"/>
      <c r="G31" s="215"/>
      <c r="H31" s="220"/>
      <c r="I31" s="215"/>
      <c r="J31" s="220"/>
      <c r="K31" s="215"/>
      <c r="L31" s="211"/>
      <c r="M31" s="221">
        <f>N31*U31</f>
        <v>13041.742</v>
      </c>
      <c r="N31" s="211">
        <v>0.2</v>
      </c>
      <c r="O31" s="221">
        <f>P31*U31</f>
        <v>13041.742</v>
      </c>
      <c r="P31" s="211">
        <v>0.2</v>
      </c>
      <c r="Q31" s="221">
        <f t="shared" si="1"/>
        <v>19562.612999999998</v>
      </c>
      <c r="R31" s="211">
        <v>0.3</v>
      </c>
      <c r="S31" s="221">
        <f>T31*U31</f>
        <v>19562.612999999998</v>
      </c>
      <c r="T31" s="211">
        <v>0.3</v>
      </c>
      <c r="U31" s="210">
        <f>'Resumo Geral'!C31</f>
        <v>65208.71</v>
      </c>
      <c r="V31" s="213">
        <f t="shared" si="0"/>
        <v>1</v>
      </c>
    </row>
    <row r="32" spans="1:29" x14ac:dyDescent="0.2">
      <c r="A32" s="208">
        <v>19</v>
      </c>
      <c r="B32" s="209" t="str">
        <f>'Resumo Geral'!B32</f>
        <v>INSTALAÇÕES DE COMBATE A INCEDIO E PREVENÇÃO A INCEDIO</v>
      </c>
      <c r="C32" s="215"/>
      <c r="D32" s="220"/>
      <c r="E32" s="215"/>
      <c r="F32" s="220"/>
      <c r="G32" s="215"/>
      <c r="H32" s="220"/>
      <c r="I32" s="215"/>
      <c r="J32" s="220"/>
      <c r="K32" s="215"/>
      <c r="L32" s="211"/>
      <c r="M32" s="217"/>
      <c r="N32" s="220"/>
      <c r="O32" s="221">
        <f>P32*U32</f>
        <v>2519.0970000000002</v>
      </c>
      <c r="P32" s="220">
        <v>0.3</v>
      </c>
      <c r="Q32" s="221">
        <f t="shared" si="1"/>
        <v>3358.7960000000007</v>
      </c>
      <c r="R32" s="211">
        <v>0.4</v>
      </c>
      <c r="S32" s="221">
        <f>T32*U32</f>
        <v>2519.0970000000002</v>
      </c>
      <c r="T32" s="211">
        <v>0.3</v>
      </c>
      <c r="U32" s="210">
        <f>'Resumo Geral'!C32</f>
        <v>8396.9900000000016</v>
      </c>
      <c r="V32" s="213">
        <f t="shared" si="0"/>
        <v>1</v>
      </c>
    </row>
    <row r="33" spans="1:22" x14ac:dyDescent="0.2">
      <c r="A33" s="208">
        <v>20</v>
      </c>
      <c r="B33" s="209" t="str">
        <f>'Resumo Geral'!B33</f>
        <v>DIVERSOS</v>
      </c>
      <c r="C33" s="215"/>
      <c r="D33" s="220"/>
      <c r="E33" s="215"/>
      <c r="F33" s="220"/>
      <c r="G33" s="215"/>
      <c r="H33" s="220"/>
      <c r="I33" s="215"/>
      <c r="J33" s="220"/>
      <c r="K33" s="215"/>
      <c r="L33" s="211"/>
      <c r="M33" s="217"/>
      <c r="N33" s="220"/>
      <c r="O33" s="217"/>
      <c r="P33" s="211"/>
      <c r="Q33" s="221">
        <f t="shared" si="1"/>
        <v>63034.088550000008</v>
      </c>
      <c r="R33" s="211">
        <v>0.5</v>
      </c>
      <c r="S33" s="221">
        <f>T33*U33</f>
        <v>63034.088550000008</v>
      </c>
      <c r="T33" s="211">
        <v>0.5</v>
      </c>
      <c r="U33" s="210">
        <f>'Resumo Geral'!C33</f>
        <v>126068.17710000002</v>
      </c>
      <c r="V33" s="213">
        <f t="shared" si="0"/>
        <v>1</v>
      </c>
    </row>
    <row r="34" spans="1:22" x14ac:dyDescent="0.2">
      <c r="A34" s="487" t="s">
        <v>85</v>
      </c>
      <c r="B34" s="488"/>
      <c r="C34" s="222">
        <f>SUM(C14:C33)</f>
        <v>472530.33173474966</v>
      </c>
      <c r="D34" s="223"/>
      <c r="E34" s="222">
        <f>SUM(E14:E33)</f>
        <v>576760.95736521739</v>
      </c>
      <c r="F34" s="223"/>
      <c r="G34" s="222">
        <f>SUM(G14:G33)</f>
        <v>309313.15690444346</v>
      </c>
      <c r="H34" s="223"/>
      <c r="I34" s="222">
        <f>SUM(I14:I33)</f>
        <v>121402.72095411413</v>
      </c>
      <c r="J34" s="223"/>
      <c r="K34" s="222">
        <f>SUM(K14:K33)</f>
        <v>250141.9353522567</v>
      </c>
      <c r="L34" s="223"/>
      <c r="M34" s="222">
        <f>SUM(M14:M33)</f>
        <v>421816.99340540002</v>
      </c>
      <c r="N34" s="223"/>
      <c r="O34" s="222">
        <f>SUM(O14:O33)</f>
        <v>424336.09040540003</v>
      </c>
      <c r="P34" s="223"/>
      <c r="Q34" s="222">
        <f>SUM(Q14:Q33)</f>
        <v>865661.38084539981</v>
      </c>
      <c r="R34" s="223"/>
      <c r="S34" s="222">
        <f>SUM(S14:S33)</f>
        <v>778488.43084539985</v>
      </c>
      <c r="T34" s="223"/>
      <c r="U34" s="222">
        <f>SUM(U14:U33)</f>
        <v>4234752.2648123819</v>
      </c>
      <c r="V34" s="224"/>
    </row>
    <row r="35" spans="1:22" x14ac:dyDescent="0.2">
      <c r="A35" s="489" t="s">
        <v>86</v>
      </c>
      <c r="B35" s="490"/>
      <c r="C35" s="225">
        <f>(SUM(C14:C33)/U34)</f>
        <v>0.11158393742678235</v>
      </c>
      <c r="D35" s="225"/>
      <c r="E35" s="225">
        <f>E34/U34</f>
        <v>0.13619709520145223</v>
      </c>
      <c r="F35" s="225"/>
      <c r="G35" s="225">
        <f>G34/U34</f>
        <v>7.304161791814931E-2</v>
      </c>
      <c r="H35" s="225"/>
      <c r="I35" s="225">
        <f>I34/U34</f>
        <v>2.8668199073386129E-2</v>
      </c>
      <c r="J35" s="225"/>
      <c r="K35" s="225">
        <f>K34/U34</f>
        <v>5.9068847410685327E-2</v>
      </c>
      <c r="L35" s="225"/>
      <c r="M35" s="225">
        <f>M34/U34</f>
        <v>9.9608422648565106E-2</v>
      </c>
      <c r="N35" s="225"/>
      <c r="O35" s="225">
        <f>O34/U34</f>
        <v>0.10020328554548869</v>
      </c>
      <c r="P35" s="225"/>
      <c r="Q35" s="225">
        <f>Q34/U34</f>
        <v>0.2044184232542709</v>
      </c>
      <c r="R35" s="225"/>
      <c r="S35" s="404">
        <v>0.18720000000000001</v>
      </c>
      <c r="T35" s="225"/>
      <c r="U35" s="226"/>
      <c r="V35" s="227"/>
    </row>
    <row r="36" spans="1:22" x14ac:dyDescent="0.2">
      <c r="A36" s="487" t="s">
        <v>87</v>
      </c>
      <c r="B36" s="488"/>
      <c r="C36" s="222">
        <f>C34</f>
        <v>472530.33173474966</v>
      </c>
      <c r="D36" s="223"/>
      <c r="E36" s="222">
        <f>C36+E34</f>
        <v>1049291.2890999671</v>
      </c>
      <c r="F36" s="223"/>
      <c r="G36" s="222">
        <f>E36+G34</f>
        <v>1358604.4460044105</v>
      </c>
      <c r="H36" s="223"/>
      <c r="I36" s="222">
        <f>G36+I34</f>
        <v>1480007.1669585246</v>
      </c>
      <c r="J36" s="223"/>
      <c r="K36" s="222">
        <f>I36+K34</f>
        <v>1730149.1023107814</v>
      </c>
      <c r="L36" s="223"/>
      <c r="M36" s="222">
        <f>K36+M34</f>
        <v>2151966.0957161812</v>
      </c>
      <c r="N36" s="228"/>
      <c r="O36" s="222">
        <f>M36+O34</f>
        <v>2576302.1861215811</v>
      </c>
      <c r="P36" s="228"/>
      <c r="Q36" s="222">
        <f>O36+Q34</f>
        <v>3441963.5669669807</v>
      </c>
      <c r="R36" s="228"/>
      <c r="S36" s="222">
        <f>U34</f>
        <v>4234752.2648123819</v>
      </c>
      <c r="T36" s="228"/>
      <c r="U36" s="229"/>
      <c r="V36" s="224"/>
    </row>
    <row r="37" spans="1:22" x14ac:dyDescent="0.2">
      <c r="A37" s="481" t="s">
        <v>88</v>
      </c>
      <c r="B37" s="482"/>
      <c r="C37" s="220">
        <f>C36/U34</f>
        <v>0.11158393742678235</v>
      </c>
      <c r="D37" s="220"/>
      <c r="E37" s="220">
        <f>E36/U34</f>
        <v>0.24778103262823459</v>
      </c>
      <c r="F37" s="219"/>
      <c r="G37" s="220">
        <f>G36/U34</f>
        <v>0.32082265054638387</v>
      </c>
      <c r="H37" s="219"/>
      <c r="I37" s="220">
        <f>I36/U34</f>
        <v>0.34949084961977001</v>
      </c>
      <c r="J37" s="219"/>
      <c r="K37" s="220">
        <f>K36/U34</f>
        <v>0.40855969703045536</v>
      </c>
      <c r="L37" s="219"/>
      <c r="M37" s="220">
        <f>M36/U34</f>
        <v>0.50816811967902042</v>
      </c>
      <c r="N37" s="219"/>
      <c r="O37" s="220">
        <f>O36/U34</f>
        <v>0.60837140522450905</v>
      </c>
      <c r="P37" s="219"/>
      <c r="Q37" s="220">
        <f>Q36/U34</f>
        <v>0.8127898284787799</v>
      </c>
      <c r="R37" s="219"/>
      <c r="S37" s="220">
        <f>S36/U34</f>
        <v>1</v>
      </c>
      <c r="T37" s="219"/>
      <c r="U37" s="230"/>
      <c r="V37" s="230"/>
    </row>
    <row r="42" spans="1:22" x14ac:dyDescent="0.2">
      <c r="C42" s="403"/>
    </row>
    <row r="43" spans="1:22" x14ac:dyDescent="0.2">
      <c r="C43" s="403"/>
    </row>
  </sheetData>
  <mergeCells count="19">
    <mergeCell ref="A37:B37"/>
    <mergeCell ref="A7:B7"/>
    <mergeCell ref="A8:V8"/>
    <mergeCell ref="A12:A13"/>
    <mergeCell ref="B12:B13"/>
    <mergeCell ref="C12:D12"/>
    <mergeCell ref="E12:F12"/>
    <mergeCell ref="G12:H12"/>
    <mergeCell ref="I12:J12"/>
    <mergeCell ref="M12:N12"/>
    <mergeCell ref="A34:B34"/>
    <mergeCell ref="A35:B35"/>
    <mergeCell ref="A36:B36"/>
    <mergeCell ref="K12:L12"/>
    <mergeCell ref="A1:V4"/>
    <mergeCell ref="U12:V12"/>
    <mergeCell ref="O12:P12"/>
    <mergeCell ref="Q12:R12"/>
    <mergeCell ref="S12:T12"/>
  </mergeCells>
  <pageMargins left="0.70866141732283472" right="0.39370078740157483" top="0.59055118110236227" bottom="0.78740157480314965" header="0.31496062992125984" footer="0.31496062992125984"/>
  <pageSetup paperSize="9" scale="4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Normal="100" workbookViewId="0">
      <selection activeCell="A8" sqref="A8:XFD8"/>
    </sheetView>
  </sheetViews>
  <sheetFormatPr defaultRowHeight="12.75" x14ac:dyDescent="0.25"/>
  <cols>
    <col min="1" max="1" width="5.7109375" style="248" customWidth="1"/>
    <col min="2" max="2" width="65.7109375" style="248" customWidth="1"/>
    <col min="3" max="3" width="12.7109375" style="248" customWidth="1"/>
    <col min="4" max="4" width="9.140625" style="248"/>
    <col min="5" max="5" width="9.85546875" style="248" bestFit="1" customWidth="1"/>
    <col min="6" max="255" width="9.140625" style="248"/>
    <col min="256" max="256" width="5.7109375" style="248" customWidth="1"/>
    <col min="257" max="257" width="65.7109375" style="248" customWidth="1"/>
    <col min="258" max="259" width="6.7109375" style="248" customWidth="1"/>
    <col min="260" max="260" width="9.140625" style="248"/>
    <col min="261" max="261" width="9.85546875" style="248" bestFit="1" customWidth="1"/>
    <col min="262" max="511" width="9.140625" style="248"/>
    <col min="512" max="512" width="5.7109375" style="248" customWidth="1"/>
    <col min="513" max="513" width="65.7109375" style="248" customWidth="1"/>
    <col min="514" max="515" width="6.7109375" style="248" customWidth="1"/>
    <col min="516" max="516" width="9.140625" style="248"/>
    <col min="517" max="517" width="9.85546875" style="248" bestFit="1" customWidth="1"/>
    <col min="518" max="767" width="9.140625" style="248"/>
    <col min="768" max="768" width="5.7109375" style="248" customWidth="1"/>
    <col min="769" max="769" width="65.7109375" style="248" customWidth="1"/>
    <col min="770" max="771" width="6.7109375" style="248" customWidth="1"/>
    <col min="772" max="772" width="9.140625" style="248"/>
    <col min="773" max="773" width="9.85546875" style="248" bestFit="1" customWidth="1"/>
    <col min="774" max="1023" width="9.140625" style="248"/>
    <col min="1024" max="1024" width="5.7109375" style="248" customWidth="1"/>
    <col min="1025" max="1025" width="65.7109375" style="248" customWidth="1"/>
    <col min="1026" max="1027" width="6.7109375" style="248" customWidth="1"/>
    <col min="1028" max="1028" width="9.140625" style="248"/>
    <col min="1029" max="1029" width="9.85546875" style="248" bestFit="1" customWidth="1"/>
    <col min="1030" max="1279" width="9.140625" style="248"/>
    <col min="1280" max="1280" width="5.7109375" style="248" customWidth="1"/>
    <col min="1281" max="1281" width="65.7109375" style="248" customWidth="1"/>
    <col min="1282" max="1283" width="6.7109375" style="248" customWidth="1"/>
    <col min="1284" max="1284" width="9.140625" style="248"/>
    <col min="1285" max="1285" width="9.85546875" style="248" bestFit="1" customWidth="1"/>
    <col min="1286" max="1535" width="9.140625" style="248"/>
    <col min="1536" max="1536" width="5.7109375" style="248" customWidth="1"/>
    <col min="1537" max="1537" width="65.7109375" style="248" customWidth="1"/>
    <col min="1538" max="1539" width="6.7109375" style="248" customWidth="1"/>
    <col min="1540" max="1540" width="9.140625" style="248"/>
    <col min="1541" max="1541" width="9.85546875" style="248" bestFit="1" customWidth="1"/>
    <col min="1542" max="1791" width="9.140625" style="248"/>
    <col min="1792" max="1792" width="5.7109375" style="248" customWidth="1"/>
    <col min="1793" max="1793" width="65.7109375" style="248" customWidth="1"/>
    <col min="1794" max="1795" width="6.7109375" style="248" customWidth="1"/>
    <col min="1796" max="1796" width="9.140625" style="248"/>
    <col min="1797" max="1797" width="9.85546875" style="248" bestFit="1" customWidth="1"/>
    <col min="1798" max="2047" width="9.140625" style="248"/>
    <col min="2048" max="2048" width="5.7109375" style="248" customWidth="1"/>
    <col min="2049" max="2049" width="65.7109375" style="248" customWidth="1"/>
    <col min="2050" max="2051" width="6.7109375" style="248" customWidth="1"/>
    <col min="2052" max="2052" width="9.140625" style="248"/>
    <col min="2053" max="2053" width="9.85546875" style="248" bestFit="1" customWidth="1"/>
    <col min="2054" max="2303" width="9.140625" style="248"/>
    <col min="2304" max="2304" width="5.7109375" style="248" customWidth="1"/>
    <col min="2305" max="2305" width="65.7109375" style="248" customWidth="1"/>
    <col min="2306" max="2307" width="6.7109375" style="248" customWidth="1"/>
    <col min="2308" max="2308" width="9.140625" style="248"/>
    <col min="2309" max="2309" width="9.85546875" style="248" bestFit="1" customWidth="1"/>
    <col min="2310" max="2559" width="9.140625" style="248"/>
    <col min="2560" max="2560" width="5.7109375" style="248" customWidth="1"/>
    <col min="2561" max="2561" width="65.7109375" style="248" customWidth="1"/>
    <col min="2562" max="2563" width="6.7109375" style="248" customWidth="1"/>
    <col min="2564" max="2564" width="9.140625" style="248"/>
    <col min="2565" max="2565" width="9.85546875" style="248" bestFit="1" customWidth="1"/>
    <col min="2566" max="2815" width="9.140625" style="248"/>
    <col min="2816" max="2816" width="5.7109375" style="248" customWidth="1"/>
    <col min="2817" max="2817" width="65.7109375" style="248" customWidth="1"/>
    <col min="2818" max="2819" width="6.7109375" style="248" customWidth="1"/>
    <col min="2820" max="2820" width="9.140625" style="248"/>
    <col min="2821" max="2821" width="9.85546875" style="248" bestFit="1" customWidth="1"/>
    <col min="2822" max="3071" width="9.140625" style="248"/>
    <col min="3072" max="3072" width="5.7109375" style="248" customWidth="1"/>
    <col min="3073" max="3073" width="65.7109375" style="248" customWidth="1"/>
    <col min="3074" max="3075" width="6.7109375" style="248" customWidth="1"/>
    <col min="3076" max="3076" width="9.140625" style="248"/>
    <col min="3077" max="3077" width="9.85546875" style="248" bestFit="1" customWidth="1"/>
    <col min="3078" max="3327" width="9.140625" style="248"/>
    <col min="3328" max="3328" width="5.7109375" style="248" customWidth="1"/>
    <col min="3329" max="3329" width="65.7109375" style="248" customWidth="1"/>
    <col min="3330" max="3331" width="6.7109375" style="248" customWidth="1"/>
    <col min="3332" max="3332" width="9.140625" style="248"/>
    <col min="3333" max="3333" width="9.85546875" style="248" bestFit="1" customWidth="1"/>
    <col min="3334" max="3583" width="9.140625" style="248"/>
    <col min="3584" max="3584" width="5.7109375" style="248" customWidth="1"/>
    <col min="3585" max="3585" width="65.7109375" style="248" customWidth="1"/>
    <col min="3586" max="3587" width="6.7109375" style="248" customWidth="1"/>
    <col min="3588" max="3588" width="9.140625" style="248"/>
    <col min="3589" max="3589" width="9.85546875" style="248" bestFit="1" customWidth="1"/>
    <col min="3590" max="3839" width="9.140625" style="248"/>
    <col min="3840" max="3840" width="5.7109375" style="248" customWidth="1"/>
    <col min="3841" max="3841" width="65.7109375" style="248" customWidth="1"/>
    <col min="3842" max="3843" width="6.7109375" style="248" customWidth="1"/>
    <col min="3844" max="3844" width="9.140625" style="248"/>
    <col min="3845" max="3845" width="9.85546875" style="248" bestFit="1" customWidth="1"/>
    <col min="3846" max="4095" width="9.140625" style="248"/>
    <col min="4096" max="4096" width="5.7109375" style="248" customWidth="1"/>
    <col min="4097" max="4097" width="65.7109375" style="248" customWidth="1"/>
    <col min="4098" max="4099" width="6.7109375" style="248" customWidth="1"/>
    <col min="4100" max="4100" width="9.140625" style="248"/>
    <col min="4101" max="4101" width="9.85546875" style="248" bestFit="1" customWidth="1"/>
    <col min="4102" max="4351" width="9.140625" style="248"/>
    <col min="4352" max="4352" width="5.7109375" style="248" customWidth="1"/>
    <col min="4353" max="4353" width="65.7109375" style="248" customWidth="1"/>
    <col min="4354" max="4355" width="6.7109375" style="248" customWidth="1"/>
    <col min="4356" max="4356" width="9.140625" style="248"/>
    <col min="4357" max="4357" width="9.85546875" style="248" bestFit="1" customWidth="1"/>
    <col min="4358" max="4607" width="9.140625" style="248"/>
    <col min="4608" max="4608" width="5.7109375" style="248" customWidth="1"/>
    <col min="4609" max="4609" width="65.7109375" style="248" customWidth="1"/>
    <col min="4610" max="4611" width="6.7109375" style="248" customWidth="1"/>
    <col min="4612" max="4612" width="9.140625" style="248"/>
    <col min="4613" max="4613" width="9.85546875" style="248" bestFit="1" customWidth="1"/>
    <col min="4614" max="4863" width="9.140625" style="248"/>
    <col min="4864" max="4864" width="5.7109375" style="248" customWidth="1"/>
    <col min="4865" max="4865" width="65.7109375" style="248" customWidth="1"/>
    <col min="4866" max="4867" width="6.7109375" style="248" customWidth="1"/>
    <col min="4868" max="4868" width="9.140625" style="248"/>
    <col min="4869" max="4869" width="9.85546875" style="248" bestFit="1" customWidth="1"/>
    <col min="4870" max="5119" width="9.140625" style="248"/>
    <col min="5120" max="5120" width="5.7109375" style="248" customWidth="1"/>
    <col min="5121" max="5121" width="65.7109375" style="248" customWidth="1"/>
    <col min="5122" max="5123" width="6.7109375" style="248" customWidth="1"/>
    <col min="5124" max="5124" width="9.140625" style="248"/>
    <col min="5125" max="5125" width="9.85546875" style="248" bestFit="1" customWidth="1"/>
    <col min="5126" max="5375" width="9.140625" style="248"/>
    <col min="5376" max="5376" width="5.7109375" style="248" customWidth="1"/>
    <col min="5377" max="5377" width="65.7109375" style="248" customWidth="1"/>
    <col min="5378" max="5379" width="6.7109375" style="248" customWidth="1"/>
    <col min="5380" max="5380" width="9.140625" style="248"/>
    <col min="5381" max="5381" width="9.85546875" style="248" bestFit="1" customWidth="1"/>
    <col min="5382" max="5631" width="9.140625" style="248"/>
    <col min="5632" max="5632" width="5.7109375" style="248" customWidth="1"/>
    <col min="5633" max="5633" width="65.7109375" style="248" customWidth="1"/>
    <col min="5634" max="5635" width="6.7109375" style="248" customWidth="1"/>
    <col min="5636" max="5636" width="9.140625" style="248"/>
    <col min="5637" max="5637" width="9.85546875" style="248" bestFit="1" customWidth="1"/>
    <col min="5638" max="5887" width="9.140625" style="248"/>
    <col min="5888" max="5888" width="5.7109375" style="248" customWidth="1"/>
    <col min="5889" max="5889" width="65.7109375" style="248" customWidth="1"/>
    <col min="5890" max="5891" width="6.7109375" style="248" customWidth="1"/>
    <col min="5892" max="5892" width="9.140625" style="248"/>
    <col min="5893" max="5893" width="9.85546875" style="248" bestFit="1" customWidth="1"/>
    <col min="5894" max="6143" width="9.140625" style="248"/>
    <col min="6144" max="6144" width="5.7109375" style="248" customWidth="1"/>
    <col min="6145" max="6145" width="65.7109375" style="248" customWidth="1"/>
    <col min="6146" max="6147" width="6.7109375" style="248" customWidth="1"/>
    <col min="6148" max="6148" width="9.140625" style="248"/>
    <col min="6149" max="6149" width="9.85546875" style="248" bestFit="1" customWidth="1"/>
    <col min="6150" max="6399" width="9.140625" style="248"/>
    <col min="6400" max="6400" width="5.7109375" style="248" customWidth="1"/>
    <col min="6401" max="6401" width="65.7109375" style="248" customWidth="1"/>
    <col min="6402" max="6403" width="6.7109375" style="248" customWidth="1"/>
    <col min="6404" max="6404" width="9.140625" style="248"/>
    <col min="6405" max="6405" width="9.85546875" style="248" bestFit="1" customWidth="1"/>
    <col min="6406" max="6655" width="9.140625" style="248"/>
    <col min="6656" max="6656" width="5.7109375" style="248" customWidth="1"/>
    <col min="6657" max="6657" width="65.7109375" style="248" customWidth="1"/>
    <col min="6658" max="6659" width="6.7109375" style="248" customWidth="1"/>
    <col min="6660" max="6660" width="9.140625" style="248"/>
    <col min="6661" max="6661" width="9.85546875" style="248" bestFit="1" customWidth="1"/>
    <col min="6662" max="6911" width="9.140625" style="248"/>
    <col min="6912" max="6912" width="5.7109375" style="248" customWidth="1"/>
    <col min="6913" max="6913" width="65.7109375" style="248" customWidth="1"/>
    <col min="6914" max="6915" width="6.7109375" style="248" customWidth="1"/>
    <col min="6916" max="6916" width="9.140625" style="248"/>
    <col min="6917" max="6917" width="9.85546875" style="248" bestFit="1" customWidth="1"/>
    <col min="6918" max="7167" width="9.140625" style="248"/>
    <col min="7168" max="7168" width="5.7109375" style="248" customWidth="1"/>
    <col min="7169" max="7169" width="65.7109375" style="248" customWidth="1"/>
    <col min="7170" max="7171" width="6.7109375" style="248" customWidth="1"/>
    <col min="7172" max="7172" width="9.140625" style="248"/>
    <col min="7173" max="7173" width="9.85546875" style="248" bestFit="1" customWidth="1"/>
    <col min="7174" max="7423" width="9.140625" style="248"/>
    <col min="7424" max="7424" width="5.7109375" style="248" customWidth="1"/>
    <col min="7425" max="7425" width="65.7109375" style="248" customWidth="1"/>
    <col min="7426" max="7427" width="6.7109375" style="248" customWidth="1"/>
    <col min="7428" max="7428" width="9.140625" style="248"/>
    <col min="7429" max="7429" width="9.85546875" style="248" bestFit="1" customWidth="1"/>
    <col min="7430" max="7679" width="9.140625" style="248"/>
    <col min="7680" max="7680" width="5.7109375" style="248" customWidth="1"/>
    <col min="7681" max="7681" width="65.7109375" style="248" customWidth="1"/>
    <col min="7682" max="7683" width="6.7109375" style="248" customWidth="1"/>
    <col min="7684" max="7684" width="9.140625" style="248"/>
    <col min="7685" max="7685" width="9.85546875" style="248" bestFit="1" customWidth="1"/>
    <col min="7686" max="7935" width="9.140625" style="248"/>
    <col min="7936" max="7936" width="5.7109375" style="248" customWidth="1"/>
    <col min="7937" max="7937" width="65.7109375" style="248" customWidth="1"/>
    <col min="7938" max="7939" width="6.7109375" style="248" customWidth="1"/>
    <col min="7940" max="7940" width="9.140625" style="248"/>
    <col min="7941" max="7941" width="9.85546875" style="248" bestFit="1" customWidth="1"/>
    <col min="7942" max="8191" width="9.140625" style="248"/>
    <col min="8192" max="8192" width="5.7109375" style="248" customWidth="1"/>
    <col min="8193" max="8193" width="65.7109375" style="248" customWidth="1"/>
    <col min="8194" max="8195" width="6.7109375" style="248" customWidth="1"/>
    <col min="8196" max="8196" width="9.140625" style="248"/>
    <col min="8197" max="8197" width="9.85546875" style="248" bestFit="1" customWidth="1"/>
    <col min="8198" max="8447" width="9.140625" style="248"/>
    <col min="8448" max="8448" width="5.7109375" style="248" customWidth="1"/>
    <col min="8449" max="8449" width="65.7109375" style="248" customWidth="1"/>
    <col min="8450" max="8451" width="6.7109375" style="248" customWidth="1"/>
    <col min="8452" max="8452" width="9.140625" style="248"/>
    <col min="8453" max="8453" width="9.85546875" style="248" bestFit="1" customWidth="1"/>
    <col min="8454" max="8703" width="9.140625" style="248"/>
    <col min="8704" max="8704" width="5.7109375" style="248" customWidth="1"/>
    <col min="8705" max="8705" width="65.7109375" style="248" customWidth="1"/>
    <col min="8706" max="8707" width="6.7109375" style="248" customWidth="1"/>
    <col min="8708" max="8708" width="9.140625" style="248"/>
    <col min="8709" max="8709" width="9.85546875" style="248" bestFit="1" customWidth="1"/>
    <col min="8710" max="8959" width="9.140625" style="248"/>
    <col min="8960" max="8960" width="5.7109375" style="248" customWidth="1"/>
    <col min="8961" max="8961" width="65.7109375" style="248" customWidth="1"/>
    <col min="8962" max="8963" width="6.7109375" style="248" customWidth="1"/>
    <col min="8964" max="8964" width="9.140625" style="248"/>
    <col min="8965" max="8965" width="9.85546875" style="248" bestFit="1" customWidth="1"/>
    <col min="8966" max="9215" width="9.140625" style="248"/>
    <col min="9216" max="9216" width="5.7109375" style="248" customWidth="1"/>
    <col min="9217" max="9217" width="65.7109375" style="248" customWidth="1"/>
    <col min="9218" max="9219" width="6.7109375" style="248" customWidth="1"/>
    <col min="9220" max="9220" width="9.140625" style="248"/>
    <col min="9221" max="9221" width="9.85546875" style="248" bestFit="1" customWidth="1"/>
    <col min="9222" max="9471" width="9.140625" style="248"/>
    <col min="9472" max="9472" width="5.7109375" style="248" customWidth="1"/>
    <col min="9473" max="9473" width="65.7109375" style="248" customWidth="1"/>
    <col min="9474" max="9475" width="6.7109375" style="248" customWidth="1"/>
    <col min="9476" max="9476" width="9.140625" style="248"/>
    <col min="9477" max="9477" width="9.85546875" style="248" bestFit="1" customWidth="1"/>
    <col min="9478" max="9727" width="9.140625" style="248"/>
    <col min="9728" max="9728" width="5.7109375" style="248" customWidth="1"/>
    <col min="9729" max="9729" width="65.7109375" style="248" customWidth="1"/>
    <col min="9730" max="9731" width="6.7109375" style="248" customWidth="1"/>
    <col min="9732" max="9732" width="9.140625" style="248"/>
    <col min="9733" max="9733" width="9.85546875" style="248" bestFit="1" customWidth="1"/>
    <col min="9734" max="9983" width="9.140625" style="248"/>
    <col min="9984" max="9984" width="5.7109375" style="248" customWidth="1"/>
    <col min="9985" max="9985" width="65.7109375" style="248" customWidth="1"/>
    <col min="9986" max="9987" width="6.7109375" style="248" customWidth="1"/>
    <col min="9988" max="9988" width="9.140625" style="248"/>
    <col min="9989" max="9989" width="9.85546875" style="248" bestFit="1" customWidth="1"/>
    <col min="9990" max="10239" width="9.140625" style="248"/>
    <col min="10240" max="10240" width="5.7109375" style="248" customWidth="1"/>
    <col min="10241" max="10241" width="65.7109375" style="248" customWidth="1"/>
    <col min="10242" max="10243" width="6.7109375" style="248" customWidth="1"/>
    <col min="10244" max="10244" width="9.140625" style="248"/>
    <col min="10245" max="10245" width="9.85546875" style="248" bestFit="1" customWidth="1"/>
    <col min="10246" max="10495" width="9.140625" style="248"/>
    <col min="10496" max="10496" width="5.7109375" style="248" customWidth="1"/>
    <col min="10497" max="10497" width="65.7109375" style="248" customWidth="1"/>
    <col min="10498" max="10499" width="6.7109375" style="248" customWidth="1"/>
    <col min="10500" max="10500" width="9.140625" style="248"/>
    <col min="10501" max="10501" width="9.85546875" style="248" bestFit="1" customWidth="1"/>
    <col min="10502" max="10751" width="9.140625" style="248"/>
    <col min="10752" max="10752" width="5.7109375" style="248" customWidth="1"/>
    <col min="10753" max="10753" width="65.7109375" style="248" customWidth="1"/>
    <col min="10754" max="10755" width="6.7109375" style="248" customWidth="1"/>
    <col min="10756" max="10756" width="9.140625" style="248"/>
    <col min="10757" max="10757" width="9.85546875" style="248" bestFit="1" customWidth="1"/>
    <col min="10758" max="11007" width="9.140625" style="248"/>
    <col min="11008" max="11008" width="5.7109375" style="248" customWidth="1"/>
    <col min="11009" max="11009" width="65.7109375" style="248" customWidth="1"/>
    <col min="11010" max="11011" width="6.7109375" style="248" customWidth="1"/>
    <col min="11012" max="11012" width="9.140625" style="248"/>
    <col min="11013" max="11013" width="9.85546875" style="248" bestFit="1" customWidth="1"/>
    <col min="11014" max="11263" width="9.140625" style="248"/>
    <col min="11264" max="11264" width="5.7109375" style="248" customWidth="1"/>
    <col min="11265" max="11265" width="65.7109375" style="248" customWidth="1"/>
    <col min="11266" max="11267" width="6.7109375" style="248" customWidth="1"/>
    <col min="11268" max="11268" width="9.140625" style="248"/>
    <col min="11269" max="11269" width="9.85546875" style="248" bestFit="1" customWidth="1"/>
    <col min="11270" max="11519" width="9.140625" style="248"/>
    <col min="11520" max="11520" width="5.7109375" style="248" customWidth="1"/>
    <col min="11521" max="11521" width="65.7109375" style="248" customWidth="1"/>
    <col min="11522" max="11523" width="6.7109375" style="248" customWidth="1"/>
    <col min="11524" max="11524" width="9.140625" style="248"/>
    <col min="11525" max="11525" width="9.85546875" style="248" bestFit="1" customWidth="1"/>
    <col min="11526" max="11775" width="9.140625" style="248"/>
    <col min="11776" max="11776" width="5.7109375" style="248" customWidth="1"/>
    <col min="11777" max="11777" width="65.7109375" style="248" customWidth="1"/>
    <col min="11778" max="11779" width="6.7109375" style="248" customWidth="1"/>
    <col min="11780" max="11780" width="9.140625" style="248"/>
    <col min="11781" max="11781" width="9.85546875" style="248" bestFit="1" customWidth="1"/>
    <col min="11782" max="12031" width="9.140625" style="248"/>
    <col min="12032" max="12032" width="5.7109375" style="248" customWidth="1"/>
    <col min="12033" max="12033" width="65.7109375" style="248" customWidth="1"/>
    <col min="12034" max="12035" width="6.7109375" style="248" customWidth="1"/>
    <col min="12036" max="12036" width="9.140625" style="248"/>
    <col min="12037" max="12037" width="9.85546875" style="248" bestFit="1" customWidth="1"/>
    <col min="12038" max="12287" width="9.140625" style="248"/>
    <col min="12288" max="12288" width="5.7109375" style="248" customWidth="1"/>
    <col min="12289" max="12289" width="65.7109375" style="248" customWidth="1"/>
    <col min="12290" max="12291" width="6.7109375" style="248" customWidth="1"/>
    <col min="12292" max="12292" width="9.140625" style="248"/>
    <col min="12293" max="12293" width="9.85546875" style="248" bestFit="1" customWidth="1"/>
    <col min="12294" max="12543" width="9.140625" style="248"/>
    <col min="12544" max="12544" width="5.7109375" style="248" customWidth="1"/>
    <col min="12545" max="12545" width="65.7109375" style="248" customWidth="1"/>
    <col min="12546" max="12547" width="6.7109375" style="248" customWidth="1"/>
    <col min="12548" max="12548" width="9.140625" style="248"/>
    <col min="12549" max="12549" width="9.85546875" style="248" bestFit="1" customWidth="1"/>
    <col min="12550" max="12799" width="9.140625" style="248"/>
    <col min="12800" max="12800" width="5.7109375" style="248" customWidth="1"/>
    <col min="12801" max="12801" width="65.7109375" style="248" customWidth="1"/>
    <col min="12802" max="12803" width="6.7109375" style="248" customWidth="1"/>
    <col min="12804" max="12804" width="9.140625" style="248"/>
    <col min="12805" max="12805" width="9.85546875" style="248" bestFit="1" customWidth="1"/>
    <col min="12806" max="13055" width="9.140625" style="248"/>
    <col min="13056" max="13056" width="5.7109375" style="248" customWidth="1"/>
    <col min="13057" max="13057" width="65.7109375" style="248" customWidth="1"/>
    <col min="13058" max="13059" width="6.7109375" style="248" customWidth="1"/>
    <col min="13060" max="13060" width="9.140625" style="248"/>
    <col min="13061" max="13061" width="9.85546875" style="248" bestFit="1" customWidth="1"/>
    <col min="13062" max="13311" width="9.140625" style="248"/>
    <col min="13312" max="13312" width="5.7109375" style="248" customWidth="1"/>
    <col min="13313" max="13313" width="65.7109375" style="248" customWidth="1"/>
    <col min="13314" max="13315" width="6.7109375" style="248" customWidth="1"/>
    <col min="13316" max="13316" width="9.140625" style="248"/>
    <col min="13317" max="13317" width="9.85546875" style="248" bestFit="1" customWidth="1"/>
    <col min="13318" max="13567" width="9.140625" style="248"/>
    <col min="13568" max="13568" width="5.7109375" style="248" customWidth="1"/>
    <col min="13569" max="13569" width="65.7109375" style="248" customWidth="1"/>
    <col min="13570" max="13571" width="6.7109375" style="248" customWidth="1"/>
    <col min="13572" max="13572" width="9.140625" style="248"/>
    <col min="13573" max="13573" width="9.85546875" style="248" bestFit="1" customWidth="1"/>
    <col min="13574" max="13823" width="9.140625" style="248"/>
    <col min="13824" max="13824" width="5.7109375" style="248" customWidth="1"/>
    <col min="13825" max="13825" width="65.7109375" style="248" customWidth="1"/>
    <col min="13826" max="13827" width="6.7109375" style="248" customWidth="1"/>
    <col min="13828" max="13828" width="9.140625" style="248"/>
    <col min="13829" max="13829" width="9.85546875" style="248" bestFit="1" customWidth="1"/>
    <col min="13830" max="14079" width="9.140625" style="248"/>
    <col min="14080" max="14080" width="5.7109375" style="248" customWidth="1"/>
    <col min="14081" max="14081" width="65.7109375" style="248" customWidth="1"/>
    <col min="14082" max="14083" width="6.7109375" style="248" customWidth="1"/>
    <col min="14084" max="14084" width="9.140625" style="248"/>
    <col min="14085" max="14085" width="9.85546875" style="248" bestFit="1" customWidth="1"/>
    <col min="14086" max="14335" width="9.140625" style="248"/>
    <col min="14336" max="14336" width="5.7109375" style="248" customWidth="1"/>
    <col min="14337" max="14337" width="65.7109375" style="248" customWidth="1"/>
    <col min="14338" max="14339" width="6.7109375" style="248" customWidth="1"/>
    <col min="14340" max="14340" width="9.140625" style="248"/>
    <col min="14341" max="14341" width="9.85546875" style="248" bestFit="1" customWidth="1"/>
    <col min="14342" max="14591" width="9.140625" style="248"/>
    <col min="14592" max="14592" width="5.7109375" style="248" customWidth="1"/>
    <col min="14593" max="14593" width="65.7109375" style="248" customWidth="1"/>
    <col min="14594" max="14595" width="6.7109375" style="248" customWidth="1"/>
    <col min="14596" max="14596" width="9.140625" style="248"/>
    <col min="14597" max="14597" width="9.85546875" style="248" bestFit="1" customWidth="1"/>
    <col min="14598" max="14847" width="9.140625" style="248"/>
    <col min="14848" max="14848" width="5.7109375" style="248" customWidth="1"/>
    <col min="14849" max="14849" width="65.7109375" style="248" customWidth="1"/>
    <col min="14850" max="14851" width="6.7109375" style="248" customWidth="1"/>
    <col min="14852" max="14852" width="9.140625" style="248"/>
    <col min="14853" max="14853" width="9.85546875" style="248" bestFit="1" customWidth="1"/>
    <col min="14854" max="15103" width="9.140625" style="248"/>
    <col min="15104" max="15104" width="5.7109375" style="248" customWidth="1"/>
    <col min="15105" max="15105" width="65.7109375" style="248" customWidth="1"/>
    <col min="15106" max="15107" width="6.7109375" style="248" customWidth="1"/>
    <col min="15108" max="15108" width="9.140625" style="248"/>
    <col min="15109" max="15109" width="9.85546875" style="248" bestFit="1" customWidth="1"/>
    <col min="15110" max="15359" width="9.140625" style="248"/>
    <col min="15360" max="15360" width="5.7109375" style="248" customWidth="1"/>
    <col min="15361" max="15361" width="65.7109375" style="248" customWidth="1"/>
    <col min="15362" max="15363" width="6.7109375" style="248" customWidth="1"/>
    <col min="15364" max="15364" width="9.140625" style="248"/>
    <col min="15365" max="15365" width="9.85546875" style="248" bestFit="1" customWidth="1"/>
    <col min="15366" max="15615" width="9.140625" style="248"/>
    <col min="15616" max="15616" width="5.7109375" style="248" customWidth="1"/>
    <col min="15617" max="15617" width="65.7109375" style="248" customWidth="1"/>
    <col min="15618" max="15619" width="6.7109375" style="248" customWidth="1"/>
    <col min="15620" max="15620" width="9.140625" style="248"/>
    <col min="15621" max="15621" width="9.85546875" style="248" bestFit="1" customWidth="1"/>
    <col min="15622" max="15871" width="9.140625" style="248"/>
    <col min="15872" max="15872" width="5.7109375" style="248" customWidth="1"/>
    <col min="15873" max="15873" width="65.7109375" style="248" customWidth="1"/>
    <col min="15874" max="15875" width="6.7109375" style="248" customWidth="1"/>
    <col min="15876" max="15876" width="9.140625" style="248"/>
    <col min="15877" max="15877" width="9.85546875" style="248" bestFit="1" customWidth="1"/>
    <col min="15878" max="16127" width="9.140625" style="248"/>
    <col min="16128" max="16128" width="5.7109375" style="248" customWidth="1"/>
    <col min="16129" max="16129" width="65.7109375" style="248" customWidth="1"/>
    <col min="16130" max="16131" width="6.7109375" style="248" customWidth="1"/>
    <col min="16132" max="16132" width="9.140625" style="248"/>
    <col min="16133" max="16133" width="9.85546875" style="248" bestFit="1" customWidth="1"/>
    <col min="16134" max="16384" width="9.140625" style="248"/>
  </cols>
  <sheetData>
    <row r="1" spans="1:5" s="242" customFormat="1" ht="12.75" customHeight="1" x14ac:dyDescent="0.25">
      <c r="A1" s="421" t="str">
        <f>Comp!B1</f>
        <v>TERPLANC - TERRAPLENAGEM  PLANEJAMENTO CONSTRUÇÃO E SEVIÇOS  EIRELE - EPP</v>
      </c>
      <c r="B1" s="421"/>
      <c r="C1" s="421"/>
    </row>
    <row r="2" spans="1:5" s="242" customFormat="1" ht="12.75" customHeight="1" x14ac:dyDescent="0.25">
      <c r="A2" s="421"/>
      <c r="B2" s="421"/>
      <c r="C2" s="421"/>
    </row>
    <row r="3" spans="1:5" s="242" customFormat="1" ht="12.75" customHeight="1" x14ac:dyDescent="0.25">
      <c r="A3" s="421"/>
      <c r="B3" s="421"/>
      <c r="C3" s="421"/>
    </row>
    <row r="4" spans="1:5" s="242" customFormat="1" ht="12.75" customHeight="1" x14ac:dyDescent="0.25">
      <c r="A4" s="421"/>
      <c r="B4" s="421"/>
      <c r="C4" s="421"/>
    </row>
    <row r="5" spans="1:5" s="242" customFormat="1" ht="12.75" customHeight="1" x14ac:dyDescent="0.25"/>
    <row r="6" spans="1:5" s="245" customFormat="1" ht="16.5" customHeight="1" x14ac:dyDescent="0.2">
      <c r="A6" s="407" t="str">
        <f>Comp!C5</f>
        <v xml:space="preserve"> PREFEITURA MUNICIPAL DE OEIRAS DO PARÁ</v>
      </c>
      <c r="B6" s="407"/>
      <c r="C6" s="244"/>
      <c r="D6" s="255"/>
      <c r="E6" s="255"/>
    </row>
    <row r="7" spans="1:5" s="381" customFormat="1" x14ac:dyDescent="0.2">
      <c r="A7" s="408" t="str">
        <f>Comp!C6</f>
        <v>OBRA:  CONSTRUÇÃO DE ESCOLA PADRÃO FNDE 12 (DOZE) SALAS DE AULA NO MUNICIPIO DE OEIRAS DO PARÁ/PA</v>
      </c>
      <c r="B7" s="408"/>
      <c r="C7" s="408"/>
      <c r="D7" s="380"/>
      <c r="E7" s="380"/>
    </row>
    <row r="8" spans="1:5" x14ac:dyDescent="0.25">
      <c r="A8" s="256" t="str">
        <f>Comp!C7</f>
        <v>PRAZO DE EXECUÇÃO: 9 MESES</v>
      </c>
      <c r="B8" s="256"/>
      <c r="C8" s="256"/>
    </row>
    <row r="9" spans="1:5" ht="13.5" thickBot="1" x14ac:dyDescent="0.3"/>
    <row r="10" spans="1:5" ht="13.5" thickBot="1" x14ac:dyDescent="0.3">
      <c r="A10" s="495" t="s">
        <v>469</v>
      </c>
      <c r="B10" s="496"/>
      <c r="C10" s="497"/>
    </row>
    <row r="11" spans="1:5" ht="15" customHeight="1" thickBot="1" x14ac:dyDescent="0.3">
      <c r="A11" s="498" t="s">
        <v>461</v>
      </c>
      <c r="B11" s="499"/>
      <c r="C11" s="500"/>
    </row>
    <row r="12" spans="1:5" x14ac:dyDescent="0.25">
      <c r="A12" s="355" t="s">
        <v>1</v>
      </c>
      <c r="B12" s="349" t="s">
        <v>462</v>
      </c>
      <c r="C12" s="352" t="s">
        <v>467</v>
      </c>
    </row>
    <row r="13" spans="1:5" x14ac:dyDescent="0.25">
      <c r="A13" s="356" t="s">
        <v>4</v>
      </c>
      <c r="B13" s="348" t="s">
        <v>463</v>
      </c>
      <c r="C13" s="353">
        <v>3.75</v>
      </c>
    </row>
    <row r="14" spans="1:5" x14ac:dyDescent="0.25">
      <c r="A14" s="356" t="s">
        <v>5</v>
      </c>
      <c r="B14" s="348" t="s">
        <v>464</v>
      </c>
      <c r="C14" s="353">
        <v>1.35</v>
      </c>
    </row>
    <row r="15" spans="1:5" x14ac:dyDescent="0.25">
      <c r="A15" s="356" t="s">
        <v>6</v>
      </c>
      <c r="B15" s="348" t="s">
        <v>465</v>
      </c>
      <c r="C15" s="353">
        <v>1.0604880878992999</v>
      </c>
    </row>
    <row r="16" spans="1:5" ht="13.5" thickBot="1" x14ac:dyDescent="0.3">
      <c r="A16" s="357" t="s">
        <v>7</v>
      </c>
      <c r="B16" s="350" t="s">
        <v>466</v>
      </c>
      <c r="C16" s="354">
        <v>1.1000000000000001</v>
      </c>
    </row>
    <row r="17" spans="1:3" ht="15" customHeight="1" thickBot="1" x14ac:dyDescent="0.3">
      <c r="A17" s="491" t="s">
        <v>468</v>
      </c>
      <c r="B17" s="492"/>
      <c r="C17" s="351">
        <f>SUM(C13:C16)</f>
        <v>7.260488087899299</v>
      </c>
    </row>
    <row r="18" spans="1:3" ht="13.5" thickBot="1" x14ac:dyDescent="0.3">
      <c r="A18" s="498" t="s">
        <v>470</v>
      </c>
      <c r="B18" s="499"/>
      <c r="C18" s="500"/>
    </row>
    <row r="19" spans="1:3" x14ac:dyDescent="0.25">
      <c r="A19" s="355" t="s">
        <v>1</v>
      </c>
      <c r="B19" s="349" t="s">
        <v>462</v>
      </c>
      <c r="C19" s="352" t="s">
        <v>467</v>
      </c>
    </row>
    <row r="20" spans="1:3" x14ac:dyDescent="0.25">
      <c r="A20" s="356" t="s">
        <v>13</v>
      </c>
      <c r="B20" s="348" t="s">
        <v>326</v>
      </c>
      <c r="C20" s="353">
        <v>0.24</v>
      </c>
    </row>
    <row r="21" spans="1:3" x14ac:dyDescent="0.25">
      <c r="A21" s="356" t="s">
        <v>14</v>
      </c>
      <c r="B21" s="348" t="s">
        <v>327</v>
      </c>
      <c r="C21" s="353">
        <v>3.5</v>
      </c>
    </row>
    <row r="22" spans="1:3" x14ac:dyDescent="0.25">
      <c r="A22" s="356" t="s">
        <v>71</v>
      </c>
      <c r="B22" s="348" t="s">
        <v>328</v>
      </c>
      <c r="C22" s="353">
        <v>1.95</v>
      </c>
    </row>
    <row r="23" spans="1:3" x14ac:dyDescent="0.25">
      <c r="A23" s="356" t="s">
        <v>172</v>
      </c>
      <c r="B23" s="348" t="s">
        <v>471</v>
      </c>
      <c r="C23" s="353">
        <v>0.16</v>
      </c>
    </row>
    <row r="24" spans="1:3" ht="13.5" thickBot="1" x14ac:dyDescent="0.3">
      <c r="A24" s="356" t="s">
        <v>173</v>
      </c>
      <c r="B24" s="348" t="s">
        <v>329</v>
      </c>
      <c r="C24" s="353">
        <v>1.85</v>
      </c>
    </row>
    <row r="25" spans="1:3" ht="13.5" thickBot="1" x14ac:dyDescent="0.3">
      <c r="A25" s="491" t="s">
        <v>472</v>
      </c>
      <c r="B25" s="492"/>
      <c r="C25" s="351">
        <f>SUM(C20:C24)</f>
        <v>7.7000000000000011</v>
      </c>
    </row>
    <row r="26" spans="1:3" ht="13.5" thickBot="1" x14ac:dyDescent="0.3">
      <c r="A26" s="498" t="s">
        <v>473</v>
      </c>
      <c r="B26" s="499"/>
      <c r="C26" s="500"/>
    </row>
    <row r="27" spans="1:3" x14ac:dyDescent="0.25">
      <c r="A27" s="355" t="s">
        <v>1</v>
      </c>
      <c r="B27" s="349" t="s">
        <v>462</v>
      </c>
      <c r="C27" s="352" t="s">
        <v>467</v>
      </c>
    </row>
    <row r="28" spans="1:3" x14ac:dyDescent="0.25">
      <c r="A28" s="356" t="s">
        <v>15</v>
      </c>
      <c r="B28" s="348" t="s">
        <v>474</v>
      </c>
      <c r="C28" s="353">
        <v>9</v>
      </c>
    </row>
    <row r="29" spans="1:3" x14ac:dyDescent="0.25">
      <c r="A29" s="356" t="s">
        <v>110</v>
      </c>
      <c r="B29" s="348" t="s">
        <v>475</v>
      </c>
      <c r="C29" s="353">
        <v>1.2</v>
      </c>
    </row>
    <row r="30" spans="1:3" x14ac:dyDescent="0.25">
      <c r="A30" s="356" t="s">
        <v>111</v>
      </c>
      <c r="B30" s="348" t="s">
        <v>476</v>
      </c>
      <c r="C30" s="353">
        <v>0.51</v>
      </c>
    </row>
    <row r="31" spans="1:3" ht="13.5" thickBot="1" x14ac:dyDescent="0.3">
      <c r="A31" s="356" t="s">
        <v>112</v>
      </c>
      <c r="B31" s="348" t="s">
        <v>477</v>
      </c>
      <c r="C31" s="353">
        <v>1</v>
      </c>
    </row>
    <row r="32" spans="1:3" ht="13.5" thickBot="1" x14ac:dyDescent="0.3">
      <c r="A32" s="491" t="s">
        <v>478</v>
      </c>
      <c r="B32" s="492"/>
      <c r="C32" s="351">
        <f>SUM(C28:C31)</f>
        <v>11.709999999999999</v>
      </c>
    </row>
    <row r="33" spans="1:5" ht="13.5" thickBot="1" x14ac:dyDescent="0.3">
      <c r="A33" s="491" t="s">
        <v>479</v>
      </c>
      <c r="B33" s="492"/>
      <c r="C33" s="358">
        <f>(((1+(C17%+C30%+C31%))*(1+C29%)*(1+C28%))/(1-C25%)) -1</f>
        <v>0.29991928494041131</v>
      </c>
      <c r="E33" s="257"/>
    </row>
    <row r="34" spans="1:5" x14ac:dyDescent="0.25">
      <c r="A34" s="493" t="s">
        <v>480</v>
      </c>
      <c r="B34" s="362" t="s">
        <v>482</v>
      </c>
      <c r="C34" s="359"/>
    </row>
    <row r="35" spans="1:5" ht="15.75" customHeight="1" thickBot="1" x14ac:dyDescent="0.3">
      <c r="A35" s="494"/>
      <c r="B35" s="360" t="s">
        <v>481</v>
      </c>
      <c r="C35" s="361"/>
    </row>
    <row r="38" spans="1:5" x14ac:dyDescent="0.25">
      <c r="B38" s="363"/>
    </row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s="242" customFormat="1" ht="20.100000000000001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</sheetData>
  <mergeCells count="12">
    <mergeCell ref="A32:B32"/>
    <mergeCell ref="A34:A35"/>
    <mergeCell ref="A1:C4"/>
    <mergeCell ref="A6:B6"/>
    <mergeCell ref="A10:C10"/>
    <mergeCell ref="A11:C11"/>
    <mergeCell ref="A17:B17"/>
    <mergeCell ref="A18:C18"/>
    <mergeCell ref="A25:B25"/>
    <mergeCell ref="A26:C26"/>
    <mergeCell ref="A33:B33"/>
    <mergeCell ref="A7:C7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6" orientation="portrait" horizontalDpi="12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4" zoomScaleNormal="100" workbookViewId="0">
      <selection activeCell="A5" sqref="A5"/>
    </sheetView>
  </sheetViews>
  <sheetFormatPr defaultRowHeight="12.75" x14ac:dyDescent="0.25"/>
  <cols>
    <col min="1" max="1" width="8.140625" style="261" customWidth="1"/>
    <col min="2" max="2" width="63.28515625" style="261" customWidth="1"/>
    <col min="3" max="3" width="15.140625" style="261" customWidth="1"/>
    <col min="4" max="4" width="7" style="261" hidden="1" customWidth="1"/>
    <col min="5" max="5" width="47.140625" style="261" hidden="1" customWidth="1"/>
    <col min="6" max="6" width="10.28515625" style="261" hidden="1" customWidth="1"/>
    <col min="7" max="7" width="8.5703125" style="261" hidden="1" customWidth="1"/>
    <col min="8" max="8" width="15.140625" style="261" hidden="1" customWidth="1"/>
    <col min="9" max="10" width="9.140625" style="248" customWidth="1"/>
    <col min="11" max="256" width="9.140625" style="248"/>
    <col min="257" max="257" width="8.140625" style="248" customWidth="1"/>
    <col min="258" max="258" width="63.28515625" style="248" customWidth="1"/>
    <col min="259" max="259" width="15.140625" style="248" customWidth="1"/>
    <col min="260" max="264" width="0" style="248" hidden="1" customWidth="1"/>
    <col min="265" max="266" width="9.140625" style="248" customWidth="1"/>
    <col min="267" max="512" width="9.140625" style="248"/>
    <col min="513" max="513" width="8.140625" style="248" customWidth="1"/>
    <col min="514" max="514" width="63.28515625" style="248" customWidth="1"/>
    <col min="515" max="515" width="15.140625" style="248" customWidth="1"/>
    <col min="516" max="520" width="0" style="248" hidden="1" customWidth="1"/>
    <col min="521" max="522" width="9.140625" style="248" customWidth="1"/>
    <col min="523" max="768" width="9.140625" style="248"/>
    <col min="769" max="769" width="8.140625" style="248" customWidth="1"/>
    <col min="770" max="770" width="63.28515625" style="248" customWidth="1"/>
    <col min="771" max="771" width="15.140625" style="248" customWidth="1"/>
    <col min="772" max="776" width="0" style="248" hidden="1" customWidth="1"/>
    <col min="777" max="778" width="9.140625" style="248" customWidth="1"/>
    <col min="779" max="1024" width="9.140625" style="248"/>
    <col min="1025" max="1025" width="8.140625" style="248" customWidth="1"/>
    <col min="1026" max="1026" width="63.28515625" style="248" customWidth="1"/>
    <col min="1027" max="1027" width="15.140625" style="248" customWidth="1"/>
    <col min="1028" max="1032" width="0" style="248" hidden="1" customWidth="1"/>
    <col min="1033" max="1034" width="9.140625" style="248" customWidth="1"/>
    <col min="1035" max="1280" width="9.140625" style="248"/>
    <col min="1281" max="1281" width="8.140625" style="248" customWidth="1"/>
    <col min="1282" max="1282" width="63.28515625" style="248" customWidth="1"/>
    <col min="1283" max="1283" width="15.140625" style="248" customWidth="1"/>
    <col min="1284" max="1288" width="0" style="248" hidden="1" customWidth="1"/>
    <col min="1289" max="1290" width="9.140625" style="248" customWidth="1"/>
    <col min="1291" max="1536" width="9.140625" style="248"/>
    <col min="1537" max="1537" width="8.140625" style="248" customWidth="1"/>
    <col min="1538" max="1538" width="63.28515625" style="248" customWidth="1"/>
    <col min="1539" max="1539" width="15.140625" style="248" customWidth="1"/>
    <col min="1540" max="1544" width="0" style="248" hidden="1" customWidth="1"/>
    <col min="1545" max="1546" width="9.140625" style="248" customWidth="1"/>
    <col min="1547" max="1792" width="9.140625" style="248"/>
    <col min="1793" max="1793" width="8.140625" style="248" customWidth="1"/>
    <col min="1794" max="1794" width="63.28515625" style="248" customWidth="1"/>
    <col min="1795" max="1795" width="15.140625" style="248" customWidth="1"/>
    <col min="1796" max="1800" width="0" style="248" hidden="1" customWidth="1"/>
    <col min="1801" max="1802" width="9.140625" style="248" customWidth="1"/>
    <col min="1803" max="2048" width="9.140625" style="248"/>
    <col min="2049" max="2049" width="8.140625" style="248" customWidth="1"/>
    <col min="2050" max="2050" width="63.28515625" style="248" customWidth="1"/>
    <col min="2051" max="2051" width="15.140625" style="248" customWidth="1"/>
    <col min="2052" max="2056" width="0" style="248" hidden="1" customWidth="1"/>
    <col min="2057" max="2058" width="9.140625" style="248" customWidth="1"/>
    <col min="2059" max="2304" width="9.140625" style="248"/>
    <col min="2305" max="2305" width="8.140625" style="248" customWidth="1"/>
    <col min="2306" max="2306" width="63.28515625" style="248" customWidth="1"/>
    <col min="2307" max="2307" width="15.140625" style="248" customWidth="1"/>
    <col min="2308" max="2312" width="0" style="248" hidden="1" customWidth="1"/>
    <col min="2313" max="2314" width="9.140625" style="248" customWidth="1"/>
    <col min="2315" max="2560" width="9.140625" style="248"/>
    <col min="2561" max="2561" width="8.140625" style="248" customWidth="1"/>
    <col min="2562" max="2562" width="63.28515625" style="248" customWidth="1"/>
    <col min="2563" max="2563" width="15.140625" style="248" customWidth="1"/>
    <col min="2564" max="2568" width="0" style="248" hidden="1" customWidth="1"/>
    <col min="2569" max="2570" width="9.140625" style="248" customWidth="1"/>
    <col min="2571" max="2816" width="9.140625" style="248"/>
    <col min="2817" max="2817" width="8.140625" style="248" customWidth="1"/>
    <col min="2818" max="2818" width="63.28515625" style="248" customWidth="1"/>
    <col min="2819" max="2819" width="15.140625" style="248" customWidth="1"/>
    <col min="2820" max="2824" width="0" style="248" hidden="1" customWidth="1"/>
    <col min="2825" max="2826" width="9.140625" style="248" customWidth="1"/>
    <col min="2827" max="3072" width="9.140625" style="248"/>
    <col min="3073" max="3073" width="8.140625" style="248" customWidth="1"/>
    <col min="3074" max="3074" width="63.28515625" style="248" customWidth="1"/>
    <col min="3075" max="3075" width="15.140625" style="248" customWidth="1"/>
    <col min="3076" max="3080" width="0" style="248" hidden="1" customWidth="1"/>
    <col min="3081" max="3082" width="9.140625" style="248" customWidth="1"/>
    <col min="3083" max="3328" width="9.140625" style="248"/>
    <col min="3329" max="3329" width="8.140625" style="248" customWidth="1"/>
    <col min="3330" max="3330" width="63.28515625" style="248" customWidth="1"/>
    <col min="3331" max="3331" width="15.140625" style="248" customWidth="1"/>
    <col min="3332" max="3336" width="0" style="248" hidden="1" customWidth="1"/>
    <col min="3337" max="3338" width="9.140625" style="248" customWidth="1"/>
    <col min="3339" max="3584" width="9.140625" style="248"/>
    <col min="3585" max="3585" width="8.140625" style="248" customWidth="1"/>
    <col min="3586" max="3586" width="63.28515625" style="248" customWidth="1"/>
    <col min="3587" max="3587" width="15.140625" style="248" customWidth="1"/>
    <col min="3588" max="3592" width="0" style="248" hidden="1" customWidth="1"/>
    <col min="3593" max="3594" width="9.140625" style="248" customWidth="1"/>
    <col min="3595" max="3840" width="9.140625" style="248"/>
    <col min="3841" max="3841" width="8.140625" style="248" customWidth="1"/>
    <col min="3842" max="3842" width="63.28515625" style="248" customWidth="1"/>
    <col min="3843" max="3843" width="15.140625" style="248" customWidth="1"/>
    <col min="3844" max="3848" width="0" style="248" hidden="1" customWidth="1"/>
    <col min="3849" max="3850" width="9.140625" style="248" customWidth="1"/>
    <col min="3851" max="4096" width="9.140625" style="248"/>
    <col min="4097" max="4097" width="8.140625" style="248" customWidth="1"/>
    <col min="4098" max="4098" width="63.28515625" style="248" customWidth="1"/>
    <col min="4099" max="4099" width="15.140625" style="248" customWidth="1"/>
    <col min="4100" max="4104" width="0" style="248" hidden="1" customWidth="1"/>
    <col min="4105" max="4106" width="9.140625" style="248" customWidth="1"/>
    <col min="4107" max="4352" width="9.140625" style="248"/>
    <col min="4353" max="4353" width="8.140625" style="248" customWidth="1"/>
    <col min="4354" max="4354" width="63.28515625" style="248" customWidth="1"/>
    <col min="4355" max="4355" width="15.140625" style="248" customWidth="1"/>
    <col min="4356" max="4360" width="0" style="248" hidden="1" customWidth="1"/>
    <col min="4361" max="4362" width="9.140625" style="248" customWidth="1"/>
    <col min="4363" max="4608" width="9.140625" style="248"/>
    <col min="4609" max="4609" width="8.140625" style="248" customWidth="1"/>
    <col min="4610" max="4610" width="63.28515625" style="248" customWidth="1"/>
    <col min="4611" max="4611" width="15.140625" style="248" customWidth="1"/>
    <col min="4612" max="4616" width="0" style="248" hidden="1" customWidth="1"/>
    <col min="4617" max="4618" width="9.140625" style="248" customWidth="1"/>
    <col min="4619" max="4864" width="9.140625" style="248"/>
    <col min="4865" max="4865" width="8.140625" style="248" customWidth="1"/>
    <col min="4866" max="4866" width="63.28515625" style="248" customWidth="1"/>
    <col min="4867" max="4867" width="15.140625" style="248" customWidth="1"/>
    <col min="4868" max="4872" width="0" style="248" hidden="1" customWidth="1"/>
    <col min="4873" max="4874" width="9.140625" style="248" customWidth="1"/>
    <col min="4875" max="5120" width="9.140625" style="248"/>
    <col min="5121" max="5121" width="8.140625" style="248" customWidth="1"/>
    <col min="5122" max="5122" width="63.28515625" style="248" customWidth="1"/>
    <col min="5123" max="5123" width="15.140625" style="248" customWidth="1"/>
    <col min="5124" max="5128" width="0" style="248" hidden="1" customWidth="1"/>
    <col min="5129" max="5130" width="9.140625" style="248" customWidth="1"/>
    <col min="5131" max="5376" width="9.140625" style="248"/>
    <col min="5377" max="5377" width="8.140625" style="248" customWidth="1"/>
    <col min="5378" max="5378" width="63.28515625" style="248" customWidth="1"/>
    <col min="5379" max="5379" width="15.140625" style="248" customWidth="1"/>
    <col min="5380" max="5384" width="0" style="248" hidden="1" customWidth="1"/>
    <col min="5385" max="5386" width="9.140625" style="248" customWidth="1"/>
    <col min="5387" max="5632" width="9.140625" style="248"/>
    <col min="5633" max="5633" width="8.140625" style="248" customWidth="1"/>
    <col min="5634" max="5634" width="63.28515625" style="248" customWidth="1"/>
    <col min="5635" max="5635" width="15.140625" style="248" customWidth="1"/>
    <col min="5636" max="5640" width="0" style="248" hidden="1" customWidth="1"/>
    <col min="5641" max="5642" width="9.140625" style="248" customWidth="1"/>
    <col min="5643" max="5888" width="9.140625" style="248"/>
    <col min="5889" max="5889" width="8.140625" style="248" customWidth="1"/>
    <col min="5890" max="5890" width="63.28515625" style="248" customWidth="1"/>
    <col min="5891" max="5891" width="15.140625" style="248" customWidth="1"/>
    <col min="5892" max="5896" width="0" style="248" hidden="1" customWidth="1"/>
    <col min="5897" max="5898" width="9.140625" style="248" customWidth="1"/>
    <col min="5899" max="6144" width="9.140625" style="248"/>
    <col min="6145" max="6145" width="8.140625" style="248" customWidth="1"/>
    <col min="6146" max="6146" width="63.28515625" style="248" customWidth="1"/>
    <col min="6147" max="6147" width="15.140625" style="248" customWidth="1"/>
    <col min="6148" max="6152" width="0" style="248" hidden="1" customWidth="1"/>
    <col min="6153" max="6154" width="9.140625" style="248" customWidth="1"/>
    <col min="6155" max="6400" width="9.140625" style="248"/>
    <col min="6401" max="6401" width="8.140625" style="248" customWidth="1"/>
    <col min="6402" max="6402" width="63.28515625" style="248" customWidth="1"/>
    <col min="6403" max="6403" width="15.140625" style="248" customWidth="1"/>
    <col min="6404" max="6408" width="0" style="248" hidden="1" customWidth="1"/>
    <col min="6409" max="6410" width="9.140625" style="248" customWidth="1"/>
    <col min="6411" max="6656" width="9.140625" style="248"/>
    <col min="6657" max="6657" width="8.140625" style="248" customWidth="1"/>
    <col min="6658" max="6658" width="63.28515625" style="248" customWidth="1"/>
    <col min="6659" max="6659" width="15.140625" style="248" customWidth="1"/>
    <col min="6660" max="6664" width="0" style="248" hidden="1" customWidth="1"/>
    <col min="6665" max="6666" width="9.140625" style="248" customWidth="1"/>
    <col min="6667" max="6912" width="9.140625" style="248"/>
    <col min="6913" max="6913" width="8.140625" style="248" customWidth="1"/>
    <col min="6914" max="6914" width="63.28515625" style="248" customWidth="1"/>
    <col min="6915" max="6915" width="15.140625" style="248" customWidth="1"/>
    <col min="6916" max="6920" width="0" style="248" hidden="1" customWidth="1"/>
    <col min="6921" max="6922" width="9.140625" style="248" customWidth="1"/>
    <col min="6923" max="7168" width="9.140625" style="248"/>
    <col min="7169" max="7169" width="8.140625" style="248" customWidth="1"/>
    <col min="7170" max="7170" width="63.28515625" style="248" customWidth="1"/>
    <col min="7171" max="7171" width="15.140625" style="248" customWidth="1"/>
    <col min="7172" max="7176" width="0" style="248" hidden="1" customWidth="1"/>
    <col min="7177" max="7178" width="9.140625" style="248" customWidth="1"/>
    <col min="7179" max="7424" width="9.140625" style="248"/>
    <col min="7425" max="7425" width="8.140625" style="248" customWidth="1"/>
    <col min="7426" max="7426" width="63.28515625" style="248" customWidth="1"/>
    <col min="7427" max="7427" width="15.140625" style="248" customWidth="1"/>
    <col min="7428" max="7432" width="0" style="248" hidden="1" customWidth="1"/>
    <col min="7433" max="7434" width="9.140625" style="248" customWidth="1"/>
    <col min="7435" max="7680" width="9.140625" style="248"/>
    <col min="7681" max="7681" width="8.140625" style="248" customWidth="1"/>
    <col min="7682" max="7682" width="63.28515625" style="248" customWidth="1"/>
    <col min="7683" max="7683" width="15.140625" style="248" customWidth="1"/>
    <col min="7684" max="7688" width="0" style="248" hidden="1" customWidth="1"/>
    <col min="7689" max="7690" width="9.140625" style="248" customWidth="1"/>
    <col min="7691" max="7936" width="9.140625" style="248"/>
    <col min="7937" max="7937" width="8.140625" style="248" customWidth="1"/>
    <col min="7938" max="7938" width="63.28515625" style="248" customWidth="1"/>
    <col min="7939" max="7939" width="15.140625" style="248" customWidth="1"/>
    <col min="7940" max="7944" width="0" style="248" hidden="1" customWidth="1"/>
    <col min="7945" max="7946" width="9.140625" style="248" customWidth="1"/>
    <col min="7947" max="8192" width="9.140625" style="248"/>
    <col min="8193" max="8193" width="8.140625" style="248" customWidth="1"/>
    <col min="8194" max="8194" width="63.28515625" style="248" customWidth="1"/>
    <col min="8195" max="8195" width="15.140625" style="248" customWidth="1"/>
    <col min="8196" max="8200" width="0" style="248" hidden="1" customWidth="1"/>
    <col min="8201" max="8202" width="9.140625" style="248" customWidth="1"/>
    <col min="8203" max="8448" width="9.140625" style="248"/>
    <col min="8449" max="8449" width="8.140625" style="248" customWidth="1"/>
    <col min="8450" max="8450" width="63.28515625" style="248" customWidth="1"/>
    <col min="8451" max="8451" width="15.140625" style="248" customWidth="1"/>
    <col min="8452" max="8456" width="0" style="248" hidden="1" customWidth="1"/>
    <col min="8457" max="8458" width="9.140625" style="248" customWidth="1"/>
    <col min="8459" max="8704" width="9.140625" style="248"/>
    <col min="8705" max="8705" width="8.140625" style="248" customWidth="1"/>
    <col min="8706" max="8706" width="63.28515625" style="248" customWidth="1"/>
    <col min="8707" max="8707" width="15.140625" style="248" customWidth="1"/>
    <col min="8708" max="8712" width="0" style="248" hidden="1" customWidth="1"/>
    <col min="8713" max="8714" width="9.140625" style="248" customWidth="1"/>
    <col min="8715" max="8960" width="9.140625" style="248"/>
    <col min="8961" max="8961" width="8.140625" style="248" customWidth="1"/>
    <col min="8962" max="8962" width="63.28515625" style="248" customWidth="1"/>
    <col min="8963" max="8963" width="15.140625" style="248" customWidth="1"/>
    <col min="8964" max="8968" width="0" style="248" hidden="1" customWidth="1"/>
    <col min="8969" max="8970" width="9.140625" style="248" customWidth="1"/>
    <col min="8971" max="9216" width="9.140625" style="248"/>
    <col min="9217" max="9217" width="8.140625" style="248" customWidth="1"/>
    <col min="9218" max="9218" width="63.28515625" style="248" customWidth="1"/>
    <col min="9219" max="9219" width="15.140625" style="248" customWidth="1"/>
    <col min="9220" max="9224" width="0" style="248" hidden="1" customWidth="1"/>
    <col min="9225" max="9226" width="9.140625" style="248" customWidth="1"/>
    <col min="9227" max="9472" width="9.140625" style="248"/>
    <col min="9473" max="9473" width="8.140625" style="248" customWidth="1"/>
    <col min="9474" max="9474" width="63.28515625" style="248" customWidth="1"/>
    <col min="9475" max="9475" width="15.140625" style="248" customWidth="1"/>
    <col min="9476" max="9480" width="0" style="248" hidden="1" customWidth="1"/>
    <col min="9481" max="9482" width="9.140625" style="248" customWidth="1"/>
    <col min="9483" max="9728" width="9.140625" style="248"/>
    <col min="9729" max="9729" width="8.140625" style="248" customWidth="1"/>
    <col min="9730" max="9730" width="63.28515625" style="248" customWidth="1"/>
    <col min="9731" max="9731" width="15.140625" style="248" customWidth="1"/>
    <col min="9732" max="9736" width="0" style="248" hidden="1" customWidth="1"/>
    <col min="9737" max="9738" width="9.140625" style="248" customWidth="1"/>
    <col min="9739" max="9984" width="9.140625" style="248"/>
    <col min="9985" max="9985" width="8.140625" style="248" customWidth="1"/>
    <col min="9986" max="9986" width="63.28515625" style="248" customWidth="1"/>
    <col min="9987" max="9987" width="15.140625" style="248" customWidth="1"/>
    <col min="9988" max="9992" width="0" style="248" hidden="1" customWidth="1"/>
    <col min="9993" max="9994" width="9.140625" style="248" customWidth="1"/>
    <col min="9995" max="10240" width="9.140625" style="248"/>
    <col min="10241" max="10241" width="8.140625" style="248" customWidth="1"/>
    <col min="10242" max="10242" width="63.28515625" style="248" customWidth="1"/>
    <col min="10243" max="10243" width="15.140625" style="248" customWidth="1"/>
    <col min="10244" max="10248" width="0" style="248" hidden="1" customWidth="1"/>
    <col min="10249" max="10250" width="9.140625" style="248" customWidth="1"/>
    <col min="10251" max="10496" width="9.140625" style="248"/>
    <col min="10497" max="10497" width="8.140625" style="248" customWidth="1"/>
    <col min="10498" max="10498" width="63.28515625" style="248" customWidth="1"/>
    <col min="10499" max="10499" width="15.140625" style="248" customWidth="1"/>
    <col min="10500" max="10504" width="0" style="248" hidden="1" customWidth="1"/>
    <col min="10505" max="10506" width="9.140625" style="248" customWidth="1"/>
    <col min="10507" max="10752" width="9.140625" style="248"/>
    <col min="10753" max="10753" width="8.140625" style="248" customWidth="1"/>
    <col min="10754" max="10754" width="63.28515625" style="248" customWidth="1"/>
    <col min="10755" max="10755" width="15.140625" style="248" customWidth="1"/>
    <col min="10756" max="10760" width="0" style="248" hidden="1" customWidth="1"/>
    <col min="10761" max="10762" width="9.140625" style="248" customWidth="1"/>
    <col min="10763" max="11008" width="9.140625" style="248"/>
    <col min="11009" max="11009" width="8.140625" style="248" customWidth="1"/>
    <col min="11010" max="11010" width="63.28515625" style="248" customWidth="1"/>
    <col min="11011" max="11011" width="15.140625" style="248" customWidth="1"/>
    <col min="11012" max="11016" width="0" style="248" hidden="1" customWidth="1"/>
    <col min="11017" max="11018" width="9.140625" style="248" customWidth="1"/>
    <col min="11019" max="11264" width="9.140625" style="248"/>
    <col min="11265" max="11265" width="8.140625" style="248" customWidth="1"/>
    <col min="11266" max="11266" width="63.28515625" style="248" customWidth="1"/>
    <col min="11267" max="11267" width="15.140625" style="248" customWidth="1"/>
    <col min="11268" max="11272" width="0" style="248" hidden="1" customWidth="1"/>
    <col min="11273" max="11274" width="9.140625" style="248" customWidth="1"/>
    <col min="11275" max="11520" width="9.140625" style="248"/>
    <col min="11521" max="11521" width="8.140625" style="248" customWidth="1"/>
    <col min="11522" max="11522" width="63.28515625" style="248" customWidth="1"/>
    <col min="11523" max="11523" width="15.140625" style="248" customWidth="1"/>
    <col min="11524" max="11528" width="0" style="248" hidden="1" customWidth="1"/>
    <col min="11529" max="11530" width="9.140625" style="248" customWidth="1"/>
    <col min="11531" max="11776" width="9.140625" style="248"/>
    <col min="11777" max="11777" width="8.140625" style="248" customWidth="1"/>
    <col min="11778" max="11778" width="63.28515625" style="248" customWidth="1"/>
    <col min="11779" max="11779" width="15.140625" style="248" customWidth="1"/>
    <col min="11780" max="11784" width="0" style="248" hidden="1" customWidth="1"/>
    <col min="11785" max="11786" width="9.140625" style="248" customWidth="1"/>
    <col min="11787" max="12032" width="9.140625" style="248"/>
    <col min="12033" max="12033" width="8.140625" style="248" customWidth="1"/>
    <col min="12034" max="12034" width="63.28515625" style="248" customWidth="1"/>
    <col min="12035" max="12035" width="15.140625" style="248" customWidth="1"/>
    <col min="12036" max="12040" width="0" style="248" hidden="1" customWidth="1"/>
    <col min="12041" max="12042" width="9.140625" style="248" customWidth="1"/>
    <col min="12043" max="12288" width="9.140625" style="248"/>
    <col min="12289" max="12289" width="8.140625" style="248" customWidth="1"/>
    <col min="12290" max="12290" width="63.28515625" style="248" customWidth="1"/>
    <col min="12291" max="12291" width="15.140625" style="248" customWidth="1"/>
    <col min="12292" max="12296" width="0" style="248" hidden="1" customWidth="1"/>
    <col min="12297" max="12298" width="9.140625" style="248" customWidth="1"/>
    <col min="12299" max="12544" width="9.140625" style="248"/>
    <col min="12545" max="12545" width="8.140625" style="248" customWidth="1"/>
    <col min="12546" max="12546" width="63.28515625" style="248" customWidth="1"/>
    <col min="12547" max="12547" width="15.140625" style="248" customWidth="1"/>
    <col min="12548" max="12552" width="0" style="248" hidden="1" customWidth="1"/>
    <col min="12553" max="12554" width="9.140625" style="248" customWidth="1"/>
    <col min="12555" max="12800" width="9.140625" style="248"/>
    <col min="12801" max="12801" width="8.140625" style="248" customWidth="1"/>
    <col min="12802" max="12802" width="63.28515625" style="248" customWidth="1"/>
    <col min="12803" max="12803" width="15.140625" style="248" customWidth="1"/>
    <col min="12804" max="12808" width="0" style="248" hidden="1" customWidth="1"/>
    <col min="12809" max="12810" width="9.140625" style="248" customWidth="1"/>
    <col min="12811" max="13056" width="9.140625" style="248"/>
    <col min="13057" max="13057" width="8.140625" style="248" customWidth="1"/>
    <col min="13058" max="13058" width="63.28515625" style="248" customWidth="1"/>
    <col min="13059" max="13059" width="15.140625" style="248" customWidth="1"/>
    <col min="13060" max="13064" width="0" style="248" hidden="1" customWidth="1"/>
    <col min="13065" max="13066" width="9.140625" style="248" customWidth="1"/>
    <col min="13067" max="13312" width="9.140625" style="248"/>
    <col min="13313" max="13313" width="8.140625" style="248" customWidth="1"/>
    <col min="13314" max="13314" width="63.28515625" style="248" customWidth="1"/>
    <col min="13315" max="13315" width="15.140625" style="248" customWidth="1"/>
    <col min="13316" max="13320" width="0" style="248" hidden="1" customWidth="1"/>
    <col min="13321" max="13322" width="9.140625" style="248" customWidth="1"/>
    <col min="13323" max="13568" width="9.140625" style="248"/>
    <col min="13569" max="13569" width="8.140625" style="248" customWidth="1"/>
    <col min="13570" max="13570" width="63.28515625" style="248" customWidth="1"/>
    <col min="13571" max="13571" width="15.140625" style="248" customWidth="1"/>
    <col min="13572" max="13576" width="0" style="248" hidden="1" customWidth="1"/>
    <col min="13577" max="13578" width="9.140625" style="248" customWidth="1"/>
    <col min="13579" max="13824" width="9.140625" style="248"/>
    <col min="13825" max="13825" width="8.140625" style="248" customWidth="1"/>
    <col min="13826" max="13826" width="63.28515625" style="248" customWidth="1"/>
    <col min="13827" max="13827" width="15.140625" style="248" customWidth="1"/>
    <col min="13828" max="13832" width="0" style="248" hidden="1" customWidth="1"/>
    <col min="13833" max="13834" width="9.140625" style="248" customWidth="1"/>
    <col min="13835" max="14080" width="9.140625" style="248"/>
    <col min="14081" max="14081" width="8.140625" style="248" customWidth="1"/>
    <col min="14082" max="14082" width="63.28515625" style="248" customWidth="1"/>
    <col min="14083" max="14083" width="15.140625" style="248" customWidth="1"/>
    <col min="14084" max="14088" width="0" style="248" hidden="1" customWidth="1"/>
    <col min="14089" max="14090" width="9.140625" style="248" customWidth="1"/>
    <col min="14091" max="14336" width="9.140625" style="248"/>
    <col min="14337" max="14337" width="8.140625" style="248" customWidth="1"/>
    <col min="14338" max="14338" width="63.28515625" style="248" customWidth="1"/>
    <col min="14339" max="14339" width="15.140625" style="248" customWidth="1"/>
    <col min="14340" max="14344" width="0" style="248" hidden="1" customWidth="1"/>
    <col min="14345" max="14346" width="9.140625" style="248" customWidth="1"/>
    <col min="14347" max="14592" width="9.140625" style="248"/>
    <col min="14593" max="14593" width="8.140625" style="248" customWidth="1"/>
    <col min="14594" max="14594" width="63.28515625" style="248" customWidth="1"/>
    <col min="14595" max="14595" width="15.140625" style="248" customWidth="1"/>
    <col min="14596" max="14600" width="0" style="248" hidden="1" customWidth="1"/>
    <col min="14601" max="14602" width="9.140625" style="248" customWidth="1"/>
    <col min="14603" max="14848" width="9.140625" style="248"/>
    <col min="14849" max="14849" width="8.140625" style="248" customWidth="1"/>
    <col min="14850" max="14850" width="63.28515625" style="248" customWidth="1"/>
    <col min="14851" max="14851" width="15.140625" style="248" customWidth="1"/>
    <col min="14852" max="14856" width="0" style="248" hidden="1" customWidth="1"/>
    <col min="14857" max="14858" width="9.140625" style="248" customWidth="1"/>
    <col min="14859" max="15104" width="9.140625" style="248"/>
    <col min="15105" max="15105" width="8.140625" style="248" customWidth="1"/>
    <col min="15106" max="15106" width="63.28515625" style="248" customWidth="1"/>
    <col min="15107" max="15107" width="15.140625" style="248" customWidth="1"/>
    <col min="15108" max="15112" width="0" style="248" hidden="1" customWidth="1"/>
    <col min="15113" max="15114" width="9.140625" style="248" customWidth="1"/>
    <col min="15115" max="15360" width="9.140625" style="248"/>
    <col min="15361" max="15361" width="8.140625" style="248" customWidth="1"/>
    <col min="15362" max="15362" width="63.28515625" style="248" customWidth="1"/>
    <col min="15363" max="15363" width="15.140625" style="248" customWidth="1"/>
    <col min="15364" max="15368" width="0" style="248" hidden="1" customWidth="1"/>
    <col min="15369" max="15370" width="9.140625" style="248" customWidth="1"/>
    <col min="15371" max="15616" width="9.140625" style="248"/>
    <col min="15617" max="15617" width="8.140625" style="248" customWidth="1"/>
    <col min="15618" max="15618" width="63.28515625" style="248" customWidth="1"/>
    <col min="15619" max="15619" width="15.140625" style="248" customWidth="1"/>
    <col min="15620" max="15624" width="0" style="248" hidden="1" customWidth="1"/>
    <col min="15625" max="15626" width="9.140625" style="248" customWidth="1"/>
    <col min="15627" max="15872" width="9.140625" style="248"/>
    <col min="15873" max="15873" width="8.140625" style="248" customWidth="1"/>
    <col min="15874" max="15874" width="63.28515625" style="248" customWidth="1"/>
    <col min="15875" max="15875" width="15.140625" style="248" customWidth="1"/>
    <col min="15876" max="15880" width="0" style="248" hidden="1" customWidth="1"/>
    <col min="15881" max="15882" width="9.140625" style="248" customWidth="1"/>
    <col min="15883" max="16128" width="9.140625" style="248"/>
    <col min="16129" max="16129" width="8.140625" style="248" customWidth="1"/>
    <col min="16130" max="16130" width="63.28515625" style="248" customWidth="1"/>
    <col min="16131" max="16131" width="15.140625" style="248" customWidth="1"/>
    <col min="16132" max="16136" width="0" style="248" hidden="1" customWidth="1"/>
    <col min="16137" max="16138" width="9.140625" style="248" customWidth="1"/>
    <col min="16139" max="16384" width="9.140625" style="248"/>
  </cols>
  <sheetData>
    <row r="1" spans="1:8" s="242" customFormat="1" ht="12.75" customHeight="1" x14ac:dyDescent="0.25">
      <c r="A1" s="421" t="str">
        <f>BDI!A1</f>
        <v>TERPLANC - TERRAPLENAGEM  PLANEJAMENTO CONSTRUÇÃO E SEVIÇOS  EIRELE - EPP</v>
      </c>
      <c r="B1" s="421"/>
      <c r="C1" s="421"/>
      <c r="D1" s="421"/>
    </row>
    <row r="2" spans="1:8" s="242" customFormat="1" ht="12.75" customHeight="1" x14ac:dyDescent="0.25">
      <c r="A2" s="421"/>
      <c r="B2" s="421"/>
      <c r="C2" s="421"/>
      <c r="D2" s="421"/>
    </row>
    <row r="3" spans="1:8" s="242" customFormat="1" ht="12.75" customHeight="1" x14ac:dyDescent="0.25">
      <c r="A3" s="421"/>
      <c r="B3" s="421"/>
      <c r="C3" s="421"/>
      <c r="D3" s="421"/>
    </row>
    <row r="4" spans="1:8" s="242" customFormat="1" ht="12.75" customHeight="1" x14ac:dyDescent="0.25">
      <c r="A4" s="421"/>
      <c r="B4" s="421"/>
      <c r="C4" s="421"/>
      <c r="D4" s="421"/>
    </row>
    <row r="5" spans="1:8" s="242" customFormat="1" ht="12.75" customHeight="1" x14ac:dyDescent="0.25"/>
    <row r="6" spans="1:8" s="242" customFormat="1" ht="12.75" hidden="1" customHeight="1" x14ac:dyDescent="0.25"/>
    <row r="7" spans="1:8" ht="15.75" x14ac:dyDescent="0.25">
      <c r="A7" s="506" t="s">
        <v>331</v>
      </c>
      <c r="B7" s="506"/>
      <c r="C7" s="506"/>
      <c r="D7" s="258"/>
      <c r="E7" s="259" t="s">
        <v>332</v>
      </c>
      <c r="F7" s="248"/>
      <c r="G7" s="248"/>
      <c r="H7" s="248"/>
    </row>
    <row r="8" spans="1:8" ht="15" x14ac:dyDescent="0.25">
      <c r="A8" s="507" t="str">
        <f>Resumo!A10</f>
        <v>CONCORRÊNCIA  PUBLICA N° 001/2015 - CPL/ PMOP/ SEMED</v>
      </c>
      <c r="B8" s="507"/>
      <c r="C8" s="507"/>
      <c r="D8" s="260"/>
      <c r="E8" s="261" t="s">
        <v>334</v>
      </c>
      <c r="F8" s="262">
        <f>220</f>
        <v>220</v>
      </c>
      <c r="G8" s="263"/>
      <c r="H8" s="261" t="s">
        <v>335</v>
      </c>
    </row>
    <row r="9" spans="1:8" hidden="1" x14ac:dyDescent="0.25">
      <c r="E9" s="261" t="s">
        <v>336</v>
      </c>
      <c r="F9" s="262">
        <v>30</v>
      </c>
      <c r="G9" s="263">
        <f>F8/F9</f>
        <v>7.333333333333333</v>
      </c>
      <c r="H9" s="261" t="s">
        <v>337</v>
      </c>
    </row>
    <row r="10" spans="1:8" x14ac:dyDescent="0.25">
      <c r="E10" s="264" t="s">
        <v>338</v>
      </c>
    </row>
    <row r="11" spans="1:8" ht="15.75" x14ac:dyDescent="0.25">
      <c r="A11" s="508" t="s">
        <v>339</v>
      </c>
      <c r="B11" s="508"/>
      <c r="C11" s="508"/>
      <c r="D11" s="265"/>
      <c r="E11" s="266" t="s">
        <v>340</v>
      </c>
      <c r="F11" s="267">
        <v>52</v>
      </c>
      <c r="G11" s="268">
        <f>((((F67/F21)*F20)-F9)/7)*(F21/F67)*G9</f>
        <v>361.98956022878372</v>
      </c>
      <c r="H11" s="261" t="s">
        <v>341</v>
      </c>
    </row>
    <row r="12" spans="1:8" x14ac:dyDescent="0.2">
      <c r="A12" s="509" t="s">
        <v>342</v>
      </c>
      <c r="B12" s="509"/>
      <c r="C12" s="269" t="s">
        <v>38</v>
      </c>
      <c r="D12" s="270"/>
      <c r="E12" s="271" t="s">
        <v>343</v>
      </c>
      <c r="F12" s="272" t="s">
        <v>344</v>
      </c>
      <c r="G12" s="273">
        <f>(((F67/F21)*F12)*((F67-1)/F67)*(F21/F67))*G9</f>
        <v>86.646768111162686</v>
      </c>
      <c r="H12" s="261" t="s">
        <v>341</v>
      </c>
    </row>
    <row r="13" spans="1:8" x14ac:dyDescent="0.2">
      <c r="A13" s="274" t="s">
        <v>345</v>
      </c>
      <c r="B13" s="275" t="s">
        <v>346</v>
      </c>
      <c r="C13" s="276">
        <v>20</v>
      </c>
      <c r="D13" s="277"/>
      <c r="E13" s="271" t="s">
        <v>347</v>
      </c>
      <c r="F13" s="278">
        <v>15</v>
      </c>
      <c r="G13" s="273">
        <f>((F13*3.4%)+2)*G9</f>
        <v>18.406666666666663</v>
      </c>
      <c r="H13" s="261" t="s">
        <v>341</v>
      </c>
    </row>
    <row r="14" spans="1:8" x14ac:dyDescent="0.2">
      <c r="A14" s="274" t="s">
        <v>348</v>
      </c>
      <c r="B14" s="275" t="s">
        <v>349</v>
      </c>
      <c r="C14" s="276">
        <v>8</v>
      </c>
      <c r="D14" s="277"/>
      <c r="E14" s="271" t="s">
        <v>350</v>
      </c>
      <c r="F14" s="278">
        <v>5</v>
      </c>
      <c r="G14" s="273">
        <f>F14*(92.36%*85.64%*5.93%)*G9</f>
        <v>1.7198346979733334</v>
      </c>
      <c r="H14" s="261" t="s">
        <v>341</v>
      </c>
    </row>
    <row r="15" spans="1:8" x14ac:dyDescent="0.2">
      <c r="A15" s="274" t="s">
        <v>351</v>
      </c>
      <c r="B15" s="275" t="s">
        <v>352</v>
      </c>
      <c r="C15" s="276">
        <v>2.5</v>
      </c>
      <c r="D15" s="277"/>
      <c r="E15" s="279" t="s">
        <v>353</v>
      </c>
      <c r="F15" s="261">
        <v>120</v>
      </c>
      <c r="G15" s="263">
        <f>(4.33%*7.64%*82.4%*(F15/F20)*(F9+F19))*G9</f>
        <v>0.45972588147296367</v>
      </c>
      <c r="H15" s="261" t="s">
        <v>341</v>
      </c>
    </row>
    <row r="16" spans="1:8" x14ac:dyDescent="0.2">
      <c r="A16" s="274" t="s">
        <v>354</v>
      </c>
      <c r="B16" s="275" t="s">
        <v>355</v>
      </c>
      <c r="C16" s="276">
        <v>1.5</v>
      </c>
      <c r="D16" s="277"/>
      <c r="E16" s="280" t="s">
        <v>356</v>
      </c>
      <c r="F16" s="267">
        <v>2</v>
      </c>
      <c r="G16" s="281">
        <f>F16*G9</f>
        <v>14.666666666666666</v>
      </c>
      <c r="H16" s="261" t="s">
        <v>341</v>
      </c>
    </row>
    <row r="17" spans="1:8" x14ac:dyDescent="0.2">
      <c r="A17" s="274" t="s">
        <v>357</v>
      </c>
      <c r="B17" s="275" t="s">
        <v>358</v>
      </c>
      <c r="C17" s="276">
        <v>1</v>
      </c>
      <c r="D17" s="277"/>
      <c r="E17" s="282" t="s">
        <v>359</v>
      </c>
      <c r="F17" s="267">
        <v>190</v>
      </c>
      <c r="G17" s="281">
        <f>(F17*((F20-107.42)/F20)*20%*20%)*G9</f>
        <v>39.342163814738754</v>
      </c>
      <c r="H17" s="261" t="s">
        <v>341</v>
      </c>
    </row>
    <row r="18" spans="1:8" x14ac:dyDescent="0.2">
      <c r="A18" s="274" t="s">
        <v>360</v>
      </c>
      <c r="B18" s="275" t="s">
        <v>361</v>
      </c>
      <c r="C18" s="276">
        <v>0.6</v>
      </c>
      <c r="D18" s="277"/>
      <c r="E18" s="282" t="s">
        <v>362</v>
      </c>
      <c r="F18" s="267">
        <v>15</v>
      </c>
      <c r="G18" s="281">
        <f>(F18*3.5%)*G9</f>
        <v>3.85</v>
      </c>
      <c r="H18" s="261" t="s">
        <v>341</v>
      </c>
    </row>
    <row r="19" spans="1:8" x14ac:dyDescent="0.2">
      <c r="A19" s="274" t="s">
        <v>363</v>
      </c>
      <c r="B19" s="275" t="s">
        <v>364</v>
      </c>
      <c r="C19" s="276">
        <v>0.2</v>
      </c>
      <c r="D19" s="283"/>
      <c r="E19" s="280" t="s">
        <v>365</v>
      </c>
      <c r="F19" s="284">
        <v>40</v>
      </c>
      <c r="G19" s="285">
        <f>F19*(F21/F67)*G9</f>
        <v>192.76410453135199</v>
      </c>
      <c r="H19" s="279" t="s">
        <v>341</v>
      </c>
    </row>
    <row r="20" spans="1:8" x14ac:dyDescent="0.2">
      <c r="A20" s="274" t="s">
        <v>366</v>
      </c>
      <c r="B20" s="275" t="s">
        <v>367</v>
      </c>
      <c r="C20" s="276">
        <v>3</v>
      </c>
      <c r="D20" s="277"/>
      <c r="E20" s="264" t="s">
        <v>368</v>
      </c>
      <c r="F20" s="286">
        <f>365.25</f>
        <v>365.25</v>
      </c>
      <c r="G20" s="287">
        <f>F20*G9</f>
        <v>2678.5</v>
      </c>
      <c r="H20" s="279" t="s">
        <v>341</v>
      </c>
    </row>
    <row r="21" spans="1:8" x14ac:dyDescent="0.2">
      <c r="A21" s="274" t="s">
        <v>369</v>
      </c>
      <c r="B21" s="275" t="s">
        <v>370</v>
      </c>
      <c r="C21" s="288">
        <v>0</v>
      </c>
      <c r="D21" s="277"/>
      <c r="E21" s="264" t="s">
        <v>371</v>
      </c>
      <c r="F21" s="272" t="s">
        <v>372</v>
      </c>
      <c r="G21" s="287">
        <f>G20-SUM(G11:G19)</f>
        <v>1958.6545094011831</v>
      </c>
      <c r="H21" s="279" t="s">
        <v>341</v>
      </c>
    </row>
    <row r="22" spans="1:8" x14ac:dyDescent="0.25">
      <c r="A22" s="503" t="s">
        <v>373</v>
      </c>
      <c r="B22" s="503"/>
      <c r="C22" s="289">
        <f>SUM(C13:C21)</f>
        <v>36.800000000000004</v>
      </c>
      <c r="D22" s="290"/>
      <c r="E22" s="280" t="s">
        <v>374</v>
      </c>
      <c r="F22" s="284">
        <v>30</v>
      </c>
      <c r="G22" s="285">
        <f>F22*G9</f>
        <v>220</v>
      </c>
      <c r="H22" s="279" t="s">
        <v>341</v>
      </c>
    </row>
    <row r="23" spans="1:8" x14ac:dyDescent="0.25">
      <c r="A23" s="502" t="s">
        <v>375</v>
      </c>
      <c r="B23" s="502"/>
      <c r="C23" s="502"/>
      <c r="D23" s="291"/>
      <c r="E23" s="292" t="s">
        <v>376</v>
      </c>
      <c r="F23" s="293">
        <v>33</v>
      </c>
      <c r="G23" s="294">
        <f>(F23*F64*F68*90%)*G9</f>
        <v>121.76466312665308</v>
      </c>
      <c r="H23" s="279" t="s">
        <v>341</v>
      </c>
    </row>
    <row r="24" spans="1:8" x14ac:dyDescent="0.2">
      <c r="A24" s="274" t="s">
        <v>377</v>
      </c>
      <c r="B24" s="295" t="s">
        <v>378</v>
      </c>
      <c r="C24" s="288">
        <f>(SUM(G11:G12)/G21)*100</f>
        <v>22.905332522227589</v>
      </c>
      <c r="D24" s="291"/>
      <c r="E24" s="292" t="s">
        <v>379</v>
      </c>
      <c r="F24" s="293">
        <v>7</v>
      </c>
      <c r="G24" s="296">
        <f>((F24*F64*F68*10%)+(F24*F65*20%*50%))*G9</f>
        <v>6.6346537718642953</v>
      </c>
      <c r="H24" s="279" t="s">
        <v>341</v>
      </c>
    </row>
    <row r="25" spans="1:8" x14ac:dyDescent="0.2">
      <c r="A25" s="274" t="s">
        <v>380</v>
      </c>
      <c r="B25" s="295" t="s">
        <v>381</v>
      </c>
      <c r="C25" s="288">
        <f>(G13/G21)*100</f>
        <v>0.93976076833959388</v>
      </c>
      <c r="D25" s="291"/>
      <c r="E25" s="297" t="s">
        <v>382</v>
      </c>
      <c r="F25" s="293">
        <v>6</v>
      </c>
      <c r="G25" s="296">
        <f>(F19*(F25/F67)*F68)*G9</f>
        <v>81.996406145894326</v>
      </c>
      <c r="H25" s="279" t="s">
        <v>341</v>
      </c>
    </row>
    <row r="26" spans="1:8" x14ac:dyDescent="0.2">
      <c r="A26" s="274" t="s">
        <v>383</v>
      </c>
      <c r="B26" s="295" t="s">
        <v>384</v>
      </c>
      <c r="C26" s="288">
        <f>(G15/G21)*100</f>
        <v>2.3471514719230147E-2</v>
      </c>
      <c r="D26" s="291"/>
      <c r="E26" s="297" t="s">
        <v>385</v>
      </c>
      <c r="F26" s="293"/>
      <c r="G26" s="296">
        <f>((F20+F19)*(F67/F21)*(F64*C14%*50%*F68))*G9</f>
        <v>101.13071770922944</v>
      </c>
      <c r="H26" s="279" t="s">
        <v>341</v>
      </c>
    </row>
    <row r="27" spans="1:8" x14ac:dyDescent="0.2">
      <c r="A27" s="274" t="s">
        <v>386</v>
      </c>
      <c r="B27" s="295" t="s">
        <v>387</v>
      </c>
      <c r="C27" s="288">
        <f>(G22/G21)*100</f>
        <v>11.232200418401524</v>
      </c>
      <c r="D27" s="291"/>
      <c r="E27" s="297" t="s">
        <v>388</v>
      </c>
      <c r="F27" s="294">
        <v>8.3333333333333304</v>
      </c>
      <c r="G27" s="296">
        <f>(F27%*F9*F64*F68)*G9</f>
        <v>10.249550768236785</v>
      </c>
      <c r="H27" s="279" t="s">
        <v>341</v>
      </c>
    </row>
    <row r="28" spans="1:8" ht="38.25" x14ac:dyDescent="0.25">
      <c r="A28" s="274" t="s">
        <v>389</v>
      </c>
      <c r="B28" s="298" t="s">
        <v>390</v>
      </c>
      <c r="C28" s="299">
        <f>SUM(G16:G18)/G21</f>
        <v>2.954008999733931E-2</v>
      </c>
      <c r="D28" s="291"/>
      <c r="E28" s="297"/>
      <c r="F28" s="293"/>
      <c r="G28" s="300"/>
      <c r="H28" s="291"/>
    </row>
    <row r="29" spans="1:8" x14ac:dyDescent="0.25">
      <c r="A29" s="503" t="s">
        <v>391</v>
      </c>
      <c r="B29" s="503"/>
      <c r="C29" s="289">
        <f>SUM(C24:C28)</f>
        <v>35.130305313685277</v>
      </c>
      <c r="D29" s="291"/>
      <c r="E29" s="504" t="s">
        <v>392</v>
      </c>
      <c r="F29" s="504"/>
      <c r="G29" s="300"/>
      <c r="H29" s="291"/>
    </row>
    <row r="30" spans="1:8" x14ac:dyDescent="0.25">
      <c r="A30" s="502" t="s">
        <v>393</v>
      </c>
      <c r="B30" s="502"/>
      <c r="C30" s="502"/>
      <c r="D30" s="291"/>
      <c r="E30" s="279"/>
      <c r="F30" s="279"/>
      <c r="G30" s="300"/>
      <c r="H30" s="291"/>
    </row>
    <row r="31" spans="1:8" ht="25.5" x14ac:dyDescent="0.2">
      <c r="A31" s="274" t="s">
        <v>394</v>
      </c>
      <c r="B31" s="301" t="s">
        <v>395</v>
      </c>
      <c r="C31" s="288">
        <f>50%*(C14+(C14*C29%))</f>
        <v>5.4052122125474114</v>
      </c>
      <c r="D31" s="291"/>
      <c r="E31" s="302" t="s">
        <v>396</v>
      </c>
      <c r="F31" s="302" t="s">
        <v>397</v>
      </c>
      <c r="G31" s="303"/>
      <c r="H31" s="291"/>
    </row>
    <row r="32" spans="1:8" x14ac:dyDescent="0.2">
      <c r="A32" s="274" t="s">
        <v>398</v>
      </c>
      <c r="B32" s="304" t="s">
        <v>399</v>
      </c>
      <c r="C32" s="288">
        <f>(G25/G21)*100</f>
        <v>4.1863639428151611</v>
      </c>
      <c r="D32" s="291"/>
      <c r="E32" s="302" t="s">
        <v>400</v>
      </c>
      <c r="F32" s="305">
        <v>6.25</v>
      </c>
      <c r="G32" s="291"/>
      <c r="H32" s="291"/>
    </row>
    <row r="33" spans="1:10" x14ac:dyDescent="0.2">
      <c r="A33" s="274" t="s">
        <v>401</v>
      </c>
      <c r="B33" s="275" t="s">
        <v>402</v>
      </c>
      <c r="C33" s="288">
        <f>(G23/G21)*100</f>
        <v>6.2167504550805148</v>
      </c>
      <c r="D33" s="291"/>
      <c r="E33" s="302" t="s">
        <v>403</v>
      </c>
      <c r="F33" s="306">
        <v>96</v>
      </c>
      <c r="G33" s="291"/>
      <c r="H33" s="291"/>
    </row>
    <row r="34" spans="1:10" x14ac:dyDescent="0.2">
      <c r="A34" s="503" t="s">
        <v>404</v>
      </c>
      <c r="B34" s="503"/>
      <c r="C34" s="288">
        <f>SUM(C31:C33)</f>
        <v>15.808326610443087</v>
      </c>
      <c r="D34" s="291"/>
      <c r="E34" s="302" t="s">
        <v>405</v>
      </c>
      <c r="F34" s="305">
        <v>1.502</v>
      </c>
      <c r="G34" s="291"/>
      <c r="H34" s="291"/>
    </row>
    <row r="35" spans="1:10" x14ac:dyDescent="0.25">
      <c r="A35" s="502" t="s">
        <v>406</v>
      </c>
      <c r="B35" s="502"/>
      <c r="C35" s="502"/>
      <c r="D35" s="291"/>
      <c r="E35" s="302" t="s">
        <v>407</v>
      </c>
      <c r="F35" s="305">
        <v>7.5</v>
      </c>
      <c r="G35" s="291"/>
      <c r="H35" s="291"/>
    </row>
    <row r="36" spans="1:10" x14ac:dyDescent="0.2">
      <c r="A36" s="274" t="s">
        <v>408</v>
      </c>
      <c r="B36" s="304" t="s">
        <v>409</v>
      </c>
      <c r="C36" s="288">
        <f>C22*C29%</f>
        <v>12.927952355436183</v>
      </c>
      <c r="D36" s="291"/>
      <c r="E36" s="302" t="s">
        <v>410</v>
      </c>
      <c r="F36" s="307">
        <v>24</v>
      </c>
      <c r="G36" s="291"/>
      <c r="H36" s="291"/>
    </row>
    <row r="37" spans="1:10" hidden="1" x14ac:dyDescent="0.2">
      <c r="A37" s="274" t="s">
        <v>411</v>
      </c>
      <c r="B37" s="304" t="s">
        <v>412</v>
      </c>
      <c r="C37" s="288">
        <f>C14*0%</f>
        <v>0</v>
      </c>
      <c r="D37" s="291"/>
      <c r="E37" s="302"/>
      <c r="F37" s="305"/>
      <c r="G37" s="291"/>
      <c r="H37" s="291"/>
    </row>
    <row r="38" spans="1:10" x14ac:dyDescent="0.2">
      <c r="A38" s="503" t="s">
        <v>413</v>
      </c>
      <c r="B38" s="503"/>
      <c r="C38" s="288">
        <f>SUM(C36:C37)</f>
        <v>12.927952355436183</v>
      </c>
      <c r="D38" s="291"/>
      <c r="E38" s="302" t="s">
        <v>414</v>
      </c>
      <c r="F38" s="305">
        <v>19.5</v>
      </c>
      <c r="G38" s="277"/>
      <c r="H38" s="277"/>
    </row>
    <row r="39" spans="1:10" x14ac:dyDescent="0.2">
      <c r="A39" s="502" t="s">
        <v>415</v>
      </c>
      <c r="B39" s="502"/>
      <c r="C39" s="288">
        <f>(C22+C34+C29+C38)</f>
        <v>100.66658427956455</v>
      </c>
      <c r="D39" s="277"/>
      <c r="E39" s="302" t="s">
        <v>416</v>
      </c>
      <c r="F39" s="305">
        <v>28.8</v>
      </c>
      <c r="G39" s="291"/>
      <c r="H39" s="291"/>
    </row>
    <row r="40" spans="1:10" x14ac:dyDescent="0.2">
      <c r="A40" s="505" t="s">
        <v>417</v>
      </c>
      <c r="B40" s="505"/>
      <c r="C40" s="505"/>
      <c r="E40" s="302" t="s">
        <v>418</v>
      </c>
      <c r="F40" s="305">
        <v>600</v>
      </c>
      <c r="G40" s="277"/>
      <c r="H40" s="277"/>
    </row>
    <row r="41" spans="1:10" x14ac:dyDescent="0.2">
      <c r="A41" s="308" t="s">
        <v>419</v>
      </c>
      <c r="B41" s="309" t="s">
        <v>420</v>
      </c>
      <c r="C41" s="299">
        <f>((F32*F33*6%)/F40)*100</f>
        <v>6</v>
      </c>
      <c r="E41" s="307" t="s">
        <v>421</v>
      </c>
      <c r="F41" s="307">
        <v>12</v>
      </c>
      <c r="G41" s="277"/>
      <c r="H41" s="277"/>
    </row>
    <row r="42" spans="1:10" x14ac:dyDescent="0.25">
      <c r="A42" s="308" t="s">
        <v>422</v>
      </c>
      <c r="B42" s="309" t="s">
        <v>423</v>
      </c>
      <c r="C42" s="299">
        <f>((F34*F36-F40/30*F36*1%)/F40)*100</f>
        <v>5.2080000000000002</v>
      </c>
      <c r="G42" s="310"/>
      <c r="H42" s="310"/>
    </row>
    <row r="43" spans="1:10" x14ac:dyDescent="0.25">
      <c r="A43" s="274" t="s">
        <v>424</v>
      </c>
      <c r="B43" s="295" t="s">
        <v>425</v>
      </c>
      <c r="C43" s="299">
        <f>((F35*F36*0.95)/F40)*100</f>
        <v>28.499999999999996</v>
      </c>
    </row>
    <row r="44" spans="1:10" x14ac:dyDescent="0.25">
      <c r="A44" s="274" t="s">
        <v>426</v>
      </c>
      <c r="B44" s="295" t="s">
        <v>427</v>
      </c>
      <c r="C44" s="299">
        <f>(F38/F40)*100</f>
        <v>3.25</v>
      </c>
    </row>
    <row r="45" spans="1:10" ht="12.75" customHeight="1" x14ac:dyDescent="0.25">
      <c r="A45" s="274" t="s">
        <v>428</v>
      </c>
      <c r="B45" s="295" t="s">
        <v>429</v>
      </c>
      <c r="C45" s="299">
        <f>(F39/F40)*100</f>
        <v>4.8</v>
      </c>
    </row>
    <row r="46" spans="1:10" s="261" customFormat="1" ht="12.75" customHeight="1" x14ac:dyDescent="0.25">
      <c r="A46" s="274" t="s">
        <v>430</v>
      </c>
      <c r="B46" s="295" t="s">
        <v>421</v>
      </c>
      <c r="C46" s="299">
        <f>(F41/F40)*100</f>
        <v>2</v>
      </c>
      <c r="E46" s="311" t="s">
        <v>431</v>
      </c>
      <c r="F46" s="311"/>
      <c r="I46" s="248"/>
      <c r="J46" s="248"/>
    </row>
    <row r="47" spans="1:10" x14ac:dyDescent="0.25">
      <c r="A47" s="502" t="s">
        <v>432</v>
      </c>
      <c r="B47" s="502"/>
      <c r="C47" s="299">
        <f>SUM(C41:C45)</f>
        <v>47.757999999999996</v>
      </c>
      <c r="E47" s="312"/>
      <c r="F47" s="312"/>
    </row>
    <row r="48" spans="1:10" x14ac:dyDescent="0.25">
      <c r="A48" s="502" t="s">
        <v>433</v>
      </c>
      <c r="B48" s="502"/>
      <c r="C48" s="289">
        <f>C47+C39</f>
        <v>148.42458427956456</v>
      </c>
      <c r="E48" s="295" t="s">
        <v>434</v>
      </c>
      <c r="F48" s="313">
        <f>SUM(F49:F56)</f>
        <v>72807</v>
      </c>
    </row>
    <row r="49" spans="1:6" x14ac:dyDescent="0.25">
      <c r="A49" s="501"/>
      <c r="B49" s="501"/>
      <c r="C49" s="501"/>
      <c r="E49" s="295" t="s">
        <v>435</v>
      </c>
      <c r="F49" s="313">
        <v>882</v>
      </c>
    </row>
    <row r="50" spans="1:6" x14ac:dyDescent="0.25">
      <c r="E50" s="295" t="s">
        <v>436</v>
      </c>
      <c r="F50" s="313">
        <v>55380</v>
      </c>
    </row>
    <row r="51" spans="1:6" x14ac:dyDescent="0.25">
      <c r="E51" s="295" t="s">
        <v>437</v>
      </c>
      <c r="F51" s="313">
        <v>7553</v>
      </c>
    </row>
    <row r="52" spans="1:6" ht="12.75" customHeight="1" x14ac:dyDescent="0.25">
      <c r="D52" s="314"/>
      <c r="E52" s="295" t="s">
        <v>438</v>
      </c>
      <c r="F52" s="313">
        <v>2241</v>
      </c>
    </row>
    <row r="53" spans="1:6" x14ac:dyDescent="0.25">
      <c r="D53" s="314"/>
      <c r="E53" s="295" t="s">
        <v>439</v>
      </c>
      <c r="F53" s="313">
        <v>6593</v>
      </c>
    </row>
    <row r="54" spans="1:6" x14ac:dyDescent="0.25">
      <c r="E54" s="295" t="s">
        <v>440</v>
      </c>
      <c r="F54" s="313">
        <v>10</v>
      </c>
    </row>
    <row r="55" spans="1:6" x14ac:dyDescent="0.25">
      <c r="E55" s="295" t="s">
        <v>441</v>
      </c>
      <c r="F55" s="313">
        <v>148</v>
      </c>
    </row>
    <row r="56" spans="1:6" x14ac:dyDescent="0.25">
      <c r="E56" s="295" t="s">
        <v>442</v>
      </c>
      <c r="F56" s="313">
        <v>0</v>
      </c>
    </row>
    <row r="57" spans="1:6" x14ac:dyDescent="0.25">
      <c r="E57" s="295" t="s">
        <v>443</v>
      </c>
      <c r="F57" s="313"/>
    </row>
    <row r="58" spans="1:6" x14ac:dyDescent="0.25">
      <c r="E58" s="295" t="s">
        <v>444</v>
      </c>
      <c r="F58" s="313">
        <v>95230</v>
      </c>
    </row>
    <row r="59" spans="1:6" x14ac:dyDescent="0.25">
      <c r="E59" s="295" t="s">
        <v>445</v>
      </c>
      <c r="F59" s="313">
        <v>102886</v>
      </c>
    </row>
    <row r="60" spans="1:6" x14ac:dyDescent="0.25">
      <c r="E60" s="295" t="s">
        <v>446</v>
      </c>
      <c r="F60" s="313">
        <f>SUM(F58:F59)/COUNT(F58:F59)</f>
        <v>99058</v>
      </c>
    </row>
    <row r="61" spans="1:6" ht="38.25" x14ac:dyDescent="0.25">
      <c r="E61" s="298" t="s">
        <v>447</v>
      </c>
      <c r="F61" s="313">
        <f>F48-(F51+F54+F55+F56)</f>
        <v>65096</v>
      </c>
    </row>
    <row r="62" spans="1:6" ht="25.5" x14ac:dyDescent="0.25">
      <c r="E62" s="298" t="s">
        <v>448</v>
      </c>
      <c r="F62" s="313">
        <f>F48-(F54+F55+F56)</f>
        <v>72649</v>
      </c>
    </row>
    <row r="64" spans="1:6" ht="25.5" x14ac:dyDescent="0.25">
      <c r="E64" s="298" t="s">
        <v>449</v>
      </c>
      <c r="F64" s="315">
        <f>(F61/F60)*1</f>
        <v>0.65715035635688179</v>
      </c>
    </row>
    <row r="65" spans="5:6" x14ac:dyDescent="0.25">
      <c r="E65" s="298" t="s">
        <v>450</v>
      </c>
      <c r="F65" s="315">
        <f>(F62/F60)*1</f>
        <v>0.73339861495285585</v>
      </c>
    </row>
    <row r="66" spans="5:6" x14ac:dyDescent="0.25">
      <c r="E66" s="298" t="s">
        <v>451</v>
      </c>
      <c r="F66" s="315">
        <f>(F51/F48)*1</f>
        <v>0.10374002499759638</v>
      </c>
    </row>
    <row r="67" spans="5:6" x14ac:dyDescent="0.25">
      <c r="E67" s="298" t="s">
        <v>452</v>
      </c>
      <c r="F67" s="316">
        <f>12/F64</f>
        <v>18.260661177338086</v>
      </c>
    </row>
    <row r="68" spans="5:6" x14ac:dyDescent="0.25">
      <c r="E68" s="295" t="s">
        <v>453</v>
      </c>
      <c r="F68" s="315">
        <f>(F50/F61)*1</f>
        <v>0.85074351726680597</v>
      </c>
    </row>
    <row r="69" spans="5:6" x14ac:dyDescent="0.25">
      <c r="E69" s="317"/>
      <c r="F69" s="317"/>
    </row>
  </sheetData>
  <mergeCells count="18">
    <mergeCell ref="A22:B22"/>
    <mergeCell ref="A1:D4"/>
    <mergeCell ref="A7:C7"/>
    <mergeCell ref="A8:C8"/>
    <mergeCell ref="A11:C11"/>
    <mergeCell ref="A12:B12"/>
    <mergeCell ref="A49:C49"/>
    <mergeCell ref="A23:C23"/>
    <mergeCell ref="A29:B29"/>
    <mergeCell ref="E29:F29"/>
    <mergeCell ref="A30:C30"/>
    <mergeCell ref="A34:B34"/>
    <mergeCell ref="A35:C35"/>
    <mergeCell ref="A38:B38"/>
    <mergeCell ref="A39:B39"/>
    <mergeCell ref="A40:C40"/>
    <mergeCell ref="A47:B47"/>
    <mergeCell ref="A48:B48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2"/>
  <sheetViews>
    <sheetView topLeftCell="A22" zoomScaleNormal="100" workbookViewId="0">
      <selection activeCell="B53" sqref="B53"/>
    </sheetView>
  </sheetViews>
  <sheetFormatPr defaultRowHeight="12.75" x14ac:dyDescent="0.25"/>
  <cols>
    <col min="1" max="1" width="8.140625" style="261" customWidth="1"/>
    <col min="2" max="2" width="63.28515625" style="261" customWidth="1"/>
    <col min="3" max="3" width="15.140625" style="261" customWidth="1"/>
    <col min="4" max="4" width="7" style="261" hidden="1" customWidth="1"/>
    <col min="5" max="5" width="47.140625" style="261" hidden="1" customWidth="1"/>
    <col min="6" max="6" width="10.28515625" style="261" hidden="1" customWidth="1"/>
    <col min="7" max="7" width="8.5703125" style="261" hidden="1" customWidth="1"/>
    <col min="8" max="8" width="15.140625" style="261" hidden="1" customWidth="1"/>
    <col min="9" max="9" width="0" style="248" hidden="1" customWidth="1"/>
    <col min="10" max="256" width="9.140625" style="248"/>
    <col min="257" max="257" width="8.140625" style="248" customWidth="1"/>
    <col min="258" max="258" width="63.28515625" style="248" customWidth="1"/>
    <col min="259" max="259" width="15.140625" style="248" customWidth="1"/>
    <col min="260" max="265" width="0" style="248" hidden="1" customWidth="1"/>
    <col min="266" max="512" width="9.140625" style="248"/>
    <col min="513" max="513" width="8.140625" style="248" customWidth="1"/>
    <col min="514" max="514" width="63.28515625" style="248" customWidth="1"/>
    <col min="515" max="515" width="15.140625" style="248" customWidth="1"/>
    <col min="516" max="521" width="0" style="248" hidden="1" customWidth="1"/>
    <col min="522" max="768" width="9.140625" style="248"/>
    <col min="769" max="769" width="8.140625" style="248" customWidth="1"/>
    <col min="770" max="770" width="63.28515625" style="248" customWidth="1"/>
    <col min="771" max="771" width="15.140625" style="248" customWidth="1"/>
    <col min="772" max="777" width="0" style="248" hidden="1" customWidth="1"/>
    <col min="778" max="1024" width="9.140625" style="248"/>
    <col min="1025" max="1025" width="8.140625" style="248" customWidth="1"/>
    <col min="1026" max="1026" width="63.28515625" style="248" customWidth="1"/>
    <col min="1027" max="1027" width="15.140625" style="248" customWidth="1"/>
    <col min="1028" max="1033" width="0" style="248" hidden="1" customWidth="1"/>
    <col min="1034" max="1280" width="9.140625" style="248"/>
    <col min="1281" max="1281" width="8.140625" style="248" customWidth="1"/>
    <col min="1282" max="1282" width="63.28515625" style="248" customWidth="1"/>
    <col min="1283" max="1283" width="15.140625" style="248" customWidth="1"/>
    <col min="1284" max="1289" width="0" style="248" hidden="1" customWidth="1"/>
    <col min="1290" max="1536" width="9.140625" style="248"/>
    <col min="1537" max="1537" width="8.140625" style="248" customWidth="1"/>
    <col min="1538" max="1538" width="63.28515625" style="248" customWidth="1"/>
    <col min="1539" max="1539" width="15.140625" style="248" customWidth="1"/>
    <col min="1540" max="1545" width="0" style="248" hidden="1" customWidth="1"/>
    <col min="1546" max="1792" width="9.140625" style="248"/>
    <col min="1793" max="1793" width="8.140625" style="248" customWidth="1"/>
    <col min="1794" max="1794" width="63.28515625" style="248" customWidth="1"/>
    <col min="1795" max="1795" width="15.140625" style="248" customWidth="1"/>
    <col min="1796" max="1801" width="0" style="248" hidden="1" customWidth="1"/>
    <col min="1802" max="2048" width="9.140625" style="248"/>
    <col min="2049" max="2049" width="8.140625" style="248" customWidth="1"/>
    <col min="2050" max="2050" width="63.28515625" style="248" customWidth="1"/>
    <col min="2051" max="2051" width="15.140625" style="248" customWidth="1"/>
    <col min="2052" max="2057" width="0" style="248" hidden="1" customWidth="1"/>
    <col min="2058" max="2304" width="9.140625" style="248"/>
    <col min="2305" max="2305" width="8.140625" style="248" customWidth="1"/>
    <col min="2306" max="2306" width="63.28515625" style="248" customWidth="1"/>
    <col min="2307" max="2307" width="15.140625" style="248" customWidth="1"/>
    <col min="2308" max="2313" width="0" style="248" hidden="1" customWidth="1"/>
    <col min="2314" max="2560" width="9.140625" style="248"/>
    <col min="2561" max="2561" width="8.140625" style="248" customWidth="1"/>
    <col min="2562" max="2562" width="63.28515625" style="248" customWidth="1"/>
    <col min="2563" max="2563" width="15.140625" style="248" customWidth="1"/>
    <col min="2564" max="2569" width="0" style="248" hidden="1" customWidth="1"/>
    <col min="2570" max="2816" width="9.140625" style="248"/>
    <col min="2817" max="2817" width="8.140625" style="248" customWidth="1"/>
    <col min="2818" max="2818" width="63.28515625" style="248" customWidth="1"/>
    <col min="2819" max="2819" width="15.140625" style="248" customWidth="1"/>
    <col min="2820" max="2825" width="0" style="248" hidden="1" customWidth="1"/>
    <col min="2826" max="3072" width="9.140625" style="248"/>
    <col min="3073" max="3073" width="8.140625" style="248" customWidth="1"/>
    <col min="3074" max="3074" width="63.28515625" style="248" customWidth="1"/>
    <col min="3075" max="3075" width="15.140625" style="248" customWidth="1"/>
    <col min="3076" max="3081" width="0" style="248" hidden="1" customWidth="1"/>
    <col min="3082" max="3328" width="9.140625" style="248"/>
    <col min="3329" max="3329" width="8.140625" style="248" customWidth="1"/>
    <col min="3330" max="3330" width="63.28515625" style="248" customWidth="1"/>
    <col min="3331" max="3331" width="15.140625" style="248" customWidth="1"/>
    <col min="3332" max="3337" width="0" style="248" hidden="1" customWidth="1"/>
    <col min="3338" max="3584" width="9.140625" style="248"/>
    <col min="3585" max="3585" width="8.140625" style="248" customWidth="1"/>
    <col min="3586" max="3586" width="63.28515625" style="248" customWidth="1"/>
    <col min="3587" max="3587" width="15.140625" style="248" customWidth="1"/>
    <col min="3588" max="3593" width="0" style="248" hidden="1" customWidth="1"/>
    <col min="3594" max="3840" width="9.140625" style="248"/>
    <col min="3841" max="3841" width="8.140625" style="248" customWidth="1"/>
    <col min="3842" max="3842" width="63.28515625" style="248" customWidth="1"/>
    <col min="3843" max="3843" width="15.140625" style="248" customWidth="1"/>
    <col min="3844" max="3849" width="0" style="248" hidden="1" customWidth="1"/>
    <col min="3850" max="4096" width="9.140625" style="248"/>
    <col min="4097" max="4097" width="8.140625" style="248" customWidth="1"/>
    <col min="4098" max="4098" width="63.28515625" style="248" customWidth="1"/>
    <col min="4099" max="4099" width="15.140625" style="248" customWidth="1"/>
    <col min="4100" max="4105" width="0" style="248" hidden="1" customWidth="1"/>
    <col min="4106" max="4352" width="9.140625" style="248"/>
    <col min="4353" max="4353" width="8.140625" style="248" customWidth="1"/>
    <col min="4354" max="4354" width="63.28515625" style="248" customWidth="1"/>
    <col min="4355" max="4355" width="15.140625" style="248" customWidth="1"/>
    <col min="4356" max="4361" width="0" style="248" hidden="1" customWidth="1"/>
    <col min="4362" max="4608" width="9.140625" style="248"/>
    <col min="4609" max="4609" width="8.140625" style="248" customWidth="1"/>
    <col min="4610" max="4610" width="63.28515625" style="248" customWidth="1"/>
    <col min="4611" max="4611" width="15.140625" style="248" customWidth="1"/>
    <col min="4612" max="4617" width="0" style="248" hidden="1" customWidth="1"/>
    <col min="4618" max="4864" width="9.140625" style="248"/>
    <col min="4865" max="4865" width="8.140625" style="248" customWidth="1"/>
    <col min="4866" max="4866" width="63.28515625" style="248" customWidth="1"/>
    <col min="4867" max="4867" width="15.140625" style="248" customWidth="1"/>
    <col min="4868" max="4873" width="0" style="248" hidden="1" customWidth="1"/>
    <col min="4874" max="5120" width="9.140625" style="248"/>
    <col min="5121" max="5121" width="8.140625" style="248" customWidth="1"/>
    <col min="5122" max="5122" width="63.28515625" style="248" customWidth="1"/>
    <col min="5123" max="5123" width="15.140625" style="248" customWidth="1"/>
    <col min="5124" max="5129" width="0" style="248" hidden="1" customWidth="1"/>
    <col min="5130" max="5376" width="9.140625" style="248"/>
    <col min="5377" max="5377" width="8.140625" style="248" customWidth="1"/>
    <col min="5378" max="5378" width="63.28515625" style="248" customWidth="1"/>
    <col min="5379" max="5379" width="15.140625" style="248" customWidth="1"/>
    <col min="5380" max="5385" width="0" style="248" hidden="1" customWidth="1"/>
    <col min="5386" max="5632" width="9.140625" style="248"/>
    <col min="5633" max="5633" width="8.140625" style="248" customWidth="1"/>
    <col min="5634" max="5634" width="63.28515625" style="248" customWidth="1"/>
    <col min="5635" max="5635" width="15.140625" style="248" customWidth="1"/>
    <col min="5636" max="5641" width="0" style="248" hidden="1" customWidth="1"/>
    <col min="5642" max="5888" width="9.140625" style="248"/>
    <col min="5889" max="5889" width="8.140625" style="248" customWidth="1"/>
    <col min="5890" max="5890" width="63.28515625" style="248" customWidth="1"/>
    <col min="5891" max="5891" width="15.140625" style="248" customWidth="1"/>
    <col min="5892" max="5897" width="0" style="248" hidden="1" customWidth="1"/>
    <col min="5898" max="6144" width="9.140625" style="248"/>
    <col min="6145" max="6145" width="8.140625" style="248" customWidth="1"/>
    <col min="6146" max="6146" width="63.28515625" style="248" customWidth="1"/>
    <col min="6147" max="6147" width="15.140625" style="248" customWidth="1"/>
    <col min="6148" max="6153" width="0" style="248" hidden="1" customWidth="1"/>
    <col min="6154" max="6400" width="9.140625" style="248"/>
    <col min="6401" max="6401" width="8.140625" style="248" customWidth="1"/>
    <col min="6402" max="6402" width="63.28515625" style="248" customWidth="1"/>
    <col min="6403" max="6403" width="15.140625" style="248" customWidth="1"/>
    <col min="6404" max="6409" width="0" style="248" hidden="1" customWidth="1"/>
    <col min="6410" max="6656" width="9.140625" style="248"/>
    <col min="6657" max="6657" width="8.140625" style="248" customWidth="1"/>
    <col min="6658" max="6658" width="63.28515625" style="248" customWidth="1"/>
    <col min="6659" max="6659" width="15.140625" style="248" customWidth="1"/>
    <col min="6660" max="6665" width="0" style="248" hidden="1" customWidth="1"/>
    <col min="6666" max="6912" width="9.140625" style="248"/>
    <col min="6913" max="6913" width="8.140625" style="248" customWidth="1"/>
    <col min="6914" max="6914" width="63.28515625" style="248" customWidth="1"/>
    <col min="6915" max="6915" width="15.140625" style="248" customWidth="1"/>
    <col min="6916" max="6921" width="0" style="248" hidden="1" customWidth="1"/>
    <col min="6922" max="7168" width="9.140625" style="248"/>
    <col min="7169" max="7169" width="8.140625" style="248" customWidth="1"/>
    <col min="7170" max="7170" width="63.28515625" style="248" customWidth="1"/>
    <col min="7171" max="7171" width="15.140625" style="248" customWidth="1"/>
    <col min="7172" max="7177" width="0" style="248" hidden="1" customWidth="1"/>
    <col min="7178" max="7424" width="9.140625" style="248"/>
    <col min="7425" max="7425" width="8.140625" style="248" customWidth="1"/>
    <col min="7426" max="7426" width="63.28515625" style="248" customWidth="1"/>
    <col min="7427" max="7427" width="15.140625" style="248" customWidth="1"/>
    <col min="7428" max="7433" width="0" style="248" hidden="1" customWidth="1"/>
    <col min="7434" max="7680" width="9.140625" style="248"/>
    <col min="7681" max="7681" width="8.140625" style="248" customWidth="1"/>
    <col min="7682" max="7682" width="63.28515625" style="248" customWidth="1"/>
    <col min="7683" max="7683" width="15.140625" style="248" customWidth="1"/>
    <col min="7684" max="7689" width="0" style="248" hidden="1" customWidth="1"/>
    <col min="7690" max="7936" width="9.140625" style="248"/>
    <col min="7937" max="7937" width="8.140625" style="248" customWidth="1"/>
    <col min="7938" max="7938" width="63.28515625" style="248" customWidth="1"/>
    <col min="7939" max="7939" width="15.140625" style="248" customWidth="1"/>
    <col min="7940" max="7945" width="0" style="248" hidden="1" customWidth="1"/>
    <col min="7946" max="8192" width="9.140625" style="248"/>
    <col min="8193" max="8193" width="8.140625" style="248" customWidth="1"/>
    <col min="8194" max="8194" width="63.28515625" style="248" customWidth="1"/>
    <col min="8195" max="8195" width="15.140625" style="248" customWidth="1"/>
    <col min="8196" max="8201" width="0" style="248" hidden="1" customWidth="1"/>
    <col min="8202" max="8448" width="9.140625" style="248"/>
    <col min="8449" max="8449" width="8.140625" style="248" customWidth="1"/>
    <col min="8450" max="8450" width="63.28515625" style="248" customWidth="1"/>
    <col min="8451" max="8451" width="15.140625" style="248" customWidth="1"/>
    <col min="8452" max="8457" width="0" style="248" hidden="1" customWidth="1"/>
    <col min="8458" max="8704" width="9.140625" style="248"/>
    <col min="8705" max="8705" width="8.140625" style="248" customWidth="1"/>
    <col min="8706" max="8706" width="63.28515625" style="248" customWidth="1"/>
    <col min="8707" max="8707" width="15.140625" style="248" customWidth="1"/>
    <col min="8708" max="8713" width="0" style="248" hidden="1" customWidth="1"/>
    <col min="8714" max="8960" width="9.140625" style="248"/>
    <col min="8961" max="8961" width="8.140625" style="248" customWidth="1"/>
    <col min="8962" max="8962" width="63.28515625" style="248" customWidth="1"/>
    <col min="8963" max="8963" width="15.140625" style="248" customWidth="1"/>
    <col min="8964" max="8969" width="0" style="248" hidden="1" customWidth="1"/>
    <col min="8970" max="9216" width="9.140625" style="248"/>
    <col min="9217" max="9217" width="8.140625" style="248" customWidth="1"/>
    <col min="9218" max="9218" width="63.28515625" style="248" customWidth="1"/>
    <col min="9219" max="9219" width="15.140625" style="248" customWidth="1"/>
    <col min="9220" max="9225" width="0" style="248" hidden="1" customWidth="1"/>
    <col min="9226" max="9472" width="9.140625" style="248"/>
    <col min="9473" max="9473" width="8.140625" style="248" customWidth="1"/>
    <col min="9474" max="9474" width="63.28515625" style="248" customWidth="1"/>
    <col min="9475" max="9475" width="15.140625" style="248" customWidth="1"/>
    <col min="9476" max="9481" width="0" style="248" hidden="1" customWidth="1"/>
    <col min="9482" max="9728" width="9.140625" style="248"/>
    <col min="9729" max="9729" width="8.140625" style="248" customWidth="1"/>
    <col min="9730" max="9730" width="63.28515625" style="248" customWidth="1"/>
    <col min="9731" max="9731" width="15.140625" style="248" customWidth="1"/>
    <col min="9732" max="9737" width="0" style="248" hidden="1" customWidth="1"/>
    <col min="9738" max="9984" width="9.140625" style="248"/>
    <col min="9985" max="9985" width="8.140625" style="248" customWidth="1"/>
    <col min="9986" max="9986" width="63.28515625" style="248" customWidth="1"/>
    <col min="9987" max="9987" width="15.140625" style="248" customWidth="1"/>
    <col min="9988" max="9993" width="0" style="248" hidden="1" customWidth="1"/>
    <col min="9994" max="10240" width="9.140625" style="248"/>
    <col min="10241" max="10241" width="8.140625" style="248" customWidth="1"/>
    <col min="10242" max="10242" width="63.28515625" style="248" customWidth="1"/>
    <col min="10243" max="10243" width="15.140625" style="248" customWidth="1"/>
    <col min="10244" max="10249" width="0" style="248" hidden="1" customWidth="1"/>
    <col min="10250" max="10496" width="9.140625" style="248"/>
    <col min="10497" max="10497" width="8.140625" style="248" customWidth="1"/>
    <col min="10498" max="10498" width="63.28515625" style="248" customWidth="1"/>
    <col min="10499" max="10499" width="15.140625" style="248" customWidth="1"/>
    <col min="10500" max="10505" width="0" style="248" hidden="1" customWidth="1"/>
    <col min="10506" max="10752" width="9.140625" style="248"/>
    <col min="10753" max="10753" width="8.140625" style="248" customWidth="1"/>
    <col min="10754" max="10754" width="63.28515625" style="248" customWidth="1"/>
    <col min="10755" max="10755" width="15.140625" style="248" customWidth="1"/>
    <col min="10756" max="10761" width="0" style="248" hidden="1" customWidth="1"/>
    <col min="10762" max="11008" width="9.140625" style="248"/>
    <col min="11009" max="11009" width="8.140625" style="248" customWidth="1"/>
    <col min="11010" max="11010" width="63.28515625" style="248" customWidth="1"/>
    <col min="11011" max="11011" width="15.140625" style="248" customWidth="1"/>
    <col min="11012" max="11017" width="0" style="248" hidden="1" customWidth="1"/>
    <col min="11018" max="11264" width="9.140625" style="248"/>
    <col min="11265" max="11265" width="8.140625" style="248" customWidth="1"/>
    <col min="11266" max="11266" width="63.28515625" style="248" customWidth="1"/>
    <col min="11267" max="11267" width="15.140625" style="248" customWidth="1"/>
    <col min="11268" max="11273" width="0" style="248" hidden="1" customWidth="1"/>
    <col min="11274" max="11520" width="9.140625" style="248"/>
    <col min="11521" max="11521" width="8.140625" style="248" customWidth="1"/>
    <col min="11522" max="11522" width="63.28515625" style="248" customWidth="1"/>
    <col min="11523" max="11523" width="15.140625" style="248" customWidth="1"/>
    <col min="11524" max="11529" width="0" style="248" hidden="1" customWidth="1"/>
    <col min="11530" max="11776" width="9.140625" style="248"/>
    <col min="11777" max="11777" width="8.140625" style="248" customWidth="1"/>
    <col min="11778" max="11778" width="63.28515625" style="248" customWidth="1"/>
    <col min="11779" max="11779" width="15.140625" style="248" customWidth="1"/>
    <col min="11780" max="11785" width="0" style="248" hidden="1" customWidth="1"/>
    <col min="11786" max="12032" width="9.140625" style="248"/>
    <col min="12033" max="12033" width="8.140625" style="248" customWidth="1"/>
    <col min="12034" max="12034" width="63.28515625" style="248" customWidth="1"/>
    <col min="12035" max="12035" width="15.140625" style="248" customWidth="1"/>
    <col min="12036" max="12041" width="0" style="248" hidden="1" customWidth="1"/>
    <col min="12042" max="12288" width="9.140625" style="248"/>
    <col min="12289" max="12289" width="8.140625" style="248" customWidth="1"/>
    <col min="12290" max="12290" width="63.28515625" style="248" customWidth="1"/>
    <col min="12291" max="12291" width="15.140625" style="248" customWidth="1"/>
    <col min="12292" max="12297" width="0" style="248" hidden="1" customWidth="1"/>
    <col min="12298" max="12544" width="9.140625" style="248"/>
    <col min="12545" max="12545" width="8.140625" style="248" customWidth="1"/>
    <col min="12546" max="12546" width="63.28515625" style="248" customWidth="1"/>
    <col min="12547" max="12547" width="15.140625" style="248" customWidth="1"/>
    <col min="12548" max="12553" width="0" style="248" hidden="1" customWidth="1"/>
    <col min="12554" max="12800" width="9.140625" style="248"/>
    <col min="12801" max="12801" width="8.140625" style="248" customWidth="1"/>
    <col min="12802" max="12802" width="63.28515625" style="248" customWidth="1"/>
    <col min="12803" max="12803" width="15.140625" style="248" customWidth="1"/>
    <col min="12804" max="12809" width="0" style="248" hidden="1" customWidth="1"/>
    <col min="12810" max="13056" width="9.140625" style="248"/>
    <col min="13057" max="13057" width="8.140625" style="248" customWidth="1"/>
    <col min="13058" max="13058" width="63.28515625" style="248" customWidth="1"/>
    <col min="13059" max="13059" width="15.140625" style="248" customWidth="1"/>
    <col min="13060" max="13065" width="0" style="248" hidden="1" customWidth="1"/>
    <col min="13066" max="13312" width="9.140625" style="248"/>
    <col min="13313" max="13313" width="8.140625" style="248" customWidth="1"/>
    <col min="13314" max="13314" width="63.28515625" style="248" customWidth="1"/>
    <col min="13315" max="13315" width="15.140625" style="248" customWidth="1"/>
    <col min="13316" max="13321" width="0" style="248" hidden="1" customWidth="1"/>
    <col min="13322" max="13568" width="9.140625" style="248"/>
    <col min="13569" max="13569" width="8.140625" style="248" customWidth="1"/>
    <col min="13570" max="13570" width="63.28515625" style="248" customWidth="1"/>
    <col min="13571" max="13571" width="15.140625" style="248" customWidth="1"/>
    <col min="13572" max="13577" width="0" style="248" hidden="1" customWidth="1"/>
    <col min="13578" max="13824" width="9.140625" style="248"/>
    <col min="13825" max="13825" width="8.140625" style="248" customWidth="1"/>
    <col min="13826" max="13826" width="63.28515625" style="248" customWidth="1"/>
    <col min="13827" max="13827" width="15.140625" style="248" customWidth="1"/>
    <col min="13828" max="13833" width="0" style="248" hidden="1" customWidth="1"/>
    <col min="13834" max="14080" width="9.140625" style="248"/>
    <col min="14081" max="14081" width="8.140625" style="248" customWidth="1"/>
    <col min="14082" max="14082" width="63.28515625" style="248" customWidth="1"/>
    <col min="14083" max="14083" width="15.140625" style="248" customWidth="1"/>
    <col min="14084" max="14089" width="0" style="248" hidden="1" customWidth="1"/>
    <col min="14090" max="14336" width="9.140625" style="248"/>
    <col min="14337" max="14337" width="8.140625" style="248" customWidth="1"/>
    <col min="14338" max="14338" width="63.28515625" style="248" customWidth="1"/>
    <col min="14339" max="14339" width="15.140625" style="248" customWidth="1"/>
    <col min="14340" max="14345" width="0" style="248" hidden="1" customWidth="1"/>
    <col min="14346" max="14592" width="9.140625" style="248"/>
    <col min="14593" max="14593" width="8.140625" style="248" customWidth="1"/>
    <col min="14594" max="14594" width="63.28515625" style="248" customWidth="1"/>
    <col min="14595" max="14595" width="15.140625" style="248" customWidth="1"/>
    <col min="14596" max="14601" width="0" style="248" hidden="1" customWidth="1"/>
    <col min="14602" max="14848" width="9.140625" style="248"/>
    <col min="14849" max="14849" width="8.140625" style="248" customWidth="1"/>
    <col min="14850" max="14850" width="63.28515625" style="248" customWidth="1"/>
    <col min="14851" max="14851" width="15.140625" style="248" customWidth="1"/>
    <col min="14852" max="14857" width="0" style="248" hidden="1" customWidth="1"/>
    <col min="14858" max="15104" width="9.140625" style="248"/>
    <col min="15105" max="15105" width="8.140625" style="248" customWidth="1"/>
    <col min="15106" max="15106" width="63.28515625" style="248" customWidth="1"/>
    <col min="15107" max="15107" width="15.140625" style="248" customWidth="1"/>
    <col min="15108" max="15113" width="0" style="248" hidden="1" customWidth="1"/>
    <col min="15114" max="15360" width="9.140625" style="248"/>
    <col min="15361" max="15361" width="8.140625" style="248" customWidth="1"/>
    <col min="15362" max="15362" width="63.28515625" style="248" customWidth="1"/>
    <col min="15363" max="15363" width="15.140625" style="248" customWidth="1"/>
    <col min="15364" max="15369" width="0" style="248" hidden="1" customWidth="1"/>
    <col min="15370" max="15616" width="9.140625" style="248"/>
    <col min="15617" max="15617" width="8.140625" style="248" customWidth="1"/>
    <col min="15618" max="15618" width="63.28515625" style="248" customWidth="1"/>
    <col min="15619" max="15619" width="15.140625" style="248" customWidth="1"/>
    <col min="15620" max="15625" width="0" style="248" hidden="1" customWidth="1"/>
    <col min="15626" max="15872" width="9.140625" style="248"/>
    <col min="15873" max="15873" width="8.140625" style="248" customWidth="1"/>
    <col min="15874" max="15874" width="63.28515625" style="248" customWidth="1"/>
    <col min="15875" max="15875" width="15.140625" style="248" customWidth="1"/>
    <col min="15876" max="15881" width="0" style="248" hidden="1" customWidth="1"/>
    <col min="15882" max="16128" width="9.140625" style="248"/>
    <col min="16129" max="16129" width="8.140625" style="248" customWidth="1"/>
    <col min="16130" max="16130" width="63.28515625" style="248" customWidth="1"/>
    <col min="16131" max="16131" width="15.140625" style="248" customWidth="1"/>
    <col min="16132" max="16137" width="0" style="248" hidden="1" customWidth="1"/>
    <col min="16138" max="16384" width="9.140625" style="248"/>
  </cols>
  <sheetData>
    <row r="1" spans="1:8" x14ac:dyDescent="0.25">
      <c r="A1" s="421" t="s">
        <v>330</v>
      </c>
      <c r="B1" s="421"/>
      <c r="C1" s="421"/>
      <c r="D1" s="421"/>
      <c r="E1" s="259" t="s">
        <v>332</v>
      </c>
      <c r="F1" s="248"/>
      <c r="G1" s="248"/>
      <c r="H1" s="248"/>
    </row>
    <row r="2" spans="1:8" x14ac:dyDescent="0.25">
      <c r="A2" s="421"/>
      <c r="B2" s="421"/>
      <c r="C2" s="421"/>
      <c r="D2" s="421"/>
      <c r="E2" s="259"/>
      <c r="F2" s="248"/>
      <c r="G2" s="248"/>
      <c r="H2" s="248"/>
    </row>
    <row r="3" spans="1:8" x14ac:dyDescent="0.25">
      <c r="A3" s="421"/>
      <c r="B3" s="421"/>
      <c r="C3" s="421"/>
      <c r="D3" s="421"/>
      <c r="E3" s="259"/>
      <c r="F3" s="248"/>
      <c r="G3" s="248"/>
      <c r="H3" s="248"/>
    </row>
    <row r="4" spans="1:8" x14ac:dyDescent="0.25">
      <c r="A4" s="421"/>
      <c r="B4" s="421"/>
      <c r="C4" s="421"/>
      <c r="D4" s="421"/>
      <c r="E4" s="261" t="s">
        <v>334</v>
      </c>
      <c r="F4" s="262">
        <f>220</f>
        <v>220</v>
      </c>
      <c r="G4" s="263"/>
      <c r="H4" s="261" t="s">
        <v>335</v>
      </c>
    </row>
    <row r="5" spans="1:8" x14ac:dyDescent="0.25">
      <c r="A5" s="242"/>
      <c r="B5" s="242"/>
      <c r="C5" s="242"/>
      <c r="E5" s="261" t="s">
        <v>336</v>
      </c>
      <c r="F5" s="262">
        <v>30</v>
      </c>
      <c r="G5" s="263">
        <f>F4/F5</f>
        <v>7.333333333333333</v>
      </c>
      <c r="H5" s="261" t="s">
        <v>337</v>
      </c>
    </row>
    <row r="6" spans="1:8" ht="15.75" x14ac:dyDescent="0.25">
      <c r="A6" s="506" t="s">
        <v>454</v>
      </c>
      <c r="B6" s="506"/>
      <c r="C6" s="506"/>
      <c r="D6" s="258"/>
      <c r="E6" s="266" t="s">
        <v>340</v>
      </c>
      <c r="F6" s="267">
        <v>52</v>
      </c>
      <c r="G6" s="268">
        <f>((((F70/F16)*F15)-F5)/7)*(F16/F70)*G5</f>
        <v>361.98956022878372</v>
      </c>
      <c r="H6" s="261" t="s">
        <v>341</v>
      </c>
    </row>
    <row r="7" spans="1:8" ht="15" x14ac:dyDescent="0.2">
      <c r="A7" s="507" t="s">
        <v>333</v>
      </c>
      <c r="B7" s="507"/>
      <c r="C7" s="507"/>
      <c r="D7" s="260"/>
      <c r="E7" s="271" t="s">
        <v>343</v>
      </c>
      <c r="F7" s="272" t="s">
        <v>344</v>
      </c>
      <c r="G7" s="273">
        <f>(((F70/F16)*F7)*((F70-1)/F70)*(F16/F70))*G5</f>
        <v>86.646768111162686</v>
      </c>
      <c r="H7" s="261" t="s">
        <v>341</v>
      </c>
    </row>
    <row r="8" spans="1:8" hidden="1" x14ac:dyDescent="0.2">
      <c r="E8" s="271" t="s">
        <v>347</v>
      </c>
      <c r="F8" s="278">
        <v>15</v>
      </c>
      <c r="G8" s="273">
        <f>((F8*3.4%)+2)*G5</f>
        <v>18.406666666666663</v>
      </c>
      <c r="H8" s="261" t="s">
        <v>341</v>
      </c>
    </row>
    <row r="9" spans="1:8" x14ac:dyDescent="0.2">
      <c r="E9" s="271" t="s">
        <v>350</v>
      </c>
      <c r="F9" s="278">
        <v>5</v>
      </c>
      <c r="G9" s="273">
        <f>F9*(92.36%*85.64%*5.93%)*G5</f>
        <v>1.7198346979733334</v>
      </c>
      <c r="H9" s="261" t="s">
        <v>341</v>
      </c>
    </row>
    <row r="10" spans="1:8" ht="15.75" x14ac:dyDescent="0.25">
      <c r="A10" s="508" t="s">
        <v>455</v>
      </c>
      <c r="B10" s="508"/>
      <c r="C10" s="508"/>
      <c r="D10" s="265"/>
      <c r="E10" s="279" t="s">
        <v>353</v>
      </c>
      <c r="F10" s="261">
        <v>120</v>
      </c>
      <c r="G10" s="263">
        <f>(4.33%*7.64%*82.4%*(F10/F15)*(F5+F14))*G5</f>
        <v>0.45972588147296367</v>
      </c>
      <c r="H10" s="261" t="s">
        <v>341</v>
      </c>
    </row>
    <row r="11" spans="1:8" x14ac:dyDescent="0.2">
      <c r="A11" s="509" t="s">
        <v>342</v>
      </c>
      <c r="B11" s="509"/>
      <c r="C11" s="269" t="s">
        <v>38</v>
      </c>
      <c r="D11" s="270"/>
      <c r="E11" s="280" t="s">
        <v>356</v>
      </c>
      <c r="F11" s="267">
        <v>2</v>
      </c>
      <c r="G11" s="281">
        <f>F11*G5</f>
        <v>14.666666666666666</v>
      </c>
      <c r="H11" s="261" t="s">
        <v>341</v>
      </c>
    </row>
    <row r="12" spans="1:8" x14ac:dyDescent="0.2">
      <c r="A12" s="274" t="s">
        <v>345</v>
      </c>
      <c r="B12" s="275" t="s">
        <v>346</v>
      </c>
      <c r="C12" s="276">
        <v>20</v>
      </c>
      <c r="D12" s="277"/>
      <c r="E12" s="282" t="s">
        <v>359</v>
      </c>
      <c r="F12" s="267">
        <v>190</v>
      </c>
      <c r="G12" s="281">
        <f>(F12*((F15-107.42)/F15)*20%*20%)*G5</f>
        <v>39.342163814738754</v>
      </c>
      <c r="H12" s="261" t="s">
        <v>341</v>
      </c>
    </row>
    <row r="13" spans="1:8" x14ac:dyDescent="0.2">
      <c r="A13" s="274" t="s">
        <v>348</v>
      </c>
      <c r="B13" s="275" t="s">
        <v>349</v>
      </c>
      <c r="C13" s="276">
        <v>8</v>
      </c>
      <c r="D13" s="277"/>
      <c r="E13" s="282" t="s">
        <v>362</v>
      </c>
      <c r="F13" s="267">
        <v>15</v>
      </c>
      <c r="G13" s="281">
        <f>(F13*3.5%)*G5</f>
        <v>3.85</v>
      </c>
      <c r="H13" s="261" t="s">
        <v>341</v>
      </c>
    </row>
    <row r="14" spans="1:8" x14ac:dyDescent="0.2">
      <c r="A14" s="274" t="s">
        <v>351</v>
      </c>
      <c r="B14" s="275" t="s">
        <v>352</v>
      </c>
      <c r="C14" s="276">
        <v>2.5</v>
      </c>
      <c r="D14" s="277"/>
      <c r="E14" s="280" t="s">
        <v>365</v>
      </c>
      <c r="F14" s="284">
        <v>40</v>
      </c>
      <c r="G14" s="285">
        <f>F14*(F16/F70)*G5</f>
        <v>192.76410453135199</v>
      </c>
      <c r="H14" s="279" t="s">
        <v>341</v>
      </c>
    </row>
    <row r="15" spans="1:8" x14ac:dyDescent="0.2">
      <c r="A15" s="274" t="s">
        <v>354</v>
      </c>
      <c r="B15" s="275" t="s">
        <v>355</v>
      </c>
      <c r="C15" s="276">
        <v>1.5</v>
      </c>
      <c r="D15" s="277"/>
      <c r="E15" s="264" t="s">
        <v>368</v>
      </c>
      <c r="F15" s="286">
        <f>365.25</f>
        <v>365.25</v>
      </c>
      <c r="G15" s="287">
        <f>F15*G5</f>
        <v>2678.5</v>
      </c>
      <c r="H15" s="279" t="s">
        <v>341</v>
      </c>
    </row>
    <row r="16" spans="1:8" x14ac:dyDescent="0.2">
      <c r="A16" s="274" t="s">
        <v>357</v>
      </c>
      <c r="B16" s="275" t="s">
        <v>358</v>
      </c>
      <c r="C16" s="276">
        <v>1</v>
      </c>
      <c r="D16" s="277"/>
      <c r="E16" s="264" t="s">
        <v>371</v>
      </c>
      <c r="F16" s="272" t="s">
        <v>372</v>
      </c>
      <c r="G16" s="287">
        <f>G15-SUM(G6:G14)</f>
        <v>1958.6545094011831</v>
      </c>
      <c r="H16" s="279" t="s">
        <v>341</v>
      </c>
    </row>
    <row r="17" spans="1:8" x14ac:dyDescent="0.2">
      <c r="A17" s="274" t="s">
        <v>360</v>
      </c>
      <c r="B17" s="275" t="s">
        <v>361</v>
      </c>
      <c r="C17" s="276">
        <v>0.6</v>
      </c>
      <c r="D17" s="277"/>
      <c r="E17" s="280" t="s">
        <v>374</v>
      </c>
      <c r="F17" s="284">
        <v>30</v>
      </c>
      <c r="G17" s="285">
        <f>F17*G5</f>
        <v>220</v>
      </c>
      <c r="H17" s="279" t="s">
        <v>341</v>
      </c>
    </row>
    <row r="18" spans="1:8" x14ac:dyDescent="0.2">
      <c r="A18" s="274" t="s">
        <v>363</v>
      </c>
      <c r="B18" s="275" t="s">
        <v>364</v>
      </c>
      <c r="C18" s="276">
        <v>0.2</v>
      </c>
      <c r="D18" s="283"/>
      <c r="E18" s="292" t="s">
        <v>376</v>
      </c>
      <c r="F18" s="293">
        <v>33</v>
      </c>
      <c r="G18" s="294">
        <f>(F18*F67*F71*90%)*G5</f>
        <v>121.76466312665308</v>
      </c>
      <c r="H18" s="279" t="s">
        <v>341</v>
      </c>
    </row>
    <row r="19" spans="1:8" x14ac:dyDescent="0.2">
      <c r="A19" s="274" t="s">
        <v>366</v>
      </c>
      <c r="B19" s="275" t="s">
        <v>367</v>
      </c>
      <c r="C19" s="276">
        <v>3</v>
      </c>
      <c r="D19" s="277"/>
      <c r="E19" s="292" t="s">
        <v>379</v>
      </c>
      <c r="F19" s="293">
        <v>7</v>
      </c>
      <c r="G19" s="296">
        <f>((F19*F67*F71*10%)+(F19*F68*20%*50%))*G5</f>
        <v>6.6346537718642953</v>
      </c>
      <c r="H19" s="279" t="s">
        <v>341</v>
      </c>
    </row>
    <row r="20" spans="1:8" x14ac:dyDescent="0.2">
      <c r="A20" s="274" t="s">
        <v>369</v>
      </c>
      <c r="B20" s="275" t="s">
        <v>370</v>
      </c>
      <c r="C20" s="288">
        <v>0</v>
      </c>
      <c r="D20" s="277"/>
      <c r="E20" s="297" t="s">
        <v>382</v>
      </c>
      <c r="F20" s="293">
        <v>6</v>
      </c>
      <c r="G20" s="296">
        <f>(F14*(F20/F70)*F71)*G5</f>
        <v>81.996406145894326</v>
      </c>
      <c r="H20" s="279" t="s">
        <v>341</v>
      </c>
    </row>
    <row r="21" spans="1:8" x14ac:dyDescent="0.25">
      <c r="A21" s="503" t="s">
        <v>373</v>
      </c>
      <c r="B21" s="503"/>
      <c r="C21" s="289">
        <f>SUM(C12:C20)</f>
        <v>36.800000000000004</v>
      </c>
      <c r="D21" s="290"/>
      <c r="E21" s="297" t="s">
        <v>385</v>
      </c>
      <c r="F21" s="293"/>
      <c r="G21" s="296">
        <f>((F15+F14)*(F70/F16)*(F67*C13%*50%*F71))*G5</f>
        <v>101.13071770922944</v>
      </c>
      <c r="H21" s="279" t="s">
        <v>341</v>
      </c>
    </row>
    <row r="22" spans="1:8" x14ac:dyDescent="0.25">
      <c r="A22" s="502" t="s">
        <v>375</v>
      </c>
      <c r="B22" s="502"/>
      <c r="C22" s="502"/>
      <c r="D22" s="291"/>
      <c r="E22" s="297" t="s">
        <v>388</v>
      </c>
      <c r="F22" s="294">
        <v>8.3333333333333304</v>
      </c>
      <c r="G22" s="296">
        <f>(F22%*F5*F67*F71)*G5</f>
        <v>10.249550768236785</v>
      </c>
      <c r="H22" s="279" t="s">
        <v>341</v>
      </c>
    </row>
    <row r="23" spans="1:8" x14ac:dyDescent="0.2">
      <c r="A23" s="274" t="s">
        <v>377</v>
      </c>
      <c r="B23" s="295" t="s">
        <v>456</v>
      </c>
      <c r="C23" s="288">
        <f>(G17/G16)*100</f>
        <v>11.232200418401524</v>
      </c>
      <c r="D23" s="291"/>
    </row>
    <row r="24" spans="1:8" x14ac:dyDescent="0.25">
      <c r="A24" s="503" t="s">
        <v>391</v>
      </c>
      <c r="B24" s="503"/>
      <c r="C24" s="289">
        <f>SUM(C23)</f>
        <v>11.232200418401524</v>
      </c>
      <c r="D24" s="291"/>
      <c r="E24" s="248"/>
      <c r="F24" s="248"/>
      <c r="G24" s="300"/>
      <c r="H24" s="291"/>
    </row>
    <row r="25" spans="1:8" x14ac:dyDescent="0.25">
      <c r="A25" s="502" t="s">
        <v>393</v>
      </c>
      <c r="B25" s="502"/>
      <c r="C25" s="502"/>
      <c r="D25" s="291"/>
      <c r="E25" s="248"/>
      <c r="F25" s="248"/>
      <c r="G25" s="300"/>
      <c r="H25" s="291"/>
    </row>
    <row r="26" spans="1:8" ht="25.5" x14ac:dyDescent="0.2">
      <c r="A26" s="274" t="s">
        <v>394</v>
      </c>
      <c r="B26" s="301" t="s">
        <v>395</v>
      </c>
      <c r="C26" s="288">
        <f>50%*(C13+(C13*C24%))</f>
        <v>4.4492880167360607</v>
      </c>
      <c r="D26" s="291"/>
      <c r="E26" s="248"/>
      <c r="F26" s="248"/>
      <c r="G26" s="303"/>
      <c r="H26" s="248"/>
    </row>
    <row r="27" spans="1:8" ht="38.25" hidden="1" x14ac:dyDescent="0.25">
      <c r="A27" s="274" t="s">
        <v>398</v>
      </c>
      <c r="B27" s="298" t="s">
        <v>390</v>
      </c>
      <c r="C27" s="299">
        <f>SUM(G11:G13)/G16</f>
        <v>2.954008999733931E-2</v>
      </c>
      <c r="D27" s="291"/>
      <c r="E27" s="318" t="s">
        <v>392</v>
      </c>
      <c r="F27" s="318"/>
      <c r="G27" s="303"/>
      <c r="H27" s="248"/>
    </row>
    <row r="28" spans="1:8" x14ac:dyDescent="0.2">
      <c r="A28" s="274" t="s">
        <v>398</v>
      </c>
      <c r="B28" s="304" t="s">
        <v>399</v>
      </c>
      <c r="C28" s="288">
        <f>(G20/G16)*100</f>
        <v>4.1863639428151611</v>
      </c>
      <c r="D28" s="291"/>
      <c r="E28" s="279"/>
      <c r="F28" s="279"/>
      <c r="G28" s="291"/>
      <c r="H28" s="248"/>
    </row>
    <row r="29" spans="1:8" x14ac:dyDescent="0.2">
      <c r="A29" s="274" t="s">
        <v>401</v>
      </c>
      <c r="B29" s="275" t="s">
        <v>402</v>
      </c>
      <c r="C29" s="288">
        <f>(G18/G16)*100</f>
        <v>6.2167504550805148</v>
      </c>
      <c r="D29" s="291"/>
      <c r="E29" s="302" t="s">
        <v>396</v>
      </c>
      <c r="F29" s="302" t="s">
        <v>397</v>
      </c>
      <c r="G29" s="291"/>
      <c r="H29" s="248"/>
    </row>
    <row r="30" spans="1:8" x14ac:dyDescent="0.2">
      <c r="A30" s="503" t="s">
        <v>404</v>
      </c>
      <c r="B30" s="503"/>
      <c r="C30" s="288">
        <f>SUM(C26:C29)</f>
        <v>14.881942504629077</v>
      </c>
      <c r="D30" s="291"/>
      <c r="E30" s="302" t="s">
        <v>400</v>
      </c>
      <c r="F30" s="305">
        <v>6.25</v>
      </c>
      <c r="G30" s="291"/>
      <c r="H30" s="248"/>
    </row>
    <row r="31" spans="1:8" x14ac:dyDescent="0.25">
      <c r="A31" s="502" t="s">
        <v>406</v>
      </c>
      <c r="B31" s="502"/>
      <c r="C31" s="502"/>
      <c r="D31" s="291"/>
      <c r="E31" s="302" t="s">
        <v>403</v>
      </c>
      <c r="F31" s="307">
        <v>96</v>
      </c>
      <c r="G31" s="291"/>
      <c r="H31" s="248"/>
    </row>
    <row r="32" spans="1:8" x14ac:dyDescent="0.2">
      <c r="A32" s="274" t="s">
        <v>408</v>
      </c>
      <c r="B32" s="304" t="s">
        <v>409</v>
      </c>
      <c r="C32" s="288">
        <f>C21*C24%</f>
        <v>4.1334497539717612</v>
      </c>
      <c r="D32" s="291"/>
      <c r="E32" s="302" t="s">
        <v>405</v>
      </c>
      <c r="F32" s="305">
        <v>1.502</v>
      </c>
      <c r="G32" s="291"/>
      <c r="H32" s="248"/>
    </row>
    <row r="33" spans="1:10" ht="12.75" customHeight="1" x14ac:dyDescent="0.2">
      <c r="A33" s="274" t="s">
        <v>411</v>
      </c>
      <c r="B33" s="304" t="s">
        <v>457</v>
      </c>
      <c r="C33" s="288">
        <f>C13*C29%</f>
        <v>0.4973400364064412</v>
      </c>
      <c r="D33" s="291"/>
      <c r="E33" s="302" t="s">
        <v>407</v>
      </c>
      <c r="F33" s="305">
        <v>3</v>
      </c>
      <c r="G33" s="291"/>
      <c r="H33" s="248"/>
    </row>
    <row r="34" spans="1:10" x14ac:dyDescent="0.2">
      <c r="A34" s="503" t="s">
        <v>413</v>
      </c>
      <c r="B34" s="503"/>
      <c r="C34" s="288">
        <f>SUM(C32:C33)</f>
        <v>4.630789790378202</v>
      </c>
      <c r="D34" s="291"/>
      <c r="E34" s="302" t="s">
        <v>407</v>
      </c>
      <c r="F34" s="305">
        <v>7.5</v>
      </c>
      <c r="G34" s="277"/>
      <c r="H34" s="248"/>
    </row>
    <row r="35" spans="1:10" x14ac:dyDescent="0.2">
      <c r="A35" s="502" t="s">
        <v>415</v>
      </c>
      <c r="B35" s="502"/>
      <c r="C35" s="288">
        <f>(C21+C30+C24+C34)</f>
        <v>67.544932713408798</v>
      </c>
      <c r="D35" s="277"/>
      <c r="E35" s="302" t="s">
        <v>410</v>
      </c>
      <c r="F35" s="307">
        <v>24</v>
      </c>
      <c r="G35" s="291"/>
      <c r="H35" s="248"/>
    </row>
    <row r="36" spans="1:10" ht="12.75" hidden="1" customHeight="1" x14ac:dyDescent="0.2">
      <c r="A36" s="319"/>
      <c r="B36" s="319"/>
      <c r="C36" s="319"/>
      <c r="D36" s="277"/>
      <c r="E36" s="302"/>
      <c r="F36" s="305"/>
      <c r="G36" s="277"/>
      <c r="H36" s="248"/>
    </row>
    <row r="37" spans="1:10" x14ac:dyDescent="0.2">
      <c r="A37" s="505" t="s">
        <v>417</v>
      </c>
      <c r="B37" s="505"/>
      <c r="C37" s="505"/>
      <c r="E37" s="302" t="s">
        <v>414</v>
      </c>
      <c r="F37" s="305">
        <v>19.5</v>
      </c>
      <c r="G37" s="277"/>
      <c r="H37" s="248"/>
    </row>
    <row r="38" spans="1:10" x14ac:dyDescent="0.2">
      <c r="A38" s="308" t="s">
        <v>419</v>
      </c>
      <c r="B38" s="309" t="s">
        <v>420</v>
      </c>
      <c r="C38" s="299">
        <f>((F30*F31*6%)/F39)*100</f>
        <v>6</v>
      </c>
      <c r="E38" s="302" t="s">
        <v>416</v>
      </c>
      <c r="F38" s="305">
        <v>28.8</v>
      </c>
      <c r="G38" s="277"/>
      <c r="H38" s="248"/>
    </row>
    <row r="39" spans="1:10" x14ac:dyDescent="0.25">
      <c r="A39" s="308" t="s">
        <v>422</v>
      </c>
      <c r="B39" s="309" t="s">
        <v>423</v>
      </c>
      <c r="C39" s="299">
        <f>((F32*F35-F39/30*F35*1%)/F39)*100</f>
        <v>5.2080000000000002</v>
      </c>
      <c r="E39" s="302" t="s">
        <v>418</v>
      </c>
      <c r="F39" s="305">
        <v>600</v>
      </c>
      <c r="G39" s="310"/>
      <c r="H39" s="248"/>
    </row>
    <row r="40" spans="1:10" x14ac:dyDescent="0.25">
      <c r="A40" s="274" t="s">
        <v>424</v>
      </c>
      <c r="B40" s="295" t="s">
        <v>425</v>
      </c>
      <c r="C40" s="299">
        <f>((F34*F35*0.95)/F39)*100</f>
        <v>28.499999999999996</v>
      </c>
      <c r="E40" s="307" t="s">
        <v>421</v>
      </c>
      <c r="F40" s="307">
        <v>12</v>
      </c>
      <c r="H40" s="248"/>
    </row>
    <row r="41" spans="1:10" ht="12.75" customHeight="1" x14ac:dyDescent="0.25">
      <c r="A41" s="274" t="s">
        <v>426</v>
      </c>
      <c r="B41" s="295" t="s">
        <v>427</v>
      </c>
      <c r="C41" s="299">
        <f>(F37/F39)*100</f>
        <v>3.25</v>
      </c>
      <c r="E41" s="248"/>
      <c r="F41" s="248"/>
      <c r="H41" s="248"/>
    </row>
    <row r="42" spans="1:10" s="261" customFormat="1" ht="12.75" customHeight="1" x14ac:dyDescent="0.25">
      <c r="A42" s="274" t="s">
        <v>428</v>
      </c>
      <c r="B42" s="295" t="s">
        <v>429</v>
      </c>
      <c r="C42" s="299">
        <f>(F38/F39)*100</f>
        <v>4.8</v>
      </c>
      <c r="E42" s="311" t="s">
        <v>431</v>
      </c>
      <c r="F42" s="311"/>
      <c r="I42" s="248"/>
      <c r="J42" s="248"/>
    </row>
    <row r="43" spans="1:10" s="261" customFormat="1" ht="12.75" customHeight="1" x14ac:dyDescent="0.25">
      <c r="A43" s="274" t="s">
        <v>430</v>
      </c>
      <c r="B43" s="295" t="s">
        <v>421</v>
      </c>
      <c r="C43" s="299">
        <f>(F40/F39)*100</f>
        <v>2</v>
      </c>
      <c r="E43" s="311"/>
      <c r="F43" s="311"/>
      <c r="I43" s="248"/>
      <c r="J43" s="248"/>
    </row>
    <row r="44" spans="1:10" x14ac:dyDescent="0.25">
      <c r="A44" s="502" t="s">
        <v>432</v>
      </c>
      <c r="B44" s="502"/>
      <c r="C44" s="299">
        <f>SUM(C38:C42)</f>
        <v>47.757999999999996</v>
      </c>
      <c r="E44" s="312"/>
      <c r="F44" s="312"/>
    </row>
    <row r="45" spans="1:10" x14ac:dyDescent="0.25">
      <c r="A45" s="502" t="s">
        <v>433</v>
      </c>
      <c r="B45" s="502"/>
      <c r="C45" s="289">
        <f>C44+C35</f>
        <v>115.30293271340879</v>
      </c>
      <c r="E45" s="295" t="s">
        <v>434</v>
      </c>
      <c r="F45" s="313">
        <f>SUM(F46:F59)</f>
        <v>72807</v>
      </c>
    </row>
    <row r="46" spans="1:10" x14ac:dyDescent="0.25">
      <c r="A46" s="501"/>
      <c r="B46" s="501"/>
      <c r="C46" s="501"/>
      <c r="E46" s="295" t="s">
        <v>435</v>
      </c>
      <c r="F46" s="313">
        <v>882</v>
      </c>
    </row>
    <row r="47" spans="1:10" s="323" customFormat="1" x14ac:dyDescent="0.25">
      <c r="A47" s="312"/>
      <c r="B47" s="312"/>
      <c r="C47" s="312"/>
      <c r="D47" s="320"/>
      <c r="E47" s="321"/>
      <c r="F47" s="322"/>
      <c r="G47" s="320"/>
      <c r="H47" s="320"/>
    </row>
    <row r="48" spans="1:10" s="323" customFormat="1" x14ac:dyDescent="0.25">
      <c r="A48" s="312"/>
      <c r="B48" s="312"/>
      <c r="C48" s="312"/>
      <c r="D48" s="320"/>
      <c r="E48" s="321"/>
      <c r="F48" s="322"/>
      <c r="G48" s="320"/>
      <c r="H48" s="320"/>
    </row>
    <row r="49" spans="1:10" s="323" customFormat="1" x14ac:dyDescent="0.25">
      <c r="A49" s="312"/>
      <c r="B49" s="312"/>
      <c r="C49" s="312"/>
      <c r="D49" s="320"/>
      <c r="E49" s="321"/>
      <c r="F49" s="322"/>
      <c r="G49" s="320"/>
      <c r="H49" s="320"/>
    </row>
    <row r="50" spans="1:10" s="323" customFormat="1" x14ac:dyDescent="0.25">
      <c r="A50" s="312"/>
      <c r="B50" s="312"/>
      <c r="C50" s="312"/>
      <c r="D50" s="320"/>
      <c r="E50" s="321"/>
      <c r="F50" s="322"/>
      <c r="G50" s="320"/>
      <c r="H50" s="320"/>
    </row>
    <row r="51" spans="1:10" s="323" customFormat="1" x14ac:dyDescent="0.25">
      <c r="A51" s="312"/>
      <c r="B51" s="312"/>
      <c r="C51" s="312"/>
      <c r="D51" s="320"/>
      <c r="E51" s="321"/>
      <c r="F51" s="322"/>
      <c r="G51" s="320"/>
      <c r="H51" s="320"/>
    </row>
    <row r="52" spans="1:10" s="323" customFormat="1" x14ac:dyDescent="0.25">
      <c r="A52" s="312"/>
      <c r="B52" s="312"/>
      <c r="C52" s="312"/>
      <c r="D52" s="320"/>
      <c r="E52" s="321"/>
      <c r="F52" s="322"/>
      <c r="G52" s="320"/>
      <c r="H52" s="320"/>
    </row>
    <row r="53" spans="1:10" x14ac:dyDescent="0.25">
      <c r="E53" s="295" t="s">
        <v>436</v>
      </c>
      <c r="F53" s="313">
        <v>55380</v>
      </c>
    </row>
    <row r="54" spans="1:10" s="261" customFormat="1" ht="12.75" customHeight="1" x14ac:dyDescent="0.25">
      <c r="E54" s="295" t="s">
        <v>437</v>
      </c>
      <c r="F54" s="313">
        <v>7553</v>
      </c>
      <c r="I54" s="248"/>
      <c r="J54" s="248"/>
    </row>
    <row r="55" spans="1:10" s="261" customFormat="1" x14ac:dyDescent="0.25">
      <c r="E55" s="295" t="s">
        <v>438</v>
      </c>
      <c r="F55" s="313">
        <v>2241</v>
      </c>
      <c r="I55" s="248"/>
      <c r="J55" s="248"/>
    </row>
    <row r="56" spans="1:10" s="261" customFormat="1" x14ac:dyDescent="0.25">
      <c r="E56" s="295" t="s">
        <v>439</v>
      </c>
      <c r="F56" s="313">
        <v>6593</v>
      </c>
      <c r="I56" s="248"/>
      <c r="J56" s="248"/>
    </row>
    <row r="57" spans="1:10" s="261" customFormat="1" x14ac:dyDescent="0.25">
      <c r="E57" s="295" t="s">
        <v>440</v>
      </c>
      <c r="F57" s="313">
        <v>10</v>
      </c>
      <c r="I57" s="248"/>
      <c r="J57" s="248"/>
    </row>
    <row r="58" spans="1:10" s="261" customFormat="1" x14ac:dyDescent="0.25">
      <c r="E58" s="295" t="s">
        <v>441</v>
      </c>
      <c r="F58" s="313">
        <v>148</v>
      </c>
      <c r="I58" s="248"/>
      <c r="J58" s="248"/>
    </row>
    <row r="59" spans="1:10" s="261" customFormat="1" x14ac:dyDescent="0.25">
      <c r="E59" s="295" t="s">
        <v>442</v>
      </c>
      <c r="F59" s="313">
        <v>0</v>
      </c>
      <c r="I59" s="248"/>
      <c r="J59" s="248"/>
    </row>
    <row r="60" spans="1:10" s="261" customFormat="1" x14ac:dyDescent="0.25">
      <c r="E60" s="295" t="s">
        <v>443</v>
      </c>
      <c r="F60" s="313"/>
      <c r="I60" s="248"/>
      <c r="J60" s="248"/>
    </row>
    <row r="61" spans="1:10" s="261" customFormat="1" x14ac:dyDescent="0.25">
      <c r="E61" s="295" t="s">
        <v>444</v>
      </c>
      <c r="F61" s="313">
        <v>95230</v>
      </c>
      <c r="I61" s="248"/>
      <c r="J61" s="248"/>
    </row>
    <row r="62" spans="1:10" s="261" customFormat="1" x14ac:dyDescent="0.25">
      <c r="E62" s="295" t="s">
        <v>445</v>
      </c>
      <c r="F62" s="313">
        <v>102886</v>
      </c>
      <c r="I62" s="248"/>
      <c r="J62" s="248"/>
    </row>
    <row r="63" spans="1:10" s="261" customFormat="1" x14ac:dyDescent="0.25">
      <c r="E63" s="295" t="s">
        <v>446</v>
      </c>
      <c r="F63" s="313">
        <f>SUM(F61:F62)/COUNT(F61:F62)</f>
        <v>99058</v>
      </c>
      <c r="I63" s="248"/>
      <c r="J63" s="248"/>
    </row>
    <row r="64" spans="1:10" s="261" customFormat="1" ht="38.25" x14ac:dyDescent="0.25">
      <c r="E64" s="298" t="s">
        <v>447</v>
      </c>
      <c r="F64" s="313">
        <f>F45-(F54+F57+F58+F59)</f>
        <v>65096</v>
      </c>
      <c r="I64" s="248"/>
      <c r="J64" s="248"/>
    </row>
    <row r="65" spans="5:10" s="261" customFormat="1" ht="25.5" x14ac:dyDescent="0.25">
      <c r="E65" s="298" t="s">
        <v>448</v>
      </c>
      <c r="F65" s="313">
        <f>F45-(F57+F58+F59)</f>
        <v>72649</v>
      </c>
      <c r="I65" s="248"/>
      <c r="J65" s="248"/>
    </row>
    <row r="67" spans="5:10" s="261" customFormat="1" ht="25.5" x14ac:dyDescent="0.25">
      <c r="E67" s="298" t="s">
        <v>449</v>
      </c>
      <c r="F67" s="315">
        <f>(F64/F63)*1</f>
        <v>0.65715035635688179</v>
      </c>
      <c r="I67" s="248"/>
      <c r="J67" s="248"/>
    </row>
    <row r="68" spans="5:10" s="261" customFormat="1" x14ac:dyDescent="0.25">
      <c r="E68" s="298" t="s">
        <v>450</v>
      </c>
      <c r="F68" s="315">
        <f>(F65/F63)*1</f>
        <v>0.73339861495285585</v>
      </c>
      <c r="I68" s="248"/>
      <c r="J68" s="248"/>
    </row>
    <row r="69" spans="5:10" s="261" customFormat="1" x14ac:dyDescent="0.25">
      <c r="E69" s="298" t="s">
        <v>451</v>
      </c>
      <c r="F69" s="315">
        <f>(F54/F45)*1</f>
        <v>0.10374002499759638</v>
      </c>
      <c r="I69" s="248"/>
      <c r="J69" s="248"/>
    </row>
    <row r="70" spans="5:10" s="261" customFormat="1" x14ac:dyDescent="0.25">
      <c r="E70" s="298" t="s">
        <v>452</v>
      </c>
      <c r="F70" s="316">
        <f>12/F67</f>
        <v>18.260661177338086</v>
      </c>
      <c r="I70" s="248"/>
      <c r="J70" s="248"/>
    </row>
    <row r="71" spans="5:10" s="261" customFormat="1" x14ac:dyDescent="0.25">
      <c r="E71" s="295" t="s">
        <v>453</v>
      </c>
      <c r="F71" s="315">
        <f>(F53/F64)*1</f>
        <v>0.85074351726680597</v>
      </c>
      <c r="I71" s="248"/>
      <c r="J71" s="248"/>
    </row>
    <row r="72" spans="5:10" s="261" customFormat="1" x14ac:dyDescent="0.25">
      <c r="E72" s="317"/>
      <c r="F72" s="317"/>
      <c r="I72" s="248"/>
      <c r="J72" s="248"/>
    </row>
  </sheetData>
  <mergeCells count="17">
    <mergeCell ref="A34:B34"/>
    <mergeCell ref="A1:D4"/>
    <mergeCell ref="A6:C6"/>
    <mergeCell ref="A7:C7"/>
    <mergeCell ref="A10:C10"/>
    <mergeCell ref="A11:B11"/>
    <mergeCell ref="A21:B21"/>
    <mergeCell ref="A22:C22"/>
    <mergeCell ref="A24:B24"/>
    <mergeCell ref="A25:C25"/>
    <mergeCell ref="A30:B30"/>
    <mergeCell ref="A31:C31"/>
    <mergeCell ref="A35:B35"/>
    <mergeCell ref="A37:C37"/>
    <mergeCell ref="A44:B44"/>
    <mergeCell ref="A45:B45"/>
    <mergeCell ref="A46:C46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11</vt:i4>
      </vt:variant>
    </vt:vector>
  </HeadingPairs>
  <TitlesOfParts>
    <vt:vector size="20" baseType="lpstr">
      <vt:lpstr>Resumo</vt:lpstr>
      <vt:lpstr>Resumo Geral</vt:lpstr>
      <vt:lpstr>Comp</vt:lpstr>
      <vt:lpstr>orçamento</vt:lpstr>
      <vt:lpstr>Cronograma</vt:lpstr>
      <vt:lpstr>BDI</vt:lpstr>
      <vt:lpstr>Enc. Soc. (Horista)</vt:lpstr>
      <vt:lpstr>Plan1</vt:lpstr>
      <vt:lpstr>Enc. Soc. (Mensalista)</vt:lpstr>
      <vt:lpstr>Comp!Area_de_impressao</vt:lpstr>
      <vt:lpstr>Cronograma!Area_de_impressao</vt:lpstr>
      <vt:lpstr>'Enc. Soc. (Horista)'!Area_de_impressao</vt:lpstr>
      <vt:lpstr>'Enc. Soc. (Mensalista)'!Area_de_impressao</vt:lpstr>
      <vt:lpstr>orçamento!Area_de_impressao</vt:lpstr>
      <vt:lpstr>Resumo!Area_de_impressao</vt:lpstr>
      <vt:lpstr>'Resumo Geral'!Area_de_impressao</vt:lpstr>
      <vt:lpstr>Comp!Titulos_de_impressao</vt:lpstr>
      <vt:lpstr>Cronograma!Titulos_de_impressao</vt:lpstr>
      <vt:lpstr>orçamento!Titulos_de_impressao</vt:lpstr>
      <vt:lpstr>'Resumo Geral'!Titulos_de_impressao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 Viana Pereira Lima</dc:creator>
  <cp:lastModifiedBy>Osorio</cp:lastModifiedBy>
  <cp:lastPrinted>2015-09-10T06:44:08Z</cp:lastPrinted>
  <dcterms:created xsi:type="dcterms:W3CDTF">2014-12-05T14:57:45Z</dcterms:created>
  <dcterms:modified xsi:type="dcterms:W3CDTF">2015-11-07T23:22:58Z</dcterms:modified>
</cp:coreProperties>
</file>