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8960" windowHeight="11145" tabRatio="680" activeTab="3"/>
  </bookViews>
  <sheets>
    <sheet name="Planilha Orçamentaria" sheetId="1" r:id="rId1"/>
    <sheet name="Cronograma" sheetId="3" r:id="rId2"/>
    <sheet name="Resumo" sheetId="4" r:id="rId3"/>
    <sheet name="Resumo Geral" sheetId="5" r:id="rId4"/>
    <sheet name="Comp" sheetId="6" r:id="rId5"/>
    <sheet name="BDI" sheetId="9" r:id="rId6"/>
    <sheet name="Enc. Soc. (Horista)" sheetId="10" r:id="rId7"/>
    <sheet name="Plan1" sheetId="12" r:id="rId8"/>
    <sheet name="Memoria de Calculo" sheetId="2" r:id="rId9"/>
    <sheet name="Cronograma (2)" sheetId="8" r:id="rId10"/>
    <sheet name="Enc. Soc. (Mensalista)" sheetId="11" r:id="rId11"/>
    <sheet name="orçamento" sheetId="7" r:id="rId12"/>
  </sheets>
  <definedNames>
    <definedName name="_xlnm.Print_Area" localSheetId="5">BDI!$A$1:$VAQ$35</definedName>
    <definedName name="_xlnm.Print_Area" localSheetId="4">Comp!$B$1:$I$1120</definedName>
    <definedName name="_xlnm.Print_Area" localSheetId="1">Cronograma!$A$1:$K$71</definedName>
    <definedName name="_xlnm.Print_Area" localSheetId="9">'Cronograma (2)'!$A$12:$X$42</definedName>
    <definedName name="_xlnm.Print_Area" localSheetId="6">'Enc. Soc. (Horista)'!$A$1:$C$52</definedName>
    <definedName name="_xlnm.Print_Area" localSheetId="10">'Enc. Soc. (Mensalista)'!$A$1:$C$56</definedName>
    <definedName name="_xlnm.Print_Area" localSheetId="11">orçamento!$A$1:$K$579</definedName>
    <definedName name="_xlnm.Print_Area" localSheetId="0">'Planilha Orçamentaria'!$A$1:$I$179</definedName>
    <definedName name="_xlnm.Print_Area" localSheetId="2">Resumo!$A$1:$D$55</definedName>
    <definedName name="_xlnm.Print_Area" localSheetId="3">'Resumo Geral'!$A$1:$D$42</definedName>
    <definedName name="_xlnm.Print_Titles" localSheetId="4">Comp!$13:$14</definedName>
    <definedName name="_xlnm.Print_Titles" localSheetId="9">'Cronograma (2)'!$1:$11</definedName>
    <definedName name="_xlnm.Print_Titles" localSheetId="11">orçamento!$1:$12</definedName>
    <definedName name="_xlnm.Print_Titles" localSheetId="3">'Resumo Geral'!$1:$14</definedName>
  </definedNames>
  <calcPr calcId="144525"/>
</workbook>
</file>

<file path=xl/calcChain.xml><?xml version="1.0" encoding="utf-8"?>
<calcChain xmlns="http://schemas.openxmlformats.org/spreadsheetml/2006/main">
  <c r="J586" i="7" l="1"/>
  <c r="I586" i="7"/>
  <c r="J583" i="7"/>
  <c r="I583" i="7"/>
  <c r="J579" i="7"/>
  <c r="I579" i="7"/>
  <c r="J577" i="7"/>
  <c r="I577" i="7"/>
  <c r="G577" i="7"/>
  <c r="J576" i="7"/>
  <c r="I576" i="7"/>
  <c r="J575" i="7"/>
  <c r="I575" i="7"/>
  <c r="G575" i="7"/>
  <c r="J574" i="7"/>
  <c r="I574" i="7"/>
  <c r="G574" i="7"/>
  <c r="J573" i="7"/>
  <c r="I573" i="7"/>
  <c r="G573" i="7"/>
  <c r="J572" i="7"/>
  <c r="I572" i="7"/>
  <c r="G572" i="7"/>
  <c r="J571" i="7"/>
  <c r="J570" i="7"/>
  <c r="G570" i="7"/>
  <c r="J569" i="7"/>
  <c r="G569" i="7"/>
  <c r="J568" i="7"/>
  <c r="G568" i="7"/>
  <c r="I567" i="7"/>
  <c r="J566" i="7"/>
  <c r="I566" i="7"/>
  <c r="G566" i="7"/>
  <c r="J565" i="7"/>
  <c r="I565" i="7"/>
  <c r="G565" i="7"/>
  <c r="J564" i="7"/>
  <c r="I564" i="7"/>
  <c r="G564" i="7"/>
  <c r="J563" i="7"/>
  <c r="I563" i="7"/>
  <c r="G563" i="7"/>
  <c r="J562" i="7"/>
  <c r="I562" i="7"/>
  <c r="G562" i="7"/>
  <c r="J561" i="7"/>
  <c r="I561" i="7"/>
  <c r="G561" i="7"/>
  <c r="J560" i="7"/>
  <c r="G560" i="7"/>
  <c r="J559" i="7"/>
  <c r="I559" i="7"/>
  <c r="J558" i="7"/>
  <c r="I558" i="7"/>
  <c r="G558" i="7"/>
  <c r="J557" i="7"/>
  <c r="I557" i="7"/>
  <c r="G557" i="7"/>
  <c r="J556" i="7"/>
  <c r="I556" i="7"/>
  <c r="G556" i="7"/>
  <c r="J555" i="7"/>
  <c r="I555" i="7"/>
  <c r="G555" i="7"/>
  <c r="J554" i="7"/>
  <c r="G554" i="7"/>
  <c r="J553" i="7"/>
  <c r="I553" i="7"/>
  <c r="G553" i="7"/>
  <c r="J552" i="7"/>
  <c r="I552" i="7"/>
  <c r="G552" i="7"/>
  <c r="J551" i="7"/>
  <c r="I551" i="7"/>
  <c r="G551" i="7"/>
  <c r="J550" i="7"/>
  <c r="I550" i="7"/>
  <c r="G550" i="7"/>
  <c r="J549" i="7"/>
  <c r="I549" i="7"/>
  <c r="G549" i="7"/>
  <c r="J548" i="7"/>
  <c r="I548" i="7"/>
  <c r="G548" i="7"/>
  <c r="J547" i="7"/>
  <c r="I547" i="7"/>
  <c r="G547" i="7"/>
  <c r="J546" i="7"/>
  <c r="I546" i="7"/>
  <c r="G546" i="7"/>
  <c r="J545" i="7"/>
  <c r="I545" i="7"/>
  <c r="J544" i="7"/>
  <c r="I544" i="7"/>
  <c r="G544" i="7"/>
  <c r="J543" i="7"/>
  <c r="I543" i="7"/>
  <c r="G543" i="7"/>
  <c r="J542" i="7"/>
  <c r="I542" i="7"/>
  <c r="G542" i="7"/>
  <c r="J541" i="7"/>
  <c r="I541" i="7"/>
  <c r="J540" i="7"/>
  <c r="G540" i="7"/>
  <c r="J539" i="7"/>
  <c r="I539" i="7"/>
  <c r="G539" i="7"/>
  <c r="J538" i="7"/>
  <c r="G538" i="7"/>
  <c r="J537" i="7"/>
  <c r="I537" i="7"/>
  <c r="G537" i="7"/>
  <c r="J536" i="7"/>
  <c r="G536" i="7"/>
  <c r="J535" i="7"/>
  <c r="G535" i="7"/>
  <c r="J534" i="7"/>
  <c r="G534" i="7"/>
  <c r="J533" i="7"/>
  <c r="G533" i="7"/>
  <c r="J532" i="7"/>
  <c r="I532" i="7"/>
  <c r="G532" i="7"/>
  <c r="J531" i="7"/>
  <c r="I531" i="7"/>
  <c r="G531" i="7"/>
  <c r="J530" i="7"/>
  <c r="I530" i="7"/>
  <c r="G530" i="7"/>
  <c r="J528" i="7"/>
  <c r="I528" i="7"/>
  <c r="G528" i="7"/>
  <c r="J527" i="7"/>
  <c r="G527" i="7"/>
  <c r="J525" i="7"/>
  <c r="I525" i="7"/>
  <c r="G525" i="7"/>
  <c r="J524" i="7"/>
  <c r="I524" i="7"/>
  <c r="G524" i="7"/>
  <c r="J523" i="7"/>
  <c r="I523" i="7"/>
  <c r="G523" i="7"/>
  <c r="J522" i="7"/>
  <c r="I522" i="7"/>
  <c r="H522" i="7"/>
  <c r="G522" i="7"/>
  <c r="J521" i="7"/>
  <c r="I521" i="7"/>
  <c r="G521" i="7"/>
  <c r="J520" i="7"/>
  <c r="I520" i="7"/>
  <c r="G520" i="7"/>
  <c r="J518" i="7"/>
  <c r="I518" i="7"/>
  <c r="G518" i="7"/>
  <c r="J517" i="7"/>
  <c r="I517" i="7"/>
  <c r="G517" i="7"/>
  <c r="J515" i="7"/>
  <c r="I515" i="7"/>
  <c r="G515" i="7"/>
  <c r="J514" i="7"/>
  <c r="I514" i="7"/>
  <c r="G514" i="7"/>
  <c r="J513" i="7"/>
  <c r="I513" i="7"/>
  <c r="G513" i="7"/>
  <c r="J511" i="7"/>
  <c r="G511" i="7"/>
  <c r="J510" i="7"/>
  <c r="G510" i="7"/>
  <c r="J509" i="7"/>
  <c r="G509" i="7"/>
  <c r="J508" i="7"/>
  <c r="G508" i="7"/>
  <c r="J507" i="7"/>
  <c r="G507" i="7"/>
  <c r="J506" i="7"/>
  <c r="G506" i="7"/>
  <c r="J505" i="7"/>
  <c r="I505" i="7"/>
  <c r="G505" i="7"/>
  <c r="J504" i="7"/>
  <c r="G504" i="7"/>
  <c r="J503" i="7"/>
  <c r="I503" i="7"/>
  <c r="G503" i="7"/>
  <c r="J502" i="7"/>
  <c r="I502" i="7"/>
  <c r="G502" i="7"/>
  <c r="J501" i="7"/>
  <c r="I501" i="7"/>
  <c r="G501" i="7"/>
  <c r="J500" i="7"/>
  <c r="G500" i="7"/>
  <c r="J499" i="7"/>
  <c r="I499" i="7"/>
  <c r="G499" i="7"/>
  <c r="J497" i="7"/>
  <c r="I497" i="7"/>
  <c r="J496" i="7"/>
  <c r="I496" i="7"/>
  <c r="G496" i="7"/>
  <c r="J495" i="7"/>
  <c r="I495" i="7"/>
  <c r="G495" i="7"/>
  <c r="J494" i="7"/>
  <c r="I494" i="7"/>
  <c r="J493" i="7"/>
  <c r="I493" i="7"/>
  <c r="G493" i="7"/>
  <c r="E493" i="7"/>
  <c r="J492" i="7"/>
  <c r="I492" i="7"/>
  <c r="G492" i="7"/>
  <c r="E492" i="7"/>
  <c r="J491" i="7"/>
  <c r="I491" i="7"/>
  <c r="G491" i="7"/>
  <c r="E491" i="7"/>
  <c r="J490" i="7"/>
  <c r="I490" i="7"/>
  <c r="G490" i="7"/>
  <c r="E490" i="7"/>
  <c r="J489" i="7"/>
  <c r="I489" i="7"/>
  <c r="G489" i="7"/>
  <c r="J488" i="7"/>
  <c r="I488" i="7"/>
  <c r="G488" i="7"/>
  <c r="J487" i="7"/>
  <c r="I487" i="7"/>
  <c r="G487" i="7"/>
  <c r="E487" i="7"/>
  <c r="J486" i="7"/>
  <c r="I486" i="7"/>
  <c r="G486" i="7"/>
  <c r="E486" i="7"/>
  <c r="J485" i="7"/>
  <c r="I485" i="7"/>
  <c r="G485" i="7"/>
  <c r="E485" i="7"/>
  <c r="J484" i="7"/>
  <c r="I484" i="7"/>
  <c r="G484" i="7"/>
  <c r="E484" i="7"/>
  <c r="J483" i="7"/>
  <c r="I483" i="7"/>
  <c r="J482" i="7"/>
  <c r="I482" i="7"/>
  <c r="G482" i="7"/>
  <c r="J481" i="7"/>
  <c r="I481" i="7"/>
  <c r="G481" i="7"/>
  <c r="J480" i="7"/>
  <c r="I480" i="7"/>
  <c r="H480" i="7"/>
  <c r="G480" i="7"/>
  <c r="J479" i="7"/>
  <c r="I479" i="7"/>
  <c r="H479" i="7"/>
  <c r="G479" i="7"/>
  <c r="J478" i="7"/>
  <c r="I478" i="7"/>
  <c r="H478" i="7"/>
  <c r="G478" i="7"/>
  <c r="J477" i="7"/>
  <c r="I477" i="7"/>
  <c r="H477" i="7"/>
  <c r="G477" i="7"/>
  <c r="J476" i="7"/>
  <c r="I476" i="7"/>
  <c r="H476" i="7"/>
  <c r="G476" i="7"/>
  <c r="J475" i="7"/>
  <c r="I475" i="7"/>
  <c r="H475" i="7"/>
  <c r="G475" i="7"/>
  <c r="J474" i="7"/>
  <c r="I474" i="7"/>
  <c r="H474" i="7"/>
  <c r="G474" i="7"/>
  <c r="J473" i="7"/>
  <c r="I473" i="7"/>
  <c r="H473" i="7"/>
  <c r="G473" i="7"/>
  <c r="J472" i="7"/>
  <c r="I472" i="7"/>
  <c r="G472" i="7"/>
  <c r="J471" i="7"/>
  <c r="I471" i="7"/>
  <c r="G471" i="7"/>
  <c r="J470" i="7"/>
  <c r="I470" i="7"/>
  <c r="G470" i="7"/>
  <c r="J469" i="7"/>
  <c r="I469" i="7"/>
  <c r="G469" i="7"/>
  <c r="J468" i="7"/>
  <c r="I468" i="7"/>
  <c r="G468" i="7"/>
  <c r="J467" i="7"/>
  <c r="I467" i="7"/>
  <c r="G467" i="7"/>
  <c r="J466" i="7"/>
  <c r="I466" i="7"/>
  <c r="G466" i="7"/>
  <c r="J465" i="7"/>
  <c r="I465" i="7"/>
  <c r="G465" i="7"/>
  <c r="J464" i="7"/>
  <c r="I464" i="7"/>
  <c r="G464" i="7"/>
  <c r="J463" i="7"/>
  <c r="I463" i="7"/>
  <c r="G463" i="7"/>
  <c r="J462" i="7"/>
  <c r="I462" i="7"/>
  <c r="G462" i="7"/>
  <c r="J461" i="7"/>
  <c r="I461" i="7"/>
  <c r="J460" i="7"/>
  <c r="I460" i="7"/>
  <c r="G460" i="7"/>
  <c r="J459" i="7"/>
  <c r="I459" i="7"/>
  <c r="G459" i="7"/>
  <c r="J458" i="7"/>
  <c r="I458" i="7"/>
  <c r="G458" i="7"/>
  <c r="J457" i="7"/>
  <c r="I457" i="7"/>
  <c r="G457" i="7"/>
  <c r="J456" i="7"/>
  <c r="I456" i="7"/>
  <c r="G456" i="7"/>
  <c r="J455" i="7"/>
  <c r="I455" i="7"/>
  <c r="G455" i="7"/>
  <c r="J454" i="7"/>
  <c r="I454" i="7"/>
  <c r="G454" i="7"/>
  <c r="J453" i="7"/>
  <c r="J452" i="7"/>
  <c r="J451" i="7"/>
  <c r="I451" i="7"/>
  <c r="G451" i="7"/>
  <c r="J450" i="7"/>
  <c r="I450" i="7"/>
  <c r="G450" i="7"/>
  <c r="J449" i="7"/>
  <c r="I449" i="7"/>
  <c r="G449" i="7"/>
  <c r="J448" i="7"/>
  <c r="I448" i="7"/>
  <c r="G448" i="7"/>
  <c r="J447" i="7"/>
  <c r="I447" i="7"/>
  <c r="G447" i="7"/>
  <c r="J446" i="7"/>
  <c r="I446" i="7"/>
  <c r="G446" i="7"/>
  <c r="E446" i="7"/>
  <c r="J445" i="7"/>
  <c r="I445" i="7"/>
  <c r="G445" i="7"/>
  <c r="E445" i="7"/>
  <c r="J444" i="7"/>
  <c r="I444" i="7"/>
  <c r="G444" i="7"/>
  <c r="E444" i="7"/>
  <c r="J443" i="7"/>
  <c r="I443" i="7"/>
  <c r="G443" i="7"/>
  <c r="E443" i="7"/>
  <c r="J442" i="7"/>
  <c r="I442" i="7"/>
  <c r="G442" i="7"/>
  <c r="E442" i="7"/>
  <c r="J441" i="7"/>
  <c r="I441" i="7"/>
  <c r="G441" i="7"/>
  <c r="E441" i="7"/>
  <c r="J440" i="7"/>
  <c r="I440" i="7"/>
  <c r="G440" i="7"/>
  <c r="E440" i="7"/>
  <c r="J439" i="7"/>
  <c r="I439" i="7"/>
  <c r="G439" i="7"/>
  <c r="E439" i="7"/>
  <c r="J438" i="7"/>
  <c r="I438" i="7"/>
  <c r="G438" i="7"/>
  <c r="E438" i="7"/>
  <c r="J437" i="7"/>
  <c r="I437" i="7"/>
  <c r="G437" i="7"/>
  <c r="E437" i="7"/>
  <c r="J436" i="7"/>
  <c r="I436" i="7"/>
  <c r="G436" i="7"/>
  <c r="J435" i="7"/>
  <c r="I435" i="7"/>
  <c r="G435" i="7"/>
  <c r="J434" i="7"/>
  <c r="J433" i="7"/>
  <c r="I433" i="7"/>
  <c r="G433" i="7"/>
  <c r="E433" i="7"/>
  <c r="J432" i="7"/>
  <c r="I432" i="7"/>
  <c r="G432" i="7"/>
  <c r="E432" i="7"/>
  <c r="J431" i="7"/>
  <c r="I431" i="7"/>
  <c r="G431" i="7"/>
  <c r="E431" i="7"/>
  <c r="J430" i="7"/>
  <c r="I430" i="7"/>
  <c r="G430" i="7"/>
  <c r="E430" i="7"/>
  <c r="J429" i="7"/>
  <c r="I429" i="7"/>
  <c r="G429" i="7"/>
  <c r="E429" i="7"/>
  <c r="J428" i="7"/>
  <c r="I428" i="7"/>
  <c r="H428" i="7"/>
  <c r="G428" i="7"/>
  <c r="E428" i="7"/>
  <c r="J427" i="7"/>
  <c r="I427" i="7"/>
  <c r="G427" i="7"/>
  <c r="E427" i="7"/>
  <c r="J426" i="7"/>
  <c r="I426" i="7"/>
  <c r="G426" i="7"/>
  <c r="E426" i="7"/>
  <c r="J425" i="7"/>
  <c r="I425" i="7"/>
  <c r="G425" i="7"/>
  <c r="J424" i="7"/>
  <c r="I424" i="7"/>
  <c r="H424" i="7"/>
  <c r="G424" i="7"/>
  <c r="J423" i="7"/>
  <c r="I423" i="7"/>
  <c r="H423" i="7"/>
  <c r="G423" i="7"/>
  <c r="J422" i="7"/>
  <c r="I422" i="7"/>
  <c r="H422" i="7"/>
  <c r="G422" i="7"/>
  <c r="J421" i="7"/>
  <c r="I421" i="7"/>
  <c r="G421" i="7"/>
  <c r="J420" i="7"/>
  <c r="I420" i="7"/>
  <c r="J419" i="7"/>
  <c r="I419" i="7"/>
  <c r="G419" i="7"/>
  <c r="J418" i="7"/>
  <c r="I418" i="7"/>
  <c r="G418" i="7"/>
  <c r="J417" i="7"/>
  <c r="I417" i="7"/>
  <c r="G417" i="7"/>
  <c r="J416" i="7"/>
  <c r="I416" i="7"/>
  <c r="G416" i="7"/>
  <c r="J414" i="7"/>
  <c r="I414" i="7"/>
  <c r="J413" i="7"/>
  <c r="I413" i="7"/>
  <c r="G413" i="7"/>
  <c r="J412" i="7"/>
  <c r="I412" i="7"/>
  <c r="H412" i="7"/>
  <c r="G412" i="7"/>
  <c r="J411" i="7"/>
  <c r="I411" i="7"/>
  <c r="G411" i="7"/>
  <c r="J410" i="7"/>
  <c r="I410" i="7"/>
  <c r="G410" i="7"/>
  <c r="J409" i="7"/>
  <c r="I409" i="7"/>
  <c r="G409" i="7"/>
  <c r="J408" i="7"/>
  <c r="I408" i="7"/>
  <c r="G408" i="7"/>
  <c r="J407" i="7"/>
  <c r="I407" i="7"/>
  <c r="G407" i="7"/>
  <c r="J406" i="7"/>
  <c r="I406" i="7"/>
  <c r="G406" i="7"/>
  <c r="J404" i="7"/>
  <c r="I404" i="7"/>
  <c r="G404" i="7"/>
  <c r="J403" i="7"/>
  <c r="I403" i="7"/>
  <c r="G403" i="7"/>
  <c r="J402" i="7"/>
  <c r="I402" i="7"/>
  <c r="G402" i="7"/>
  <c r="J401" i="7"/>
  <c r="I401" i="7"/>
  <c r="G401" i="7"/>
  <c r="J400" i="7"/>
  <c r="I400" i="7"/>
  <c r="G400" i="7"/>
  <c r="J399" i="7"/>
  <c r="I399" i="7"/>
  <c r="G399" i="7"/>
  <c r="J398" i="7"/>
  <c r="I398" i="7"/>
  <c r="G398" i="7"/>
  <c r="J397" i="7"/>
  <c r="I397" i="7"/>
  <c r="G397" i="7"/>
  <c r="J396" i="7"/>
  <c r="I396" i="7"/>
  <c r="G396" i="7"/>
  <c r="J395" i="7"/>
  <c r="I395" i="7"/>
  <c r="G395" i="7"/>
  <c r="J394" i="7"/>
  <c r="I394" i="7"/>
  <c r="G394" i="7"/>
  <c r="J393" i="7"/>
  <c r="I393" i="7"/>
  <c r="G393" i="7"/>
  <c r="J392" i="7"/>
  <c r="I392" i="7"/>
  <c r="G392" i="7"/>
  <c r="J391" i="7"/>
  <c r="I391" i="7"/>
  <c r="G391" i="7"/>
  <c r="J390" i="7"/>
  <c r="I390" i="7"/>
  <c r="G390" i="7"/>
  <c r="J389" i="7"/>
  <c r="I389" i="7"/>
  <c r="H389" i="7"/>
  <c r="G389" i="7"/>
  <c r="J388" i="7"/>
  <c r="I388" i="7"/>
  <c r="G388" i="7"/>
  <c r="J387" i="7"/>
  <c r="I387" i="7"/>
  <c r="G387" i="7"/>
  <c r="J386" i="7"/>
  <c r="I386" i="7"/>
  <c r="G386" i="7"/>
  <c r="J385" i="7"/>
  <c r="I385" i="7"/>
  <c r="J384" i="7"/>
  <c r="I384" i="7"/>
  <c r="G384" i="7"/>
  <c r="J383" i="7"/>
  <c r="I383" i="7"/>
  <c r="G383" i="7"/>
  <c r="J382" i="7"/>
  <c r="I382" i="7"/>
  <c r="G382" i="7"/>
  <c r="J381" i="7"/>
  <c r="I381" i="7"/>
  <c r="G381" i="7"/>
  <c r="J380" i="7"/>
  <c r="I380" i="7"/>
  <c r="G380" i="7"/>
  <c r="J379" i="7"/>
  <c r="I379" i="7"/>
  <c r="G379" i="7"/>
  <c r="J378" i="7"/>
  <c r="I378" i="7"/>
  <c r="G378" i="7"/>
  <c r="J377" i="7"/>
  <c r="I377" i="7"/>
  <c r="G377" i="7"/>
  <c r="J376" i="7"/>
  <c r="I376" i="7"/>
  <c r="G376" i="7"/>
  <c r="J375" i="7"/>
  <c r="I375" i="7"/>
  <c r="G375" i="7"/>
  <c r="J374" i="7"/>
  <c r="I374" i="7"/>
  <c r="G374" i="7"/>
  <c r="J373" i="7"/>
  <c r="I373" i="7"/>
  <c r="G373" i="7"/>
  <c r="J372" i="7"/>
  <c r="I372" i="7"/>
  <c r="G372" i="7"/>
  <c r="J371" i="7"/>
  <c r="I371" i="7"/>
  <c r="G371" i="7"/>
  <c r="J370" i="7"/>
  <c r="I370" i="7"/>
  <c r="G370" i="7"/>
  <c r="J369" i="7"/>
  <c r="I369" i="7"/>
  <c r="G369" i="7"/>
  <c r="J368" i="7"/>
  <c r="I368" i="7"/>
  <c r="G368" i="7"/>
  <c r="J367" i="7"/>
  <c r="I367" i="7"/>
  <c r="G367" i="7"/>
  <c r="J366" i="7"/>
  <c r="I366" i="7"/>
  <c r="G366" i="7"/>
  <c r="J365" i="7"/>
  <c r="I365" i="7"/>
  <c r="G365" i="7"/>
  <c r="J364" i="7"/>
  <c r="I364" i="7"/>
  <c r="G364" i="7"/>
  <c r="J363" i="7"/>
  <c r="I363" i="7"/>
  <c r="J362" i="7"/>
  <c r="I362" i="7"/>
  <c r="G362" i="7"/>
  <c r="J361" i="7"/>
  <c r="I361" i="7"/>
  <c r="G361" i="7"/>
  <c r="J360" i="7"/>
  <c r="I360" i="7"/>
  <c r="G360" i="7"/>
  <c r="J359" i="7"/>
  <c r="I359" i="7"/>
  <c r="G359" i="7"/>
  <c r="J358" i="7"/>
  <c r="I358" i="7"/>
  <c r="G358" i="7"/>
  <c r="J357" i="7"/>
  <c r="I357" i="7"/>
  <c r="G357" i="7"/>
  <c r="J356" i="7"/>
  <c r="I356" i="7"/>
  <c r="G356" i="7"/>
  <c r="J355" i="7"/>
  <c r="I355" i="7"/>
  <c r="G355" i="7"/>
  <c r="J354" i="7"/>
  <c r="I354" i="7"/>
  <c r="G354" i="7"/>
  <c r="J353" i="7"/>
  <c r="I353" i="7"/>
  <c r="G353" i="7"/>
  <c r="J352" i="7"/>
  <c r="I352" i="7"/>
  <c r="G352" i="7"/>
  <c r="J351" i="7"/>
  <c r="I351" i="7"/>
  <c r="G351" i="7"/>
  <c r="J350" i="7"/>
  <c r="I350" i="7"/>
  <c r="G350" i="7"/>
  <c r="J349" i="7"/>
  <c r="I349" i="7"/>
  <c r="G349" i="7"/>
  <c r="J348" i="7"/>
  <c r="I348" i="7"/>
  <c r="G348" i="7"/>
  <c r="J347" i="7"/>
  <c r="I347" i="7"/>
  <c r="G347" i="7"/>
  <c r="J346" i="7"/>
  <c r="I346" i="7"/>
  <c r="G346" i="7"/>
  <c r="J345" i="7"/>
  <c r="I345" i="7"/>
  <c r="G345" i="7"/>
  <c r="J344" i="7"/>
  <c r="I344" i="7"/>
  <c r="G344" i="7"/>
  <c r="J343" i="7"/>
  <c r="I343" i="7"/>
  <c r="G343" i="7"/>
  <c r="J342" i="7"/>
  <c r="I342" i="7"/>
  <c r="G342" i="7"/>
  <c r="J341" i="7"/>
  <c r="I341" i="7"/>
  <c r="G341" i="7"/>
  <c r="J340" i="7"/>
  <c r="I340" i="7"/>
  <c r="G340" i="7"/>
  <c r="J339" i="7"/>
  <c r="I339" i="7"/>
  <c r="G339" i="7"/>
  <c r="J338" i="7"/>
  <c r="I338" i="7"/>
  <c r="G338" i="7"/>
  <c r="J337" i="7"/>
  <c r="I337" i="7"/>
  <c r="G337" i="7"/>
  <c r="J336" i="7"/>
  <c r="I336" i="7"/>
  <c r="G336" i="7"/>
  <c r="J335" i="7"/>
  <c r="I335" i="7"/>
  <c r="G335" i="7"/>
  <c r="J334" i="7"/>
  <c r="I334" i="7"/>
  <c r="J333" i="7"/>
  <c r="I333" i="7"/>
  <c r="G333" i="7"/>
  <c r="J332" i="7"/>
  <c r="I332" i="7"/>
  <c r="G332" i="7"/>
  <c r="J331" i="7"/>
  <c r="G331" i="7"/>
  <c r="J330" i="7"/>
  <c r="I330" i="7"/>
  <c r="G330" i="7"/>
  <c r="J329" i="7"/>
  <c r="I329" i="7"/>
  <c r="H329" i="7"/>
  <c r="G329" i="7"/>
  <c r="J328" i="7"/>
  <c r="I328" i="7"/>
  <c r="G328" i="7"/>
  <c r="J327" i="7"/>
  <c r="G327" i="7"/>
  <c r="J326" i="7"/>
  <c r="G326" i="7"/>
  <c r="J325" i="7"/>
  <c r="I325" i="7"/>
  <c r="G325" i="7"/>
  <c r="J324" i="7"/>
  <c r="G324" i="7"/>
  <c r="J323" i="7"/>
  <c r="I323" i="7"/>
  <c r="G323" i="7"/>
  <c r="J322" i="7"/>
  <c r="G322" i="7"/>
  <c r="J321" i="7"/>
  <c r="I321" i="7"/>
  <c r="G321" i="7"/>
  <c r="J320" i="7"/>
  <c r="I320" i="7"/>
  <c r="G320" i="7"/>
  <c r="J319" i="7"/>
  <c r="I319" i="7"/>
  <c r="G319" i="7"/>
  <c r="J318" i="7"/>
  <c r="I318" i="7"/>
  <c r="G318" i="7"/>
  <c r="J317" i="7"/>
  <c r="I317" i="7"/>
  <c r="G317" i="7"/>
  <c r="J316" i="7"/>
  <c r="I316" i="7"/>
  <c r="G316" i="7"/>
  <c r="J315" i="7"/>
  <c r="I315" i="7"/>
  <c r="G315" i="7"/>
  <c r="J314" i="7"/>
  <c r="I314" i="7"/>
  <c r="G314" i="7"/>
  <c r="J313" i="7"/>
  <c r="G313" i="7"/>
  <c r="J312" i="7"/>
  <c r="I312" i="7"/>
  <c r="G312" i="7"/>
  <c r="J311" i="7"/>
  <c r="I311" i="7"/>
  <c r="G311" i="7"/>
  <c r="J310" i="7"/>
  <c r="I310" i="7"/>
  <c r="G310" i="7"/>
  <c r="J309" i="7"/>
  <c r="I309" i="7"/>
  <c r="G309" i="7"/>
  <c r="J308" i="7"/>
  <c r="I308" i="7"/>
  <c r="G308" i="7"/>
  <c r="J307" i="7"/>
  <c r="I307" i="7"/>
  <c r="G307" i="7"/>
  <c r="J306" i="7"/>
  <c r="I306" i="7"/>
  <c r="G306" i="7"/>
  <c r="J305" i="7"/>
  <c r="I305" i="7"/>
  <c r="G305" i="7"/>
  <c r="J304" i="7"/>
  <c r="I304" i="7"/>
  <c r="G304" i="7"/>
  <c r="J303" i="7"/>
  <c r="I303" i="7"/>
  <c r="G303" i="7"/>
  <c r="J302" i="7"/>
  <c r="I302" i="7"/>
  <c r="G302" i="7"/>
  <c r="J301" i="7"/>
  <c r="I301" i="7"/>
  <c r="G301" i="7"/>
  <c r="J300" i="7"/>
  <c r="I300" i="7"/>
  <c r="G300" i="7"/>
  <c r="J299" i="7"/>
  <c r="I299" i="7"/>
  <c r="G299" i="7"/>
  <c r="J298" i="7"/>
  <c r="I298" i="7"/>
  <c r="G298" i="7"/>
  <c r="J297" i="7"/>
  <c r="I297" i="7"/>
  <c r="G297" i="7"/>
  <c r="J296" i="7"/>
  <c r="I296" i="7"/>
  <c r="G296" i="7"/>
  <c r="J295" i="7"/>
  <c r="G295" i="7"/>
  <c r="J294" i="7"/>
  <c r="I294" i="7"/>
  <c r="G294" i="7"/>
  <c r="J293" i="7"/>
  <c r="I293" i="7"/>
  <c r="J292" i="7"/>
  <c r="I292" i="7"/>
  <c r="G292" i="7"/>
  <c r="J291" i="7"/>
  <c r="I291" i="7"/>
  <c r="G291" i="7"/>
  <c r="I290" i="7"/>
  <c r="J289" i="7"/>
  <c r="G289" i="7"/>
  <c r="J288" i="7"/>
  <c r="I288" i="7"/>
  <c r="G288" i="7"/>
  <c r="J287" i="7"/>
  <c r="I287" i="7"/>
  <c r="G287" i="7"/>
  <c r="J286" i="7"/>
  <c r="G286" i="7"/>
  <c r="J285" i="7"/>
  <c r="I285" i="7"/>
  <c r="G285" i="7"/>
  <c r="J284" i="7"/>
  <c r="G284" i="7"/>
  <c r="I283" i="7"/>
  <c r="J282" i="7"/>
  <c r="I282" i="7"/>
  <c r="J281" i="7"/>
  <c r="I281" i="7"/>
  <c r="G281" i="7"/>
  <c r="J280" i="7"/>
  <c r="I280" i="7"/>
  <c r="G280" i="7"/>
  <c r="J279" i="7"/>
  <c r="I279" i="7"/>
  <c r="G279" i="7"/>
  <c r="J278" i="7"/>
  <c r="I278" i="7"/>
  <c r="G278" i="7"/>
  <c r="J277" i="7"/>
  <c r="G277" i="7"/>
  <c r="J276" i="7"/>
  <c r="G276" i="7"/>
  <c r="J275" i="7"/>
  <c r="I275" i="7"/>
  <c r="G275" i="7"/>
  <c r="J274" i="7"/>
  <c r="I274" i="7"/>
  <c r="G274" i="7"/>
  <c r="J273" i="7"/>
  <c r="I273" i="7"/>
  <c r="G273" i="7"/>
  <c r="J272" i="7"/>
  <c r="G272" i="7"/>
  <c r="D272" i="7"/>
  <c r="J271" i="7"/>
  <c r="G271" i="7"/>
  <c r="I270" i="7"/>
  <c r="J269" i="7"/>
  <c r="G269" i="7"/>
  <c r="J268" i="7"/>
  <c r="G268" i="7"/>
  <c r="J267" i="7"/>
  <c r="I267" i="7"/>
  <c r="G267" i="7"/>
  <c r="J266" i="7"/>
  <c r="I266" i="7"/>
  <c r="G266" i="7"/>
  <c r="J265" i="7"/>
  <c r="I265" i="7"/>
  <c r="G265" i="7"/>
  <c r="J264" i="7"/>
  <c r="G264" i="7"/>
  <c r="J263" i="7"/>
  <c r="I263" i="7"/>
  <c r="G263" i="7"/>
  <c r="J262" i="7"/>
  <c r="I262" i="7"/>
  <c r="G262" i="7"/>
  <c r="J261" i="7"/>
  <c r="I261" i="7"/>
  <c r="G261" i="7"/>
  <c r="J260" i="7"/>
  <c r="I260" i="7"/>
  <c r="G260" i="7"/>
  <c r="J259" i="7"/>
  <c r="G259" i="7"/>
  <c r="J258" i="7"/>
  <c r="G258" i="7"/>
  <c r="J257" i="7"/>
  <c r="G257" i="7"/>
  <c r="J256" i="7"/>
  <c r="I256" i="7"/>
  <c r="G256" i="7"/>
  <c r="J255" i="7"/>
  <c r="I255" i="7"/>
  <c r="G255" i="7"/>
  <c r="J254" i="7"/>
  <c r="I254" i="7"/>
  <c r="G254" i="7"/>
  <c r="J253" i="7"/>
  <c r="I253" i="7"/>
  <c r="G253" i="7"/>
  <c r="J252" i="7"/>
  <c r="G252" i="7"/>
  <c r="J251" i="7"/>
  <c r="G251" i="7"/>
  <c r="J250" i="7"/>
  <c r="I250" i="7"/>
  <c r="G250" i="7"/>
  <c r="J249" i="7"/>
  <c r="I249" i="7"/>
  <c r="G249" i="7"/>
  <c r="J248" i="7"/>
  <c r="I248" i="7"/>
  <c r="G248" i="7"/>
  <c r="J247" i="7"/>
  <c r="G247" i="7"/>
  <c r="J246" i="7"/>
  <c r="G246" i="7"/>
  <c r="J245" i="7"/>
  <c r="I245" i="7"/>
  <c r="G245" i="7"/>
  <c r="J244" i="7"/>
  <c r="I244" i="7"/>
  <c r="G244" i="7"/>
  <c r="J243" i="7"/>
  <c r="I243" i="7"/>
  <c r="G243" i="7"/>
  <c r="J242" i="7"/>
  <c r="G242" i="7"/>
  <c r="J241" i="7"/>
  <c r="I241" i="7"/>
  <c r="G241" i="7"/>
  <c r="J240" i="7"/>
  <c r="G240" i="7"/>
  <c r="J239" i="7"/>
  <c r="G239" i="7"/>
  <c r="J238" i="7"/>
  <c r="G238" i="7"/>
  <c r="J237" i="7"/>
  <c r="I237" i="7"/>
  <c r="G237" i="7"/>
  <c r="J236" i="7"/>
  <c r="I236" i="7"/>
  <c r="G236" i="7"/>
  <c r="J235" i="7"/>
  <c r="I235" i="7"/>
  <c r="G235" i="7"/>
  <c r="J234" i="7"/>
  <c r="G234" i="7"/>
  <c r="J233" i="7"/>
  <c r="I233" i="7"/>
  <c r="G233" i="7"/>
  <c r="J232" i="7"/>
  <c r="I232" i="7"/>
  <c r="G232" i="7"/>
  <c r="J231" i="7"/>
  <c r="G231" i="7"/>
  <c r="J230" i="7"/>
  <c r="G230" i="7"/>
  <c r="J229" i="7"/>
  <c r="I229" i="7"/>
  <c r="G229" i="7"/>
  <c r="J228" i="7"/>
  <c r="I228" i="7"/>
  <c r="G228" i="7"/>
  <c r="J227" i="7"/>
  <c r="I227" i="7"/>
  <c r="G227" i="7"/>
  <c r="J226" i="7"/>
  <c r="I226" i="7"/>
  <c r="G226" i="7"/>
  <c r="J225" i="7"/>
  <c r="G225" i="7"/>
  <c r="J224" i="7"/>
  <c r="I224" i="7"/>
  <c r="G224" i="7"/>
  <c r="J223" i="7"/>
  <c r="I223" i="7"/>
  <c r="G223" i="7"/>
  <c r="J222" i="7"/>
  <c r="G222" i="7"/>
  <c r="J221" i="7"/>
  <c r="I221" i="7"/>
  <c r="G221" i="7"/>
  <c r="J220" i="7"/>
  <c r="G220" i="7"/>
  <c r="J219" i="7"/>
  <c r="I219" i="7"/>
  <c r="G219" i="7"/>
  <c r="J218" i="7"/>
  <c r="I218" i="7"/>
  <c r="G218" i="7"/>
  <c r="J217" i="7"/>
  <c r="G217" i="7"/>
  <c r="J216" i="7"/>
  <c r="G216" i="7"/>
  <c r="J215" i="7"/>
  <c r="G215" i="7"/>
  <c r="J214" i="7"/>
  <c r="I214" i="7"/>
  <c r="G214" i="7"/>
  <c r="J213" i="7"/>
  <c r="I213" i="7"/>
  <c r="G213" i="7"/>
  <c r="J212" i="7"/>
  <c r="I212" i="7"/>
  <c r="G212" i="7"/>
  <c r="J211" i="7"/>
  <c r="G211" i="7"/>
  <c r="J210" i="7"/>
  <c r="I210" i="7"/>
  <c r="G210" i="7"/>
  <c r="J209" i="7"/>
  <c r="I209" i="7"/>
  <c r="G209" i="7"/>
  <c r="J208" i="7"/>
  <c r="G208" i="7"/>
  <c r="J207" i="7"/>
  <c r="G207" i="7"/>
  <c r="J206" i="7"/>
  <c r="I206" i="7"/>
  <c r="G206" i="7"/>
  <c r="J205" i="7"/>
  <c r="I205" i="7"/>
  <c r="G205" i="7"/>
  <c r="J204" i="7"/>
  <c r="I204" i="7"/>
  <c r="G204" i="7"/>
  <c r="J203" i="7"/>
  <c r="I203" i="7"/>
  <c r="G203" i="7"/>
  <c r="J202" i="7"/>
  <c r="I202" i="7"/>
  <c r="G202" i="7"/>
  <c r="J201" i="7"/>
  <c r="I201" i="7"/>
  <c r="G201" i="7"/>
  <c r="J200" i="7"/>
  <c r="I200" i="7"/>
  <c r="G200" i="7"/>
  <c r="J199" i="7"/>
  <c r="I199" i="7"/>
  <c r="G199" i="7"/>
  <c r="J197" i="7"/>
  <c r="I197" i="7"/>
  <c r="J196" i="7"/>
  <c r="I196" i="7"/>
  <c r="H196" i="7"/>
  <c r="G196" i="7"/>
  <c r="J195" i="7"/>
  <c r="I195" i="7"/>
  <c r="G195" i="7"/>
  <c r="J194" i="7"/>
  <c r="I194" i="7"/>
  <c r="G194" i="7"/>
  <c r="J193" i="7"/>
  <c r="I193" i="7"/>
  <c r="G193" i="7"/>
  <c r="I192" i="7"/>
  <c r="J191" i="7"/>
  <c r="I191" i="7"/>
  <c r="G191" i="7"/>
  <c r="J190" i="7"/>
  <c r="I190" i="7"/>
  <c r="G190" i="7"/>
  <c r="J189" i="7"/>
  <c r="I189" i="7"/>
  <c r="G189" i="7"/>
  <c r="J188" i="7"/>
  <c r="I188" i="7"/>
  <c r="G188" i="7"/>
  <c r="J187" i="7"/>
  <c r="I187" i="7"/>
  <c r="G187" i="7"/>
  <c r="J186" i="7"/>
  <c r="I186" i="7"/>
  <c r="G186" i="7"/>
  <c r="J185" i="7"/>
  <c r="I185" i="7"/>
  <c r="J184" i="7"/>
  <c r="I184" i="7"/>
  <c r="G184" i="7"/>
  <c r="J183" i="7"/>
  <c r="I183" i="7"/>
  <c r="G183" i="7"/>
  <c r="J182" i="7"/>
  <c r="I182" i="7"/>
  <c r="G182" i="7"/>
  <c r="J181" i="7"/>
  <c r="I181" i="7"/>
  <c r="G181" i="7"/>
  <c r="J180" i="7"/>
  <c r="I180" i="7"/>
  <c r="G180" i="7"/>
  <c r="J179" i="7"/>
  <c r="I179" i="7"/>
  <c r="G179" i="7"/>
  <c r="J178" i="7"/>
  <c r="I178" i="7"/>
  <c r="G178" i="7"/>
  <c r="J177" i="7"/>
  <c r="I177" i="7"/>
  <c r="G177" i="7"/>
  <c r="J176" i="7"/>
  <c r="I176" i="7"/>
  <c r="J175" i="7"/>
  <c r="I175" i="7"/>
  <c r="G175" i="7"/>
  <c r="J174" i="7"/>
  <c r="I174" i="7"/>
  <c r="G174" i="7"/>
  <c r="J173" i="7"/>
  <c r="I173" i="7"/>
  <c r="G173" i="7"/>
  <c r="J172" i="7"/>
  <c r="I172" i="7"/>
  <c r="G172" i="7"/>
  <c r="J171" i="7"/>
  <c r="I171" i="7"/>
  <c r="G171" i="7"/>
  <c r="J170" i="7"/>
  <c r="I170" i="7"/>
  <c r="G170" i="7"/>
  <c r="J169" i="7"/>
  <c r="I169" i="7"/>
  <c r="G169" i="7"/>
  <c r="J168" i="7"/>
  <c r="I168" i="7"/>
  <c r="G168" i="7"/>
  <c r="J167" i="7"/>
  <c r="I167" i="7"/>
  <c r="G167" i="7"/>
  <c r="J166" i="7"/>
  <c r="I166" i="7"/>
  <c r="G166" i="7"/>
  <c r="J165" i="7"/>
  <c r="I165" i="7"/>
  <c r="G165" i="7"/>
  <c r="J164" i="7"/>
  <c r="I164" i="7"/>
  <c r="J163" i="7"/>
  <c r="I163" i="7"/>
  <c r="G163" i="7"/>
  <c r="E163" i="7"/>
  <c r="J162" i="7"/>
  <c r="I162" i="7"/>
  <c r="G162" i="7"/>
  <c r="E162" i="7"/>
  <c r="J161" i="7"/>
  <c r="I161" i="7"/>
  <c r="G161" i="7"/>
  <c r="J160" i="7"/>
  <c r="I160" i="7"/>
  <c r="H160" i="7"/>
  <c r="G160" i="7"/>
  <c r="E160" i="7"/>
  <c r="J159" i="7"/>
  <c r="I159" i="7"/>
  <c r="H159" i="7"/>
  <c r="G159" i="7"/>
  <c r="E159" i="7"/>
  <c r="J158" i="7"/>
  <c r="I158" i="7"/>
  <c r="H158" i="7"/>
  <c r="G158" i="7"/>
  <c r="E158" i="7"/>
  <c r="J157" i="7"/>
  <c r="I157" i="7"/>
  <c r="G157" i="7"/>
  <c r="E157" i="7"/>
  <c r="J156" i="7"/>
  <c r="I156" i="7"/>
  <c r="G156" i="7"/>
  <c r="J155" i="7"/>
  <c r="I155" i="7"/>
  <c r="G155" i="7"/>
  <c r="E155" i="7"/>
  <c r="J154" i="7"/>
  <c r="G154" i="7"/>
  <c r="J153" i="7"/>
  <c r="I153" i="7"/>
  <c r="G153" i="7"/>
  <c r="O152" i="7"/>
  <c r="J152" i="7"/>
  <c r="I152" i="7"/>
  <c r="G152" i="7"/>
  <c r="J151" i="7"/>
  <c r="I151" i="7"/>
  <c r="J150" i="7"/>
  <c r="I150" i="7"/>
  <c r="G150" i="7"/>
  <c r="J149" i="7"/>
  <c r="I149" i="7"/>
  <c r="J148" i="7"/>
  <c r="I148" i="7"/>
  <c r="G148" i="7"/>
  <c r="J147" i="7"/>
  <c r="I147" i="7"/>
  <c r="G147" i="7"/>
  <c r="J146" i="7"/>
  <c r="I146" i="7"/>
  <c r="G146" i="7"/>
  <c r="J145" i="7"/>
  <c r="I145" i="7"/>
  <c r="G145" i="7"/>
  <c r="J144" i="7"/>
  <c r="I144" i="7"/>
  <c r="G144" i="7"/>
  <c r="J143" i="7"/>
  <c r="I143" i="7"/>
  <c r="G143" i="7"/>
  <c r="J142" i="7"/>
  <c r="I142" i="7"/>
  <c r="J141" i="7"/>
  <c r="I141" i="7"/>
  <c r="G141" i="7"/>
  <c r="J140" i="7"/>
  <c r="I140" i="7"/>
  <c r="G140" i="7"/>
  <c r="I139" i="7"/>
  <c r="J138" i="7"/>
  <c r="I138" i="7"/>
  <c r="G138" i="7"/>
  <c r="J137" i="7"/>
  <c r="G137" i="7"/>
  <c r="J136" i="7"/>
  <c r="I136" i="7"/>
  <c r="G136" i="7"/>
  <c r="I135" i="7"/>
  <c r="J134" i="7"/>
  <c r="I134" i="7"/>
  <c r="G134" i="7"/>
  <c r="J133" i="7"/>
  <c r="I133" i="7"/>
  <c r="H133" i="7"/>
  <c r="G133" i="7"/>
  <c r="J132" i="7"/>
  <c r="G132" i="7"/>
  <c r="J131" i="7"/>
  <c r="G131" i="7"/>
  <c r="J130" i="7"/>
  <c r="I130" i="7"/>
  <c r="H130" i="7"/>
  <c r="G130" i="7"/>
  <c r="J129" i="7"/>
  <c r="I129" i="7"/>
  <c r="H129" i="7"/>
  <c r="G129" i="7"/>
  <c r="J128" i="7"/>
  <c r="I128" i="7"/>
  <c r="H128" i="7"/>
  <c r="G128" i="7"/>
  <c r="J127" i="7"/>
  <c r="I127" i="7"/>
  <c r="H127" i="7"/>
  <c r="G127" i="7"/>
  <c r="J126" i="7"/>
  <c r="I126" i="7"/>
  <c r="H126" i="7"/>
  <c r="G126" i="7"/>
  <c r="J125" i="7"/>
  <c r="I125" i="7"/>
  <c r="H125" i="7"/>
  <c r="G125" i="7"/>
  <c r="J124" i="7"/>
  <c r="I124" i="7"/>
  <c r="G124" i="7"/>
  <c r="E124" i="7"/>
  <c r="J123" i="7"/>
  <c r="G123" i="7"/>
  <c r="E123" i="7"/>
  <c r="J122" i="7"/>
  <c r="I122" i="7"/>
  <c r="G122" i="7"/>
  <c r="E122" i="7"/>
  <c r="B122" i="7"/>
  <c r="J121" i="7"/>
  <c r="I121" i="7"/>
  <c r="G121" i="7"/>
  <c r="J120" i="7"/>
  <c r="I120" i="7"/>
  <c r="H120" i="7"/>
  <c r="G120" i="7"/>
  <c r="E120" i="7"/>
  <c r="J119" i="7"/>
  <c r="I119" i="7"/>
  <c r="G119" i="7"/>
  <c r="I118" i="7"/>
  <c r="J117" i="7"/>
  <c r="G117" i="7"/>
  <c r="J116" i="7"/>
  <c r="G116" i="7"/>
  <c r="J115" i="7"/>
  <c r="I115" i="7"/>
  <c r="G115" i="7"/>
  <c r="I114" i="7"/>
  <c r="J113" i="7"/>
  <c r="G113" i="7"/>
  <c r="J112" i="7"/>
  <c r="I112" i="7"/>
  <c r="G112" i="7"/>
  <c r="E112" i="7"/>
  <c r="J111" i="7"/>
  <c r="G111" i="7"/>
  <c r="J110" i="7"/>
  <c r="I110" i="7"/>
  <c r="G110" i="7"/>
  <c r="E110" i="7"/>
  <c r="J109" i="7"/>
  <c r="I109" i="7"/>
  <c r="H109" i="7"/>
  <c r="G109" i="7"/>
  <c r="J108" i="7"/>
  <c r="I108" i="7"/>
  <c r="H108" i="7"/>
  <c r="G108" i="7"/>
  <c r="E108" i="7"/>
  <c r="J107" i="7"/>
  <c r="I107" i="7"/>
  <c r="G107" i="7"/>
  <c r="I106" i="7"/>
  <c r="J105" i="7"/>
  <c r="I105" i="7"/>
  <c r="G105" i="7"/>
  <c r="I104" i="7"/>
  <c r="J103" i="7"/>
  <c r="I103" i="7"/>
  <c r="G103" i="7"/>
  <c r="J102" i="7"/>
  <c r="I102" i="7"/>
  <c r="G102" i="7"/>
  <c r="J101" i="7"/>
  <c r="I101" i="7"/>
  <c r="G101" i="7"/>
  <c r="J100" i="7"/>
  <c r="I100" i="7"/>
  <c r="G100" i="7"/>
  <c r="J99" i="7"/>
  <c r="I99" i="7"/>
  <c r="G99" i="7"/>
  <c r="J98" i="7"/>
  <c r="I98" i="7"/>
  <c r="G98" i="7"/>
  <c r="J97" i="7"/>
  <c r="I97" i="7"/>
  <c r="G97" i="7"/>
  <c r="N95" i="7"/>
  <c r="J95" i="7"/>
  <c r="I95" i="7"/>
  <c r="J94" i="7"/>
  <c r="I94" i="7"/>
  <c r="G94" i="7"/>
  <c r="I93" i="7"/>
  <c r="J92" i="7"/>
  <c r="I92" i="7"/>
  <c r="G92" i="7"/>
  <c r="J91" i="7"/>
  <c r="I91" i="7"/>
  <c r="G91" i="7"/>
  <c r="J90" i="7"/>
  <c r="I90" i="7"/>
  <c r="G90" i="7"/>
  <c r="E90" i="7"/>
  <c r="J89" i="7"/>
  <c r="I89" i="7"/>
  <c r="G89" i="7"/>
  <c r="J88" i="7"/>
  <c r="I88" i="7"/>
  <c r="G88" i="7"/>
  <c r="I87" i="7"/>
  <c r="J86" i="7"/>
  <c r="I86" i="7"/>
  <c r="G86" i="7"/>
  <c r="J84" i="7"/>
  <c r="I84" i="7"/>
  <c r="J83" i="7"/>
  <c r="I83" i="7"/>
  <c r="H83" i="7"/>
  <c r="G83" i="7"/>
  <c r="E83" i="7"/>
  <c r="J82" i="7"/>
  <c r="I82" i="7"/>
  <c r="H82" i="7"/>
  <c r="G82" i="7"/>
  <c r="E82" i="7"/>
  <c r="J81" i="7"/>
  <c r="I81" i="7"/>
  <c r="H81" i="7"/>
  <c r="G81" i="7"/>
  <c r="E81" i="7"/>
  <c r="J80" i="7"/>
  <c r="I80" i="7"/>
  <c r="H80" i="7"/>
  <c r="G80" i="7"/>
  <c r="E80" i="7"/>
  <c r="B80" i="7"/>
  <c r="I79" i="7"/>
  <c r="J78" i="7"/>
  <c r="I78" i="7"/>
  <c r="G78" i="7"/>
  <c r="I77" i="7"/>
  <c r="J76" i="7"/>
  <c r="I76" i="7"/>
  <c r="H76" i="7"/>
  <c r="G76" i="7"/>
  <c r="E76" i="7"/>
  <c r="D76" i="7"/>
  <c r="B76" i="7"/>
  <c r="J75" i="7"/>
  <c r="I75" i="7"/>
  <c r="H75" i="7"/>
  <c r="G75" i="7"/>
  <c r="E75" i="7"/>
  <c r="D75" i="7"/>
  <c r="B75" i="7"/>
  <c r="J74" i="7"/>
  <c r="I74" i="7"/>
  <c r="H74" i="7"/>
  <c r="G74" i="7"/>
  <c r="E74" i="7"/>
  <c r="B74" i="7"/>
  <c r="J73" i="7"/>
  <c r="I73" i="7"/>
  <c r="H73" i="7"/>
  <c r="G73" i="7"/>
  <c r="E73" i="7"/>
  <c r="B73" i="7"/>
  <c r="I72" i="7"/>
  <c r="J71" i="7"/>
  <c r="I71" i="7"/>
  <c r="H71" i="7"/>
  <c r="G71" i="7"/>
  <c r="E71" i="7"/>
  <c r="B71" i="7"/>
  <c r="J70" i="7"/>
  <c r="I70" i="7"/>
  <c r="H70" i="7"/>
  <c r="G70" i="7"/>
  <c r="D70" i="7"/>
  <c r="B70" i="7"/>
  <c r="J69" i="7"/>
  <c r="I69" i="7"/>
  <c r="H69" i="7"/>
  <c r="G69" i="7"/>
  <c r="D69" i="7"/>
  <c r="B69" i="7"/>
  <c r="J68" i="7"/>
  <c r="I68" i="7"/>
  <c r="G68" i="7"/>
  <c r="E68" i="7"/>
  <c r="J66" i="7"/>
  <c r="I66" i="7"/>
  <c r="J65" i="7"/>
  <c r="I65" i="7"/>
  <c r="H65" i="7"/>
  <c r="G65" i="7"/>
  <c r="E65" i="7"/>
  <c r="D65" i="7"/>
  <c r="B65" i="7"/>
  <c r="J64" i="7"/>
  <c r="I64" i="7"/>
  <c r="H64" i="7"/>
  <c r="G64" i="7"/>
  <c r="E64" i="7"/>
  <c r="D64" i="7"/>
  <c r="B64" i="7"/>
  <c r="J63" i="7"/>
  <c r="I63" i="7"/>
  <c r="H63" i="7"/>
  <c r="G63" i="7"/>
  <c r="E63" i="7"/>
  <c r="D63" i="7"/>
  <c r="B63" i="7"/>
  <c r="J62" i="7"/>
  <c r="I62" i="7"/>
  <c r="H62" i="7"/>
  <c r="G62" i="7"/>
  <c r="D62" i="7"/>
  <c r="B62" i="7"/>
  <c r="I61" i="7"/>
  <c r="J60" i="7"/>
  <c r="I60" i="7"/>
  <c r="H60" i="7"/>
  <c r="G60" i="7"/>
  <c r="D60" i="7"/>
  <c r="B60" i="7"/>
  <c r="J59" i="7"/>
  <c r="I59" i="7"/>
  <c r="H59" i="7"/>
  <c r="G59" i="7"/>
  <c r="D59" i="7"/>
  <c r="B59" i="7"/>
  <c r="J58" i="7"/>
  <c r="I58" i="7"/>
  <c r="H58" i="7"/>
  <c r="G58" i="7"/>
  <c r="D58" i="7"/>
  <c r="B58" i="7"/>
  <c r="J57" i="7"/>
  <c r="I57" i="7"/>
  <c r="G57" i="7"/>
  <c r="D57" i="7"/>
  <c r="J56" i="7"/>
  <c r="I56" i="7"/>
  <c r="G56" i="7"/>
  <c r="D56" i="7"/>
  <c r="B56" i="7"/>
  <c r="J55" i="7"/>
  <c r="I55" i="7"/>
  <c r="G55" i="7"/>
  <c r="D55" i="7"/>
  <c r="B55" i="7"/>
  <c r="J53" i="7"/>
  <c r="I53" i="7"/>
  <c r="G53" i="7"/>
  <c r="D53" i="7"/>
  <c r="B53" i="7"/>
  <c r="J52" i="7"/>
  <c r="I52" i="7"/>
  <c r="G52" i="7"/>
  <c r="J51" i="7"/>
  <c r="I51" i="7"/>
  <c r="H51" i="7"/>
  <c r="G51" i="7"/>
  <c r="E51" i="7"/>
  <c r="D51" i="7"/>
  <c r="B51" i="7"/>
  <c r="J50" i="7"/>
  <c r="I50" i="7"/>
  <c r="G50" i="7"/>
  <c r="E50" i="7"/>
  <c r="B50" i="7"/>
  <c r="J49" i="7"/>
  <c r="I49" i="7"/>
  <c r="G49" i="7"/>
  <c r="J48" i="7"/>
  <c r="I48" i="7"/>
  <c r="G48" i="7"/>
  <c r="E48" i="7"/>
  <c r="J46" i="7"/>
  <c r="I46" i="7"/>
  <c r="H46" i="7"/>
  <c r="G46" i="7"/>
  <c r="E46" i="7"/>
  <c r="D46" i="7"/>
  <c r="B46" i="7"/>
  <c r="J45" i="7"/>
  <c r="I45" i="7"/>
  <c r="H45" i="7"/>
  <c r="G45" i="7"/>
  <c r="E45" i="7"/>
  <c r="D45" i="7"/>
  <c r="B45" i="7"/>
  <c r="J44" i="7"/>
  <c r="I44" i="7"/>
  <c r="H44" i="7"/>
  <c r="G44" i="7"/>
  <c r="E44" i="7"/>
  <c r="D44" i="7"/>
  <c r="B44" i="7"/>
  <c r="J43" i="7"/>
  <c r="I43" i="7"/>
  <c r="H43" i="7"/>
  <c r="G43" i="7"/>
  <c r="E43" i="7"/>
  <c r="D43" i="7"/>
  <c r="B43" i="7"/>
  <c r="O41" i="7"/>
  <c r="N41" i="7"/>
  <c r="M41" i="7"/>
  <c r="J41" i="7"/>
  <c r="I41" i="7"/>
  <c r="G41" i="7"/>
  <c r="J40" i="7"/>
  <c r="I40" i="7"/>
  <c r="G40" i="7"/>
  <c r="J39" i="7"/>
  <c r="I39" i="7"/>
  <c r="G39" i="7"/>
  <c r="J38" i="7"/>
  <c r="I38" i="7"/>
  <c r="G38" i="7"/>
  <c r="J37" i="7"/>
  <c r="I37" i="7"/>
  <c r="G37" i="7"/>
  <c r="J35" i="7"/>
  <c r="I35" i="7"/>
  <c r="J34" i="7"/>
  <c r="I34" i="7"/>
  <c r="H34" i="7"/>
  <c r="G34" i="7"/>
  <c r="J33" i="7"/>
  <c r="I33" i="7"/>
  <c r="H33" i="7"/>
  <c r="G33" i="7"/>
  <c r="E33" i="7"/>
  <c r="J32" i="7"/>
  <c r="I32" i="7"/>
  <c r="H32" i="7"/>
  <c r="G32" i="7"/>
  <c r="J30" i="7"/>
  <c r="I30" i="7"/>
  <c r="G30" i="7"/>
  <c r="J29" i="7"/>
  <c r="I29" i="7"/>
  <c r="G29" i="7"/>
  <c r="E29" i="7"/>
  <c r="J28" i="7"/>
  <c r="I28" i="7"/>
  <c r="H28" i="7"/>
  <c r="G28" i="7"/>
  <c r="J26" i="7"/>
  <c r="I26" i="7"/>
  <c r="G26" i="7"/>
  <c r="J25" i="7"/>
  <c r="I25" i="7"/>
  <c r="G25" i="7"/>
  <c r="J24" i="7"/>
  <c r="I24" i="7"/>
  <c r="G24" i="7"/>
  <c r="J23" i="7"/>
  <c r="I23" i="7"/>
  <c r="G23" i="7"/>
  <c r="J22" i="7"/>
  <c r="I22" i="7"/>
  <c r="J21" i="7"/>
  <c r="I21" i="7"/>
  <c r="G21" i="7"/>
  <c r="J20" i="7"/>
  <c r="I20" i="7"/>
  <c r="G20" i="7"/>
  <c r="J19" i="7"/>
  <c r="I19" i="7"/>
  <c r="G19" i="7"/>
  <c r="J18" i="7"/>
  <c r="I18" i="7"/>
  <c r="G18" i="7"/>
  <c r="J17" i="7"/>
  <c r="I17" i="7"/>
  <c r="G17" i="7"/>
  <c r="J16" i="7"/>
  <c r="I16" i="7"/>
  <c r="G16" i="7"/>
  <c r="J15" i="7"/>
  <c r="I15" i="7"/>
  <c r="G15" i="7"/>
  <c r="J14" i="7"/>
  <c r="I14" i="7"/>
  <c r="G14" i="7"/>
  <c r="J13" i="7"/>
  <c r="I13" i="7"/>
  <c r="A1" i="7"/>
  <c r="F71" i="11"/>
  <c r="F70" i="11"/>
  <c r="F69" i="11"/>
  <c r="F68" i="11"/>
  <c r="F67" i="11"/>
  <c r="F65" i="11"/>
  <c r="F64" i="11"/>
  <c r="F63" i="11"/>
  <c r="F45" i="11"/>
  <c r="C45" i="11"/>
  <c r="C44" i="11"/>
  <c r="C43" i="11"/>
  <c r="C42" i="11"/>
  <c r="C41" i="11"/>
  <c r="C40" i="11"/>
  <c r="C39" i="11"/>
  <c r="C38" i="11"/>
  <c r="C35" i="11"/>
  <c r="C34" i="11"/>
  <c r="C33" i="11"/>
  <c r="C32" i="11"/>
  <c r="C30" i="11"/>
  <c r="C29" i="11"/>
  <c r="C28" i="11"/>
  <c r="C27" i="11"/>
  <c r="C26" i="11"/>
  <c r="C24" i="11"/>
  <c r="C23" i="11"/>
  <c r="G22" i="11"/>
  <c r="G21" i="11"/>
  <c r="C21" i="11"/>
  <c r="G20" i="11"/>
  <c r="G19" i="11"/>
  <c r="G18" i="11"/>
  <c r="G17" i="11"/>
  <c r="G16" i="11"/>
  <c r="G15" i="11"/>
  <c r="F15" i="11"/>
  <c r="G14" i="11"/>
  <c r="G13" i="11"/>
  <c r="G12" i="11"/>
  <c r="G11" i="11"/>
  <c r="G10" i="11"/>
  <c r="G9" i="11"/>
  <c r="G8" i="11"/>
  <c r="G7" i="11"/>
  <c r="G6" i="11"/>
  <c r="G5" i="11"/>
  <c r="F4" i="11"/>
  <c r="U42" i="8"/>
  <c r="S42" i="8"/>
  <c r="Q42" i="8"/>
  <c r="O42" i="8"/>
  <c r="M42" i="8"/>
  <c r="K42" i="8"/>
  <c r="I42" i="8"/>
  <c r="G42" i="8"/>
  <c r="E42" i="8"/>
  <c r="C42" i="8"/>
  <c r="U41" i="8"/>
  <c r="S41" i="8"/>
  <c r="Q41" i="8"/>
  <c r="O41" i="8"/>
  <c r="M41" i="8"/>
  <c r="K41" i="8"/>
  <c r="I41" i="8"/>
  <c r="G41" i="8"/>
  <c r="E41" i="8"/>
  <c r="C41" i="8"/>
  <c r="U40" i="8"/>
  <c r="S40" i="8"/>
  <c r="Q40" i="8"/>
  <c r="O40" i="8"/>
  <c r="M40" i="8"/>
  <c r="K40" i="8"/>
  <c r="I40" i="8"/>
  <c r="G40" i="8"/>
  <c r="E40" i="8"/>
  <c r="C40" i="8"/>
  <c r="W39" i="8"/>
  <c r="U39" i="8"/>
  <c r="S39" i="8"/>
  <c r="Q39" i="8"/>
  <c r="O39" i="8"/>
  <c r="M39" i="8"/>
  <c r="K39" i="8"/>
  <c r="I39" i="8"/>
  <c r="G39" i="8"/>
  <c r="E39" i="8"/>
  <c r="C39" i="8"/>
  <c r="X38" i="8"/>
  <c r="W38" i="8"/>
  <c r="U38" i="8"/>
  <c r="B38" i="8"/>
  <c r="X37" i="8"/>
  <c r="W37" i="8"/>
  <c r="S37" i="8"/>
  <c r="Q37" i="8"/>
  <c r="O37" i="8"/>
  <c r="B37" i="8"/>
  <c r="X36" i="8"/>
  <c r="W36" i="8"/>
  <c r="U36" i="8"/>
  <c r="S36" i="8"/>
  <c r="Q36" i="8"/>
  <c r="B36" i="8"/>
  <c r="X35" i="8"/>
  <c r="W35" i="8"/>
  <c r="U35" i="8"/>
  <c r="S35" i="8"/>
  <c r="B35" i="8"/>
  <c r="X34" i="8"/>
  <c r="W34" i="8"/>
  <c r="U34" i="8"/>
  <c r="S34" i="8"/>
  <c r="Q34" i="8"/>
  <c r="B34" i="8"/>
  <c r="X33" i="8"/>
  <c r="W33" i="8"/>
  <c r="U33" i="8"/>
  <c r="S33" i="8"/>
  <c r="Q33" i="8"/>
  <c r="B33" i="8"/>
  <c r="X32" i="8"/>
  <c r="W32" i="8"/>
  <c r="U32" i="8"/>
  <c r="S32" i="8"/>
  <c r="Q32" i="8"/>
  <c r="O32" i="8"/>
  <c r="M32" i="8"/>
  <c r="B32" i="8"/>
  <c r="X31" i="8"/>
  <c r="W31" i="8"/>
  <c r="U31" i="8"/>
  <c r="S31" i="8"/>
  <c r="B31" i="8"/>
  <c r="X30" i="8"/>
  <c r="W30" i="8"/>
  <c r="U30" i="8"/>
  <c r="S30" i="8"/>
  <c r="Q30" i="8"/>
  <c r="O30" i="8"/>
  <c r="M30" i="8"/>
  <c r="B30" i="8"/>
  <c r="X29" i="8"/>
  <c r="W29" i="8"/>
  <c r="U29" i="8"/>
  <c r="B29" i="8"/>
  <c r="X28" i="8"/>
  <c r="W28" i="8"/>
  <c r="Q28" i="8"/>
  <c r="O28" i="8"/>
  <c r="M28" i="8"/>
  <c r="L28" i="8"/>
  <c r="B28" i="8"/>
  <c r="X27" i="8"/>
  <c r="W27" i="8"/>
  <c r="U27" i="8"/>
  <c r="S27" i="8"/>
  <c r="Q27" i="8"/>
  <c r="O27" i="8"/>
  <c r="M27" i="8"/>
  <c r="B27" i="8"/>
  <c r="X26" i="8"/>
  <c r="W26" i="8"/>
  <c r="U26" i="8"/>
  <c r="S26" i="8"/>
  <c r="Q26" i="8"/>
  <c r="O26" i="8"/>
  <c r="M26" i="8"/>
  <c r="B26" i="8"/>
  <c r="X25" i="8"/>
  <c r="W25" i="8"/>
  <c r="U25" i="8"/>
  <c r="S25" i="8"/>
  <c r="Q25" i="8"/>
  <c r="B25" i="8"/>
  <c r="X24" i="8"/>
  <c r="W24" i="8"/>
  <c r="S24" i="8"/>
  <c r="Q24" i="8"/>
  <c r="O24" i="8"/>
  <c r="M24" i="8"/>
  <c r="K24" i="8"/>
  <c r="B24" i="8"/>
  <c r="X23" i="8"/>
  <c r="W23" i="8"/>
  <c r="S23" i="8"/>
  <c r="Q23" i="8"/>
  <c r="O23" i="8"/>
  <c r="M23" i="8"/>
  <c r="K23" i="8"/>
  <c r="X22" i="8"/>
  <c r="W22" i="8"/>
  <c r="G22" i="8"/>
  <c r="E22" i="8"/>
  <c r="X21" i="8"/>
  <c r="W21" i="8"/>
  <c r="K21" i="8"/>
  <c r="I21" i="8"/>
  <c r="G21" i="8"/>
  <c r="X20" i="8"/>
  <c r="W20" i="8"/>
  <c r="K20" i="8"/>
  <c r="I20" i="8"/>
  <c r="H20" i="8"/>
  <c r="G20" i="8"/>
  <c r="B20" i="8"/>
  <c r="X19" i="8"/>
  <c r="W19" i="8"/>
  <c r="K19" i="8"/>
  <c r="I19" i="8"/>
  <c r="G19" i="8"/>
  <c r="E19" i="8"/>
  <c r="X18" i="8"/>
  <c r="W18" i="8"/>
  <c r="G18" i="8"/>
  <c r="E18" i="8"/>
  <c r="C18" i="8"/>
  <c r="X17" i="8"/>
  <c r="W17" i="8"/>
  <c r="E17" i="8"/>
  <c r="C17" i="8"/>
  <c r="X16" i="8"/>
  <c r="W16" i="8"/>
  <c r="E16" i="8"/>
  <c r="C16" i="8"/>
  <c r="X15" i="8"/>
  <c r="W15" i="8"/>
  <c r="C15" i="8"/>
  <c r="A8" i="8"/>
  <c r="A7" i="8"/>
  <c r="A6" i="8"/>
  <c r="A5" i="8"/>
  <c r="A1" i="8"/>
  <c r="F298" i="2"/>
  <c r="F297" i="2"/>
  <c r="F293" i="2"/>
  <c r="F289" i="2"/>
  <c r="F287" i="2"/>
  <c r="F283" i="2"/>
  <c r="F282" i="2"/>
  <c r="F281" i="2"/>
  <c r="F280" i="2"/>
  <c r="F279" i="2"/>
  <c r="F276" i="2"/>
  <c r="F275" i="2"/>
  <c r="F274" i="2"/>
  <c r="F271" i="2"/>
  <c r="F270" i="2"/>
  <c r="F269" i="2"/>
  <c r="F265" i="2"/>
  <c r="F264" i="2"/>
  <c r="F263" i="2"/>
  <c r="F262" i="2"/>
  <c r="F261" i="2"/>
  <c r="F258" i="2"/>
  <c r="F257" i="2"/>
  <c r="F256" i="2"/>
  <c r="F255" i="2"/>
  <c r="F254" i="2"/>
  <c r="F253" i="2"/>
  <c r="F248" i="2"/>
  <c r="F247" i="2"/>
  <c r="F246" i="2"/>
  <c r="F245" i="2"/>
  <c r="F244" i="2"/>
  <c r="F243" i="2"/>
  <c r="F242" i="2"/>
  <c r="F241" i="2"/>
  <c r="F240" i="2"/>
  <c r="F239" i="2"/>
  <c r="F238" i="2"/>
  <c r="F235" i="2"/>
  <c r="F234" i="2"/>
  <c r="F233" i="2"/>
  <c r="F232" i="2"/>
  <c r="F231" i="2"/>
  <c r="F230" i="2"/>
  <c r="F229" i="2"/>
  <c r="F228" i="2"/>
  <c r="F227" i="2"/>
  <c r="F226" i="2"/>
  <c r="F225" i="2"/>
  <c r="F222" i="2"/>
  <c r="F221" i="2"/>
  <c r="F220" i="2"/>
  <c r="F219" i="2"/>
  <c r="F218" i="2"/>
  <c r="F217" i="2"/>
  <c r="F216" i="2"/>
  <c r="F215" i="2"/>
  <c r="F214" i="2"/>
  <c r="F213" i="2"/>
  <c r="F212" i="2"/>
  <c r="F209" i="2"/>
  <c r="F208" i="2"/>
  <c r="F207" i="2"/>
  <c r="F206" i="2"/>
  <c r="F205" i="2"/>
  <c r="F204" i="2"/>
  <c r="F203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0" i="2"/>
  <c r="F169" i="2"/>
  <c r="F168" i="2"/>
  <c r="F167" i="2"/>
  <c r="F166" i="2"/>
  <c r="F162" i="2"/>
  <c r="F158" i="2"/>
  <c r="F157" i="2"/>
  <c r="F154" i="2"/>
  <c r="F153" i="2"/>
  <c r="B153" i="2"/>
  <c r="F150" i="2"/>
  <c r="F149" i="2"/>
  <c r="F148" i="2"/>
  <c r="F147" i="2"/>
  <c r="F146" i="2"/>
  <c r="B146" i="2"/>
  <c r="F142" i="2"/>
  <c r="F141" i="2"/>
  <c r="F138" i="2"/>
  <c r="F137" i="2"/>
  <c r="F136" i="2"/>
  <c r="F135" i="2"/>
  <c r="F131" i="2"/>
  <c r="F130" i="2"/>
  <c r="F126" i="2"/>
  <c r="F125" i="2"/>
  <c r="F122" i="2"/>
  <c r="F121" i="2"/>
  <c r="F120" i="2"/>
  <c r="F119" i="2"/>
  <c r="F118" i="2"/>
  <c r="F114" i="2"/>
  <c r="F113" i="2"/>
  <c r="F112" i="2"/>
  <c r="F111" i="2"/>
  <c r="F110" i="2"/>
  <c r="F106" i="2"/>
  <c r="F105" i="2"/>
  <c r="F101" i="2"/>
  <c r="F100" i="2"/>
  <c r="F99" i="2"/>
  <c r="F98" i="2"/>
  <c r="F94" i="2"/>
  <c r="F93" i="2"/>
  <c r="F92" i="2"/>
  <c r="F91" i="2"/>
  <c r="F86" i="2"/>
  <c r="B83" i="2"/>
  <c r="F82" i="2"/>
  <c r="B82" i="2"/>
  <c r="F81" i="2"/>
  <c r="B81" i="2"/>
  <c r="F80" i="2"/>
  <c r="B80" i="2"/>
  <c r="F76" i="2"/>
  <c r="F75" i="2"/>
  <c r="F74" i="2"/>
  <c r="F73" i="2"/>
  <c r="F72" i="2"/>
  <c r="F68" i="2"/>
  <c r="F67" i="2"/>
  <c r="F66" i="2"/>
  <c r="F63" i="2"/>
  <c r="F62" i="2"/>
  <c r="F61" i="2"/>
  <c r="F57" i="2"/>
  <c r="F56" i="2"/>
  <c r="C56" i="2"/>
  <c r="F55" i="2"/>
  <c r="C55" i="2"/>
  <c r="F54" i="2"/>
  <c r="F53" i="2"/>
  <c r="F49" i="2"/>
  <c r="F48" i="2"/>
  <c r="F45" i="2"/>
  <c r="F44" i="2"/>
  <c r="F43" i="2"/>
  <c r="F40" i="2"/>
  <c r="F39" i="2"/>
  <c r="F38" i="2"/>
  <c r="F35" i="2"/>
  <c r="F34" i="2"/>
  <c r="F31" i="2"/>
  <c r="F30" i="2"/>
  <c r="F29" i="2"/>
  <c r="F25" i="2"/>
  <c r="F24" i="2"/>
  <c r="F21" i="2"/>
  <c r="F20" i="2"/>
  <c r="F19" i="2"/>
  <c r="F18" i="2"/>
  <c r="A11" i="2"/>
  <c r="A10" i="2"/>
  <c r="F70" i="10"/>
  <c r="F69" i="10"/>
  <c r="F68" i="10"/>
  <c r="F67" i="10"/>
  <c r="F66" i="10"/>
  <c r="F64" i="10"/>
  <c r="F63" i="10"/>
  <c r="F62" i="10"/>
  <c r="F50" i="10"/>
  <c r="C50" i="10"/>
  <c r="C49" i="10"/>
  <c r="C48" i="10"/>
  <c r="C47" i="10"/>
  <c r="C46" i="10"/>
  <c r="C45" i="10"/>
  <c r="C44" i="10"/>
  <c r="C43" i="10"/>
  <c r="C41" i="10"/>
  <c r="C40" i="10"/>
  <c r="C39" i="10"/>
  <c r="C38" i="10"/>
  <c r="C36" i="10"/>
  <c r="C35" i="10"/>
  <c r="C34" i="10"/>
  <c r="C33" i="10"/>
  <c r="C31" i="10"/>
  <c r="C30" i="10"/>
  <c r="G29" i="10"/>
  <c r="C29" i="10"/>
  <c r="G28" i="10"/>
  <c r="C28" i="10"/>
  <c r="G27" i="10"/>
  <c r="C27" i="10"/>
  <c r="G26" i="10"/>
  <c r="C26" i="10"/>
  <c r="G25" i="10"/>
  <c r="G24" i="10"/>
  <c r="C24" i="10"/>
  <c r="G23" i="10"/>
  <c r="G22" i="10"/>
  <c r="F22" i="10"/>
  <c r="G21" i="10"/>
  <c r="G20" i="10"/>
  <c r="G19" i="10"/>
  <c r="G18" i="10"/>
  <c r="G17" i="10"/>
  <c r="G16" i="10"/>
  <c r="G15" i="10"/>
  <c r="G14" i="10"/>
  <c r="G13" i="10"/>
  <c r="G11" i="10"/>
  <c r="F10" i="10"/>
  <c r="A9" i="10"/>
  <c r="A8" i="10"/>
  <c r="A7" i="10"/>
  <c r="A5" i="10"/>
  <c r="A1" i="10"/>
  <c r="C33" i="9"/>
  <c r="C32" i="9"/>
  <c r="C25" i="9"/>
  <c r="C17" i="9"/>
  <c r="A8" i="9"/>
  <c r="A7" i="9"/>
  <c r="A6" i="9"/>
  <c r="A5" i="9"/>
  <c r="A1" i="9"/>
  <c r="L1120" i="6"/>
  <c r="N1119" i="6"/>
  <c r="L1119" i="6"/>
  <c r="I1119" i="6"/>
  <c r="E1119" i="6"/>
  <c r="L1118" i="6"/>
  <c r="H1118" i="6"/>
  <c r="E1118" i="6"/>
  <c r="L1117" i="6"/>
  <c r="H1117" i="6"/>
  <c r="E1117" i="6"/>
  <c r="L1116" i="6"/>
  <c r="I1116" i="6"/>
  <c r="H1116" i="6"/>
  <c r="E1116" i="6"/>
  <c r="L1115" i="6"/>
  <c r="L1114" i="6"/>
  <c r="H1114" i="6"/>
  <c r="E1114" i="6"/>
  <c r="L1113" i="6"/>
  <c r="I1113" i="6"/>
  <c r="F1113" i="6"/>
  <c r="E1113" i="6"/>
  <c r="D1113" i="6"/>
  <c r="C1113" i="6"/>
  <c r="L1112" i="6"/>
  <c r="D1112" i="6"/>
  <c r="C1112" i="6"/>
  <c r="B1112" i="6"/>
  <c r="L1111" i="6"/>
  <c r="L1110" i="6"/>
  <c r="L1109" i="6"/>
  <c r="I1109" i="6"/>
  <c r="E1109" i="6"/>
  <c r="L1108" i="6"/>
  <c r="H1108" i="6"/>
  <c r="E1108" i="6"/>
  <c r="L1107" i="6"/>
  <c r="H1107" i="6"/>
  <c r="E1107" i="6"/>
  <c r="L1106" i="6"/>
  <c r="I1106" i="6"/>
  <c r="H1106" i="6"/>
  <c r="E1106" i="6"/>
  <c r="L1105" i="6"/>
  <c r="L1104" i="6"/>
  <c r="H1104" i="6"/>
  <c r="E1104" i="6"/>
  <c r="L1103" i="6"/>
  <c r="I1103" i="6"/>
  <c r="E1103" i="6"/>
  <c r="D1103" i="6"/>
  <c r="C1103" i="6"/>
  <c r="L1102" i="6"/>
  <c r="D1102" i="6"/>
  <c r="C1102" i="6"/>
  <c r="B1102" i="6"/>
  <c r="L1101" i="6"/>
  <c r="L1100" i="6"/>
  <c r="I1100" i="6"/>
  <c r="E1100" i="6"/>
  <c r="L1099" i="6"/>
  <c r="H1099" i="6"/>
  <c r="E1099" i="6"/>
  <c r="L1098" i="6"/>
  <c r="H1098" i="6"/>
  <c r="E1098" i="6"/>
  <c r="L1097" i="6"/>
  <c r="I1097" i="6"/>
  <c r="H1097" i="6"/>
  <c r="E1097" i="6"/>
  <c r="L1096" i="6"/>
  <c r="L1095" i="6"/>
  <c r="H1095" i="6"/>
  <c r="E1095" i="6"/>
  <c r="L1094" i="6"/>
  <c r="H1094" i="6"/>
  <c r="E1094" i="6"/>
  <c r="L1093" i="6"/>
  <c r="I1093" i="6"/>
  <c r="E1093" i="6"/>
  <c r="D1093" i="6"/>
  <c r="C1093" i="6"/>
  <c r="L1092" i="6"/>
  <c r="D1092" i="6"/>
  <c r="C1092" i="6"/>
  <c r="B1092" i="6"/>
  <c r="L1091" i="6"/>
  <c r="L1090" i="6"/>
  <c r="I1090" i="6"/>
  <c r="E1090" i="6"/>
  <c r="L1089" i="6"/>
  <c r="H1089" i="6"/>
  <c r="E1089" i="6"/>
  <c r="L1088" i="6"/>
  <c r="H1088" i="6"/>
  <c r="E1088" i="6"/>
  <c r="L1087" i="6"/>
  <c r="I1087" i="6"/>
  <c r="H1087" i="6"/>
  <c r="E1087" i="6"/>
  <c r="L1086" i="6"/>
  <c r="L1085" i="6"/>
  <c r="H1085" i="6"/>
  <c r="E1085" i="6"/>
  <c r="L1084" i="6"/>
  <c r="H1084" i="6"/>
  <c r="E1084" i="6"/>
  <c r="L1083" i="6"/>
  <c r="I1083" i="6"/>
  <c r="E1083" i="6"/>
  <c r="C1083" i="6"/>
  <c r="L1082" i="6"/>
  <c r="D1082" i="6"/>
  <c r="C1082" i="6"/>
  <c r="B1082" i="6"/>
  <c r="L1081" i="6"/>
  <c r="L1080" i="6"/>
  <c r="I1080" i="6"/>
  <c r="E1080" i="6"/>
  <c r="L1079" i="6"/>
  <c r="H1079" i="6"/>
  <c r="E1079" i="6"/>
  <c r="L1078" i="6"/>
  <c r="H1078" i="6"/>
  <c r="E1078" i="6"/>
  <c r="L1077" i="6"/>
  <c r="I1077" i="6"/>
  <c r="H1077" i="6"/>
  <c r="E1077" i="6"/>
  <c r="L1076" i="6"/>
  <c r="L1075" i="6"/>
  <c r="H1075" i="6"/>
  <c r="E1075" i="6"/>
  <c r="L1074" i="6"/>
  <c r="H1074" i="6"/>
  <c r="E1074" i="6"/>
  <c r="L1073" i="6"/>
  <c r="I1073" i="6"/>
  <c r="E1073" i="6"/>
  <c r="C1073" i="6"/>
  <c r="L1072" i="6"/>
  <c r="D1072" i="6"/>
  <c r="C1072" i="6"/>
  <c r="B1072" i="6"/>
  <c r="L1071" i="6"/>
  <c r="L1070" i="6"/>
  <c r="I1070" i="6"/>
  <c r="E1070" i="6"/>
  <c r="L1069" i="6"/>
  <c r="H1069" i="6"/>
  <c r="E1069" i="6"/>
  <c r="L1068" i="6"/>
  <c r="H1068" i="6"/>
  <c r="E1068" i="6"/>
  <c r="L1067" i="6"/>
  <c r="I1067" i="6"/>
  <c r="H1067" i="6"/>
  <c r="E1067" i="6"/>
  <c r="L1066" i="6"/>
  <c r="L1065" i="6"/>
  <c r="H1065" i="6"/>
  <c r="E1065" i="6"/>
  <c r="L1064" i="6"/>
  <c r="H1064" i="6"/>
  <c r="E1064" i="6"/>
  <c r="L1063" i="6"/>
  <c r="I1063" i="6"/>
  <c r="E1063" i="6"/>
  <c r="D1063" i="6"/>
  <c r="C1063" i="6"/>
  <c r="L1062" i="6"/>
  <c r="D1062" i="6"/>
  <c r="C1062" i="6"/>
  <c r="B1062" i="6"/>
  <c r="L1061" i="6"/>
  <c r="L1060" i="6"/>
  <c r="I1060" i="6"/>
  <c r="E1060" i="6"/>
  <c r="L1059" i="6"/>
  <c r="H1059" i="6"/>
  <c r="E1059" i="6"/>
  <c r="L1058" i="6"/>
  <c r="H1058" i="6"/>
  <c r="E1058" i="6"/>
  <c r="L1057" i="6"/>
  <c r="I1057" i="6"/>
  <c r="H1057" i="6"/>
  <c r="E1057" i="6"/>
  <c r="L1056" i="6"/>
  <c r="L1055" i="6"/>
  <c r="H1055" i="6"/>
  <c r="E1055" i="6"/>
  <c r="L1054" i="6"/>
  <c r="H1054" i="6"/>
  <c r="E1054" i="6"/>
  <c r="L1053" i="6"/>
  <c r="I1053" i="6"/>
  <c r="E1053" i="6"/>
  <c r="D1053" i="6"/>
  <c r="C1053" i="6"/>
  <c r="L1052" i="6"/>
  <c r="D1052" i="6"/>
  <c r="C1052" i="6"/>
  <c r="B1052" i="6"/>
  <c r="L1051" i="6"/>
  <c r="L1050" i="6"/>
  <c r="I1050" i="6"/>
  <c r="E1050" i="6"/>
  <c r="L1049" i="6"/>
  <c r="H1049" i="6"/>
  <c r="E1049" i="6"/>
  <c r="L1048" i="6"/>
  <c r="H1048" i="6"/>
  <c r="E1048" i="6"/>
  <c r="L1047" i="6"/>
  <c r="I1047" i="6"/>
  <c r="H1047" i="6"/>
  <c r="E1047" i="6"/>
  <c r="L1046" i="6"/>
  <c r="L1045" i="6"/>
  <c r="H1045" i="6"/>
  <c r="E1045" i="6"/>
  <c r="L1044" i="6"/>
  <c r="H1044" i="6"/>
  <c r="E1044" i="6"/>
  <c r="L1043" i="6"/>
  <c r="I1043" i="6"/>
  <c r="E1043" i="6"/>
  <c r="C1043" i="6"/>
  <c r="L1042" i="6"/>
  <c r="D1042" i="6"/>
  <c r="C1042" i="6"/>
  <c r="B1042" i="6"/>
  <c r="L1041" i="6"/>
  <c r="L1040" i="6"/>
  <c r="I1040" i="6"/>
  <c r="E1040" i="6"/>
  <c r="L1039" i="6"/>
  <c r="H1039" i="6"/>
  <c r="E1039" i="6"/>
  <c r="L1038" i="6"/>
  <c r="H1038" i="6"/>
  <c r="E1038" i="6"/>
  <c r="L1037" i="6"/>
  <c r="I1037" i="6"/>
  <c r="H1037" i="6"/>
  <c r="E1037" i="6"/>
  <c r="L1036" i="6"/>
  <c r="L1035" i="6"/>
  <c r="L1034" i="6"/>
  <c r="H1034" i="6"/>
  <c r="E1034" i="6"/>
  <c r="L1033" i="6"/>
  <c r="H1033" i="6"/>
  <c r="E1033" i="6"/>
  <c r="L1032" i="6"/>
  <c r="I1032" i="6"/>
  <c r="E1032" i="6"/>
  <c r="C1032" i="6"/>
  <c r="L1031" i="6"/>
  <c r="D1031" i="6"/>
  <c r="C1031" i="6"/>
  <c r="B1031" i="6"/>
  <c r="L1030" i="6"/>
  <c r="L1029" i="6"/>
  <c r="I1029" i="6"/>
  <c r="E1029" i="6"/>
  <c r="L1028" i="6"/>
  <c r="H1028" i="6"/>
  <c r="E1028" i="6"/>
  <c r="L1027" i="6"/>
  <c r="H1027" i="6"/>
  <c r="E1027" i="6"/>
  <c r="L1026" i="6"/>
  <c r="I1026" i="6"/>
  <c r="H1026" i="6"/>
  <c r="E1026" i="6"/>
  <c r="L1025" i="6"/>
  <c r="L1024" i="6"/>
  <c r="L1023" i="6"/>
  <c r="H1023" i="6"/>
  <c r="E1023" i="6"/>
  <c r="L1022" i="6"/>
  <c r="H1022" i="6"/>
  <c r="E1022" i="6"/>
  <c r="L1021" i="6"/>
  <c r="I1021" i="6"/>
  <c r="E1021" i="6"/>
  <c r="C1021" i="6"/>
  <c r="L1020" i="6"/>
  <c r="D1020" i="6"/>
  <c r="C1020" i="6"/>
  <c r="B1020" i="6"/>
  <c r="L1019" i="6"/>
  <c r="L1018" i="6"/>
  <c r="I1018" i="6"/>
  <c r="E1018" i="6"/>
  <c r="L1017" i="6"/>
  <c r="H1017" i="6"/>
  <c r="E1017" i="6"/>
  <c r="L1016" i="6"/>
  <c r="H1016" i="6"/>
  <c r="E1016" i="6"/>
  <c r="L1015" i="6"/>
  <c r="I1015" i="6"/>
  <c r="H1015" i="6"/>
  <c r="E1015" i="6"/>
  <c r="L1014" i="6"/>
  <c r="L1013" i="6"/>
  <c r="L1012" i="6"/>
  <c r="H1012" i="6"/>
  <c r="E1012" i="6"/>
  <c r="L1011" i="6"/>
  <c r="H1011" i="6"/>
  <c r="E1011" i="6"/>
  <c r="L1010" i="6"/>
  <c r="I1010" i="6"/>
  <c r="E1010" i="6"/>
  <c r="C1010" i="6"/>
  <c r="L1009" i="6"/>
  <c r="D1009" i="6"/>
  <c r="C1009" i="6"/>
  <c r="B1009" i="6"/>
  <c r="L1008" i="6"/>
  <c r="L1007" i="6"/>
  <c r="I1007" i="6"/>
  <c r="E1007" i="6"/>
  <c r="L1006" i="6"/>
  <c r="H1006" i="6"/>
  <c r="E1006" i="6"/>
  <c r="L1005" i="6"/>
  <c r="H1005" i="6"/>
  <c r="E1005" i="6"/>
  <c r="L1004" i="6"/>
  <c r="I1004" i="6"/>
  <c r="H1004" i="6"/>
  <c r="E1004" i="6"/>
  <c r="L1003" i="6"/>
  <c r="L1002" i="6"/>
  <c r="L1001" i="6"/>
  <c r="H1001" i="6"/>
  <c r="E1001" i="6"/>
  <c r="L1000" i="6"/>
  <c r="H1000" i="6"/>
  <c r="E1000" i="6"/>
  <c r="L999" i="6"/>
  <c r="I999" i="6"/>
  <c r="E999" i="6"/>
  <c r="C999" i="6"/>
  <c r="L998" i="6"/>
  <c r="D998" i="6"/>
  <c r="C998" i="6"/>
  <c r="B998" i="6"/>
  <c r="L997" i="6"/>
  <c r="L996" i="6"/>
  <c r="I996" i="6"/>
  <c r="E996" i="6"/>
  <c r="L995" i="6"/>
  <c r="H995" i="6"/>
  <c r="E995" i="6"/>
  <c r="L994" i="6"/>
  <c r="H994" i="6"/>
  <c r="E994" i="6"/>
  <c r="L993" i="6"/>
  <c r="I993" i="6"/>
  <c r="H993" i="6"/>
  <c r="E993" i="6"/>
  <c r="L992" i="6"/>
  <c r="L991" i="6"/>
  <c r="L990" i="6"/>
  <c r="H990" i="6"/>
  <c r="E990" i="6"/>
  <c r="L989" i="6"/>
  <c r="H989" i="6"/>
  <c r="E989" i="6"/>
  <c r="L988" i="6"/>
  <c r="I988" i="6"/>
  <c r="E988" i="6"/>
  <c r="C988" i="6"/>
  <c r="L987" i="6"/>
  <c r="D987" i="6"/>
  <c r="C987" i="6"/>
  <c r="B987" i="6"/>
  <c r="L986" i="6"/>
  <c r="L985" i="6"/>
  <c r="I985" i="6"/>
  <c r="E985" i="6"/>
  <c r="L984" i="6"/>
  <c r="H984" i="6"/>
  <c r="E984" i="6"/>
  <c r="L983" i="6"/>
  <c r="H983" i="6"/>
  <c r="E983" i="6"/>
  <c r="L982" i="6"/>
  <c r="I982" i="6"/>
  <c r="H982" i="6"/>
  <c r="E982" i="6"/>
  <c r="L981" i="6"/>
  <c r="L980" i="6"/>
  <c r="L979" i="6"/>
  <c r="H979" i="6"/>
  <c r="E979" i="6"/>
  <c r="L978" i="6"/>
  <c r="H978" i="6"/>
  <c r="E978" i="6"/>
  <c r="L977" i="6"/>
  <c r="I977" i="6"/>
  <c r="E977" i="6"/>
  <c r="C977" i="6"/>
  <c r="L976" i="6"/>
  <c r="D976" i="6"/>
  <c r="C976" i="6"/>
  <c r="B976" i="6"/>
  <c r="L975" i="6"/>
  <c r="L974" i="6"/>
  <c r="I974" i="6"/>
  <c r="E974" i="6"/>
  <c r="L973" i="6"/>
  <c r="H973" i="6"/>
  <c r="E973" i="6"/>
  <c r="L972" i="6"/>
  <c r="H972" i="6"/>
  <c r="E972" i="6"/>
  <c r="L971" i="6"/>
  <c r="I971" i="6"/>
  <c r="H971" i="6"/>
  <c r="E971" i="6"/>
  <c r="L970" i="6"/>
  <c r="L969" i="6"/>
  <c r="L968" i="6"/>
  <c r="H968" i="6"/>
  <c r="E968" i="6"/>
  <c r="L967" i="6"/>
  <c r="H967" i="6"/>
  <c r="E967" i="6"/>
  <c r="L966" i="6"/>
  <c r="I966" i="6"/>
  <c r="E966" i="6"/>
  <c r="D966" i="6"/>
  <c r="C966" i="6"/>
  <c r="L965" i="6"/>
  <c r="D965" i="6"/>
  <c r="C965" i="6"/>
  <c r="B965" i="6"/>
  <c r="L964" i="6"/>
  <c r="L963" i="6"/>
  <c r="I963" i="6"/>
  <c r="E963" i="6"/>
  <c r="L962" i="6"/>
  <c r="H962" i="6"/>
  <c r="E962" i="6"/>
  <c r="L961" i="6"/>
  <c r="H961" i="6"/>
  <c r="E961" i="6"/>
  <c r="L960" i="6"/>
  <c r="I960" i="6"/>
  <c r="H960" i="6"/>
  <c r="E960" i="6"/>
  <c r="L959" i="6"/>
  <c r="L958" i="6"/>
  <c r="L957" i="6"/>
  <c r="H957" i="6"/>
  <c r="E957" i="6"/>
  <c r="L956" i="6"/>
  <c r="H956" i="6"/>
  <c r="E956" i="6"/>
  <c r="L955" i="6"/>
  <c r="I955" i="6"/>
  <c r="E955" i="6"/>
  <c r="C955" i="6"/>
  <c r="L954" i="6"/>
  <c r="D954" i="6"/>
  <c r="C954" i="6"/>
  <c r="B954" i="6"/>
  <c r="L953" i="6"/>
  <c r="L952" i="6"/>
  <c r="I952" i="6"/>
  <c r="E952" i="6"/>
  <c r="L951" i="6"/>
  <c r="H951" i="6"/>
  <c r="E951" i="6"/>
  <c r="L950" i="6"/>
  <c r="H950" i="6"/>
  <c r="E950" i="6"/>
  <c r="L949" i="6"/>
  <c r="I949" i="6"/>
  <c r="H949" i="6"/>
  <c r="E949" i="6"/>
  <c r="L947" i="6"/>
  <c r="L946" i="6"/>
  <c r="H946" i="6"/>
  <c r="E946" i="6"/>
  <c r="L945" i="6"/>
  <c r="H945" i="6"/>
  <c r="E945" i="6"/>
  <c r="L944" i="6"/>
  <c r="I944" i="6"/>
  <c r="E944" i="6"/>
  <c r="D944" i="6"/>
  <c r="C944" i="6"/>
  <c r="L943" i="6"/>
  <c r="D943" i="6"/>
  <c r="C943" i="6"/>
  <c r="B943" i="6"/>
  <c r="L942" i="6"/>
  <c r="L941" i="6"/>
  <c r="I941" i="6"/>
  <c r="E941" i="6"/>
  <c r="L940" i="6"/>
  <c r="H940" i="6"/>
  <c r="E940" i="6"/>
  <c r="L939" i="6"/>
  <c r="H939" i="6"/>
  <c r="E939" i="6"/>
  <c r="L938" i="6"/>
  <c r="I938" i="6"/>
  <c r="H938" i="6"/>
  <c r="E938" i="6"/>
  <c r="L937" i="6"/>
  <c r="L936" i="6"/>
  <c r="H936" i="6"/>
  <c r="E936" i="6"/>
  <c r="L935" i="6"/>
  <c r="H935" i="6"/>
  <c r="E935" i="6"/>
  <c r="L934" i="6"/>
  <c r="I934" i="6"/>
  <c r="E934" i="6"/>
  <c r="C934" i="6"/>
  <c r="L933" i="6"/>
  <c r="D933" i="6"/>
  <c r="C933" i="6"/>
  <c r="B933" i="6"/>
  <c r="L932" i="6"/>
  <c r="L931" i="6"/>
  <c r="I931" i="6"/>
  <c r="E931" i="6"/>
  <c r="L930" i="6"/>
  <c r="H930" i="6"/>
  <c r="E930" i="6"/>
  <c r="L929" i="6"/>
  <c r="H929" i="6"/>
  <c r="E929" i="6"/>
  <c r="L928" i="6"/>
  <c r="I928" i="6"/>
  <c r="H928" i="6"/>
  <c r="E928" i="6"/>
  <c r="L927" i="6"/>
  <c r="L926" i="6"/>
  <c r="H926" i="6"/>
  <c r="E926" i="6"/>
  <c r="L925" i="6"/>
  <c r="H925" i="6"/>
  <c r="E925" i="6"/>
  <c r="L924" i="6"/>
  <c r="I924" i="6"/>
  <c r="E924" i="6"/>
  <c r="C924" i="6"/>
  <c r="L923" i="6"/>
  <c r="D923" i="6"/>
  <c r="C923" i="6"/>
  <c r="B923" i="6"/>
  <c r="L922" i="6"/>
  <c r="L921" i="6"/>
  <c r="I921" i="6"/>
  <c r="E921" i="6"/>
  <c r="L920" i="6"/>
  <c r="H920" i="6"/>
  <c r="E920" i="6"/>
  <c r="L919" i="6"/>
  <c r="H919" i="6"/>
  <c r="E919" i="6"/>
  <c r="L918" i="6"/>
  <c r="I918" i="6"/>
  <c r="H918" i="6"/>
  <c r="E918" i="6"/>
  <c r="L917" i="6"/>
  <c r="L916" i="6"/>
  <c r="H916" i="6"/>
  <c r="E916" i="6"/>
  <c r="L915" i="6"/>
  <c r="H915" i="6"/>
  <c r="E915" i="6"/>
  <c r="L914" i="6"/>
  <c r="I914" i="6"/>
  <c r="E914" i="6"/>
  <c r="D914" i="6"/>
  <c r="C914" i="6"/>
  <c r="L913" i="6"/>
  <c r="D913" i="6"/>
  <c r="C913" i="6"/>
  <c r="B913" i="6"/>
  <c r="L912" i="6"/>
  <c r="L911" i="6"/>
  <c r="I911" i="6"/>
  <c r="E911" i="6"/>
  <c r="L910" i="6"/>
  <c r="H910" i="6"/>
  <c r="E910" i="6"/>
  <c r="L909" i="6"/>
  <c r="H909" i="6"/>
  <c r="E909" i="6"/>
  <c r="L908" i="6"/>
  <c r="I908" i="6"/>
  <c r="H908" i="6"/>
  <c r="E908" i="6"/>
  <c r="L907" i="6"/>
  <c r="L906" i="6"/>
  <c r="H906" i="6"/>
  <c r="E906" i="6"/>
  <c r="L905" i="6"/>
  <c r="H905" i="6"/>
  <c r="E905" i="6"/>
  <c r="L904" i="6"/>
  <c r="I904" i="6"/>
  <c r="E904" i="6"/>
  <c r="C904" i="6"/>
  <c r="L903" i="6"/>
  <c r="D903" i="6"/>
  <c r="C903" i="6"/>
  <c r="B903" i="6"/>
  <c r="L902" i="6"/>
  <c r="L901" i="6"/>
  <c r="I901" i="6"/>
  <c r="E901" i="6"/>
  <c r="L900" i="6"/>
  <c r="H900" i="6"/>
  <c r="E900" i="6"/>
  <c r="L899" i="6"/>
  <c r="H899" i="6"/>
  <c r="E899" i="6"/>
  <c r="L898" i="6"/>
  <c r="I898" i="6"/>
  <c r="H898" i="6"/>
  <c r="E898" i="6"/>
  <c r="L897" i="6"/>
  <c r="L896" i="6"/>
  <c r="H896" i="6"/>
  <c r="E896" i="6"/>
  <c r="L895" i="6"/>
  <c r="H895" i="6"/>
  <c r="E895" i="6"/>
  <c r="L894" i="6"/>
  <c r="I894" i="6"/>
  <c r="E894" i="6"/>
  <c r="D894" i="6"/>
  <c r="C894" i="6"/>
  <c r="L893" i="6"/>
  <c r="D893" i="6"/>
  <c r="C893" i="6"/>
  <c r="B893" i="6"/>
  <c r="L892" i="6"/>
  <c r="L891" i="6"/>
  <c r="I891" i="6"/>
  <c r="E891" i="6"/>
  <c r="L890" i="6"/>
  <c r="H890" i="6"/>
  <c r="E890" i="6"/>
  <c r="L889" i="6"/>
  <c r="H889" i="6"/>
  <c r="E889" i="6"/>
  <c r="L888" i="6"/>
  <c r="I888" i="6"/>
  <c r="H888" i="6"/>
  <c r="E888" i="6"/>
  <c r="L887" i="6"/>
  <c r="L886" i="6"/>
  <c r="H886" i="6"/>
  <c r="E886" i="6"/>
  <c r="L885" i="6"/>
  <c r="H885" i="6"/>
  <c r="E885" i="6"/>
  <c r="L884" i="6"/>
  <c r="I884" i="6"/>
  <c r="E884" i="6"/>
  <c r="L883" i="6"/>
  <c r="I883" i="6"/>
  <c r="E883" i="6"/>
  <c r="L882" i="6"/>
  <c r="I882" i="6"/>
  <c r="E882" i="6"/>
  <c r="C882" i="6"/>
  <c r="L881" i="6"/>
  <c r="D881" i="6"/>
  <c r="C881" i="6"/>
  <c r="B881" i="6"/>
  <c r="L880" i="6"/>
  <c r="L879" i="6"/>
  <c r="I879" i="6"/>
  <c r="E879" i="6"/>
  <c r="L878" i="6"/>
  <c r="H878" i="6"/>
  <c r="E878" i="6"/>
  <c r="L877" i="6"/>
  <c r="H877" i="6"/>
  <c r="E877" i="6"/>
  <c r="L876" i="6"/>
  <c r="I876" i="6"/>
  <c r="H876" i="6"/>
  <c r="E876" i="6"/>
  <c r="L875" i="6"/>
  <c r="L874" i="6"/>
  <c r="L873" i="6"/>
  <c r="H873" i="6"/>
  <c r="E873" i="6"/>
  <c r="L872" i="6"/>
  <c r="H872" i="6"/>
  <c r="E872" i="6"/>
  <c r="L871" i="6"/>
  <c r="I871" i="6"/>
  <c r="E871" i="6"/>
  <c r="D871" i="6"/>
  <c r="C871" i="6"/>
  <c r="L870" i="6"/>
  <c r="D870" i="6"/>
  <c r="C870" i="6"/>
  <c r="B870" i="6"/>
  <c r="L869" i="6"/>
  <c r="L868" i="6"/>
  <c r="I868" i="6"/>
  <c r="E868" i="6"/>
  <c r="L867" i="6"/>
  <c r="H867" i="6"/>
  <c r="E867" i="6"/>
  <c r="L866" i="6"/>
  <c r="H866" i="6"/>
  <c r="E866" i="6"/>
  <c r="L865" i="6"/>
  <c r="I865" i="6"/>
  <c r="H865" i="6"/>
  <c r="E865" i="6"/>
  <c r="L864" i="6"/>
  <c r="L863" i="6"/>
  <c r="L862" i="6"/>
  <c r="H862" i="6"/>
  <c r="E862" i="6"/>
  <c r="L861" i="6"/>
  <c r="H861" i="6"/>
  <c r="E861" i="6"/>
  <c r="L860" i="6"/>
  <c r="H860" i="6"/>
  <c r="E860" i="6"/>
  <c r="L859" i="6"/>
  <c r="H859" i="6"/>
  <c r="E859" i="6"/>
  <c r="L858" i="6"/>
  <c r="I858" i="6"/>
  <c r="E858" i="6"/>
  <c r="C858" i="6"/>
  <c r="L857" i="6"/>
  <c r="D857" i="6"/>
  <c r="C857" i="6"/>
  <c r="B857" i="6"/>
  <c r="L856" i="6"/>
  <c r="L855" i="6"/>
  <c r="I855" i="6"/>
  <c r="E855" i="6"/>
  <c r="L854" i="6"/>
  <c r="H854" i="6"/>
  <c r="E854" i="6"/>
  <c r="L853" i="6"/>
  <c r="H853" i="6"/>
  <c r="E853" i="6"/>
  <c r="L852" i="6"/>
  <c r="I852" i="6"/>
  <c r="H852" i="6"/>
  <c r="E852" i="6"/>
  <c r="L851" i="6"/>
  <c r="L850" i="6"/>
  <c r="H850" i="6"/>
  <c r="E850" i="6"/>
  <c r="L849" i="6"/>
  <c r="H849" i="6"/>
  <c r="E849" i="6"/>
  <c r="L848" i="6"/>
  <c r="I848" i="6"/>
  <c r="E848" i="6"/>
  <c r="C848" i="6"/>
  <c r="L847" i="6"/>
  <c r="D847" i="6"/>
  <c r="C847" i="6"/>
  <c r="B847" i="6"/>
  <c r="L846" i="6"/>
  <c r="L845" i="6"/>
  <c r="I845" i="6"/>
  <c r="E845" i="6"/>
  <c r="L844" i="6"/>
  <c r="H844" i="6"/>
  <c r="E844" i="6"/>
  <c r="L843" i="6"/>
  <c r="H843" i="6"/>
  <c r="E843" i="6"/>
  <c r="L842" i="6"/>
  <c r="I842" i="6"/>
  <c r="H842" i="6"/>
  <c r="E842" i="6"/>
  <c r="L841" i="6"/>
  <c r="L840" i="6"/>
  <c r="H840" i="6"/>
  <c r="E840" i="6"/>
  <c r="L839" i="6"/>
  <c r="H839" i="6"/>
  <c r="E839" i="6"/>
  <c r="L838" i="6"/>
  <c r="I838" i="6"/>
  <c r="E838" i="6"/>
  <c r="D838" i="6"/>
  <c r="C838" i="6"/>
  <c r="L837" i="6"/>
  <c r="D837" i="6"/>
  <c r="C837" i="6"/>
  <c r="B837" i="6"/>
  <c r="L836" i="6"/>
  <c r="L835" i="6"/>
  <c r="I835" i="6"/>
  <c r="E835" i="6"/>
  <c r="L834" i="6"/>
  <c r="H834" i="6"/>
  <c r="E834" i="6"/>
  <c r="L833" i="6"/>
  <c r="H833" i="6"/>
  <c r="E833" i="6"/>
  <c r="L832" i="6"/>
  <c r="I832" i="6"/>
  <c r="H832" i="6"/>
  <c r="E832" i="6"/>
  <c r="L831" i="6"/>
  <c r="L830" i="6"/>
  <c r="H830" i="6"/>
  <c r="E830" i="6"/>
  <c r="L829" i="6"/>
  <c r="H829" i="6"/>
  <c r="E829" i="6"/>
  <c r="L828" i="6"/>
  <c r="I828" i="6"/>
  <c r="E828" i="6"/>
  <c r="D828" i="6"/>
  <c r="C828" i="6"/>
  <c r="L827" i="6"/>
  <c r="D827" i="6"/>
  <c r="C827" i="6"/>
  <c r="B827" i="6"/>
  <c r="L826" i="6"/>
  <c r="L825" i="6"/>
  <c r="I825" i="6"/>
  <c r="E825" i="6"/>
  <c r="L824" i="6"/>
  <c r="H824" i="6"/>
  <c r="E824" i="6"/>
  <c r="L823" i="6"/>
  <c r="H823" i="6"/>
  <c r="E823" i="6"/>
  <c r="L822" i="6"/>
  <c r="I822" i="6"/>
  <c r="H822" i="6"/>
  <c r="E822" i="6"/>
  <c r="L821" i="6"/>
  <c r="L820" i="6"/>
  <c r="H820" i="6"/>
  <c r="E820" i="6"/>
  <c r="L819" i="6"/>
  <c r="H819" i="6"/>
  <c r="E819" i="6"/>
  <c r="L818" i="6"/>
  <c r="I818" i="6"/>
  <c r="E818" i="6"/>
  <c r="D818" i="6"/>
  <c r="C818" i="6"/>
  <c r="L817" i="6"/>
  <c r="D817" i="6"/>
  <c r="C817" i="6"/>
  <c r="B817" i="6"/>
  <c r="L816" i="6"/>
  <c r="L815" i="6"/>
  <c r="I815" i="6"/>
  <c r="E815" i="6"/>
  <c r="L814" i="6"/>
  <c r="H814" i="6"/>
  <c r="E814" i="6"/>
  <c r="L813" i="6"/>
  <c r="H813" i="6"/>
  <c r="E813" i="6"/>
  <c r="L812" i="6"/>
  <c r="I812" i="6"/>
  <c r="H812" i="6"/>
  <c r="E812" i="6"/>
  <c r="L811" i="6"/>
  <c r="L810" i="6"/>
  <c r="H810" i="6"/>
  <c r="E810" i="6"/>
  <c r="L809" i="6"/>
  <c r="H809" i="6"/>
  <c r="E809" i="6"/>
  <c r="L808" i="6"/>
  <c r="I808" i="6"/>
  <c r="E808" i="6"/>
  <c r="D808" i="6"/>
  <c r="C808" i="6"/>
  <c r="L807" i="6"/>
  <c r="D807" i="6"/>
  <c r="C807" i="6"/>
  <c r="B807" i="6"/>
  <c r="L806" i="6"/>
  <c r="L805" i="6"/>
  <c r="I805" i="6"/>
  <c r="E805" i="6"/>
  <c r="L804" i="6"/>
  <c r="H804" i="6"/>
  <c r="E804" i="6"/>
  <c r="L803" i="6"/>
  <c r="H803" i="6"/>
  <c r="E803" i="6"/>
  <c r="L802" i="6"/>
  <c r="I802" i="6"/>
  <c r="H802" i="6"/>
  <c r="E802" i="6"/>
  <c r="L801" i="6"/>
  <c r="L800" i="6"/>
  <c r="H800" i="6"/>
  <c r="E800" i="6"/>
  <c r="L799" i="6"/>
  <c r="H799" i="6"/>
  <c r="E799" i="6"/>
  <c r="L798" i="6"/>
  <c r="I798" i="6"/>
  <c r="E798" i="6"/>
  <c r="D798" i="6"/>
  <c r="C798" i="6"/>
  <c r="L797" i="6"/>
  <c r="D797" i="6"/>
  <c r="C797" i="6"/>
  <c r="B797" i="6"/>
  <c r="L796" i="6"/>
  <c r="L795" i="6"/>
  <c r="I795" i="6"/>
  <c r="E795" i="6"/>
  <c r="L794" i="6"/>
  <c r="H794" i="6"/>
  <c r="E794" i="6"/>
  <c r="L793" i="6"/>
  <c r="H793" i="6"/>
  <c r="E793" i="6"/>
  <c r="L792" i="6"/>
  <c r="I792" i="6"/>
  <c r="H792" i="6"/>
  <c r="E792" i="6"/>
  <c r="L791" i="6"/>
  <c r="L790" i="6"/>
  <c r="H790" i="6"/>
  <c r="E790" i="6"/>
  <c r="L789" i="6"/>
  <c r="H789" i="6"/>
  <c r="E789" i="6"/>
  <c r="L788" i="6"/>
  <c r="I788" i="6"/>
  <c r="E788" i="6"/>
  <c r="D788" i="6"/>
  <c r="C788" i="6"/>
  <c r="L787" i="6"/>
  <c r="D787" i="6"/>
  <c r="C787" i="6"/>
  <c r="B787" i="6"/>
  <c r="L786" i="6"/>
  <c r="L785" i="6"/>
  <c r="I785" i="6"/>
  <c r="E785" i="6"/>
  <c r="L784" i="6"/>
  <c r="H784" i="6"/>
  <c r="E784" i="6"/>
  <c r="L783" i="6"/>
  <c r="H783" i="6"/>
  <c r="E783" i="6"/>
  <c r="L782" i="6"/>
  <c r="I782" i="6"/>
  <c r="H782" i="6"/>
  <c r="E782" i="6"/>
  <c r="L781" i="6"/>
  <c r="L780" i="6"/>
  <c r="H780" i="6"/>
  <c r="E780" i="6"/>
  <c r="L779" i="6"/>
  <c r="H779" i="6"/>
  <c r="E779" i="6"/>
  <c r="L778" i="6"/>
  <c r="I778" i="6"/>
  <c r="E778" i="6"/>
  <c r="D778" i="6"/>
  <c r="C778" i="6"/>
  <c r="L777" i="6"/>
  <c r="D777" i="6"/>
  <c r="C777" i="6"/>
  <c r="B777" i="6"/>
  <c r="L776" i="6"/>
  <c r="L775" i="6"/>
  <c r="I775" i="6"/>
  <c r="E775" i="6"/>
  <c r="L774" i="6"/>
  <c r="H774" i="6"/>
  <c r="E774" i="6"/>
  <c r="L773" i="6"/>
  <c r="H773" i="6"/>
  <c r="E773" i="6"/>
  <c r="L772" i="6"/>
  <c r="I772" i="6"/>
  <c r="H772" i="6"/>
  <c r="E772" i="6"/>
  <c r="L771" i="6"/>
  <c r="L770" i="6"/>
  <c r="H770" i="6"/>
  <c r="E770" i="6"/>
  <c r="L769" i="6"/>
  <c r="H769" i="6"/>
  <c r="E769" i="6"/>
  <c r="L768" i="6"/>
  <c r="I768" i="6"/>
  <c r="E768" i="6"/>
  <c r="C768" i="6"/>
  <c r="L767" i="6"/>
  <c r="D767" i="6"/>
  <c r="C767" i="6"/>
  <c r="B767" i="6"/>
  <c r="L766" i="6"/>
  <c r="L765" i="6"/>
  <c r="I765" i="6"/>
  <c r="E765" i="6"/>
  <c r="L764" i="6"/>
  <c r="H764" i="6"/>
  <c r="E764" i="6"/>
  <c r="L763" i="6"/>
  <c r="H763" i="6"/>
  <c r="E763" i="6"/>
  <c r="L762" i="6"/>
  <c r="I762" i="6"/>
  <c r="H762" i="6"/>
  <c r="E762" i="6"/>
  <c r="L761" i="6"/>
  <c r="L760" i="6"/>
  <c r="H760" i="6"/>
  <c r="E760" i="6"/>
  <c r="L759" i="6"/>
  <c r="H759" i="6"/>
  <c r="E759" i="6"/>
  <c r="L758" i="6"/>
  <c r="I758" i="6"/>
  <c r="F758" i="6"/>
  <c r="E758" i="6"/>
  <c r="C758" i="6"/>
  <c r="L757" i="6"/>
  <c r="D757" i="6"/>
  <c r="C757" i="6"/>
  <c r="B757" i="6"/>
  <c r="L756" i="6"/>
  <c r="L755" i="6"/>
  <c r="I755" i="6"/>
  <c r="E755" i="6"/>
  <c r="L754" i="6"/>
  <c r="H754" i="6"/>
  <c r="E754" i="6"/>
  <c r="L753" i="6"/>
  <c r="H753" i="6"/>
  <c r="E753" i="6"/>
  <c r="L752" i="6"/>
  <c r="I752" i="6"/>
  <c r="H752" i="6"/>
  <c r="E752" i="6"/>
  <c r="L751" i="6"/>
  <c r="L750" i="6"/>
  <c r="H750" i="6"/>
  <c r="E750" i="6"/>
  <c r="L749" i="6"/>
  <c r="H749" i="6"/>
  <c r="E749" i="6"/>
  <c r="L748" i="6"/>
  <c r="I748" i="6"/>
  <c r="E748" i="6"/>
  <c r="D748" i="6"/>
  <c r="C748" i="6"/>
  <c r="L747" i="6"/>
  <c r="D747" i="6"/>
  <c r="C747" i="6"/>
  <c r="B747" i="6"/>
  <c r="L746" i="6"/>
  <c r="L745" i="6"/>
  <c r="I745" i="6"/>
  <c r="E745" i="6"/>
  <c r="L744" i="6"/>
  <c r="H744" i="6"/>
  <c r="E744" i="6"/>
  <c r="L743" i="6"/>
  <c r="H743" i="6"/>
  <c r="E743" i="6"/>
  <c r="L742" i="6"/>
  <c r="I742" i="6"/>
  <c r="H742" i="6"/>
  <c r="E742" i="6"/>
  <c r="L741" i="6"/>
  <c r="L740" i="6"/>
  <c r="H740" i="6"/>
  <c r="E740" i="6"/>
  <c r="L739" i="6"/>
  <c r="H739" i="6"/>
  <c r="E739" i="6"/>
  <c r="L738" i="6"/>
  <c r="I738" i="6"/>
  <c r="E738" i="6"/>
  <c r="D738" i="6"/>
  <c r="C738" i="6"/>
  <c r="L737" i="6"/>
  <c r="D737" i="6"/>
  <c r="C737" i="6"/>
  <c r="B737" i="6"/>
  <c r="L736" i="6"/>
  <c r="L735" i="6"/>
  <c r="I735" i="6"/>
  <c r="E735" i="6"/>
  <c r="L734" i="6"/>
  <c r="H734" i="6"/>
  <c r="E734" i="6"/>
  <c r="L733" i="6"/>
  <c r="H733" i="6"/>
  <c r="E733" i="6"/>
  <c r="L732" i="6"/>
  <c r="I732" i="6"/>
  <c r="H732" i="6"/>
  <c r="E732" i="6"/>
  <c r="L731" i="6"/>
  <c r="L730" i="6"/>
  <c r="H730" i="6"/>
  <c r="E730" i="6"/>
  <c r="L729" i="6"/>
  <c r="H729" i="6"/>
  <c r="E729" i="6"/>
  <c r="L728" i="6"/>
  <c r="I728" i="6"/>
  <c r="E728" i="6"/>
  <c r="D728" i="6"/>
  <c r="C728" i="6"/>
  <c r="L727" i="6"/>
  <c r="D727" i="6"/>
  <c r="C727" i="6"/>
  <c r="B727" i="6"/>
  <c r="L726" i="6"/>
  <c r="L725" i="6"/>
  <c r="I725" i="6"/>
  <c r="E725" i="6"/>
  <c r="L724" i="6"/>
  <c r="H724" i="6"/>
  <c r="E724" i="6"/>
  <c r="L723" i="6"/>
  <c r="H723" i="6"/>
  <c r="E723" i="6"/>
  <c r="L722" i="6"/>
  <c r="I722" i="6"/>
  <c r="H722" i="6"/>
  <c r="E722" i="6"/>
  <c r="L721" i="6"/>
  <c r="L720" i="6"/>
  <c r="H720" i="6"/>
  <c r="E720" i="6"/>
  <c r="L719" i="6"/>
  <c r="H719" i="6"/>
  <c r="E719" i="6"/>
  <c r="L718" i="6"/>
  <c r="I718" i="6"/>
  <c r="E718" i="6"/>
  <c r="D718" i="6"/>
  <c r="C718" i="6"/>
  <c r="L717" i="6"/>
  <c r="D717" i="6"/>
  <c r="C717" i="6"/>
  <c r="B717" i="6"/>
  <c r="L716" i="6"/>
  <c r="L715" i="6"/>
  <c r="I715" i="6"/>
  <c r="E715" i="6"/>
  <c r="L714" i="6"/>
  <c r="H714" i="6"/>
  <c r="E714" i="6"/>
  <c r="L713" i="6"/>
  <c r="H713" i="6"/>
  <c r="E713" i="6"/>
  <c r="L712" i="6"/>
  <c r="I712" i="6"/>
  <c r="H712" i="6"/>
  <c r="E712" i="6"/>
  <c r="L711" i="6"/>
  <c r="L710" i="6"/>
  <c r="H710" i="6"/>
  <c r="E710" i="6"/>
  <c r="L709" i="6"/>
  <c r="H709" i="6"/>
  <c r="E709" i="6"/>
  <c r="L708" i="6"/>
  <c r="I708" i="6"/>
  <c r="E708" i="6"/>
  <c r="D708" i="6"/>
  <c r="C708" i="6"/>
  <c r="L707" i="6"/>
  <c r="D707" i="6"/>
  <c r="C707" i="6"/>
  <c r="B707" i="6"/>
  <c r="L706" i="6"/>
  <c r="L705" i="6"/>
  <c r="I705" i="6"/>
  <c r="E705" i="6"/>
  <c r="L704" i="6"/>
  <c r="H704" i="6"/>
  <c r="E704" i="6"/>
  <c r="L703" i="6"/>
  <c r="H703" i="6"/>
  <c r="E703" i="6"/>
  <c r="L702" i="6"/>
  <c r="I702" i="6"/>
  <c r="H702" i="6"/>
  <c r="E702" i="6"/>
  <c r="L701" i="6"/>
  <c r="L700" i="6"/>
  <c r="H700" i="6"/>
  <c r="E700" i="6"/>
  <c r="L699" i="6"/>
  <c r="H699" i="6"/>
  <c r="E699" i="6"/>
  <c r="L698" i="6"/>
  <c r="I698" i="6"/>
  <c r="E698" i="6"/>
  <c r="D698" i="6"/>
  <c r="C698" i="6"/>
  <c r="L697" i="6"/>
  <c r="D697" i="6"/>
  <c r="C697" i="6"/>
  <c r="B697" i="6"/>
  <c r="L696" i="6"/>
  <c r="L695" i="6"/>
  <c r="I695" i="6"/>
  <c r="E695" i="6"/>
  <c r="L694" i="6"/>
  <c r="H694" i="6"/>
  <c r="E694" i="6"/>
  <c r="L693" i="6"/>
  <c r="H693" i="6"/>
  <c r="E693" i="6"/>
  <c r="L692" i="6"/>
  <c r="I692" i="6"/>
  <c r="H692" i="6"/>
  <c r="E692" i="6"/>
  <c r="L691" i="6"/>
  <c r="L690" i="6"/>
  <c r="H690" i="6"/>
  <c r="E690" i="6"/>
  <c r="L689" i="6"/>
  <c r="H689" i="6"/>
  <c r="E689" i="6"/>
  <c r="L688" i="6"/>
  <c r="I688" i="6"/>
  <c r="E688" i="6"/>
  <c r="D688" i="6"/>
  <c r="C688" i="6"/>
  <c r="L687" i="6"/>
  <c r="D687" i="6"/>
  <c r="C687" i="6"/>
  <c r="B687" i="6"/>
  <c r="L686" i="6"/>
  <c r="L685" i="6"/>
  <c r="I685" i="6"/>
  <c r="L684" i="6"/>
  <c r="H684" i="6"/>
  <c r="E684" i="6"/>
  <c r="L683" i="6"/>
  <c r="H683" i="6"/>
  <c r="E683" i="6"/>
  <c r="L682" i="6"/>
  <c r="I682" i="6"/>
  <c r="H682" i="6"/>
  <c r="L681" i="6"/>
  <c r="L680" i="6"/>
  <c r="H680" i="6"/>
  <c r="E680" i="6"/>
  <c r="L679" i="6"/>
  <c r="H679" i="6"/>
  <c r="E679" i="6"/>
  <c r="L678" i="6"/>
  <c r="I678" i="6"/>
  <c r="E678" i="6"/>
  <c r="L677" i="6"/>
  <c r="I677" i="6"/>
  <c r="F677" i="6"/>
  <c r="E677" i="6"/>
  <c r="L676" i="6"/>
  <c r="I676" i="6"/>
  <c r="E676" i="6"/>
  <c r="D676" i="6"/>
  <c r="L675" i="6"/>
  <c r="D675" i="6"/>
  <c r="C675" i="6"/>
  <c r="B675" i="6"/>
  <c r="L674" i="6"/>
  <c r="L673" i="6"/>
  <c r="I673" i="6"/>
  <c r="E673" i="6"/>
  <c r="L672" i="6"/>
  <c r="H672" i="6"/>
  <c r="E672" i="6"/>
  <c r="L671" i="6"/>
  <c r="H671" i="6"/>
  <c r="E671" i="6"/>
  <c r="L670" i="6"/>
  <c r="I670" i="6"/>
  <c r="H670" i="6"/>
  <c r="E670" i="6"/>
  <c r="L669" i="6"/>
  <c r="L668" i="6"/>
  <c r="H668" i="6"/>
  <c r="E668" i="6"/>
  <c r="L667" i="6"/>
  <c r="H667" i="6"/>
  <c r="E667" i="6"/>
  <c r="L666" i="6"/>
  <c r="I666" i="6"/>
  <c r="E666" i="6"/>
  <c r="D666" i="6"/>
  <c r="C666" i="6"/>
  <c r="L665" i="6"/>
  <c r="D665" i="6"/>
  <c r="C665" i="6"/>
  <c r="B665" i="6"/>
  <c r="L664" i="6"/>
  <c r="L663" i="6"/>
  <c r="I663" i="6"/>
  <c r="E663" i="6"/>
  <c r="L662" i="6"/>
  <c r="H662" i="6"/>
  <c r="E662" i="6"/>
  <c r="L661" i="6"/>
  <c r="H661" i="6"/>
  <c r="E661" i="6"/>
  <c r="L660" i="6"/>
  <c r="I660" i="6"/>
  <c r="H660" i="6"/>
  <c r="E660" i="6"/>
  <c r="L659" i="6"/>
  <c r="L658" i="6"/>
  <c r="H658" i="6"/>
  <c r="E658" i="6"/>
  <c r="L657" i="6"/>
  <c r="H657" i="6"/>
  <c r="E657" i="6"/>
  <c r="L656" i="6"/>
  <c r="I656" i="6"/>
  <c r="E656" i="6"/>
  <c r="C656" i="6"/>
  <c r="L655" i="6"/>
  <c r="D655" i="6"/>
  <c r="C655" i="6"/>
  <c r="B655" i="6"/>
  <c r="L654" i="6"/>
  <c r="L653" i="6"/>
  <c r="I653" i="6"/>
  <c r="E653" i="6"/>
  <c r="L652" i="6"/>
  <c r="H652" i="6"/>
  <c r="E652" i="6"/>
  <c r="L651" i="6"/>
  <c r="H651" i="6"/>
  <c r="E651" i="6"/>
  <c r="L650" i="6"/>
  <c r="I650" i="6"/>
  <c r="H650" i="6"/>
  <c r="E650" i="6"/>
  <c r="L649" i="6"/>
  <c r="L648" i="6"/>
  <c r="H648" i="6"/>
  <c r="E648" i="6"/>
  <c r="L647" i="6"/>
  <c r="H647" i="6"/>
  <c r="E647" i="6"/>
  <c r="L646" i="6"/>
  <c r="I646" i="6"/>
  <c r="E646" i="6"/>
  <c r="D646" i="6"/>
  <c r="C646" i="6"/>
  <c r="L645" i="6"/>
  <c r="D645" i="6"/>
  <c r="C645" i="6"/>
  <c r="B645" i="6"/>
  <c r="L644" i="6"/>
  <c r="L643" i="6"/>
  <c r="I643" i="6"/>
  <c r="E643" i="6"/>
  <c r="L642" i="6"/>
  <c r="H642" i="6"/>
  <c r="E642" i="6"/>
  <c r="L641" i="6"/>
  <c r="H641" i="6"/>
  <c r="E641" i="6"/>
  <c r="L640" i="6"/>
  <c r="I640" i="6"/>
  <c r="H640" i="6"/>
  <c r="E640" i="6"/>
  <c r="L639" i="6"/>
  <c r="L638" i="6"/>
  <c r="H638" i="6"/>
  <c r="E638" i="6"/>
  <c r="L637" i="6"/>
  <c r="H637" i="6"/>
  <c r="E637" i="6"/>
  <c r="L636" i="6"/>
  <c r="I636" i="6"/>
  <c r="E636" i="6"/>
  <c r="C636" i="6"/>
  <c r="L635" i="6"/>
  <c r="D635" i="6"/>
  <c r="C635" i="6"/>
  <c r="B635" i="6"/>
  <c r="L634" i="6"/>
  <c r="L633" i="6"/>
  <c r="I633" i="6"/>
  <c r="E633" i="6"/>
  <c r="L632" i="6"/>
  <c r="H632" i="6"/>
  <c r="E632" i="6"/>
  <c r="L631" i="6"/>
  <c r="H631" i="6"/>
  <c r="E631" i="6"/>
  <c r="L630" i="6"/>
  <c r="I630" i="6"/>
  <c r="H630" i="6"/>
  <c r="E630" i="6"/>
  <c r="L629" i="6"/>
  <c r="L628" i="6"/>
  <c r="H628" i="6"/>
  <c r="E628" i="6"/>
  <c r="L627" i="6"/>
  <c r="H627" i="6"/>
  <c r="E627" i="6"/>
  <c r="L626" i="6"/>
  <c r="I626" i="6"/>
  <c r="E626" i="6"/>
  <c r="D626" i="6"/>
  <c r="C626" i="6"/>
  <c r="L625" i="6"/>
  <c r="D625" i="6"/>
  <c r="C625" i="6"/>
  <c r="B625" i="6"/>
  <c r="L624" i="6"/>
  <c r="L623" i="6"/>
  <c r="I623" i="6"/>
  <c r="E623" i="6"/>
  <c r="L622" i="6"/>
  <c r="H622" i="6"/>
  <c r="E622" i="6"/>
  <c r="L621" i="6"/>
  <c r="H621" i="6"/>
  <c r="E621" i="6"/>
  <c r="L620" i="6"/>
  <c r="I620" i="6"/>
  <c r="H620" i="6"/>
  <c r="E620" i="6"/>
  <c r="L619" i="6"/>
  <c r="L618" i="6"/>
  <c r="H618" i="6"/>
  <c r="E618" i="6"/>
  <c r="L617" i="6"/>
  <c r="H617" i="6"/>
  <c r="E617" i="6"/>
  <c r="L616" i="6"/>
  <c r="I616" i="6"/>
  <c r="E616" i="6"/>
  <c r="C616" i="6"/>
  <c r="L615" i="6"/>
  <c r="D615" i="6"/>
  <c r="C615" i="6"/>
  <c r="B615" i="6"/>
  <c r="L614" i="6"/>
  <c r="L613" i="6"/>
  <c r="I613" i="6"/>
  <c r="E613" i="6"/>
  <c r="L612" i="6"/>
  <c r="H612" i="6"/>
  <c r="E612" i="6"/>
  <c r="L611" i="6"/>
  <c r="H611" i="6"/>
  <c r="E611" i="6"/>
  <c r="L610" i="6"/>
  <c r="I610" i="6"/>
  <c r="H610" i="6"/>
  <c r="E610" i="6"/>
  <c r="L609" i="6"/>
  <c r="L608" i="6"/>
  <c r="H608" i="6"/>
  <c r="E608" i="6"/>
  <c r="L607" i="6"/>
  <c r="H607" i="6"/>
  <c r="E607" i="6"/>
  <c r="L606" i="6"/>
  <c r="I606" i="6"/>
  <c r="E606" i="6"/>
  <c r="L605" i="6"/>
  <c r="I605" i="6"/>
  <c r="E605" i="6"/>
  <c r="L604" i="6"/>
  <c r="I604" i="6"/>
  <c r="E604" i="6"/>
  <c r="C604" i="6"/>
  <c r="L603" i="6"/>
  <c r="D603" i="6"/>
  <c r="C603" i="6"/>
  <c r="B603" i="6"/>
  <c r="L602" i="6"/>
  <c r="L601" i="6"/>
  <c r="L600" i="6"/>
  <c r="I600" i="6"/>
  <c r="E600" i="6"/>
  <c r="L599" i="6"/>
  <c r="H599" i="6"/>
  <c r="E599" i="6"/>
  <c r="L598" i="6"/>
  <c r="H598" i="6"/>
  <c r="E598" i="6"/>
  <c r="L597" i="6"/>
  <c r="I597" i="6"/>
  <c r="H597" i="6"/>
  <c r="E597" i="6"/>
  <c r="L596" i="6"/>
  <c r="L595" i="6"/>
  <c r="H595" i="6"/>
  <c r="E595" i="6"/>
  <c r="L594" i="6"/>
  <c r="H594" i="6"/>
  <c r="E594" i="6"/>
  <c r="L593" i="6"/>
  <c r="I593" i="6"/>
  <c r="E593" i="6"/>
  <c r="D593" i="6"/>
  <c r="C593" i="6"/>
  <c r="L592" i="6"/>
  <c r="D592" i="6"/>
  <c r="C592" i="6"/>
  <c r="B592" i="6"/>
  <c r="L591" i="6"/>
  <c r="L590" i="6"/>
  <c r="L589" i="6"/>
  <c r="I589" i="6"/>
  <c r="E589" i="6"/>
  <c r="L588" i="6"/>
  <c r="H588" i="6"/>
  <c r="E588" i="6"/>
  <c r="L587" i="6"/>
  <c r="H587" i="6"/>
  <c r="E587" i="6"/>
  <c r="L586" i="6"/>
  <c r="I586" i="6"/>
  <c r="H586" i="6"/>
  <c r="E586" i="6"/>
  <c r="L585" i="6"/>
  <c r="L584" i="6"/>
  <c r="H584" i="6"/>
  <c r="E584" i="6"/>
  <c r="L583" i="6"/>
  <c r="H583" i="6"/>
  <c r="E583" i="6"/>
  <c r="L582" i="6"/>
  <c r="I582" i="6"/>
  <c r="E582" i="6"/>
  <c r="D582" i="6"/>
  <c r="C582" i="6"/>
  <c r="L581" i="6"/>
  <c r="D581" i="6"/>
  <c r="C581" i="6"/>
  <c r="B581" i="6"/>
  <c r="L580" i="6"/>
  <c r="L579" i="6"/>
  <c r="L578" i="6"/>
  <c r="I578" i="6"/>
  <c r="E578" i="6"/>
  <c r="L577" i="6"/>
  <c r="H577" i="6"/>
  <c r="E577" i="6"/>
  <c r="L576" i="6"/>
  <c r="H576" i="6"/>
  <c r="E576" i="6"/>
  <c r="L575" i="6"/>
  <c r="I575" i="6"/>
  <c r="H575" i="6"/>
  <c r="E575" i="6"/>
  <c r="L574" i="6"/>
  <c r="L573" i="6"/>
  <c r="H573" i="6"/>
  <c r="E573" i="6"/>
  <c r="L572" i="6"/>
  <c r="H572" i="6"/>
  <c r="E572" i="6"/>
  <c r="L571" i="6"/>
  <c r="I571" i="6"/>
  <c r="E571" i="6"/>
  <c r="L570" i="6"/>
  <c r="D570" i="6"/>
  <c r="C570" i="6"/>
  <c r="B570" i="6"/>
  <c r="L569" i="6"/>
  <c r="L568" i="6"/>
  <c r="I568" i="6"/>
  <c r="E568" i="6"/>
  <c r="L567" i="6"/>
  <c r="H567" i="6"/>
  <c r="E567" i="6"/>
  <c r="L566" i="6"/>
  <c r="H566" i="6"/>
  <c r="E566" i="6"/>
  <c r="L565" i="6"/>
  <c r="I565" i="6"/>
  <c r="H565" i="6"/>
  <c r="E565" i="6"/>
  <c r="L564" i="6"/>
  <c r="L563" i="6"/>
  <c r="H563" i="6"/>
  <c r="E563" i="6"/>
  <c r="L562" i="6"/>
  <c r="H562" i="6"/>
  <c r="E562" i="6"/>
  <c r="L561" i="6"/>
  <c r="I561" i="6"/>
  <c r="E561" i="6"/>
  <c r="D561" i="6"/>
  <c r="C561" i="6"/>
  <c r="L560" i="6"/>
  <c r="D560" i="6"/>
  <c r="C560" i="6"/>
  <c r="B560" i="6"/>
  <c r="L559" i="6"/>
  <c r="L558" i="6"/>
  <c r="L557" i="6"/>
  <c r="I557" i="6"/>
  <c r="E557" i="6"/>
  <c r="L556" i="6"/>
  <c r="H556" i="6"/>
  <c r="E556" i="6"/>
  <c r="L555" i="6"/>
  <c r="H555" i="6"/>
  <c r="E555" i="6"/>
  <c r="L554" i="6"/>
  <c r="I554" i="6"/>
  <c r="H554" i="6"/>
  <c r="E554" i="6"/>
  <c r="L553" i="6"/>
  <c r="L552" i="6"/>
  <c r="H552" i="6"/>
  <c r="E552" i="6"/>
  <c r="L551" i="6"/>
  <c r="H551" i="6"/>
  <c r="E551" i="6"/>
  <c r="L550" i="6"/>
  <c r="I550" i="6"/>
  <c r="E550" i="6"/>
  <c r="C550" i="6"/>
  <c r="L549" i="6"/>
  <c r="C549" i="6"/>
  <c r="B549" i="6"/>
  <c r="L548" i="6"/>
  <c r="L547" i="6"/>
  <c r="I547" i="6"/>
  <c r="E547" i="6"/>
  <c r="L546" i="6"/>
  <c r="H546" i="6"/>
  <c r="E546" i="6"/>
  <c r="L545" i="6"/>
  <c r="H545" i="6"/>
  <c r="E545" i="6"/>
  <c r="L544" i="6"/>
  <c r="I544" i="6"/>
  <c r="H544" i="6"/>
  <c r="E544" i="6"/>
  <c r="L543" i="6"/>
  <c r="L542" i="6"/>
  <c r="H542" i="6"/>
  <c r="E542" i="6"/>
  <c r="L541" i="6"/>
  <c r="H541" i="6"/>
  <c r="E541" i="6"/>
  <c r="L540" i="6"/>
  <c r="H540" i="6"/>
  <c r="E540" i="6"/>
  <c r="L539" i="6"/>
  <c r="I539" i="6"/>
  <c r="E539" i="6"/>
  <c r="D539" i="6"/>
  <c r="C539" i="6"/>
  <c r="L538" i="6"/>
  <c r="D538" i="6"/>
  <c r="C538" i="6"/>
  <c r="B538" i="6"/>
  <c r="L537" i="6"/>
  <c r="L536" i="6"/>
  <c r="I536" i="6"/>
  <c r="E536" i="6"/>
  <c r="L535" i="6"/>
  <c r="H535" i="6"/>
  <c r="E535" i="6"/>
  <c r="L534" i="6"/>
  <c r="H534" i="6"/>
  <c r="E534" i="6"/>
  <c r="L533" i="6"/>
  <c r="I533" i="6"/>
  <c r="H533" i="6"/>
  <c r="E533" i="6"/>
  <c r="L532" i="6"/>
  <c r="L531" i="6"/>
  <c r="H531" i="6"/>
  <c r="E531" i="6"/>
  <c r="L530" i="6"/>
  <c r="H530" i="6"/>
  <c r="E530" i="6"/>
  <c r="L529" i="6"/>
  <c r="H529" i="6"/>
  <c r="E529" i="6"/>
  <c r="L528" i="6"/>
  <c r="I528" i="6"/>
  <c r="E528" i="6"/>
  <c r="D528" i="6"/>
  <c r="C528" i="6"/>
  <c r="L527" i="6"/>
  <c r="D527" i="6"/>
  <c r="C527" i="6"/>
  <c r="B527" i="6"/>
  <c r="L526" i="6"/>
  <c r="L525" i="6"/>
  <c r="I525" i="6"/>
  <c r="E525" i="6"/>
  <c r="L524" i="6"/>
  <c r="H524" i="6"/>
  <c r="E524" i="6"/>
  <c r="L523" i="6"/>
  <c r="H523" i="6"/>
  <c r="E523" i="6"/>
  <c r="L522" i="6"/>
  <c r="I522" i="6"/>
  <c r="H522" i="6"/>
  <c r="E522" i="6"/>
  <c r="L521" i="6"/>
  <c r="L520" i="6"/>
  <c r="H520" i="6"/>
  <c r="E520" i="6"/>
  <c r="L519" i="6"/>
  <c r="H519" i="6"/>
  <c r="E519" i="6"/>
  <c r="L518" i="6"/>
  <c r="H518" i="6"/>
  <c r="E518" i="6"/>
  <c r="L517" i="6"/>
  <c r="I517" i="6"/>
  <c r="E517" i="6"/>
  <c r="D517" i="6"/>
  <c r="C517" i="6"/>
  <c r="L516" i="6"/>
  <c r="D516" i="6"/>
  <c r="C516" i="6"/>
  <c r="B516" i="6"/>
  <c r="L515" i="6"/>
  <c r="L514" i="6"/>
  <c r="I514" i="6"/>
  <c r="E514" i="6"/>
  <c r="L513" i="6"/>
  <c r="H513" i="6"/>
  <c r="E513" i="6"/>
  <c r="L512" i="6"/>
  <c r="H512" i="6"/>
  <c r="E512" i="6"/>
  <c r="L511" i="6"/>
  <c r="I511" i="6"/>
  <c r="H511" i="6"/>
  <c r="E511" i="6"/>
  <c r="L510" i="6"/>
  <c r="L509" i="6"/>
  <c r="H509" i="6"/>
  <c r="E509" i="6"/>
  <c r="L508" i="6"/>
  <c r="H508" i="6"/>
  <c r="E508" i="6"/>
  <c r="L507" i="6"/>
  <c r="H507" i="6"/>
  <c r="E507" i="6"/>
  <c r="L506" i="6"/>
  <c r="I506" i="6"/>
  <c r="E506" i="6"/>
  <c r="D506" i="6"/>
  <c r="C506" i="6"/>
  <c r="L505" i="6"/>
  <c r="D505" i="6"/>
  <c r="C505" i="6"/>
  <c r="B505" i="6"/>
  <c r="L504" i="6"/>
  <c r="L503" i="6"/>
  <c r="I503" i="6"/>
  <c r="E503" i="6"/>
  <c r="L502" i="6"/>
  <c r="H502" i="6"/>
  <c r="E502" i="6"/>
  <c r="L501" i="6"/>
  <c r="H501" i="6"/>
  <c r="E501" i="6"/>
  <c r="L500" i="6"/>
  <c r="I500" i="6"/>
  <c r="H500" i="6"/>
  <c r="E500" i="6"/>
  <c r="L499" i="6"/>
  <c r="L498" i="6"/>
  <c r="H498" i="6"/>
  <c r="E498" i="6"/>
  <c r="L497" i="6"/>
  <c r="H497" i="6"/>
  <c r="E497" i="6"/>
  <c r="L496" i="6"/>
  <c r="H496" i="6"/>
  <c r="E496" i="6"/>
  <c r="L495" i="6"/>
  <c r="I495" i="6"/>
  <c r="E495" i="6"/>
  <c r="D495" i="6"/>
  <c r="C495" i="6"/>
  <c r="L494" i="6"/>
  <c r="D494" i="6"/>
  <c r="C494" i="6"/>
  <c r="B494" i="6"/>
  <c r="L493" i="6"/>
  <c r="L492" i="6"/>
  <c r="I492" i="6"/>
  <c r="E492" i="6"/>
  <c r="L491" i="6"/>
  <c r="H491" i="6"/>
  <c r="E491" i="6"/>
  <c r="L490" i="6"/>
  <c r="H490" i="6"/>
  <c r="E490" i="6"/>
  <c r="L489" i="6"/>
  <c r="I489" i="6"/>
  <c r="H489" i="6"/>
  <c r="E489" i="6"/>
  <c r="L488" i="6"/>
  <c r="L487" i="6"/>
  <c r="H487" i="6"/>
  <c r="E487" i="6"/>
  <c r="L486" i="6"/>
  <c r="H486" i="6"/>
  <c r="E486" i="6"/>
  <c r="L485" i="6"/>
  <c r="I485" i="6"/>
  <c r="E485" i="6"/>
  <c r="D485" i="6"/>
  <c r="C485" i="6"/>
  <c r="L484" i="6"/>
  <c r="D484" i="6"/>
  <c r="C484" i="6"/>
  <c r="B484" i="6"/>
  <c r="L483" i="6"/>
  <c r="L482" i="6"/>
  <c r="I482" i="6"/>
  <c r="E482" i="6"/>
  <c r="L481" i="6"/>
  <c r="H481" i="6"/>
  <c r="E481" i="6"/>
  <c r="L480" i="6"/>
  <c r="H480" i="6"/>
  <c r="E480" i="6"/>
  <c r="L479" i="6"/>
  <c r="I479" i="6"/>
  <c r="H479" i="6"/>
  <c r="E479" i="6"/>
  <c r="L478" i="6"/>
  <c r="L477" i="6"/>
  <c r="H477" i="6"/>
  <c r="E477" i="6"/>
  <c r="L476" i="6"/>
  <c r="H476" i="6"/>
  <c r="E476" i="6"/>
  <c r="L475" i="6"/>
  <c r="I475" i="6"/>
  <c r="E475" i="6"/>
  <c r="D475" i="6"/>
  <c r="C475" i="6"/>
  <c r="L474" i="6"/>
  <c r="D474" i="6"/>
  <c r="C474" i="6"/>
  <c r="B474" i="6"/>
  <c r="L473" i="6"/>
  <c r="L472" i="6"/>
  <c r="I472" i="6"/>
  <c r="E472" i="6"/>
  <c r="L471" i="6"/>
  <c r="H471" i="6"/>
  <c r="E471" i="6"/>
  <c r="L470" i="6"/>
  <c r="H470" i="6"/>
  <c r="E470" i="6"/>
  <c r="L469" i="6"/>
  <c r="I469" i="6"/>
  <c r="H469" i="6"/>
  <c r="E469" i="6"/>
  <c r="L468" i="6"/>
  <c r="L467" i="6"/>
  <c r="H467" i="6"/>
  <c r="E467" i="6"/>
  <c r="L466" i="6"/>
  <c r="H466" i="6"/>
  <c r="E466" i="6"/>
  <c r="C466" i="6"/>
  <c r="L465" i="6"/>
  <c r="I465" i="6"/>
  <c r="E465" i="6"/>
  <c r="C465" i="6"/>
  <c r="L464" i="6"/>
  <c r="D464" i="6"/>
  <c r="C464" i="6"/>
  <c r="B464" i="6"/>
  <c r="L463" i="6"/>
  <c r="L462" i="6"/>
  <c r="I462" i="6"/>
  <c r="E462" i="6"/>
  <c r="L461" i="6"/>
  <c r="H461" i="6"/>
  <c r="E461" i="6"/>
  <c r="L460" i="6"/>
  <c r="H460" i="6"/>
  <c r="E460" i="6"/>
  <c r="L459" i="6"/>
  <c r="I459" i="6"/>
  <c r="H459" i="6"/>
  <c r="E459" i="6"/>
  <c r="L458" i="6"/>
  <c r="L457" i="6"/>
  <c r="H457" i="6"/>
  <c r="E457" i="6"/>
  <c r="L456" i="6"/>
  <c r="H456" i="6"/>
  <c r="E456" i="6"/>
  <c r="L455" i="6"/>
  <c r="I455" i="6"/>
  <c r="E455" i="6"/>
  <c r="C455" i="6"/>
  <c r="L454" i="6"/>
  <c r="D454" i="6"/>
  <c r="C454" i="6"/>
  <c r="B454" i="6"/>
  <c r="L453" i="6"/>
  <c r="L452" i="6"/>
  <c r="I452" i="6"/>
  <c r="E452" i="6"/>
  <c r="L451" i="6"/>
  <c r="H451" i="6"/>
  <c r="E451" i="6"/>
  <c r="L450" i="6"/>
  <c r="H450" i="6"/>
  <c r="E450" i="6"/>
  <c r="L449" i="6"/>
  <c r="I449" i="6"/>
  <c r="H449" i="6"/>
  <c r="E449" i="6"/>
  <c r="L448" i="6"/>
  <c r="L447" i="6"/>
  <c r="H447" i="6"/>
  <c r="E447" i="6"/>
  <c r="L446" i="6"/>
  <c r="H446" i="6"/>
  <c r="E446" i="6"/>
  <c r="L445" i="6"/>
  <c r="I445" i="6"/>
  <c r="E445" i="6"/>
  <c r="L444" i="6"/>
  <c r="I444" i="6"/>
  <c r="E444" i="6"/>
  <c r="L443" i="6"/>
  <c r="I443" i="6"/>
  <c r="E443" i="6"/>
  <c r="L442" i="6"/>
  <c r="I442" i="6"/>
  <c r="E442" i="6"/>
  <c r="L441" i="6"/>
  <c r="D441" i="6"/>
  <c r="C441" i="6"/>
  <c r="B441" i="6"/>
  <c r="L440" i="6"/>
  <c r="L439" i="6"/>
  <c r="I439" i="6"/>
  <c r="E439" i="6"/>
  <c r="L438" i="6"/>
  <c r="H438" i="6"/>
  <c r="E438" i="6"/>
  <c r="L437" i="6"/>
  <c r="H437" i="6"/>
  <c r="E437" i="6"/>
  <c r="L436" i="6"/>
  <c r="I436" i="6"/>
  <c r="H436" i="6"/>
  <c r="E436" i="6"/>
  <c r="L435" i="6"/>
  <c r="L434" i="6"/>
  <c r="H434" i="6"/>
  <c r="E434" i="6"/>
  <c r="L433" i="6"/>
  <c r="H433" i="6"/>
  <c r="E433" i="6"/>
  <c r="L432" i="6"/>
  <c r="I432" i="6"/>
  <c r="E432" i="6"/>
  <c r="C432" i="6"/>
  <c r="L431" i="6"/>
  <c r="D431" i="6"/>
  <c r="C431" i="6"/>
  <c r="B431" i="6"/>
  <c r="L430" i="6"/>
  <c r="L429" i="6"/>
  <c r="I429" i="6"/>
  <c r="E429" i="6"/>
  <c r="L428" i="6"/>
  <c r="H428" i="6"/>
  <c r="E428" i="6"/>
  <c r="L427" i="6"/>
  <c r="H427" i="6"/>
  <c r="E427" i="6"/>
  <c r="L426" i="6"/>
  <c r="I426" i="6"/>
  <c r="H426" i="6"/>
  <c r="E426" i="6"/>
  <c r="L425" i="6"/>
  <c r="L424" i="6"/>
  <c r="H424" i="6"/>
  <c r="E424" i="6"/>
  <c r="L423" i="6"/>
  <c r="H423" i="6"/>
  <c r="E423" i="6"/>
  <c r="L422" i="6"/>
  <c r="I422" i="6"/>
  <c r="E422" i="6"/>
  <c r="C422" i="6"/>
  <c r="L421" i="6"/>
  <c r="D421" i="6"/>
  <c r="C421" i="6"/>
  <c r="B421" i="6"/>
  <c r="L420" i="6"/>
  <c r="L419" i="6"/>
  <c r="I419" i="6"/>
  <c r="E419" i="6"/>
  <c r="L418" i="6"/>
  <c r="H418" i="6"/>
  <c r="E418" i="6"/>
  <c r="L417" i="6"/>
  <c r="H417" i="6"/>
  <c r="E417" i="6"/>
  <c r="L416" i="6"/>
  <c r="I416" i="6"/>
  <c r="H416" i="6"/>
  <c r="E416" i="6"/>
  <c r="L415" i="6"/>
  <c r="L414" i="6"/>
  <c r="L413" i="6"/>
  <c r="H413" i="6"/>
  <c r="E413" i="6"/>
  <c r="L412" i="6"/>
  <c r="H412" i="6"/>
  <c r="E412" i="6"/>
  <c r="L411" i="6"/>
  <c r="I411" i="6"/>
  <c r="E411" i="6"/>
  <c r="D411" i="6"/>
  <c r="C411" i="6"/>
  <c r="L410" i="6"/>
  <c r="D410" i="6"/>
  <c r="C410" i="6"/>
  <c r="B410" i="6"/>
  <c r="L409" i="6"/>
  <c r="L408" i="6"/>
  <c r="I408" i="6"/>
  <c r="E408" i="6"/>
  <c r="L407" i="6"/>
  <c r="H407" i="6"/>
  <c r="E407" i="6"/>
  <c r="L406" i="6"/>
  <c r="H406" i="6"/>
  <c r="E406" i="6"/>
  <c r="L405" i="6"/>
  <c r="I405" i="6"/>
  <c r="H405" i="6"/>
  <c r="E405" i="6"/>
  <c r="L404" i="6"/>
  <c r="L403" i="6"/>
  <c r="L402" i="6"/>
  <c r="H402" i="6"/>
  <c r="E402" i="6"/>
  <c r="L401" i="6"/>
  <c r="H401" i="6"/>
  <c r="E401" i="6"/>
  <c r="L400" i="6"/>
  <c r="I400" i="6"/>
  <c r="E400" i="6"/>
  <c r="D400" i="6"/>
  <c r="C400" i="6"/>
  <c r="L399" i="6"/>
  <c r="D399" i="6"/>
  <c r="C399" i="6"/>
  <c r="B399" i="6"/>
  <c r="L398" i="6"/>
  <c r="L397" i="6"/>
  <c r="I397" i="6"/>
  <c r="E397" i="6"/>
  <c r="L396" i="6"/>
  <c r="H396" i="6"/>
  <c r="E396" i="6"/>
  <c r="L395" i="6"/>
  <c r="H395" i="6"/>
  <c r="E395" i="6"/>
  <c r="L394" i="6"/>
  <c r="I394" i="6"/>
  <c r="H394" i="6"/>
  <c r="E394" i="6"/>
  <c r="L393" i="6"/>
  <c r="L392" i="6"/>
  <c r="L391" i="6"/>
  <c r="H391" i="6"/>
  <c r="E391" i="6"/>
  <c r="L390" i="6"/>
  <c r="H390" i="6"/>
  <c r="E390" i="6"/>
  <c r="L389" i="6"/>
  <c r="I389" i="6"/>
  <c r="E389" i="6"/>
  <c r="L388" i="6"/>
  <c r="C388" i="6"/>
  <c r="B388" i="6"/>
  <c r="L387" i="6"/>
  <c r="L386" i="6"/>
  <c r="I386" i="6"/>
  <c r="E386" i="6"/>
  <c r="L385" i="6"/>
  <c r="H385" i="6"/>
  <c r="E385" i="6"/>
  <c r="L384" i="6"/>
  <c r="H384" i="6"/>
  <c r="E384" i="6"/>
  <c r="L383" i="6"/>
  <c r="I383" i="6"/>
  <c r="H383" i="6"/>
  <c r="E383" i="6"/>
  <c r="L381" i="6"/>
  <c r="H381" i="6"/>
  <c r="E381" i="6"/>
  <c r="L380" i="6"/>
  <c r="H380" i="6"/>
  <c r="E380" i="6"/>
  <c r="L379" i="6"/>
  <c r="I379" i="6"/>
  <c r="F379" i="6"/>
  <c r="E379" i="6"/>
  <c r="D379" i="6"/>
  <c r="C379" i="6"/>
  <c r="L378" i="6"/>
  <c r="D378" i="6"/>
  <c r="C378" i="6"/>
  <c r="B378" i="6"/>
  <c r="L377" i="6"/>
  <c r="L376" i="6"/>
  <c r="I376" i="6"/>
  <c r="E376" i="6"/>
  <c r="L375" i="6"/>
  <c r="H375" i="6"/>
  <c r="E375" i="6"/>
  <c r="L374" i="6"/>
  <c r="H374" i="6"/>
  <c r="E374" i="6"/>
  <c r="L373" i="6"/>
  <c r="I373" i="6"/>
  <c r="H373" i="6"/>
  <c r="E373" i="6"/>
  <c r="L372" i="6"/>
  <c r="L371" i="6"/>
  <c r="H371" i="6"/>
  <c r="E371" i="6"/>
  <c r="L370" i="6"/>
  <c r="H370" i="6"/>
  <c r="E370" i="6"/>
  <c r="L369" i="6"/>
  <c r="I369" i="6"/>
  <c r="F369" i="6"/>
  <c r="E369" i="6"/>
  <c r="L368" i="6"/>
  <c r="I368" i="6"/>
  <c r="F368" i="6"/>
  <c r="E368" i="6"/>
  <c r="L367" i="6"/>
  <c r="C367" i="6"/>
  <c r="B367" i="6"/>
  <c r="L366" i="6"/>
  <c r="L365" i="6"/>
  <c r="I365" i="6"/>
  <c r="E365" i="6"/>
  <c r="L364" i="6"/>
  <c r="H364" i="6"/>
  <c r="E364" i="6"/>
  <c r="L363" i="6"/>
  <c r="H363" i="6"/>
  <c r="E363" i="6"/>
  <c r="L362" i="6"/>
  <c r="I362" i="6"/>
  <c r="H362" i="6"/>
  <c r="E362" i="6"/>
  <c r="L361" i="6"/>
  <c r="L360" i="6"/>
  <c r="H360" i="6"/>
  <c r="E360" i="6"/>
  <c r="L359" i="6"/>
  <c r="H359" i="6"/>
  <c r="E359" i="6"/>
  <c r="L358" i="6"/>
  <c r="H358" i="6"/>
  <c r="E358" i="6"/>
  <c r="L357" i="6"/>
  <c r="H357" i="6"/>
  <c r="E357" i="6"/>
  <c r="L356" i="6"/>
  <c r="I356" i="6"/>
  <c r="E356" i="6"/>
  <c r="L355" i="6"/>
  <c r="I355" i="6"/>
  <c r="E355" i="6"/>
  <c r="L354" i="6"/>
  <c r="I354" i="6"/>
  <c r="E354" i="6"/>
  <c r="L353" i="6"/>
  <c r="I353" i="6"/>
  <c r="E353" i="6"/>
  <c r="L352" i="6"/>
  <c r="I352" i="6"/>
  <c r="E352" i="6"/>
  <c r="L351" i="6"/>
  <c r="I351" i="6"/>
  <c r="E351" i="6"/>
  <c r="L350" i="6"/>
  <c r="I350" i="6"/>
  <c r="F350" i="6"/>
  <c r="E350" i="6"/>
  <c r="L349" i="6"/>
  <c r="I349" i="6"/>
  <c r="E349" i="6"/>
  <c r="L348" i="6"/>
  <c r="I348" i="6"/>
  <c r="C348" i="6"/>
  <c r="L347" i="6"/>
  <c r="C347" i="6"/>
  <c r="B347" i="6"/>
  <c r="L346" i="6"/>
  <c r="L345" i="6"/>
  <c r="I345" i="6"/>
  <c r="E345" i="6"/>
  <c r="L344" i="6"/>
  <c r="H344" i="6"/>
  <c r="E344" i="6"/>
  <c r="L343" i="6"/>
  <c r="H343" i="6"/>
  <c r="E343" i="6"/>
  <c r="L342" i="6"/>
  <c r="I342" i="6"/>
  <c r="H342" i="6"/>
  <c r="E342" i="6"/>
  <c r="L341" i="6"/>
  <c r="L340" i="6"/>
  <c r="H340" i="6"/>
  <c r="E340" i="6"/>
  <c r="L339" i="6"/>
  <c r="H339" i="6"/>
  <c r="E339" i="6"/>
  <c r="L338" i="6"/>
  <c r="H338" i="6"/>
  <c r="E338" i="6"/>
  <c r="L337" i="6"/>
  <c r="H337" i="6"/>
  <c r="E337" i="6"/>
  <c r="L336" i="6"/>
  <c r="I336" i="6"/>
  <c r="E336" i="6"/>
  <c r="L335" i="6"/>
  <c r="I335" i="6"/>
  <c r="E335" i="6"/>
  <c r="L334" i="6"/>
  <c r="I334" i="6"/>
  <c r="E334" i="6"/>
  <c r="L333" i="6"/>
  <c r="I333" i="6"/>
  <c r="E333" i="6"/>
  <c r="L332" i="6"/>
  <c r="I332" i="6"/>
  <c r="E332" i="6"/>
  <c r="L331" i="6"/>
  <c r="I331" i="6"/>
  <c r="F331" i="6"/>
  <c r="E331" i="6"/>
  <c r="L330" i="6"/>
  <c r="I330" i="6"/>
  <c r="E330" i="6"/>
  <c r="L329" i="6"/>
  <c r="I329" i="6"/>
  <c r="E329" i="6"/>
  <c r="I328" i="6"/>
  <c r="D328" i="6"/>
  <c r="C328" i="6"/>
  <c r="L327" i="6"/>
  <c r="C327" i="6"/>
  <c r="B327" i="6"/>
  <c r="L326" i="6"/>
  <c r="L325" i="6"/>
  <c r="I325" i="6"/>
  <c r="E325" i="6"/>
  <c r="L324" i="6"/>
  <c r="H324" i="6"/>
  <c r="E324" i="6"/>
  <c r="L323" i="6"/>
  <c r="H323" i="6"/>
  <c r="E323" i="6"/>
  <c r="L322" i="6"/>
  <c r="I322" i="6"/>
  <c r="H322" i="6"/>
  <c r="E322" i="6"/>
  <c r="L321" i="6"/>
  <c r="L320" i="6"/>
  <c r="H320" i="6"/>
  <c r="E320" i="6"/>
  <c r="L319" i="6"/>
  <c r="H319" i="6"/>
  <c r="E319" i="6"/>
  <c r="L318" i="6"/>
  <c r="H318" i="6"/>
  <c r="E318" i="6"/>
  <c r="L317" i="6"/>
  <c r="H317" i="6"/>
  <c r="E317" i="6"/>
  <c r="L316" i="6"/>
  <c r="I316" i="6"/>
  <c r="E316" i="6"/>
  <c r="L315" i="6"/>
  <c r="I315" i="6"/>
  <c r="E315" i="6"/>
  <c r="L314" i="6"/>
  <c r="I314" i="6"/>
  <c r="E314" i="6"/>
  <c r="L313" i="6"/>
  <c r="I313" i="6"/>
  <c r="E313" i="6"/>
  <c r="L312" i="6"/>
  <c r="I312" i="6"/>
  <c r="E312" i="6"/>
  <c r="L311" i="6"/>
  <c r="I311" i="6"/>
  <c r="F311" i="6"/>
  <c r="E311" i="6"/>
  <c r="L310" i="6"/>
  <c r="I310" i="6"/>
  <c r="E310" i="6"/>
  <c r="L309" i="6"/>
  <c r="I309" i="6"/>
  <c r="E309" i="6"/>
  <c r="I308" i="6"/>
  <c r="D308" i="6"/>
  <c r="C308" i="6"/>
  <c r="L307" i="6"/>
  <c r="C307" i="6"/>
  <c r="B307" i="6"/>
  <c r="L306" i="6"/>
  <c r="L305" i="6"/>
  <c r="I305" i="6"/>
  <c r="E305" i="6"/>
  <c r="L304" i="6"/>
  <c r="H304" i="6"/>
  <c r="E304" i="6"/>
  <c r="L303" i="6"/>
  <c r="H303" i="6"/>
  <c r="E303" i="6"/>
  <c r="L302" i="6"/>
  <c r="H302" i="6"/>
  <c r="E302" i="6"/>
  <c r="L301" i="6"/>
  <c r="L300" i="6"/>
  <c r="H300" i="6"/>
  <c r="E300" i="6"/>
  <c r="L299" i="6"/>
  <c r="C299" i="6"/>
  <c r="B299" i="6"/>
  <c r="L298" i="6"/>
  <c r="L297" i="6"/>
  <c r="I297" i="6"/>
  <c r="E297" i="6"/>
  <c r="L296" i="6"/>
  <c r="H296" i="6"/>
  <c r="E296" i="6"/>
  <c r="L295" i="6"/>
  <c r="H295" i="6"/>
  <c r="E295" i="6"/>
  <c r="L294" i="6"/>
  <c r="I294" i="6"/>
  <c r="H294" i="6"/>
  <c r="E294" i="6"/>
  <c r="L293" i="6"/>
  <c r="L292" i="6"/>
  <c r="H292" i="6"/>
  <c r="E292" i="6"/>
  <c r="L291" i="6"/>
  <c r="I291" i="6"/>
  <c r="F291" i="6"/>
  <c r="E291" i="6"/>
  <c r="D291" i="6"/>
  <c r="C291" i="6"/>
  <c r="L290" i="6"/>
  <c r="D290" i="6"/>
  <c r="C290" i="6"/>
  <c r="B290" i="6"/>
  <c r="L289" i="6"/>
  <c r="L288" i="6"/>
  <c r="I288" i="6"/>
  <c r="E288" i="6"/>
  <c r="L287" i="6"/>
  <c r="H287" i="6"/>
  <c r="E287" i="6"/>
  <c r="L286" i="6"/>
  <c r="H286" i="6"/>
  <c r="E286" i="6"/>
  <c r="L285" i="6"/>
  <c r="I285" i="6"/>
  <c r="H285" i="6"/>
  <c r="E285" i="6"/>
  <c r="L284" i="6"/>
  <c r="L283" i="6"/>
  <c r="H283" i="6"/>
  <c r="E283" i="6"/>
  <c r="L282" i="6"/>
  <c r="I282" i="6"/>
  <c r="F282" i="6"/>
  <c r="E282" i="6"/>
  <c r="D282" i="6"/>
  <c r="C282" i="6"/>
  <c r="L281" i="6"/>
  <c r="D281" i="6"/>
  <c r="C281" i="6"/>
  <c r="B281" i="6"/>
  <c r="L280" i="6"/>
  <c r="L279" i="6"/>
  <c r="I279" i="6"/>
  <c r="E279" i="6"/>
  <c r="L278" i="6"/>
  <c r="H278" i="6"/>
  <c r="E278" i="6"/>
  <c r="L277" i="6"/>
  <c r="H277" i="6"/>
  <c r="E277" i="6"/>
  <c r="L276" i="6"/>
  <c r="I276" i="6"/>
  <c r="H276" i="6"/>
  <c r="E276" i="6"/>
  <c r="L275" i="6"/>
  <c r="L274" i="6"/>
  <c r="H274" i="6"/>
  <c r="E274" i="6"/>
  <c r="L273" i="6"/>
  <c r="I273" i="6"/>
  <c r="F273" i="6"/>
  <c r="E273" i="6"/>
  <c r="D273" i="6"/>
  <c r="C273" i="6"/>
  <c r="L272" i="6"/>
  <c r="D272" i="6"/>
  <c r="C272" i="6"/>
  <c r="B272" i="6"/>
  <c r="L271" i="6"/>
  <c r="L270" i="6"/>
  <c r="I270" i="6"/>
  <c r="E270" i="6"/>
  <c r="L269" i="6"/>
  <c r="H269" i="6"/>
  <c r="E269" i="6"/>
  <c r="L268" i="6"/>
  <c r="H268" i="6"/>
  <c r="E268" i="6"/>
  <c r="L267" i="6"/>
  <c r="I267" i="6"/>
  <c r="H267" i="6"/>
  <c r="E267" i="6"/>
  <c r="L266" i="6"/>
  <c r="L265" i="6"/>
  <c r="H265" i="6"/>
  <c r="E265" i="6"/>
  <c r="L264" i="6"/>
  <c r="I264" i="6"/>
  <c r="F264" i="6"/>
  <c r="E264" i="6"/>
  <c r="D264" i="6"/>
  <c r="C264" i="6"/>
  <c r="L263" i="6"/>
  <c r="D263" i="6"/>
  <c r="C263" i="6"/>
  <c r="B263" i="6"/>
  <c r="L262" i="6"/>
  <c r="L261" i="6"/>
  <c r="I261" i="6"/>
  <c r="E261" i="6"/>
  <c r="L260" i="6"/>
  <c r="H260" i="6"/>
  <c r="E260" i="6"/>
  <c r="L259" i="6"/>
  <c r="H259" i="6"/>
  <c r="E259" i="6"/>
  <c r="L258" i="6"/>
  <c r="I258" i="6"/>
  <c r="H258" i="6"/>
  <c r="E258" i="6"/>
  <c r="L257" i="6"/>
  <c r="L256" i="6"/>
  <c r="H256" i="6"/>
  <c r="E256" i="6"/>
  <c r="L255" i="6"/>
  <c r="I255" i="6"/>
  <c r="F255" i="6"/>
  <c r="E255" i="6"/>
  <c r="D255" i="6"/>
  <c r="C255" i="6"/>
  <c r="L254" i="6"/>
  <c r="D254" i="6"/>
  <c r="C254" i="6"/>
  <c r="B254" i="6"/>
  <c r="L253" i="6"/>
  <c r="L252" i="6"/>
  <c r="I252" i="6"/>
  <c r="E252" i="6"/>
  <c r="L251" i="6"/>
  <c r="H251" i="6"/>
  <c r="E251" i="6"/>
  <c r="L250" i="6"/>
  <c r="H250" i="6"/>
  <c r="E250" i="6"/>
  <c r="L249" i="6"/>
  <c r="I249" i="6"/>
  <c r="H249" i="6"/>
  <c r="E249" i="6"/>
  <c r="L248" i="6"/>
  <c r="L247" i="6"/>
  <c r="H247" i="6"/>
  <c r="E247" i="6"/>
  <c r="L246" i="6"/>
  <c r="I246" i="6"/>
  <c r="F246" i="6"/>
  <c r="E246" i="6"/>
  <c r="D246" i="6"/>
  <c r="C246" i="6"/>
  <c r="L245" i="6"/>
  <c r="D245" i="6"/>
  <c r="C245" i="6"/>
  <c r="B245" i="6"/>
  <c r="L244" i="6"/>
  <c r="L243" i="6"/>
  <c r="I243" i="6"/>
  <c r="E243" i="6"/>
  <c r="L242" i="6"/>
  <c r="H242" i="6"/>
  <c r="E242" i="6"/>
  <c r="L241" i="6"/>
  <c r="H241" i="6"/>
  <c r="E241" i="6"/>
  <c r="L240" i="6"/>
  <c r="I240" i="6"/>
  <c r="H240" i="6"/>
  <c r="E240" i="6"/>
  <c r="L239" i="6"/>
  <c r="L238" i="6"/>
  <c r="H238" i="6"/>
  <c r="E238" i="6"/>
  <c r="L237" i="6"/>
  <c r="I237" i="6"/>
  <c r="F237" i="6"/>
  <c r="E237" i="6"/>
  <c r="D237" i="6"/>
  <c r="C237" i="6"/>
  <c r="L236" i="6"/>
  <c r="D236" i="6"/>
  <c r="C236" i="6"/>
  <c r="B236" i="6"/>
  <c r="L235" i="6"/>
  <c r="L234" i="6"/>
  <c r="I234" i="6"/>
  <c r="E234" i="6"/>
  <c r="L233" i="6"/>
  <c r="H233" i="6"/>
  <c r="E233" i="6"/>
  <c r="L232" i="6"/>
  <c r="H232" i="6"/>
  <c r="E232" i="6"/>
  <c r="L231" i="6"/>
  <c r="I231" i="6"/>
  <c r="H231" i="6"/>
  <c r="E231" i="6"/>
  <c r="L230" i="6"/>
  <c r="L229" i="6"/>
  <c r="H229" i="6"/>
  <c r="E229" i="6"/>
  <c r="L228" i="6"/>
  <c r="I228" i="6"/>
  <c r="F228" i="6"/>
  <c r="E228" i="6"/>
  <c r="D228" i="6"/>
  <c r="C228" i="6"/>
  <c r="L227" i="6"/>
  <c r="D227" i="6"/>
  <c r="C227" i="6"/>
  <c r="B227" i="6"/>
  <c r="L226" i="6"/>
  <c r="L225" i="6"/>
  <c r="I225" i="6"/>
  <c r="E225" i="6"/>
  <c r="L224" i="6"/>
  <c r="H224" i="6"/>
  <c r="E224" i="6"/>
  <c r="L223" i="6"/>
  <c r="H223" i="6"/>
  <c r="E223" i="6"/>
  <c r="L222" i="6"/>
  <c r="I222" i="6"/>
  <c r="H222" i="6"/>
  <c r="E222" i="6"/>
  <c r="L221" i="6"/>
  <c r="L220" i="6"/>
  <c r="H220" i="6"/>
  <c r="E220" i="6"/>
  <c r="L219" i="6"/>
  <c r="I219" i="6"/>
  <c r="E219" i="6"/>
  <c r="D219" i="6"/>
  <c r="C219" i="6"/>
  <c r="L218" i="6"/>
  <c r="C218" i="6"/>
  <c r="B218" i="6"/>
  <c r="L217" i="6"/>
  <c r="L216" i="6"/>
  <c r="I216" i="6"/>
  <c r="E216" i="6"/>
  <c r="L215" i="6"/>
  <c r="H215" i="6"/>
  <c r="E215" i="6"/>
  <c r="L214" i="6"/>
  <c r="H214" i="6"/>
  <c r="E214" i="6"/>
  <c r="L213" i="6"/>
  <c r="I213" i="6"/>
  <c r="H213" i="6"/>
  <c r="E213" i="6"/>
  <c r="L212" i="6"/>
  <c r="L211" i="6"/>
  <c r="H211" i="6"/>
  <c r="E211" i="6"/>
  <c r="I210" i="6"/>
  <c r="E210" i="6"/>
  <c r="D210" i="6"/>
  <c r="C210" i="6"/>
  <c r="L209" i="6"/>
  <c r="D209" i="6"/>
  <c r="C209" i="6"/>
  <c r="B209" i="6"/>
  <c r="L208" i="6"/>
  <c r="L207" i="6"/>
  <c r="I207" i="6"/>
  <c r="E207" i="6"/>
  <c r="L206" i="6"/>
  <c r="H206" i="6"/>
  <c r="E206" i="6"/>
  <c r="L205" i="6"/>
  <c r="H205" i="6"/>
  <c r="E205" i="6"/>
  <c r="L204" i="6"/>
  <c r="I204" i="6"/>
  <c r="H204" i="6"/>
  <c r="E204" i="6"/>
  <c r="L203" i="6"/>
  <c r="L202" i="6"/>
  <c r="H202" i="6"/>
  <c r="E202" i="6"/>
  <c r="L201" i="6"/>
  <c r="I201" i="6"/>
  <c r="E201" i="6"/>
  <c r="D201" i="6"/>
  <c r="C201" i="6"/>
  <c r="L200" i="6"/>
  <c r="D200" i="6"/>
  <c r="C200" i="6"/>
  <c r="B200" i="6"/>
  <c r="L199" i="6"/>
  <c r="L198" i="6"/>
  <c r="I198" i="6"/>
  <c r="E198" i="6"/>
  <c r="L197" i="6"/>
  <c r="H197" i="6"/>
  <c r="E197" i="6"/>
  <c r="L196" i="6"/>
  <c r="H196" i="6"/>
  <c r="E196" i="6"/>
  <c r="L195" i="6"/>
  <c r="I195" i="6"/>
  <c r="H195" i="6"/>
  <c r="E195" i="6"/>
  <c r="L194" i="6"/>
  <c r="L193" i="6"/>
  <c r="H193" i="6"/>
  <c r="E193" i="6"/>
  <c r="L192" i="6"/>
  <c r="H192" i="6"/>
  <c r="E192" i="6"/>
  <c r="L191" i="6"/>
  <c r="H191" i="6"/>
  <c r="E191" i="6"/>
  <c r="L190" i="6"/>
  <c r="I190" i="6"/>
  <c r="E190" i="6"/>
  <c r="L189" i="6"/>
  <c r="I189" i="6"/>
  <c r="E189" i="6"/>
  <c r="L188" i="6"/>
  <c r="I188" i="6"/>
  <c r="E188" i="6"/>
  <c r="L187" i="6"/>
  <c r="I187" i="6"/>
  <c r="E187" i="6"/>
  <c r="L186" i="6"/>
  <c r="I186" i="6"/>
  <c r="E186" i="6"/>
  <c r="L185" i="6"/>
  <c r="C185" i="6"/>
  <c r="B185" i="6"/>
  <c r="L184" i="6"/>
  <c r="L183" i="6"/>
  <c r="I183" i="6"/>
  <c r="E183" i="6"/>
  <c r="L182" i="6"/>
  <c r="H182" i="6"/>
  <c r="E182" i="6"/>
  <c r="L181" i="6"/>
  <c r="E181" i="6"/>
  <c r="L180" i="6"/>
  <c r="I180" i="6"/>
  <c r="E180" i="6"/>
  <c r="L179" i="6"/>
  <c r="L178" i="6"/>
  <c r="I178" i="6"/>
  <c r="E178" i="6"/>
  <c r="L177" i="6"/>
  <c r="C177" i="6"/>
  <c r="B177" i="6"/>
  <c r="L176" i="6"/>
  <c r="L175" i="6"/>
  <c r="I175" i="6"/>
  <c r="E175" i="6"/>
  <c r="L174" i="6"/>
  <c r="H174" i="6"/>
  <c r="E174" i="6"/>
  <c r="L173" i="6"/>
  <c r="H173" i="6"/>
  <c r="E173" i="6"/>
  <c r="L172" i="6"/>
  <c r="I172" i="6"/>
  <c r="H172" i="6"/>
  <c r="E172" i="6"/>
  <c r="L171" i="6"/>
  <c r="L170" i="6"/>
  <c r="E170" i="6"/>
  <c r="L169" i="6"/>
  <c r="E169" i="6"/>
  <c r="L168" i="6"/>
  <c r="I168" i="6"/>
  <c r="E168" i="6"/>
  <c r="L167" i="6"/>
  <c r="I167" i="6"/>
  <c r="E167" i="6"/>
  <c r="L166" i="6"/>
  <c r="I166" i="6"/>
  <c r="E166" i="6"/>
  <c r="L165" i="6"/>
  <c r="I165" i="6"/>
  <c r="E165" i="6"/>
  <c r="L164" i="6"/>
  <c r="C164" i="6"/>
  <c r="B164" i="6"/>
  <c r="L163" i="6"/>
  <c r="L162" i="6"/>
  <c r="I162" i="6"/>
  <c r="E162" i="6"/>
  <c r="L161" i="6"/>
  <c r="H161" i="6"/>
  <c r="E161" i="6"/>
  <c r="L160" i="6"/>
  <c r="H160" i="6"/>
  <c r="E160" i="6"/>
  <c r="L159" i="6"/>
  <c r="I159" i="6"/>
  <c r="H159" i="6"/>
  <c r="E159" i="6"/>
  <c r="L158" i="6"/>
  <c r="L157" i="6"/>
  <c r="H157" i="6"/>
  <c r="E157" i="6"/>
  <c r="L156" i="6"/>
  <c r="H156" i="6"/>
  <c r="E156" i="6"/>
  <c r="L155" i="6"/>
  <c r="H155" i="6"/>
  <c r="E155" i="6"/>
  <c r="L154" i="6"/>
  <c r="H154" i="6"/>
  <c r="E154" i="6"/>
  <c r="L153" i="6"/>
  <c r="H153" i="6"/>
  <c r="E153" i="6"/>
  <c r="L152" i="6"/>
  <c r="I152" i="6"/>
  <c r="E152" i="6"/>
  <c r="L151" i="6"/>
  <c r="I151" i="6"/>
  <c r="E151" i="6"/>
  <c r="L150" i="6"/>
  <c r="I150" i="6"/>
  <c r="E150" i="6"/>
  <c r="L149" i="6"/>
  <c r="I149" i="6"/>
  <c r="E149" i="6"/>
  <c r="L148" i="6"/>
  <c r="I148" i="6"/>
  <c r="E148" i="6"/>
  <c r="L147" i="6"/>
  <c r="I147" i="6"/>
  <c r="E147" i="6"/>
  <c r="L146" i="6"/>
  <c r="I146" i="6"/>
  <c r="E146" i="6"/>
  <c r="L145" i="6"/>
  <c r="I145" i="6"/>
  <c r="E145" i="6"/>
  <c r="L144" i="6"/>
  <c r="I144" i="6"/>
  <c r="E144" i="6"/>
  <c r="L143" i="6"/>
  <c r="I143" i="6"/>
  <c r="E143" i="6"/>
  <c r="L142" i="6"/>
  <c r="I142" i="6"/>
  <c r="E142" i="6"/>
  <c r="L141" i="6"/>
  <c r="I141" i="6"/>
  <c r="E141" i="6"/>
  <c r="L140" i="6"/>
  <c r="I140" i="6"/>
  <c r="E140" i="6"/>
  <c r="L139" i="6"/>
  <c r="I139" i="6"/>
  <c r="E139" i="6"/>
  <c r="L138" i="6"/>
  <c r="I138" i="6"/>
  <c r="E138" i="6"/>
  <c r="L137" i="6"/>
  <c r="I137" i="6"/>
  <c r="E137" i="6"/>
  <c r="L136" i="6"/>
  <c r="I136" i="6"/>
  <c r="E136" i="6"/>
  <c r="L135" i="6"/>
  <c r="I135" i="6"/>
  <c r="E135" i="6"/>
  <c r="L134" i="6"/>
  <c r="I134" i="6"/>
  <c r="E134" i="6"/>
  <c r="L133" i="6"/>
  <c r="I133" i="6"/>
  <c r="E133" i="6"/>
  <c r="L132" i="6"/>
  <c r="I132" i="6"/>
  <c r="E132" i="6"/>
  <c r="L131" i="6"/>
  <c r="I131" i="6"/>
  <c r="E131" i="6"/>
  <c r="L130" i="6"/>
  <c r="I130" i="6"/>
  <c r="E130" i="6"/>
  <c r="L129" i="6"/>
  <c r="I129" i="6"/>
  <c r="E129" i="6"/>
  <c r="L128" i="6"/>
  <c r="I128" i="6"/>
  <c r="E128" i="6"/>
  <c r="L127" i="6"/>
  <c r="I127" i="6"/>
  <c r="E127" i="6"/>
  <c r="L126" i="6"/>
  <c r="C126" i="6"/>
  <c r="B126" i="6"/>
  <c r="L125" i="6"/>
  <c r="L124" i="6"/>
  <c r="L123" i="6"/>
  <c r="I123" i="6"/>
  <c r="E123" i="6"/>
  <c r="L122" i="6"/>
  <c r="H122" i="6"/>
  <c r="E122" i="6"/>
  <c r="L121" i="6"/>
  <c r="H121" i="6"/>
  <c r="E121" i="6"/>
  <c r="L120" i="6"/>
  <c r="I120" i="6"/>
  <c r="H120" i="6"/>
  <c r="E120" i="6"/>
  <c r="L119" i="6"/>
  <c r="L118" i="6"/>
  <c r="H118" i="6"/>
  <c r="E118" i="6"/>
  <c r="L117" i="6"/>
  <c r="H117" i="6"/>
  <c r="E117" i="6"/>
  <c r="L116" i="6"/>
  <c r="H116" i="6"/>
  <c r="E116" i="6"/>
  <c r="L115" i="6"/>
  <c r="H115" i="6"/>
  <c r="E115" i="6"/>
  <c r="L114" i="6"/>
  <c r="I114" i="6"/>
  <c r="E114" i="6"/>
  <c r="L113" i="6"/>
  <c r="D113" i="6"/>
  <c r="C113" i="6"/>
  <c r="B113" i="6"/>
  <c r="L112" i="6"/>
  <c r="L111" i="6"/>
  <c r="I111" i="6"/>
  <c r="E111" i="6"/>
  <c r="L110" i="6"/>
  <c r="H110" i="6"/>
  <c r="E110" i="6"/>
  <c r="L109" i="6"/>
  <c r="H109" i="6"/>
  <c r="E109" i="6"/>
  <c r="L108" i="6"/>
  <c r="I108" i="6"/>
  <c r="H108" i="6"/>
  <c r="E108" i="6"/>
  <c r="L107" i="6"/>
  <c r="L106" i="6"/>
  <c r="H106" i="6"/>
  <c r="E106" i="6"/>
  <c r="L105" i="6"/>
  <c r="H105" i="6"/>
  <c r="E105" i="6"/>
  <c r="L104" i="6"/>
  <c r="H104" i="6"/>
  <c r="E104" i="6"/>
  <c r="L103" i="6"/>
  <c r="I103" i="6"/>
  <c r="E103" i="6"/>
  <c r="L102" i="6"/>
  <c r="C102" i="6"/>
  <c r="B102" i="6"/>
  <c r="L101" i="6"/>
  <c r="L100" i="6"/>
  <c r="I100" i="6"/>
  <c r="L99" i="6"/>
  <c r="H99" i="6"/>
  <c r="E99" i="6"/>
  <c r="L98" i="6"/>
  <c r="H98" i="6"/>
  <c r="E98" i="6"/>
  <c r="L97" i="6"/>
  <c r="I97" i="6"/>
  <c r="H97" i="6"/>
  <c r="L96" i="6"/>
  <c r="L95" i="6"/>
  <c r="H95" i="6"/>
  <c r="E95" i="6"/>
  <c r="L94" i="6"/>
  <c r="H94" i="6"/>
  <c r="E94" i="6"/>
  <c r="L93" i="6"/>
  <c r="H93" i="6"/>
  <c r="E93" i="6"/>
  <c r="L92" i="6"/>
  <c r="H92" i="6"/>
  <c r="E92" i="6"/>
  <c r="L91" i="6"/>
  <c r="I91" i="6"/>
  <c r="E91" i="6"/>
  <c r="L90" i="6"/>
  <c r="C90" i="6"/>
  <c r="B90" i="6"/>
  <c r="L89" i="6"/>
  <c r="L88" i="6"/>
  <c r="I88" i="6"/>
  <c r="L87" i="6"/>
  <c r="H87" i="6"/>
  <c r="E87" i="6"/>
  <c r="L86" i="6"/>
  <c r="H86" i="6"/>
  <c r="L85" i="6"/>
  <c r="I85" i="6"/>
  <c r="H85" i="6"/>
  <c r="L84" i="6"/>
  <c r="H84" i="6"/>
  <c r="E84" i="6"/>
  <c r="L83" i="6"/>
  <c r="H83" i="6"/>
  <c r="E83" i="6"/>
  <c r="L82" i="6"/>
  <c r="I82" i="6"/>
  <c r="E82" i="6"/>
  <c r="L81" i="6"/>
  <c r="I81" i="6"/>
  <c r="E81" i="6"/>
  <c r="L80" i="6"/>
  <c r="I80" i="6"/>
  <c r="E80" i="6"/>
  <c r="L79" i="6"/>
  <c r="I79" i="6"/>
  <c r="E79" i="6"/>
  <c r="L78" i="6"/>
  <c r="I78" i="6"/>
  <c r="E78" i="6"/>
  <c r="C77" i="6"/>
  <c r="B77" i="6"/>
  <c r="L75" i="6"/>
  <c r="I75" i="6"/>
  <c r="E75" i="6"/>
  <c r="L74" i="6"/>
  <c r="H74" i="6"/>
  <c r="E74" i="6"/>
  <c r="L73" i="6"/>
  <c r="H73" i="6"/>
  <c r="E73" i="6"/>
  <c r="L72" i="6"/>
  <c r="I72" i="6"/>
  <c r="H72" i="6"/>
  <c r="E72" i="6"/>
  <c r="L71" i="6"/>
  <c r="L70" i="6"/>
  <c r="H70" i="6"/>
  <c r="E70" i="6"/>
  <c r="L69" i="6"/>
  <c r="H69" i="6"/>
  <c r="E69" i="6"/>
  <c r="L68" i="6"/>
  <c r="H68" i="6"/>
  <c r="E68" i="6"/>
  <c r="L67" i="6"/>
  <c r="I67" i="6"/>
  <c r="C67" i="6"/>
  <c r="L66" i="6"/>
  <c r="C66" i="6"/>
  <c r="B66" i="6"/>
  <c r="L64" i="6"/>
  <c r="I64" i="6"/>
  <c r="E64" i="6"/>
  <c r="L63" i="6"/>
  <c r="H63" i="6"/>
  <c r="E63" i="6"/>
  <c r="L62" i="6"/>
  <c r="H62" i="6"/>
  <c r="E62" i="6"/>
  <c r="L61" i="6"/>
  <c r="I61" i="6"/>
  <c r="H61" i="6"/>
  <c r="E61" i="6"/>
  <c r="L60" i="6"/>
  <c r="L59" i="6"/>
  <c r="E59" i="6"/>
  <c r="L58" i="6"/>
  <c r="E58" i="6"/>
  <c r="L57" i="6"/>
  <c r="I57" i="6"/>
  <c r="E57" i="6"/>
  <c r="L56" i="6"/>
  <c r="I56" i="6"/>
  <c r="E56" i="6"/>
  <c r="L55" i="6"/>
  <c r="I55" i="6"/>
  <c r="E55" i="6"/>
  <c r="L54" i="6"/>
  <c r="I54" i="6"/>
  <c r="E54" i="6"/>
  <c r="L53" i="6"/>
  <c r="C53" i="6"/>
  <c r="B53" i="6"/>
  <c r="L51" i="6"/>
  <c r="I51" i="6"/>
  <c r="L50" i="6"/>
  <c r="H50" i="6"/>
  <c r="L49" i="6"/>
  <c r="H49" i="6"/>
  <c r="L48" i="6"/>
  <c r="I48" i="6"/>
  <c r="H48" i="6"/>
  <c r="L47" i="6"/>
  <c r="L46" i="6"/>
  <c r="H46" i="6"/>
  <c r="E46" i="6"/>
  <c r="L45" i="6"/>
  <c r="H45" i="6"/>
  <c r="E45" i="6"/>
  <c r="L44" i="6"/>
  <c r="H44" i="6"/>
  <c r="E44" i="6"/>
  <c r="L43" i="6"/>
  <c r="H43" i="6"/>
  <c r="E43" i="6"/>
  <c r="L42" i="6"/>
  <c r="H42" i="6"/>
  <c r="E42" i="6"/>
  <c r="L41" i="6"/>
  <c r="I41" i="6"/>
  <c r="E41" i="6"/>
  <c r="L40" i="6"/>
  <c r="I40" i="6"/>
  <c r="E40" i="6"/>
  <c r="L39" i="6"/>
  <c r="I39" i="6"/>
  <c r="E39" i="6"/>
  <c r="L38" i="6"/>
  <c r="I38" i="6"/>
  <c r="E38" i="6"/>
  <c r="L37" i="6"/>
  <c r="I37" i="6"/>
  <c r="E37" i="6"/>
  <c r="L36" i="6"/>
  <c r="I36" i="6"/>
  <c r="E36" i="6"/>
  <c r="L35" i="6"/>
  <c r="I35" i="6"/>
  <c r="E35" i="6"/>
  <c r="L34" i="6"/>
  <c r="I34" i="6"/>
  <c r="E34" i="6"/>
  <c r="L33" i="6"/>
  <c r="I33" i="6"/>
  <c r="E33" i="6"/>
  <c r="L32" i="6"/>
  <c r="I32" i="6"/>
  <c r="E32" i="6"/>
  <c r="L31" i="6"/>
  <c r="I31" i="6"/>
  <c r="E31" i="6"/>
  <c r="L30" i="6"/>
  <c r="I30" i="6"/>
  <c r="E30" i="6"/>
  <c r="L29" i="6"/>
  <c r="I29" i="6"/>
  <c r="E29" i="6"/>
  <c r="L28" i="6"/>
  <c r="I28" i="6"/>
  <c r="E28" i="6"/>
  <c r="L27" i="6"/>
  <c r="I27" i="6"/>
  <c r="E27" i="6"/>
  <c r="L26" i="6"/>
  <c r="I26" i="6"/>
  <c r="E26" i="6"/>
  <c r="L25" i="6"/>
  <c r="I25" i="6"/>
  <c r="E25" i="6"/>
  <c r="L24" i="6"/>
  <c r="I24" i="6"/>
  <c r="E24" i="6"/>
  <c r="L23" i="6"/>
  <c r="I23" i="6"/>
  <c r="E23" i="6"/>
  <c r="L22" i="6"/>
  <c r="I22" i="6"/>
  <c r="E22" i="6"/>
  <c r="L21" i="6"/>
  <c r="I21" i="6"/>
  <c r="E21" i="6"/>
  <c r="L20" i="6"/>
  <c r="I20" i="6"/>
  <c r="E20" i="6"/>
  <c r="L19" i="6"/>
  <c r="I19" i="6"/>
  <c r="E19" i="6"/>
  <c r="L18" i="6"/>
  <c r="I18" i="6"/>
  <c r="E18" i="6"/>
  <c r="L17" i="6"/>
  <c r="I17" i="6"/>
  <c r="E17" i="6"/>
  <c r="L16" i="6"/>
  <c r="I16" i="6"/>
  <c r="E16" i="6"/>
  <c r="L15" i="6"/>
  <c r="C15" i="6"/>
  <c r="B15" i="6"/>
  <c r="L12" i="6"/>
  <c r="C9" i="6"/>
  <c r="C8" i="6"/>
  <c r="C7" i="6"/>
  <c r="C6" i="6"/>
  <c r="C5" i="6"/>
  <c r="K71" i="3"/>
  <c r="K70" i="3"/>
  <c r="J70" i="3"/>
  <c r="I70" i="3"/>
  <c r="H70" i="3"/>
  <c r="G70" i="3"/>
  <c r="F70" i="3"/>
  <c r="E70" i="3"/>
  <c r="D70" i="3"/>
  <c r="K69" i="3"/>
  <c r="C68" i="3"/>
  <c r="J67" i="3"/>
  <c r="I67" i="3"/>
  <c r="C66" i="3"/>
  <c r="K65" i="3"/>
  <c r="C64" i="3"/>
  <c r="J63" i="3"/>
  <c r="I63" i="3"/>
  <c r="C62" i="3"/>
  <c r="K61" i="3"/>
  <c r="C60" i="3"/>
  <c r="K59" i="3"/>
  <c r="C58" i="3"/>
  <c r="K57" i="3"/>
  <c r="C56" i="3"/>
  <c r="K55" i="3"/>
  <c r="C54" i="3"/>
  <c r="H53" i="3"/>
  <c r="G53" i="3"/>
  <c r="C52" i="3"/>
  <c r="K51" i="3"/>
  <c r="J51" i="3"/>
  <c r="I51" i="3"/>
  <c r="H51" i="3"/>
  <c r="G51" i="3"/>
  <c r="C50" i="3"/>
  <c r="K49" i="3"/>
  <c r="C48" i="3"/>
  <c r="K47" i="3"/>
  <c r="J47" i="3"/>
  <c r="I47" i="3"/>
  <c r="C46" i="3"/>
  <c r="J45" i="3"/>
  <c r="I45" i="3"/>
  <c r="C44" i="3"/>
  <c r="K43" i="3"/>
  <c r="J43" i="3"/>
  <c r="I43" i="3"/>
  <c r="C42" i="3"/>
  <c r="K41" i="3"/>
  <c r="J41" i="3"/>
  <c r="C40" i="3"/>
  <c r="J39" i="3"/>
  <c r="I39" i="3"/>
  <c r="C38" i="3"/>
  <c r="J37" i="3"/>
  <c r="C36" i="3"/>
  <c r="J35" i="3"/>
  <c r="I35" i="3"/>
  <c r="H35" i="3"/>
  <c r="C34" i="3"/>
  <c r="I33" i="3"/>
  <c r="C32" i="3"/>
  <c r="I31" i="3"/>
  <c r="H31" i="3"/>
  <c r="G31" i="3"/>
  <c r="C30" i="3"/>
  <c r="G29" i="3"/>
  <c r="F29" i="3"/>
  <c r="C28" i="3"/>
  <c r="F27" i="3"/>
  <c r="E27" i="3"/>
  <c r="C26" i="3"/>
  <c r="E25" i="3"/>
  <c r="C24" i="3"/>
  <c r="D23" i="3"/>
  <c r="C22" i="3"/>
  <c r="D21" i="3"/>
  <c r="C20" i="3"/>
  <c r="D19" i="3"/>
  <c r="C18" i="3"/>
  <c r="A12" i="3"/>
  <c r="A11" i="3"/>
  <c r="A10" i="3"/>
  <c r="A9" i="3"/>
  <c r="A8" i="3"/>
  <c r="A1" i="3"/>
  <c r="I180" i="1"/>
  <c r="H178" i="1"/>
  <c r="N177" i="1"/>
  <c r="M177" i="1"/>
  <c r="N176" i="1"/>
  <c r="M176" i="1"/>
  <c r="H176" i="1"/>
  <c r="G176" i="1"/>
  <c r="E176" i="1"/>
  <c r="N175" i="1"/>
  <c r="M175" i="1"/>
  <c r="I175" i="1"/>
  <c r="H175" i="1"/>
  <c r="N174" i="1"/>
  <c r="M174" i="1"/>
  <c r="N173" i="1"/>
  <c r="M173" i="1"/>
  <c r="H173" i="1"/>
  <c r="G173" i="1"/>
  <c r="E173" i="1"/>
  <c r="N172" i="1"/>
  <c r="M172" i="1"/>
  <c r="H172" i="1"/>
  <c r="G172" i="1"/>
  <c r="E172" i="1"/>
  <c r="N171" i="1"/>
  <c r="M171" i="1"/>
  <c r="I171" i="1"/>
  <c r="H171" i="1"/>
  <c r="N170" i="1"/>
  <c r="M170" i="1"/>
  <c r="N169" i="1"/>
  <c r="M169" i="1"/>
  <c r="H169" i="1"/>
  <c r="G169" i="1"/>
  <c r="N168" i="1"/>
  <c r="M168" i="1"/>
  <c r="I168" i="1"/>
  <c r="H168" i="1"/>
  <c r="N167" i="1"/>
  <c r="M167" i="1"/>
  <c r="N166" i="1"/>
  <c r="M166" i="1"/>
  <c r="H166" i="1"/>
  <c r="G166" i="1"/>
  <c r="N165" i="1"/>
  <c r="M165" i="1"/>
  <c r="I165" i="1"/>
  <c r="H165" i="1"/>
  <c r="N164" i="1"/>
  <c r="M164" i="1"/>
  <c r="N163" i="1"/>
  <c r="M163" i="1"/>
  <c r="H163" i="1"/>
  <c r="G163" i="1"/>
  <c r="N162" i="1"/>
  <c r="M162" i="1"/>
  <c r="I162" i="1"/>
  <c r="H162" i="1"/>
  <c r="N161" i="1"/>
  <c r="M161" i="1"/>
  <c r="N160" i="1"/>
  <c r="M160" i="1"/>
  <c r="H160" i="1"/>
  <c r="G160" i="1"/>
  <c r="N159" i="1"/>
  <c r="M159" i="1"/>
  <c r="I159" i="1"/>
  <c r="H159" i="1"/>
  <c r="N158" i="1"/>
  <c r="M158" i="1"/>
  <c r="N157" i="1"/>
  <c r="M157" i="1"/>
  <c r="H157" i="1"/>
  <c r="G157" i="1"/>
  <c r="N156" i="1"/>
  <c r="M156" i="1"/>
  <c r="H156" i="1"/>
  <c r="G156" i="1"/>
  <c r="N155" i="1"/>
  <c r="M155" i="1"/>
  <c r="H155" i="1"/>
  <c r="G155" i="1"/>
  <c r="N154" i="1"/>
  <c r="M154" i="1"/>
  <c r="H154" i="1"/>
  <c r="G154" i="1"/>
  <c r="N153" i="1"/>
  <c r="M153" i="1"/>
  <c r="H153" i="1"/>
  <c r="G153" i="1"/>
  <c r="N152" i="1"/>
  <c r="M152" i="1"/>
  <c r="H152" i="1"/>
  <c r="G152" i="1"/>
  <c r="N151" i="1"/>
  <c r="M151" i="1"/>
  <c r="H151" i="1"/>
  <c r="G151" i="1"/>
  <c r="N150" i="1"/>
  <c r="M150" i="1"/>
  <c r="H150" i="1"/>
  <c r="G150" i="1"/>
  <c r="N149" i="1"/>
  <c r="M149" i="1"/>
  <c r="H149" i="1"/>
  <c r="G149" i="1"/>
  <c r="N148" i="1"/>
  <c r="M148" i="1"/>
  <c r="H148" i="1"/>
  <c r="G148" i="1"/>
  <c r="N147" i="1"/>
  <c r="M147" i="1"/>
  <c r="I147" i="1"/>
  <c r="H147" i="1"/>
  <c r="N146" i="1"/>
  <c r="M146" i="1"/>
  <c r="N145" i="1"/>
  <c r="M145" i="1"/>
  <c r="H145" i="1"/>
  <c r="G145" i="1"/>
  <c r="N144" i="1"/>
  <c r="M144" i="1"/>
  <c r="H144" i="1"/>
  <c r="G144" i="1"/>
  <c r="N143" i="1"/>
  <c r="M143" i="1"/>
  <c r="H143" i="1"/>
  <c r="G143" i="1"/>
  <c r="N142" i="1"/>
  <c r="M142" i="1"/>
  <c r="I142" i="1"/>
  <c r="H142" i="1"/>
  <c r="N141" i="1"/>
  <c r="M141" i="1"/>
  <c r="N140" i="1"/>
  <c r="M140" i="1"/>
  <c r="H140" i="1"/>
  <c r="G140" i="1"/>
  <c r="N139" i="1"/>
  <c r="M139" i="1"/>
  <c r="N138" i="1"/>
  <c r="M138" i="1"/>
  <c r="H138" i="1"/>
  <c r="G138" i="1"/>
  <c r="E138" i="1"/>
  <c r="N137" i="1"/>
  <c r="M137" i="1"/>
  <c r="H137" i="1"/>
  <c r="G137" i="1"/>
  <c r="N136" i="1"/>
  <c r="M136" i="1"/>
  <c r="H136" i="1"/>
  <c r="G136" i="1"/>
  <c r="N135" i="1"/>
  <c r="M135" i="1"/>
  <c r="H135" i="1"/>
  <c r="G135" i="1"/>
  <c r="N134" i="1"/>
  <c r="M134" i="1"/>
  <c r="N133" i="1"/>
  <c r="M133" i="1"/>
  <c r="H133" i="1"/>
  <c r="G133" i="1"/>
  <c r="N132" i="1"/>
  <c r="M132" i="1"/>
  <c r="H132" i="1"/>
  <c r="G132" i="1"/>
  <c r="N131" i="1"/>
  <c r="M131" i="1"/>
  <c r="N130" i="1"/>
  <c r="M130" i="1"/>
  <c r="I130" i="1"/>
  <c r="H130" i="1"/>
  <c r="N129" i="1"/>
  <c r="M129" i="1"/>
  <c r="N128" i="1"/>
  <c r="M128" i="1"/>
  <c r="H128" i="1"/>
  <c r="G128" i="1"/>
  <c r="N127" i="1"/>
  <c r="M127" i="1"/>
  <c r="N126" i="1"/>
  <c r="M126" i="1"/>
  <c r="H126" i="1"/>
  <c r="G126" i="1"/>
  <c r="N125" i="1"/>
  <c r="M125" i="1"/>
  <c r="H125" i="1"/>
  <c r="G125" i="1"/>
  <c r="N124" i="1"/>
  <c r="M124" i="1"/>
  <c r="H124" i="1"/>
  <c r="G124" i="1"/>
  <c r="N123" i="1"/>
  <c r="M123" i="1"/>
  <c r="N122" i="1"/>
  <c r="M122" i="1"/>
  <c r="H122" i="1"/>
  <c r="G122" i="1"/>
  <c r="N121" i="1"/>
  <c r="M121" i="1"/>
  <c r="H121" i="1"/>
  <c r="G121" i="1"/>
  <c r="N120" i="1"/>
  <c r="M120" i="1"/>
  <c r="N119" i="1"/>
  <c r="M119" i="1"/>
  <c r="I119" i="1"/>
  <c r="H119" i="1"/>
  <c r="N118" i="1"/>
  <c r="M118" i="1"/>
  <c r="N117" i="1"/>
  <c r="M117" i="1"/>
  <c r="H117" i="1"/>
  <c r="G117" i="1"/>
  <c r="E117" i="1"/>
  <c r="N116" i="1"/>
  <c r="M116" i="1"/>
  <c r="N115" i="1"/>
  <c r="M115" i="1"/>
  <c r="H115" i="1"/>
  <c r="G115" i="1"/>
  <c r="E115" i="1"/>
  <c r="N114" i="1"/>
  <c r="M114" i="1"/>
  <c r="H114" i="1"/>
  <c r="G114" i="1"/>
  <c r="E114" i="1"/>
  <c r="N113" i="1"/>
  <c r="M113" i="1"/>
  <c r="N112" i="1"/>
  <c r="M112" i="1"/>
  <c r="H112" i="1"/>
  <c r="G112" i="1"/>
  <c r="E112" i="1"/>
  <c r="N111" i="1"/>
  <c r="M111" i="1"/>
  <c r="H111" i="1"/>
  <c r="G111" i="1"/>
  <c r="E111" i="1"/>
  <c r="N110" i="1"/>
  <c r="M110" i="1"/>
  <c r="N109" i="1"/>
  <c r="M109" i="1"/>
  <c r="I109" i="1"/>
  <c r="H109" i="1"/>
  <c r="N108" i="1"/>
  <c r="M108" i="1"/>
  <c r="N107" i="1"/>
  <c r="M107" i="1"/>
  <c r="H107" i="1"/>
  <c r="G107" i="1"/>
  <c r="E107" i="1"/>
  <c r="N106" i="1"/>
  <c r="M106" i="1"/>
  <c r="H106" i="1"/>
  <c r="G106" i="1"/>
  <c r="E106" i="1"/>
  <c r="N105" i="1"/>
  <c r="M105" i="1"/>
  <c r="I105" i="1"/>
  <c r="H105" i="1"/>
  <c r="N104" i="1"/>
  <c r="M104" i="1"/>
  <c r="N103" i="1"/>
  <c r="M103" i="1"/>
  <c r="H103" i="1"/>
  <c r="G103" i="1"/>
  <c r="E103" i="1"/>
  <c r="N102" i="1"/>
  <c r="M102" i="1"/>
  <c r="H102" i="1"/>
  <c r="G102" i="1"/>
  <c r="E102" i="1"/>
  <c r="N101" i="1"/>
  <c r="M101" i="1"/>
  <c r="H101" i="1"/>
  <c r="G101" i="1"/>
  <c r="E101" i="1"/>
  <c r="N100" i="1"/>
  <c r="M100" i="1"/>
  <c r="H100" i="1"/>
  <c r="G100" i="1"/>
  <c r="E100" i="1"/>
  <c r="N99" i="1"/>
  <c r="M99" i="1"/>
  <c r="H99" i="1"/>
  <c r="G99" i="1"/>
  <c r="E99" i="1"/>
  <c r="N98" i="1"/>
  <c r="M98" i="1"/>
  <c r="I98" i="1"/>
  <c r="H98" i="1"/>
  <c r="N97" i="1"/>
  <c r="M97" i="1"/>
  <c r="N96" i="1"/>
  <c r="M96" i="1"/>
  <c r="H96" i="1"/>
  <c r="G96" i="1"/>
  <c r="E96" i="1"/>
  <c r="N95" i="1"/>
  <c r="M95" i="1"/>
  <c r="I95" i="1"/>
  <c r="H95" i="1"/>
  <c r="N94" i="1"/>
  <c r="M94" i="1"/>
  <c r="N93" i="1"/>
  <c r="M93" i="1"/>
  <c r="H93" i="1"/>
  <c r="G93" i="1"/>
  <c r="E93" i="1"/>
  <c r="N92" i="1"/>
  <c r="M92" i="1"/>
  <c r="H92" i="1"/>
  <c r="G92" i="1"/>
  <c r="E92" i="1"/>
  <c r="N91" i="1"/>
  <c r="M91" i="1"/>
  <c r="H91" i="1"/>
  <c r="G91" i="1"/>
  <c r="E91" i="1"/>
  <c r="N90" i="1"/>
  <c r="M90" i="1"/>
  <c r="H90" i="1"/>
  <c r="G90" i="1"/>
  <c r="E90" i="1"/>
  <c r="N89" i="1"/>
  <c r="M89" i="1"/>
  <c r="I89" i="1"/>
  <c r="H89" i="1"/>
  <c r="N88" i="1"/>
  <c r="M88" i="1"/>
  <c r="N87" i="1"/>
  <c r="M87" i="1"/>
  <c r="H87" i="1"/>
  <c r="G87" i="1"/>
  <c r="N86" i="1"/>
  <c r="M86" i="1"/>
  <c r="H86" i="1"/>
  <c r="G86" i="1"/>
  <c r="N85" i="1"/>
  <c r="M85" i="1"/>
  <c r="H85" i="1"/>
  <c r="G85" i="1"/>
  <c r="N84" i="1"/>
  <c r="M84" i="1"/>
  <c r="H84" i="1"/>
  <c r="G84" i="1"/>
  <c r="N83" i="1"/>
  <c r="M83" i="1"/>
  <c r="N82" i="1"/>
  <c r="M82" i="1"/>
  <c r="I82" i="1"/>
  <c r="H82" i="1"/>
  <c r="N81" i="1"/>
  <c r="M81" i="1"/>
  <c r="N80" i="1"/>
  <c r="M80" i="1"/>
  <c r="H80" i="1"/>
  <c r="G80" i="1"/>
  <c r="E80" i="1"/>
  <c r="N79" i="1"/>
  <c r="M79" i="1"/>
  <c r="I79" i="1"/>
  <c r="H79" i="1"/>
  <c r="N78" i="1"/>
  <c r="M78" i="1"/>
  <c r="N77" i="1"/>
  <c r="M77" i="1"/>
  <c r="H77" i="1"/>
  <c r="G77" i="1"/>
  <c r="E77" i="1"/>
  <c r="N76" i="1"/>
  <c r="M76" i="1"/>
  <c r="N75" i="1"/>
  <c r="M75" i="1"/>
  <c r="H75" i="1"/>
  <c r="G75" i="1"/>
  <c r="E75" i="1"/>
  <c r="N74" i="1"/>
  <c r="M74" i="1"/>
  <c r="H74" i="1"/>
  <c r="G74" i="1"/>
  <c r="E74" i="1"/>
  <c r="N73" i="1"/>
  <c r="M73" i="1"/>
  <c r="H73" i="1"/>
  <c r="G73" i="1"/>
  <c r="E73" i="1"/>
  <c r="N72" i="1"/>
  <c r="M72" i="1"/>
  <c r="N71" i="1"/>
  <c r="M71" i="1"/>
  <c r="H71" i="1"/>
  <c r="G71" i="1"/>
  <c r="E71" i="1"/>
  <c r="N70" i="1"/>
  <c r="M70" i="1"/>
  <c r="N69" i="1"/>
  <c r="M69" i="1"/>
  <c r="I69" i="1"/>
  <c r="H69" i="1"/>
  <c r="N68" i="1"/>
  <c r="M68" i="1"/>
  <c r="N67" i="1"/>
  <c r="M67" i="1"/>
  <c r="H67" i="1"/>
  <c r="G67" i="1"/>
  <c r="E67" i="1"/>
  <c r="N66" i="1"/>
  <c r="M66" i="1"/>
  <c r="H66" i="1"/>
  <c r="G66" i="1"/>
  <c r="N65" i="1"/>
  <c r="M65" i="1"/>
  <c r="I65" i="1"/>
  <c r="H65" i="1"/>
  <c r="N64" i="1"/>
  <c r="M64" i="1"/>
  <c r="N63" i="1"/>
  <c r="M63" i="1"/>
  <c r="H63" i="1"/>
  <c r="G63" i="1"/>
  <c r="N62" i="1"/>
  <c r="M62" i="1"/>
  <c r="H62" i="1"/>
  <c r="G62" i="1"/>
  <c r="N61" i="1"/>
  <c r="M61" i="1"/>
  <c r="H61" i="1"/>
  <c r="G61" i="1"/>
  <c r="N60" i="1"/>
  <c r="M60" i="1"/>
  <c r="N59" i="1"/>
  <c r="M59" i="1"/>
  <c r="H59" i="1"/>
  <c r="G59" i="1"/>
  <c r="N58" i="1"/>
  <c r="M58" i="1"/>
  <c r="H58" i="1"/>
  <c r="G58" i="1"/>
  <c r="E58" i="1"/>
  <c r="N57" i="1"/>
  <c r="M57" i="1"/>
  <c r="N56" i="1"/>
  <c r="M56" i="1"/>
  <c r="H56" i="1"/>
  <c r="G56" i="1"/>
  <c r="N55" i="1"/>
  <c r="M55" i="1"/>
  <c r="H55" i="1"/>
  <c r="G55" i="1"/>
  <c r="N54" i="1"/>
  <c r="M54" i="1"/>
  <c r="H54" i="1"/>
  <c r="G54" i="1"/>
  <c r="N53" i="1"/>
  <c r="M53" i="1"/>
  <c r="H53" i="1"/>
  <c r="G53" i="1"/>
  <c r="E53" i="1"/>
  <c r="N52" i="1"/>
  <c r="M52" i="1"/>
  <c r="N51" i="1"/>
  <c r="M51" i="1"/>
  <c r="I51" i="1"/>
  <c r="H51" i="1"/>
  <c r="N50" i="1"/>
  <c r="M50" i="1"/>
  <c r="N49" i="1"/>
  <c r="M49" i="1"/>
  <c r="H49" i="1"/>
  <c r="G49" i="1"/>
  <c r="E49" i="1"/>
  <c r="N48" i="1"/>
  <c r="M48" i="1"/>
  <c r="I48" i="1"/>
  <c r="H48" i="1"/>
  <c r="N47" i="1"/>
  <c r="M47" i="1"/>
  <c r="N46" i="1"/>
  <c r="M46" i="1"/>
  <c r="H46" i="1"/>
  <c r="G46" i="1"/>
  <c r="E46" i="1"/>
  <c r="N45" i="1"/>
  <c r="M45" i="1"/>
  <c r="N44" i="1"/>
  <c r="M44" i="1"/>
  <c r="I44" i="1"/>
  <c r="H44" i="1"/>
  <c r="N43" i="1"/>
  <c r="M43" i="1"/>
  <c r="N42" i="1"/>
  <c r="M42" i="1"/>
  <c r="H42" i="1"/>
  <c r="G42" i="1"/>
  <c r="E42" i="1"/>
  <c r="N41" i="1"/>
  <c r="M41" i="1"/>
  <c r="H41" i="1"/>
  <c r="G41" i="1"/>
  <c r="E41" i="1"/>
  <c r="N40" i="1"/>
  <c r="M40" i="1"/>
  <c r="I40" i="1"/>
  <c r="H40" i="1"/>
  <c r="N39" i="1"/>
  <c r="M39" i="1"/>
  <c r="N38" i="1"/>
  <c r="M38" i="1"/>
  <c r="H38" i="1"/>
  <c r="G38" i="1"/>
  <c r="E38" i="1"/>
  <c r="N37" i="1"/>
  <c r="M37" i="1"/>
  <c r="I37" i="1"/>
  <c r="H37" i="1"/>
  <c r="N36" i="1"/>
  <c r="M36" i="1"/>
  <c r="N35" i="1"/>
  <c r="M35" i="1"/>
  <c r="H35" i="1"/>
  <c r="G35" i="1"/>
  <c r="N34" i="1"/>
  <c r="M34" i="1"/>
  <c r="H34" i="1"/>
  <c r="G34" i="1"/>
  <c r="N33" i="1"/>
  <c r="M33" i="1"/>
  <c r="H33" i="1"/>
  <c r="G33" i="1"/>
  <c r="E33" i="1"/>
  <c r="N32" i="1"/>
  <c r="M32" i="1"/>
  <c r="H32" i="1"/>
  <c r="G32" i="1"/>
  <c r="N31" i="1"/>
  <c r="M31" i="1"/>
  <c r="H31" i="1"/>
  <c r="G31" i="1"/>
  <c r="N30" i="1"/>
  <c r="M30" i="1"/>
  <c r="H30" i="1"/>
  <c r="G30" i="1"/>
  <c r="N29" i="1"/>
  <c r="M29" i="1"/>
  <c r="H29" i="1"/>
  <c r="G29" i="1"/>
  <c r="N28" i="1"/>
  <c r="M28" i="1"/>
  <c r="H28" i="1"/>
  <c r="G28" i="1"/>
  <c r="E28" i="1"/>
  <c r="N27" i="1"/>
  <c r="M27" i="1"/>
  <c r="H27" i="1"/>
  <c r="G27" i="1"/>
  <c r="E27" i="1"/>
  <c r="N26" i="1"/>
  <c r="M26" i="1"/>
  <c r="H26" i="1"/>
  <c r="G26" i="1"/>
  <c r="E26" i="1"/>
  <c r="N25" i="1"/>
  <c r="M25" i="1"/>
  <c r="H25" i="1"/>
  <c r="G25" i="1"/>
  <c r="E25" i="1"/>
  <c r="N24" i="1"/>
  <c r="M24" i="1"/>
  <c r="I24" i="1"/>
  <c r="H24" i="1"/>
  <c r="N23" i="1"/>
  <c r="M23" i="1"/>
  <c r="N22" i="1"/>
  <c r="M22" i="1"/>
  <c r="H22" i="1"/>
  <c r="G22" i="1"/>
  <c r="N21" i="1"/>
  <c r="M21" i="1"/>
  <c r="H21" i="1"/>
  <c r="G21" i="1"/>
  <c r="E21" i="1"/>
  <c r="N20" i="1"/>
  <c r="M20" i="1"/>
  <c r="H20" i="1"/>
  <c r="G20" i="1"/>
  <c r="N19" i="1"/>
  <c r="M19" i="1"/>
  <c r="H19" i="1"/>
  <c r="G19" i="1"/>
  <c r="E19" i="1"/>
  <c r="N18" i="1"/>
  <c r="M18" i="1"/>
  <c r="H18" i="1"/>
  <c r="G18" i="1"/>
  <c r="I17" i="1"/>
  <c r="H17" i="1"/>
  <c r="D41" i="5"/>
  <c r="C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B23" i="8" s="1"/>
  <c r="D22" i="5"/>
  <c r="C22" i="5"/>
  <c r="B22" i="5"/>
  <c r="B22" i="8" s="1"/>
  <c r="D21" i="5"/>
  <c r="C21" i="5"/>
  <c r="B21" i="5"/>
  <c r="B21" i="8" s="1"/>
  <c r="D20" i="5"/>
  <c r="C20" i="5"/>
  <c r="D19" i="5"/>
  <c r="C19" i="5"/>
  <c r="B19" i="5"/>
  <c r="B19" i="8" s="1"/>
  <c r="D18" i="5"/>
  <c r="C18" i="5"/>
  <c r="B18" i="5"/>
  <c r="B18" i="8" s="1"/>
  <c r="D17" i="5"/>
  <c r="C17" i="5"/>
  <c r="B17" i="5"/>
  <c r="B17" i="8" s="1"/>
  <c r="D16" i="5"/>
  <c r="C16" i="5"/>
  <c r="B16" i="5"/>
  <c r="B16" i="8" s="1"/>
  <c r="D15" i="5"/>
  <c r="C15" i="5"/>
  <c r="B15" i="5"/>
  <c r="B15" i="8" s="1"/>
  <c r="A10" i="5"/>
  <c r="A8" i="5"/>
  <c r="A7" i="5"/>
  <c r="A6" i="5"/>
  <c r="A5" i="5"/>
  <c r="A3" i="5"/>
  <c r="A2" i="5"/>
  <c r="A1" i="5"/>
  <c r="D19" i="4"/>
  <c r="C19" i="4"/>
  <c r="D18" i="4"/>
  <c r="C18" i="4"/>
  <c r="A13" i="4"/>
  <c r="A12" i="4"/>
  <c r="A11" i="4"/>
  <c r="A10" i="4"/>
  <c r="A9" i="4"/>
  <c r="A1" i="4"/>
</calcChain>
</file>

<file path=xl/sharedStrings.xml><?xml version="1.0" encoding="utf-8"?>
<sst xmlns="http://schemas.openxmlformats.org/spreadsheetml/2006/main" count="3542" uniqueCount="1789">
  <si>
    <t>M3</t>
  </si>
  <si>
    <t>M2</t>
  </si>
  <si>
    <t>M</t>
  </si>
  <si>
    <t>Limpeza geral e entrega da obra</t>
  </si>
  <si>
    <t>Bloco de concreto intertravado e=9cm (incl. colchao de areia e rejuntamento)</t>
  </si>
  <si>
    <t>CJ</t>
  </si>
  <si>
    <t>UN</t>
  </si>
  <si>
    <t>Ventilador de teto</t>
  </si>
  <si>
    <t>Torre em conc.armado p/ cx.d'agua h=6,0m-base 2.0x2.0m</t>
  </si>
  <si>
    <t>Escada de marinheiro c/ proteçao</t>
  </si>
  <si>
    <t>Bacia sifonada  - PNE</t>
  </si>
  <si>
    <t>Bacia sifonada c/cx. descarga acoplada c/ assento</t>
  </si>
  <si>
    <t>Barra em aço inox (PNE)</t>
  </si>
  <si>
    <t>Bebedouro aço inox c/4 torneiras e filtro (det.5)</t>
  </si>
  <si>
    <t>Lavatorio de louça c/col.,torn.,mistur.,sifao e valv.</t>
  </si>
  <si>
    <t>Mictório coletivo em aço c/ registro de pressão - 1,5m</t>
  </si>
  <si>
    <t>Pia 02 cubas em aço inox.c/torn.,sifoes e valv.(2.0m)</t>
  </si>
  <si>
    <t>Porta papel higiênico - Polipropileno</t>
  </si>
  <si>
    <t>Porta toalha de papel - Polipropileno</t>
  </si>
  <si>
    <t>Saboneteira c/ reservatório - Polipropileno</t>
  </si>
  <si>
    <t>Extintor de incêndio (pó químico) - 12 kg</t>
  </si>
  <si>
    <t>Extintor de incêndio ABC - 12Kg</t>
  </si>
  <si>
    <t>Extintor de incendio CO2-6kg</t>
  </si>
  <si>
    <t>Joelho/Cotovelo 90º RC em PVC - JS - 100mm-LS</t>
  </si>
  <si>
    <t>Fossa septica em concreto armado - cap=150 pessoas</t>
  </si>
  <si>
    <t>Ponto de esgoto (incl. tubos, conexoes,cx. e ralos)</t>
  </si>
  <si>
    <t>Pt</t>
  </si>
  <si>
    <t>Sumidouro em alvenaria c/ tpo.em concreto - cap=150 pessoas</t>
  </si>
  <si>
    <t>Tubo em PVC - 100mm (LS)</t>
  </si>
  <si>
    <t>Ponto de agua (incl. tubos e conexoes)</t>
  </si>
  <si>
    <t>Luminária  p/ lâmp PLL de embutir</t>
  </si>
  <si>
    <t>Ponto de força (tubul., fiaçao e disjuntor) acima de 200W</t>
  </si>
  <si>
    <t>Ponto de luz / força (c/tubul., cx. e fiaçao) ate 200W</t>
  </si>
  <si>
    <t>Ponto p/ ventilador de teto (c/ fiaçao)</t>
  </si>
  <si>
    <t>Centro de distribuição p/ 16 disjuntores (c/ barramento)</t>
  </si>
  <si>
    <t>Quadro de mediçao trifasico (c/ disjuntor)</t>
  </si>
  <si>
    <t>Acrílica para piso</t>
  </si>
  <si>
    <t>Acrilica (sobre pintura antiga)</t>
  </si>
  <si>
    <t>Acrilica fosca int./ext. c/massa e selador - 3 demaos</t>
  </si>
  <si>
    <t>Esmalte sobre grade de ferro (superf. aparelhada)</t>
  </si>
  <si>
    <t>Esmalte sobre madeira c/ massa e selador</t>
  </si>
  <si>
    <t>Barroteamento em madeira de lei p/ forro PVC</t>
  </si>
  <si>
    <t>Forro em lambri de PVC</t>
  </si>
  <si>
    <t>Calçada (incl.alicerce, baldrame e concreto c/ junta seca)</t>
  </si>
  <si>
    <t>Camada impermeabilizadora e=10cm c/ seixo</t>
  </si>
  <si>
    <t>Camada regularizadora no traço 1:4</t>
  </si>
  <si>
    <t>Cerâmica anti-derrapante</t>
  </si>
  <si>
    <t>Lajota ceramica PEI-V</t>
  </si>
  <si>
    <t>Rodape ceramico</t>
  </si>
  <si>
    <t>Cerâmica 20x20cm</t>
  </si>
  <si>
    <t>Chapisco de cimento e areia no traço 1:3</t>
  </si>
  <si>
    <t>Fechadura para porta de banheiro</t>
  </si>
  <si>
    <t>Fechadura para porta interna</t>
  </si>
  <si>
    <t>Ferragens p/ porta de banheiro</t>
  </si>
  <si>
    <t>Ferragens p/ porta interna 1 fl.</t>
  </si>
  <si>
    <t>Vidro temperado incolor e= 8mm com ferragens</t>
  </si>
  <si>
    <t>Esquadria de alum.de correr c/ vidro e ferragens</t>
  </si>
  <si>
    <t>Grade de ferro em metalom  (incl. pint.anti-corrosiva)</t>
  </si>
  <si>
    <t>Porta de aço-esteira de enrolar c/ferr.(incl.pint.anti-corrosiva)</t>
  </si>
  <si>
    <t>Portão de ferro em metalom (incl. pintura anti corrosiva)</t>
  </si>
  <si>
    <t>Porta mad. compens. c/ caix. aduela e alizar</t>
  </si>
  <si>
    <t>Aplicação de Neutrol s/ concreto/alvenaria</t>
  </si>
  <si>
    <t>Imunização p/madeira c/carbolineum</t>
  </si>
  <si>
    <t>Calha em chapa galvanizada</t>
  </si>
  <si>
    <t>Cumeeira de barro</t>
  </si>
  <si>
    <t>Rincão em chapa galvanizada - l=1,0m</t>
  </si>
  <si>
    <t>Encaibramento e ripamento</t>
  </si>
  <si>
    <t>Tesoura em mad. de lei p/ vao de  6.0m</t>
  </si>
  <si>
    <t>Tesoura em mad. de lei p/ vao de  8.0m</t>
  </si>
  <si>
    <t>Alvenaria tijolo de barro a cutelo</t>
  </si>
  <si>
    <t>Concreto armado FCK=25MPA com forma aparente - 1 reaproveitamento</t>
  </si>
  <si>
    <t>Barracão de madeira (incl. instalações)</t>
  </si>
  <si>
    <t>Mobilização e Desmobilização de pessoal e equipamentos</t>
  </si>
  <si>
    <t>Placa da obra em chapa galvanizada</t>
  </si>
  <si>
    <t>Demolição de piso incl. camada impermeabilizadora</t>
  </si>
  <si>
    <t>Demolição manual de alvenaria de tijolo</t>
  </si>
  <si>
    <t>Retirada de esquadria sem aproveitamento</t>
  </si>
  <si>
    <t>Retirada de grade de ferro</t>
  </si>
  <si>
    <t>Retirada de louça sanitária</t>
  </si>
  <si>
    <t>Retirada de pilar de madeira</t>
  </si>
  <si>
    <t>Retirada de ponto de água/esgoto</t>
  </si>
  <si>
    <t>Retirada de ponto elétrico</t>
  </si>
  <si>
    <t>Retirada de reboco ou emboço</t>
  </si>
  <si>
    <t>Escavação manual ate 1.50m de profundidade</t>
  </si>
  <si>
    <t>Baldrame em concreto armado c/ cinta de amarração</t>
  </si>
  <si>
    <t>Bloco em concreto armado p/ fundaçao (incl. forma)</t>
  </si>
  <si>
    <t>PAREDES E PAINEIS:</t>
  </si>
  <si>
    <t>VIDROS</t>
  </si>
  <si>
    <t>INSTALAÇÕES ELÉTRICAS</t>
  </si>
  <si>
    <t>AGUA FRIA: TUBOS,VÁLVULAS E REGISTROS</t>
  </si>
  <si>
    <t>ESGOTO: TUBOS,FOSSAS,SUMIDOUROS E CAIXAS</t>
  </si>
  <si>
    <t>CONEXÕES (LS)</t>
  </si>
  <si>
    <t>OUTROS ELEMENTOS</t>
  </si>
  <si>
    <t>Quantidade</t>
  </si>
  <si>
    <t>Preço Unitario s/ BDI</t>
  </si>
  <si>
    <t>Preço Unitario c/ BDI</t>
  </si>
  <si>
    <t>Cod</t>
  </si>
  <si>
    <t>Un</t>
  </si>
  <si>
    <t>M E M Ó R I A   D E  C Á L C U L O</t>
  </si>
  <si>
    <t>1 - SERVIÇOS PREMILINARES</t>
  </si>
  <si>
    <t>1.1- Locação da Obra</t>
  </si>
  <si>
    <t>Descrição</t>
  </si>
  <si>
    <t>Comprimento</t>
  </si>
  <si>
    <t>Largura</t>
  </si>
  <si>
    <t>Area (m²)</t>
  </si>
  <si>
    <t>Bloco Novo 2</t>
  </si>
  <si>
    <t>TOTAL</t>
  </si>
  <si>
    <t>1.2 - Placa da obra</t>
  </si>
  <si>
    <t>Altura</t>
  </si>
  <si>
    <t>2 - DEMOLIÇÕES E RETIRADAS</t>
  </si>
  <si>
    <t>Espessura</t>
  </si>
  <si>
    <t>Paredes</t>
  </si>
  <si>
    <t>Bloco Antigo</t>
  </si>
  <si>
    <t>Volume (m³)</t>
  </si>
  <si>
    <t>Pilar Bloco Novo</t>
  </si>
  <si>
    <t>Pilar Circulação</t>
  </si>
  <si>
    <t>Bloco Novo</t>
  </si>
  <si>
    <t xml:space="preserve"> Circulação</t>
  </si>
  <si>
    <t>4 - FUNDAÇÃO</t>
  </si>
  <si>
    <t>4.1 - Bloco em Concreto Armado</t>
  </si>
  <si>
    <t>-</t>
  </si>
  <si>
    <t>5 - ESTRUTURA</t>
  </si>
  <si>
    <t>Espessura/ Comprimento</t>
  </si>
  <si>
    <t>Viga Bloco Novo</t>
  </si>
  <si>
    <t>6 - ALVENARIA</t>
  </si>
  <si>
    <t xml:space="preserve">6.1 Alvenaria tijolo a cutelo </t>
  </si>
  <si>
    <t>Blocos Novos</t>
  </si>
  <si>
    <t>Banheiros</t>
  </si>
  <si>
    <t>EMPENO</t>
  </si>
  <si>
    <t>Desconto dos Vãos (portas, janelas e balancin)</t>
  </si>
  <si>
    <t>7 - COBERTURA</t>
  </si>
  <si>
    <t>7.1 - Estrutura</t>
  </si>
  <si>
    <t>Bloco Novo 1</t>
  </si>
  <si>
    <t>7.2 - Telhamento</t>
  </si>
  <si>
    <t>7.2.1 - Cobertura -telha plan</t>
  </si>
  <si>
    <t>8 - IMPERMEABILIZAÇÃO</t>
  </si>
  <si>
    <t>8.2 - Imunização para madeira c/ carbolineum</t>
  </si>
  <si>
    <t>largura</t>
  </si>
  <si>
    <t>Cobertura</t>
  </si>
  <si>
    <t>9 - ESQUADRIAS</t>
  </si>
  <si>
    <t>9.1 - Madeira</t>
  </si>
  <si>
    <t>Quant.</t>
  </si>
  <si>
    <t>PNE</t>
  </si>
  <si>
    <t>Banheiro Prof.</t>
  </si>
  <si>
    <t>9.2 - Ferro</t>
  </si>
  <si>
    <t>Copa/Cozinha</t>
  </si>
  <si>
    <t xml:space="preserve">Acessos Primário </t>
  </si>
  <si>
    <t>Salas de Aulas</t>
  </si>
  <si>
    <t>Portas das Salas de Aulas</t>
  </si>
  <si>
    <t>9.3 - Outros Materiais</t>
  </si>
  <si>
    <t>9.3.1 - Esquadria de aluminio de correr c/ vidro e ferragens</t>
  </si>
  <si>
    <t>Mais Educ., AEE, Diret., Inform., Biblioteca, Coord.</t>
  </si>
  <si>
    <t>WC Prof.</t>
  </si>
  <si>
    <t>Face</t>
  </si>
  <si>
    <t>Alvenaria</t>
  </si>
  <si>
    <t>WC´s</t>
  </si>
  <si>
    <t>Wc Masc</t>
  </si>
  <si>
    <t>Ws Fem</t>
  </si>
  <si>
    <t>Circulação das salas de aulas</t>
  </si>
  <si>
    <t>Circulação Administrativa</t>
  </si>
  <si>
    <t>Patio (frente)</t>
  </si>
  <si>
    <t>Biblioteca</t>
  </si>
  <si>
    <t>Bloco  Antigo</t>
  </si>
  <si>
    <t>Area de Recreação</t>
  </si>
  <si>
    <t>Bloco Administrativo</t>
  </si>
  <si>
    <t>E.M.E.F. JOANA GOMES AMARAL</t>
  </si>
  <si>
    <t>OBRA: REFORMA E AMPLIAÇÃO</t>
  </si>
  <si>
    <t>3- MOVIMENTAÇÃO DE TERRA</t>
  </si>
  <si>
    <t>Pilar Bloco Antigo</t>
  </si>
  <si>
    <t>Muro Externo (Fundo)</t>
  </si>
  <si>
    <t>Blocos Adminstração</t>
  </si>
  <si>
    <t>Bloco Novo 3</t>
  </si>
  <si>
    <t>Mais Educ., AEE, Copa/cozinh, DML, Desp, Almox.</t>
  </si>
  <si>
    <t>Alvenaria Banheiro</t>
  </si>
  <si>
    <t>Sala Prfessor</t>
  </si>
  <si>
    <t>Copa</t>
  </si>
  <si>
    <t>Coordenação</t>
  </si>
  <si>
    <t>2.2 - Demol. de piso incl. camada imperm.</t>
  </si>
  <si>
    <t>2.3 - Demolição manual de alvenaria</t>
  </si>
  <si>
    <t>Janelas</t>
  </si>
  <si>
    <t>Portas</t>
  </si>
  <si>
    <t>2.4 - Retirada de Esquadria sem Aproveitamento</t>
  </si>
  <si>
    <t>2.5 - Retirada de grade de ferro</t>
  </si>
  <si>
    <t>2.10 - Retirada de reboco</t>
  </si>
  <si>
    <t>3.2 - Escavação manual</t>
  </si>
  <si>
    <t>1.1</t>
  </si>
  <si>
    <t>1.4</t>
  </si>
  <si>
    <t>1.5</t>
  </si>
  <si>
    <t>1.6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</si>
  <si>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</si>
  <si>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</si>
  <si>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</si>
  <si>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</si>
  <si>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</si>
  <si>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</si>
  <si>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</si>
  <si>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</si>
  <si>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</si>
  <si>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3.2</t>
  </si>
  <si>
    <t>4.1</t>
  </si>
  <si>
    <t>4.2</t>
  </si>
  <si>
    <t>5.1</t>
  </si>
  <si>
    <t>5.1.1</t>
  </si>
  <si>
    <t>6.1</t>
  </si>
  <si>
    <t>7.1</t>
  </si>
  <si>
    <t>7.1.1</t>
  </si>
  <si>
    <t>7.1.2</t>
  </si>
  <si>
    <t>7.1.3</t>
  </si>
  <si>
    <t>7.1.4</t>
  </si>
  <si>
    <t>7.2</t>
  </si>
  <si>
    <t>7.2.1</t>
  </si>
  <si>
    <t>7.3</t>
  </si>
  <si>
    <t>7.3.1</t>
  </si>
  <si>
    <t>7.3.2</t>
  </si>
  <si>
    <t>7.3.3</t>
  </si>
  <si>
    <t>8.1</t>
  </si>
  <si>
    <t>8.2</t>
  </si>
  <si>
    <t>9.1</t>
  </si>
  <si>
    <t>9.1.1</t>
  </si>
  <si>
    <t>9.2</t>
  </si>
  <si>
    <t>9.2.1</t>
  </si>
  <si>
    <t>9.2.2</t>
  </si>
  <si>
    <t>9.2.3</t>
  </si>
  <si>
    <t>9.3</t>
  </si>
  <si>
    <t>9.3.1</t>
  </si>
  <si>
    <t>10.1</t>
  </si>
  <si>
    <t>11.1</t>
  </si>
  <si>
    <t>11.1.1</t>
  </si>
  <si>
    <t>11.1.3</t>
  </si>
  <si>
    <t>11.1.4</t>
  </si>
  <si>
    <t>12.1</t>
  </si>
  <si>
    <t>12.2</t>
  </si>
  <si>
    <t>12.3</t>
  </si>
  <si>
    <t>12.4</t>
  </si>
  <si>
    <t>13.1</t>
  </si>
  <si>
    <t>14.1</t>
  </si>
  <si>
    <t>14.2</t>
  </si>
  <si>
    <t>14.3</t>
  </si>
  <si>
    <t>14.4</t>
  </si>
  <si>
    <t>14.5</t>
  </si>
  <si>
    <t>15.1</t>
  </si>
  <si>
    <t>15.2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</si>
  <si>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</si>
  <si>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</si>
  <si>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</si>
  <si>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</si>
  <si>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</si>
  <si>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</si>
  <si>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</si>
  <si>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</si>
  <si>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10 - VIDRO</t>
  </si>
  <si>
    <t>Biblioteca, Coordenação, Sala Prof., Secretaria, Direção, Inforn.</t>
  </si>
  <si>
    <t>17.1</t>
  </si>
  <si>
    <t>17.1.1</t>
  </si>
  <si>
    <t>17.1.2</t>
  </si>
  <si>
    <t>17.3</t>
  </si>
  <si>
    <t>17.3.1</t>
  </si>
  <si>
    <t>17.4</t>
  </si>
  <si>
    <t>18.1</t>
  </si>
  <si>
    <t>18.1.1</t>
  </si>
  <si>
    <t>18.1.2</t>
  </si>
  <si>
    <t>18.2</t>
  </si>
  <si>
    <t>18.2.1</t>
  </si>
  <si>
    <t>18.2.2</t>
  </si>
  <si>
    <t>18.2.3</t>
  </si>
  <si>
    <t>18.3</t>
  </si>
  <si>
    <t>19.1</t>
  </si>
  <si>
    <t>19.2</t>
  </si>
  <si>
    <t>19.3</t>
  </si>
  <si>
    <t>20.1</t>
  </si>
  <si>
    <t>20.2</t>
  </si>
  <si>
    <t>20.3</t>
  </si>
  <si>
    <t>20.4</t>
  </si>
  <si>
    <t>20.6</t>
  </si>
  <si>
    <t>20.7</t>
  </si>
  <si>
    <t>20.9</t>
  </si>
  <si>
    <t>20.10</t>
  </si>
  <si>
    <t>20.11</t>
  </si>
  <si>
    <t>20.12</t>
  </si>
  <si>
    <t>21.1</t>
  </si>
  <si>
    <t>22.1</t>
  </si>
  <si>
    <t>23.1</t>
  </si>
  <si>
    <t>24.1</t>
  </si>
  <si>
    <t>25.1</t>
  </si>
  <si>
    <t>26.1</t>
  </si>
  <si>
    <t xml:space="preserve">5.1.1 - Concreto Armado  fck=25MPa </t>
  </si>
  <si>
    <t>7.1.1 - Encaibramento e ripamento</t>
  </si>
  <si>
    <t>9.2.1 - Grade de Ferro em Metalon</t>
  </si>
  <si>
    <t xml:space="preserve">9.2.2 - Grade de enrolar </t>
  </si>
  <si>
    <t>9.2.3 - Portão de Ferro em Metalon</t>
  </si>
  <si>
    <t>12 - REVESTIMENTOS</t>
  </si>
  <si>
    <t>12.1 - Cerâmica</t>
  </si>
  <si>
    <t>12.2 - Chapisco</t>
  </si>
  <si>
    <t>12.3 - Emboço</t>
  </si>
  <si>
    <t>12.4 - Reboco</t>
  </si>
  <si>
    <t>14 - PISOS</t>
  </si>
  <si>
    <t>14.1 - Calçada</t>
  </si>
  <si>
    <t>14.2 - Camada Impermea</t>
  </si>
  <si>
    <t>14.3 - Camada Regularizadora</t>
  </si>
  <si>
    <t>14.5 - Lajota cerâmica 40x40 PEI V</t>
  </si>
  <si>
    <t>15.2- Forro em lambri de PVC</t>
  </si>
  <si>
    <t>15.1- Barroteamentoem mad. De lei</t>
  </si>
  <si>
    <t>16 - PINTURA</t>
  </si>
  <si>
    <t>16.1- Esmalte</t>
  </si>
  <si>
    <t>16.1.1 - Esmalte sobre grade de ferro</t>
  </si>
  <si>
    <t>16.1.2 - Esmalte sobre madeira c/ massa e selador</t>
  </si>
  <si>
    <t>16.2- Acrilica</t>
  </si>
  <si>
    <t>16.2.1 - Acrilica (sobre pintura antiga)</t>
  </si>
  <si>
    <t>16.2.2-Acrilica fosca int./ext. c/massa e selador - 3 demaos</t>
  </si>
  <si>
    <t>16.3 - Nova cor</t>
  </si>
  <si>
    <t>25 - URBANIZAÇÃO</t>
  </si>
  <si>
    <t>25.1 - Bloco de concreto intertravado e=9cm (incl. colchao de areia e rejuntamento)</t>
  </si>
  <si>
    <t>26 - LIMPEZA DA OBRA</t>
  </si>
  <si>
    <t>26.1 - Limpeza geral e entrega da obra</t>
  </si>
  <si>
    <t>4.2 - Baldrame em concreto armado c/ cinta de amarração</t>
  </si>
  <si>
    <t>Banheiros prof.</t>
  </si>
  <si>
    <t>Wc fem., Wc masc.</t>
  </si>
  <si>
    <t>Desp. Dml</t>
  </si>
  <si>
    <t>WC´s prof</t>
  </si>
  <si>
    <t>Cobertura - telha plan</t>
  </si>
  <si>
    <t xml:space="preserve">Emboço </t>
  </si>
  <si>
    <t xml:space="preserve">Reboco </t>
  </si>
  <si>
    <t>Porta</t>
  </si>
  <si>
    <t>Estrutura metálica - (Incl. pintura anti-corrosiva)</t>
  </si>
  <si>
    <t xml:space="preserve"> </t>
  </si>
  <si>
    <t>ITEM</t>
  </si>
  <si>
    <t>TAREFA OU SERVIÇO</t>
  </si>
  <si>
    <t>VALOR PARCIAL</t>
  </si>
  <si>
    <t>TEMPO DE EXECUÇÃO DA OBRA</t>
  </si>
  <si>
    <t>15 dias</t>
  </si>
  <si>
    <t>30 dias</t>
  </si>
  <si>
    <t>45 dias</t>
  </si>
  <si>
    <t>60 dias</t>
  </si>
  <si>
    <t>75 dias</t>
  </si>
  <si>
    <t>90 dias</t>
  </si>
  <si>
    <t>105 dias</t>
  </si>
  <si>
    <t>120 dias</t>
  </si>
  <si>
    <t>SERVIÇOS PRELIMINARES</t>
  </si>
  <si>
    <t>MOVIMENTO DE TERRA</t>
  </si>
  <si>
    <t>FUNDAÇÕES</t>
  </si>
  <si>
    <t>ESTRUTURA</t>
  </si>
  <si>
    <t>PAREDES E PAINEIS</t>
  </si>
  <si>
    <t>COBERTURA</t>
  </si>
  <si>
    <t>IMPERMEABILIZAÇÃO</t>
  </si>
  <si>
    <t>ESQUADRIAS</t>
  </si>
  <si>
    <t>FERRAGENS</t>
  </si>
  <si>
    <t>REVESTIMENTO</t>
  </si>
  <si>
    <t>RODAPE</t>
  </si>
  <si>
    <t>PISOS</t>
  </si>
  <si>
    <t>FORROS</t>
  </si>
  <si>
    <t>PINTURAS</t>
  </si>
  <si>
    <t>INSTALAÇÕES ELETRICA</t>
  </si>
  <si>
    <t>INSTALAÇÕES HIDROSSANITARIA</t>
  </si>
  <si>
    <t>APARELHOS, LOUÇAS, METAIS E ACESSORIOS SANTITÁRIOS</t>
  </si>
  <si>
    <t>INSTALAÇÃO DE PROTEÇÃO/ COMBATE AOINCÊNDIO</t>
  </si>
  <si>
    <t>URBANIZAÇÃO</t>
  </si>
  <si>
    <t>LIMPEZA FINAL</t>
  </si>
  <si>
    <t>TOTAL POR MÊS</t>
  </si>
  <si>
    <t>TOTAL GERAL</t>
  </si>
  <si>
    <t>SERRALHEIRA</t>
  </si>
  <si>
    <t>PEQUENAS OBRAS</t>
  </si>
  <si>
    <t>ELEMENTOS DE ESCOLAS</t>
  </si>
  <si>
    <t>LOCAL: BELA VISTA</t>
  </si>
  <si>
    <t>ESCOLA:  E.M.E.F. IZAURA DOMINGAS COSTA</t>
  </si>
  <si>
    <t>CRONOGRAMA FÍSICO-FINANCEIRO - EMEF IZAURA DOMINGAS COSTA - COMUNIDADE BELA VISTA</t>
  </si>
  <si>
    <t>Bloco Antigo 1</t>
  </si>
  <si>
    <t>Bloco Antigo 2</t>
  </si>
  <si>
    <t>Bloco Novo braldrame</t>
  </si>
  <si>
    <t>Mais Educ., AEE, Copa/cozinh, DML, Desp, Arquivo</t>
  </si>
  <si>
    <t>Desp., DML,Wc prof., Arquivo</t>
  </si>
  <si>
    <t>Circulação / refeitorio</t>
  </si>
  <si>
    <t>AEE, + Educação</t>
  </si>
  <si>
    <t>Wc Masc, Ws Fem</t>
  </si>
  <si>
    <t>informatica</t>
  </si>
  <si>
    <t>Secretaria</t>
  </si>
  <si>
    <t>Arquivo</t>
  </si>
  <si>
    <t>Direção</t>
  </si>
  <si>
    <t>Copa, DML, Despensa</t>
  </si>
  <si>
    <t>1.7</t>
  </si>
  <si>
    <t>Tapume c/ chapa de madeirit e=10mm (h=2.20m)</t>
  </si>
  <si>
    <t xml:space="preserve">Quadro magnético branco c/ apoio para apagador e pincéis e moldura em alumínio 3,15 x 1,25 m </t>
  </si>
  <si>
    <t>14.4 - Lajota cerâmica anti-derrapante PEI IV</t>
  </si>
  <si>
    <t>Despensa</t>
  </si>
  <si>
    <t>DML</t>
  </si>
  <si>
    <t>Plantio de grama (incl. terra preta)</t>
  </si>
  <si>
    <t>26.2 - Plantio em grama</t>
  </si>
  <si>
    <t>Urbanização externa</t>
  </si>
  <si>
    <t>Cobertura em policarbonato Incolor- Incl. estr. metálica</t>
  </si>
  <si>
    <t>7.2.2</t>
  </si>
  <si>
    <t>Locação da obra a trena</t>
  </si>
  <si>
    <t>Demolição da estrutura em madeira da cobertura</t>
  </si>
  <si>
    <t>Retirada de telhas de barro</t>
  </si>
  <si>
    <t>Reservatório em fibra de vidro  3.000 L</t>
  </si>
  <si>
    <t xml:space="preserve">Muro Externo </t>
  </si>
  <si>
    <t>RESUMO</t>
  </si>
  <si>
    <t xml:space="preserve">OBRA </t>
  </si>
  <si>
    <t>Total</t>
  </si>
  <si>
    <t>Valor (R$)</t>
  </si>
  <si>
    <t>(%)</t>
  </si>
  <si>
    <t>TOTAL DA OBRA</t>
  </si>
  <si>
    <t>RESUMO DE ORÇAMENTO</t>
  </si>
  <si>
    <t>SERVIÇOS</t>
  </si>
  <si>
    <t>VALOR (R$)</t>
  </si>
  <si>
    <t>%</t>
  </si>
  <si>
    <t>TOTAL GERAL C/ BDI</t>
  </si>
  <si>
    <t>COMPOSIÇÃO DE CUSTO UNITÁRIO</t>
  </si>
  <si>
    <t>SERVIÇO / DESCRIÇÃO</t>
  </si>
  <si>
    <t>UNID.</t>
  </si>
  <si>
    <t>PREÇO
UNIT. (R$)</t>
  </si>
  <si>
    <t>Qtd. / Coef.</t>
  </si>
  <si>
    <t>PREÇO Total (R$)</t>
  </si>
  <si>
    <t>BDI</t>
  </si>
  <si>
    <t>L. S</t>
  </si>
  <si>
    <t>M. OBRA</t>
  </si>
  <si>
    <t>MAT.</t>
  </si>
  <si>
    <t>CONCRETO NAO ESTRUTURAL, CONSUMO 150KG/M3</t>
  </si>
  <si>
    <t>m³</t>
  </si>
  <si>
    <t>PECA DE MADEIRA DE LEI *2,5 X 7,5* CM (1" X 3"), NÃO APARELHADA, (P/TELHADO)</t>
  </si>
  <si>
    <t>m</t>
  </si>
  <si>
    <t>PEçA DE MADEIRA NATIVA / REGIONAL 7,5 X 7,5CM (3X3) NAO APARELHADA (P/FORMA)</t>
  </si>
  <si>
    <t>PLACA DE OBRA (PARA CONSTRUCAO CIVIL) EM CHAPA GALVANIZADA</t>
  </si>
  <si>
    <t>m²</t>
  </si>
  <si>
    <t>PREGO POLIDO COM CABECA 18 X 30</t>
  </si>
  <si>
    <t>kg</t>
  </si>
  <si>
    <t>Carpinteiro</t>
  </si>
  <si>
    <t>H</t>
  </si>
  <si>
    <t>Servente</t>
  </si>
  <si>
    <t>Custo Direto</t>
  </si>
  <si>
    <t>LS(%): 148,42</t>
  </si>
  <si>
    <t>Valor Total c/ Taxas</t>
  </si>
  <si>
    <t>Instalações provisórias de água</t>
  </si>
  <si>
    <t>PEDREIRO</t>
  </si>
  <si>
    <t>CARPINTEIRO</t>
  </si>
  <si>
    <t>ENCANADOR</t>
  </si>
  <si>
    <t>SERVENTE</t>
  </si>
  <si>
    <t>U N</t>
  </si>
  <si>
    <t>Materiais para ligações provisórias de energia elétrica</t>
  </si>
  <si>
    <t>vb</t>
  </si>
  <si>
    <t>Eletricista</t>
  </si>
  <si>
    <t>Encanador</t>
  </si>
  <si>
    <t>Instalações provisórias de esgoto</t>
  </si>
  <si>
    <t>CONCRETO FCK=15MPA, PREPARO COM BETONEIRA, SEM LANCAMENTO</t>
  </si>
  <si>
    <t>M³</t>
  </si>
  <si>
    <t>PINHO DE TERCEIRA 1" X 12" E 1" X 9"</t>
  </si>
  <si>
    <t>M²</t>
  </si>
  <si>
    <t>PISO CIMENTADO E=1,5CM C/ARGAMASSA 1:3 CIMENTO AREIA ALISADO COLHER SOBRE BASE EXISTENTE.</t>
  </si>
  <si>
    <t>LANCAMENTO/APLICACAO MANUAL DE CONCRETO EM ESTRUTURAS</t>
  </si>
  <si>
    <t>CHAPA DE MADEIRA COMPENSADA PLASTIFICADA PARA FORMA DE CONCRETO, DE *2,44 X 1,22* M, E = 10 MM</t>
  </si>
  <si>
    <t>CONJUNTO ARRUELAS DE VEDACAO 5/16" PARA TELHA FIBROCIMENTO (UMA ARRUELA METALICA E UMA ARRUELA PVC - CONICAS)</t>
  </si>
  <si>
    <t>DISJUNTOR TIPO NEMA, MONOPOLAR 10 ATE 30A</t>
  </si>
  <si>
    <t>PECA DE MADEIRA NATIVA/REGIONAL 7,5 X 12,50 CM (3X5") NÃO APARELHADA (P/FORMA)</t>
  </si>
  <si>
    <t>PECA DE MADEIRA NATIVA / REGIONAL 7,5 X 7,5CM (3X3) NAO APARELHADA
(P/FORMA)</t>
  </si>
  <si>
    <t>KG</t>
  </si>
  <si>
    <t>CADEADO LATAO CROMADO H = 35MM / 5 PINOS / HASTE CROMADA H = 30MM</t>
  </si>
  <si>
    <t>PORTA CADEADO ZINCADO OXIDADO PRETO</t>
  </si>
  <si>
    <t>TELHA DE FIBROCIMENTO ONDULADA E = 6 MM, DE *2,44 X 1,10* M (SEM AMIANTO)</t>
  </si>
  <si>
    <t>VIDRO LISO INCOLOR 3 MM - SEM COLOCACAO</t>
  </si>
  <si>
    <t>PORTA DE MADEIRA SEMI-OCA, FOLHA LISA PARA PINTURA *80 X 210 X 3,5* CM</t>
  </si>
  <si>
    <t>TABUA MADEIRA 3A QUALIDADE 2,5 X 23,0CM (1 X 9") NAO APARELHADA</t>
  </si>
  <si>
    <t>CANTONEIRA ACO ABAS IGUAIS (QUALQUER BITOLA), E = 1/8 "</t>
  </si>
  <si>
    <t>PARAFUSO ROSCA SOBERBA ZINCADO CABECA CHATA FENDA SIMPLES 3,8 X 30 MM (1.1/4 ")</t>
  </si>
  <si>
    <t>DOBRADICA FERRO POLIDO OU GALV 3 X 3" E=2MM</t>
  </si>
  <si>
    <t>FECHADURA SOBREPOR FERRO PINTADO CHAVE GRANDE</t>
  </si>
  <si>
    <t>FIO/CORDAO COBRE ISOLADO PARALELO OU TORCIDO 2 X 2,5MM2, TIPO PLASTIFLEX PIRELLI OU EQUIV</t>
  </si>
  <si>
    <t>INTERRUPTOR SOBREPOR 1 TECLA SIMPLES, TIPO SILENTOQUE PIAL OU EQUIV</t>
  </si>
  <si>
    <t>TOMADA SOBREPOR 2P UNIVERSAL 10A/250V, TIPO SILENTOQUE PIAL OU EQUIV</t>
  </si>
  <si>
    <t>BOCAL/SOQUETE/RECEPTACULO DE PORCELANA</t>
  </si>
  <si>
    <t>GLOBO ESFERICO DE VIDRO LISO TAMANHO MEDIO</t>
  </si>
  <si>
    <t>FITA ISOLANTE ADESIVA ANTI-CHAMA EM ROLOS 19MM X 5M</t>
  </si>
  <si>
    <t>SERRALHEIRO</t>
  </si>
  <si>
    <t>ELETRICISTA</t>
  </si>
  <si>
    <t>AUXILIAR DE SERRALHEIRO</t>
  </si>
  <si>
    <t>ARAME RECOZIDO 18 BWG, 1,25 MM (0,01 KG/M)</t>
  </si>
  <si>
    <t>Kg</t>
  </si>
  <si>
    <t>PECA DE MADEIRA NATIVA / REGIONAL 7,5 X 7,5CM (3X3) NAO APARELHADA (P/FORMA)</t>
  </si>
  <si>
    <t>PREGO POLIDO COM CABECA 18 X 27</t>
  </si>
  <si>
    <t>Sondagem do terreno</t>
  </si>
  <si>
    <t>CAL HIDRATADA CH-I PARA ARGAMASSAS</t>
  </si>
  <si>
    <t>CHAPA DE MADEIRA COMPENSADA RESINADA PARA FORMA DE CONCRETO, DE *2,2 X 1,1* M, E = 6 MM</t>
  </si>
  <si>
    <t>OLEO DE LINHACA</t>
  </si>
  <si>
    <t>L</t>
  </si>
  <si>
    <t>PINTOR</t>
  </si>
  <si>
    <t>CONCRETO NAO ESTRUTURAL, CONSUMO 150KG/M3, PREPARO COM BETONEIRA, SEM LANCAMENTO</t>
  </si>
  <si>
    <t>DESMOLDANTE PROTETOR PARA FORMAS DE MADEIRA</t>
  </si>
  <si>
    <t>PECA DE MADEIRA NATIVA/REGIONAL 2,5 X 7,0 CM (SARRAFO-P/FORMA)</t>
  </si>
  <si>
    <t>TABUA MADEIRA 2A QUALIDADE 2,5 X 30,0CM (1 X 12") NAO APARELHADA</t>
  </si>
  <si>
    <t>ACO CA-50, 10,0 MM, VERGALHAO</t>
  </si>
  <si>
    <t>kG</t>
  </si>
  <si>
    <t>FERREIRO</t>
  </si>
  <si>
    <t>AJUDANTE</t>
  </si>
  <si>
    <t>VIBRADOR DE IMERSAO C/ MOTOR ELETRICO 2HP MON.</t>
  </si>
  <si>
    <t xml:space="preserve">M </t>
  </si>
  <si>
    <t>Forma em chapa de madeira compensada plastificada- Pilares</t>
  </si>
  <si>
    <t>4.9</t>
  </si>
  <si>
    <t xml:space="preserve">ARGAMASSA TRAÇO 1:2:8 (CIMENTO, CAL E AREIA MÉDIA) </t>
  </si>
  <si>
    <t>5.3</t>
  </si>
  <si>
    <t>5.4</t>
  </si>
  <si>
    <t>5.5</t>
  </si>
  <si>
    <t>5.6</t>
  </si>
  <si>
    <t>Porta de Madeira - PM1 - 70x210, folha lisa com chapa metalica, incluso ferragens, conforme projeto de esquadrias</t>
  </si>
  <si>
    <t>6.2</t>
  </si>
  <si>
    <t>Porta de Madeira - PM2 - 80x210, com veneziana, incluso ferragens, conforme projeto de esquadrias</t>
  </si>
  <si>
    <t>6.3</t>
  </si>
  <si>
    <t>Porta de Madeira - PM3 - 80x210, barra e chapa metálica, incluso ferragens, conforme projeto de esquadrias</t>
  </si>
  <si>
    <t>6.4</t>
  </si>
  <si>
    <t>Porta de Madeira - PM4 - 80x210, folha lisa com chapa metalica, incluso ferragens, conforme projeto de esquadrias</t>
  </si>
  <si>
    <t>6.5</t>
  </si>
  <si>
    <t>Porta de Madeira - PM5 - 80x210, com barra e chapa metálica e visor, incluso ferragens, conforme projeto de esquadrias</t>
  </si>
  <si>
    <t>6.6</t>
  </si>
  <si>
    <t>Porta de compesando de madeira - PM6 - 60x100, folha lisa revestida com laminado melamínico, incluso ferragens, conforme projeto de esquadrias</t>
  </si>
  <si>
    <t>6.7</t>
  </si>
  <si>
    <t>6.8</t>
  </si>
  <si>
    <t xml:space="preserve">FECHADURA EMBUTIR P/PORTA INTERNA, COMPLETA </t>
  </si>
  <si>
    <t>VIDRACEIRO</t>
  </si>
  <si>
    <t>6.16</t>
  </si>
  <si>
    <t>Porta de Vidro temperado - PV1 - 175x230, com ferragens, conforme projeto de esquadrias</t>
  </si>
  <si>
    <t>6.18</t>
  </si>
  <si>
    <t>6.23</t>
  </si>
  <si>
    <t>CIMENTO</t>
  </si>
  <si>
    <t>6.34</t>
  </si>
  <si>
    <t>Tela de nylon de proteção- fixada na esquadria</t>
  </si>
  <si>
    <t>MONTADOR</t>
  </si>
  <si>
    <t>6.35</t>
  </si>
  <si>
    <t>Vidro liso temperado incolor, espessura 6mm- fornecimento e instalação</t>
  </si>
  <si>
    <t>6.36</t>
  </si>
  <si>
    <t>Vidro liso temperado incolor, espessura 10mm- fornecimento e instalação</t>
  </si>
  <si>
    <t>u n</t>
  </si>
  <si>
    <t>Chapa de aço perfurada, inclusive pintura - fornecimento e instalação</t>
  </si>
  <si>
    <t>ESTRUTURA METÁLICA</t>
  </si>
  <si>
    <t>CALHA CHAPA GALVANIZADA NUM 24 L = 50CM</t>
  </si>
  <si>
    <t>REBITE DE ALUMINIO VAZADO DE REPUXO, 3,2 X 8 MM</t>
  </si>
  <si>
    <t>SOLDA 50/50</t>
  </si>
  <si>
    <t>TELHADISTA</t>
  </si>
  <si>
    <t>ARGAMASSA COLANTE AC I PARA CERAMICAS</t>
  </si>
  <si>
    <t>REJUNTE COLORIDO</t>
  </si>
  <si>
    <t>Roda meio em madeira (largura=10cm)</t>
  </si>
  <si>
    <t>Forro mineral</t>
  </si>
  <si>
    <t>ARGAMASSA TRAÇO 1:4 (CIMENTO E AREIA MÉDIA) PARA CONTRAPISO</t>
  </si>
  <si>
    <t>ADESIVO PARA ARGAMASSAS E CHAPISCOS</t>
  </si>
  <si>
    <t>Passeio em concreto desempenado com junta plastica a cada 1,20m, e=7cm</t>
  </si>
  <si>
    <t>Rampa de acesso em concreto não estrutural</t>
  </si>
  <si>
    <t>Tubo de descarga VDE 38mm</t>
  </si>
  <si>
    <t>Tubo de ligação latao cromado com canopla para vaso sanitario</t>
  </si>
  <si>
    <t>Bucha de redução sold. curta 75mm - 60mm, fornecimento e instalação</t>
  </si>
  <si>
    <t>Tê soldavel com bucha latão bolsa central  - 25mm - 3/4", fornecimento e instalação</t>
  </si>
  <si>
    <t>Joelho 90 soldavel com rosca 20mm - 1/2'', fornecimento e instalação</t>
  </si>
  <si>
    <t>Tubo aletado 1/2", fornecimento e instalação</t>
  </si>
  <si>
    <t xml:space="preserve">m </t>
  </si>
  <si>
    <t>Ralo hemisférico (formato abacaxi) de ferro fundido, Ø100mm</t>
  </si>
  <si>
    <t>Terminal de Ventilação Série Normal 50mm</t>
  </si>
  <si>
    <t>CAIXA DE INSPEÇÃO ESGOTO</t>
  </si>
  <si>
    <t>CAIXA DE PASSAGEM MODULADA</t>
  </si>
  <si>
    <t>ARMADOR</t>
  </si>
  <si>
    <t>POCEIRO</t>
  </si>
  <si>
    <t>Fossa séptica 2,30 x 2,30 m</t>
  </si>
  <si>
    <t>Banheira Embutir em plástico tipo PVC, 77x45x20cm, Burigotto ou equivalente</t>
  </si>
  <si>
    <t>Torneira elétrica LorenEasy, LORENZETTI ou equivalente</t>
  </si>
  <si>
    <t>Torneira elétrica Fortti Maxi, com mangueira plastica, código 79004, LORENZETTI ou equivalente</t>
  </si>
  <si>
    <t>Abrigo para Central de GLP, em concreto</t>
  </si>
  <si>
    <t>Fita anticorrosiva 5cmx30m (2 camadas)</t>
  </si>
  <si>
    <t>Válvula esfera Ø 3/4" NPT 300</t>
  </si>
  <si>
    <t>União 3/4" NPT 300</t>
  </si>
  <si>
    <t>Niple 3/4" NPT 300</t>
  </si>
  <si>
    <t>Niple 1/2" NPT 300</t>
  </si>
  <si>
    <t>Niple 1/4" NPT 300</t>
  </si>
  <si>
    <t>Redução 1/2" x 1/4"</t>
  </si>
  <si>
    <t>Luva de redução 3/4 x 1/2"</t>
  </si>
  <si>
    <t>Luva de redução 1/4" x 1/2"</t>
  </si>
  <si>
    <t>Joelho 1/2" NPT 300</t>
  </si>
  <si>
    <t>Regulador 1º estagio com manometro</t>
  </si>
  <si>
    <t>Manômetro NPT 1/4", 0 a 300 psi</t>
  </si>
  <si>
    <t>Mangueira Flexivel</t>
  </si>
  <si>
    <t>Adaptador storz - roscas internas 2 1/2"</t>
  </si>
  <si>
    <t>Chave para conexão de mangueira tipo stroz engate rápido - dupla 1 1/2" x 1 1/2"</t>
  </si>
  <si>
    <t>Esguicho jato solido 1 1/2" 16mm</t>
  </si>
  <si>
    <t>Mangueiras 1 1/2" 16mm</t>
  </si>
  <si>
    <t>Niple paralelo em ferro maleavél 2 1/2"</t>
  </si>
  <si>
    <t>Redução giratória tipo Storz - 2 1/2 x 1 1/2"</t>
  </si>
  <si>
    <t>Registro globo 2 1/2" 45º</t>
  </si>
  <si>
    <t>Tampão cego com corrente tipo storz 1 1/2"</t>
  </si>
  <si>
    <t>Luminária de emergência com lampada fluorescente 9W de 1 hora</t>
  </si>
  <si>
    <t>Quadro de Distribuição de embutir, completo, (para 08 disjuntores monopolares, com barramento para as fases, neutro e para proteção, metálico, pintura eletrostática epóxi cor bege, c/ porta, trinco e acessórios)</t>
  </si>
  <si>
    <t>Quadro de Distribuição de embutir, completo, (para 18 disjuntores monopolares, com barramento para as fases, neutro e para proteção, metálico, pintura eletrostática epóxi cor bege, c/ porta, trinco e acessórios)</t>
  </si>
  <si>
    <t>Quadro de Distribuição de embutir, completo, (para 24 disjuntores monopolares, com barramento para as fases, neutro e para proteção, metálico, pintura eletrostática epóxi cor bege, c/ porta, trinco e acessórios)</t>
  </si>
  <si>
    <t>Quadro de medição - fornecimento e instalação</t>
  </si>
  <si>
    <t>Dispositivo de proteção contra surto - 175V - 40KA</t>
  </si>
  <si>
    <t>Dispositivo de proteção contra surto - 175V - 80KA</t>
  </si>
  <si>
    <t>Canaleta PVC lisa 50x80mm - fornecimento e instalação</t>
  </si>
  <si>
    <t>Caixa de passagem 30x30cm em alvenaria com tampa de ferro fundido tipo leve</t>
  </si>
  <si>
    <t>Caixa de passagem 40x40cm em alvenaria com tampa de ferro fundido tipo leve</t>
  </si>
  <si>
    <t>Eletrocalha lisa tipo U 100x100mm com tampa, inclusive conexões</t>
  </si>
  <si>
    <t>Eletrocalha lisa tipo U 100x50mm com tampa, inclusive conexões</t>
  </si>
  <si>
    <t>Eletrocalha lisa tipo U 150x50mm com tampa, inclusive conexões</t>
  </si>
  <si>
    <t>Eletrocalha lisa tipo U 200x50mm com tampa, inclusive conexões</t>
  </si>
  <si>
    <t>Eletrocalha lisa tipo U 300x75mm com tampa, inclusive conexões</t>
  </si>
  <si>
    <t>Eletrocalha lisa tipo U 500x50mm com tampa, inclusive conexões</t>
  </si>
  <si>
    <t>Eletrocalha lisa tipo U 50x50mm com tampa, inclusive conexões</t>
  </si>
  <si>
    <t>Eletrocalha lisa tipo U 75x75mm com tampa, inclusive conexões</t>
  </si>
  <si>
    <t>Suporte vertical eletrocalha 120x146mm</t>
  </si>
  <si>
    <t>Tala plana perfurada 50mm</t>
  </si>
  <si>
    <t>Tala plana perfurada 75mm</t>
  </si>
  <si>
    <t>Projetor com lâmpada de vapor metálico 150W</t>
  </si>
  <si>
    <t>Projetor com lâmpada de vapor metálico 250W</t>
  </si>
  <si>
    <t>Patch Panel 19" - 24 portas, Categoria 6</t>
  </si>
  <si>
    <t>Switch de 24 portas</t>
  </si>
  <si>
    <t>Switch de 48 portas</t>
  </si>
  <si>
    <t>Bloco 110 para rack 19” 100 pares</t>
  </si>
  <si>
    <t>Guia de Cabos Vertical, fechado</t>
  </si>
  <si>
    <t>Cabo UTP Categoria 5e</t>
  </si>
  <si>
    <t>Cabo UTP -6 (24AWG)</t>
  </si>
  <si>
    <t>Cabo coaxial</t>
  </si>
  <si>
    <t>Cabos de conexões – Patch cord categoria 6 - 2,5 metros</t>
  </si>
  <si>
    <t>Plugue 100 IDC - 4 pares</t>
  </si>
  <si>
    <t>Tomada modular RJ-45 Categoria 6</t>
  </si>
  <si>
    <t>Placa 2x4" 1 modulo RJ45</t>
  </si>
  <si>
    <t>Conector de TV Tipo F (Coaxial)</t>
  </si>
  <si>
    <t>Placa 2x4" para TV/SAT</t>
  </si>
  <si>
    <t>Central PABX 50/300</t>
  </si>
  <si>
    <t>Eletrocalha lisa com tampa 100 x 100 mm, inclusive conexões</t>
  </si>
  <si>
    <t>Eletrocalha lisa com tampa 50 x 50 mm, inclusive conexões</t>
  </si>
  <si>
    <t>Coifa de Centro em Aço Inox de 1200x900x600mm</t>
  </si>
  <si>
    <t>Duto de ligação 1000 X 0.80mm</t>
  </si>
  <si>
    <t>Chapéu chines em aluminio</t>
  </si>
  <si>
    <t>Vergalhão CA - 25 # 10 mm2</t>
  </si>
  <si>
    <t>Conector mini-gar em bronze estanhado Tel-583</t>
  </si>
  <si>
    <t>Parafuso fenda em aço inox 4,2 x 32mm e bucha de nylon</t>
  </si>
  <si>
    <t>cj</t>
  </si>
  <si>
    <t>Presilha em latão</t>
  </si>
  <si>
    <t>Caixa de equalização de potências 200x200mm em aço com barramento, expessura 6 mm</t>
  </si>
  <si>
    <t>Caixa de inspeção, PVC de 12", com tampa de ferro fundido,conforme detalhe no projeto</t>
  </si>
  <si>
    <t>Conector de bronze para haste de 5/8" e cabo de 50 mm²</t>
  </si>
  <si>
    <t>Conjunto de mastros para bandeiras em tubo ferro galvanizado telescópico (alt= 7m (3mx2" + 4mx1 1/2")</t>
  </si>
  <si>
    <t>Bancada em granito cinza andorinha - espessura 2cm, conforme projeto</t>
  </si>
  <si>
    <t>Prateleira, acabamentos em granito cinza andorinha - espessura 2cm, conforme projeto</t>
  </si>
  <si>
    <t>Prateleiras e escaninhos em mdf</t>
  </si>
  <si>
    <t>Bancos de concreto</t>
  </si>
  <si>
    <t>Banco e acabamento em granito</t>
  </si>
  <si>
    <t>Peitoril em granito cinza, largura=17,00cm espessura variável e pingadeira</t>
  </si>
  <si>
    <t>Guarda corpo de 1m de altura</t>
  </si>
  <si>
    <t>Chapa de aço carbono de alta resistência a corrosão e de qualidade estrutural e solda interna e externa, para confecção do reservatorioconforme projeto</t>
  </si>
  <si>
    <t>Sistema de ancoragem com 5 nichos, conforme projeto</t>
  </si>
  <si>
    <t>PREFEITURA MUNICIPAL DE BAIÃO</t>
  </si>
  <si>
    <t>OBRA: ONSTRUÇÃO DE 01 (UMA) UNIDADE DE ENSINO INFANTIL PROINFÂNCIA – TIPO 1</t>
  </si>
  <si>
    <t>LOCAL: BAIRRO MULTIRÃO  NA SEDE</t>
  </si>
  <si>
    <t>PRAZO DE EXECUÇÃO: 10 MESES</t>
  </si>
  <si>
    <t>PLANILHA DE QUANTIDADES E PREÇOS</t>
  </si>
  <si>
    <t>cod</t>
  </si>
  <si>
    <t>DESCRIÇÃO DOS SERVIÇOS</t>
  </si>
  <si>
    <t>QUANT.</t>
  </si>
  <si>
    <t>UNT.</t>
  </si>
  <si>
    <t>UNIT.</t>
  </si>
  <si>
    <t>SERVIÇOS PRLIMINARES</t>
  </si>
  <si>
    <t>74209/1</t>
  </si>
  <si>
    <t>Placa da obra - padrão Governo Federal</t>
  </si>
  <si>
    <t>C40066</t>
  </si>
  <si>
    <t>1.2</t>
  </si>
  <si>
    <t>Instalação provisória de água</t>
  </si>
  <si>
    <t>73960/1</t>
  </si>
  <si>
    <t>1.3</t>
  </si>
  <si>
    <t>Instalação provisória de energia elétrica em baixa tensão</t>
  </si>
  <si>
    <t>C2849</t>
  </si>
  <si>
    <t>73805/1</t>
  </si>
  <si>
    <t>Barracões provisórios (depósito, escritório, vestiário e refeitório) com piso cimentado</t>
  </si>
  <si>
    <t>74077/2</t>
  </si>
  <si>
    <t>Locação da obra (execução de gabarito)</t>
  </si>
  <si>
    <t>C2290</t>
  </si>
  <si>
    <t>Sondagem do terreno ( um furo de 7m a cada 200 m²)</t>
  </si>
  <si>
    <t>74220/1</t>
  </si>
  <si>
    <t>1.8</t>
  </si>
  <si>
    <t>Tapume de chapa de madeira compensada, 6mm (40x2,00m, frente do terreno)</t>
  </si>
  <si>
    <t>MOVIMENTO DE TERRAS PARA FUNDAÇÕES</t>
  </si>
  <si>
    <t>2.1</t>
  </si>
  <si>
    <t>Aterro apiloado em camadas de 0,20 m com material argilo - arenoso (entre baldrames)</t>
  </si>
  <si>
    <t>79517/1</t>
  </si>
  <si>
    <t>Escavação manual de valas em qualquer terreno exceto rocha até h=1,50 m</t>
  </si>
  <si>
    <t>76444/1</t>
  </si>
  <si>
    <t>Regularização e compactação do fundo de valas</t>
  </si>
  <si>
    <t>Reaterro apiloado de vala com material da obra</t>
  </si>
  <si>
    <t>MURETA</t>
  </si>
  <si>
    <t>CASTELO D'ÁGUA</t>
  </si>
  <si>
    <t/>
  </si>
  <si>
    <t>FUNDAÇÃO</t>
  </si>
  <si>
    <t>CONCRETO ARMADO PARA FUNDAÇÕES - SAPATAS</t>
  </si>
  <si>
    <t>73907/6</t>
  </si>
  <si>
    <t>3.1</t>
  </si>
  <si>
    <t>Lastro de concreto magro (e=3,0 cm) - preparo mecânico</t>
  </si>
  <si>
    <t>74007/1</t>
  </si>
  <si>
    <t>Forma de madeira comum para Fundações - reaproveitamento 10X</t>
  </si>
  <si>
    <t>74254/2</t>
  </si>
  <si>
    <t>3.3</t>
  </si>
  <si>
    <t>Armação aço CA-50, Diam. 6,3 (1/4) á 12,5mm(1/2) - Fornecimento / corte perda de 10%) / dobra / colocação.</t>
  </si>
  <si>
    <t>73942/2</t>
  </si>
  <si>
    <t>3.4</t>
  </si>
  <si>
    <t>Armação de aço CA-60 Diam. 3,4 a 6,0mm-Fornecimento/corte perda de 10%) / dobra / colocação.</t>
  </si>
  <si>
    <t>74138/3</t>
  </si>
  <si>
    <t>3.5</t>
  </si>
  <si>
    <t>Concreto para Fundação fck=25MPa, incluindo preparo, lançamento, adensamento.</t>
  </si>
  <si>
    <t>CONCRETO ARMADO PARA FUNDAÇÕES - VIGAS BALDRAMES</t>
  </si>
  <si>
    <t>3.6</t>
  </si>
  <si>
    <t>3.7</t>
  </si>
  <si>
    <t>3.8</t>
  </si>
  <si>
    <t>3.9</t>
  </si>
  <si>
    <t>FUNDAÇÃO DO CASTELO D'ÁGUA</t>
  </si>
  <si>
    <t>74156/2</t>
  </si>
  <si>
    <t>3.10</t>
  </si>
  <si>
    <t>Estaca a trado (broca) d=30 cm com concreto fck=15 Mpa (sem armação) - 7 m</t>
  </si>
  <si>
    <t>3.11</t>
  </si>
  <si>
    <t>Corte e reparo em cabeça de estaca</t>
  </si>
  <si>
    <t>3.12</t>
  </si>
  <si>
    <t>Lastro de concreto magro, e=3,0 cm-reparo mecânico</t>
  </si>
  <si>
    <t>3.13</t>
  </si>
  <si>
    <t>73990/1</t>
  </si>
  <si>
    <t>3.14</t>
  </si>
  <si>
    <t>Armação aço CA-50, para 1,0 m³ de concreto</t>
  </si>
  <si>
    <t>3.15</t>
  </si>
  <si>
    <t>MURETA - BLOCOS</t>
  </si>
  <si>
    <t>3.16</t>
  </si>
  <si>
    <t>3.17</t>
  </si>
  <si>
    <t>3.18</t>
  </si>
  <si>
    <t>3.19</t>
  </si>
  <si>
    <t>3.20</t>
  </si>
  <si>
    <t>3.21</t>
  </si>
  <si>
    <t>MURETA - VIGA BALDRAME</t>
  </si>
  <si>
    <t>3.22</t>
  </si>
  <si>
    <t>3.23</t>
  </si>
  <si>
    <t>3.24</t>
  </si>
  <si>
    <t>3.25</t>
  </si>
  <si>
    <t xml:space="preserve">SUPERESTRUTURA </t>
  </si>
  <si>
    <t>CONCRETO ARMADO - PILARES</t>
  </si>
  <si>
    <t>4.3</t>
  </si>
  <si>
    <t>4.4</t>
  </si>
  <si>
    <t>Concreto Bombeado fck=25MPa, incluindo preparo, lançamento e adensamento.</t>
  </si>
  <si>
    <t>CONCRETO ARMADO - VIGAS</t>
  </si>
  <si>
    <t>4.5</t>
  </si>
  <si>
    <t>Forma madeira comp. plastificada 12mm p/ Estrutura corte/ Montagem/ Escoramento/ Desforma- Vigas</t>
  </si>
  <si>
    <t>4.6</t>
  </si>
  <si>
    <t>Armação aço CA-50, Diam. 6,3 (1/4) á 12,5mm(1/2) -Fornecimento/corte perda de 10%) / dobra / colocação.</t>
  </si>
  <si>
    <t>4.7</t>
  </si>
  <si>
    <t>4.8</t>
  </si>
  <si>
    <t>CONCRETO ARMADO PARA VERGAS</t>
  </si>
  <si>
    <t>Verga e contravergas pré-moldada em concreto armado fck 15Mpa - 10x10cm, conforme projeto.</t>
  </si>
  <si>
    <t>CONCRETO ARMADO - MURETA - PILARES</t>
  </si>
  <si>
    <t>4.10</t>
  </si>
  <si>
    <t>Forma madeira comp. plastificada 12mm p/ Estrutura corte/ Montagem/ Escoramento/ Desforma</t>
  </si>
  <si>
    <t>4.11</t>
  </si>
  <si>
    <t>4.12</t>
  </si>
  <si>
    <t>4.13</t>
  </si>
  <si>
    <t>SISTEMA DE VEDAÇÃO VERTICAL INTERNO E EXTERNO (PAREDES)</t>
  </si>
  <si>
    <t>ELEMENTOS VAZADOS</t>
  </si>
  <si>
    <t>73937/4</t>
  </si>
  <si>
    <t>Cobogó de concreto (elemento vazado) - (6x40x40cm) assentado com argamassa traço 1:4 (cimento, areia)</t>
  </si>
  <si>
    <t>ALVENARIA - VEDAÇÃO</t>
  </si>
  <si>
    <t>5.2</t>
  </si>
  <si>
    <t>Alvenaria de vedação de 1/2 vez em tijolos cerâmicos de 08 furos (dimensões nominais: 19x19x09); assentamento em argamassa no traço 1:2:8 (cimento, cal e areia)</t>
  </si>
  <si>
    <t>73935/2</t>
  </si>
  <si>
    <t>Alvenaria de vedação de 1 vez em tijolos cerâmicos de 08 furos (dimensões nominais: 19x19x09); assentamento em argamassa no traço 1:2:8 (cimento, cal e areia)</t>
  </si>
  <si>
    <t>Alvenaria de vedação horizontal em tijolos cerâmicos 06 furos Dimensões nominais: 9x14x19); assentamento em argamassa no traço 1:2:8 (cimento, cal e areia)</t>
  </si>
  <si>
    <t>73988/1</t>
  </si>
  <si>
    <t>Encunhamento (aperto de alvenaria) em tijolo cerâmicos maciços 5x10x20cm 1 vez (esp. 20cm), assentamento c/ argamassa traço1:6 (cimento e areia)</t>
  </si>
  <si>
    <t>Divisória de banheiros e sanitários em granito com espessura de 2cm polido assentado com argamassa traço 1:4</t>
  </si>
  <si>
    <t>ALVENARIA DA MURETA</t>
  </si>
  <si>
    <t>5.7</t>
  </si>
  <si>
    <t>PORTAS DE MADEIRA</t>
  </si>
  <si>
    <t>73910/3</t>
  </si>
  <si>
    <t>73906/3</t>
  </si>
  <si>
    <t>73910/5</t>
  </si>
  <si>
    <t>MERCADO</t>
  </si>
  <si>
    <t>Chapa metálica (alumínio) 0,8*0,5x 1mm para as portas - fornecimento e instalação</t>
  </si>
  <si>
    <t>FERRAGENS E ACESSÓRIOS</t>
  </si>
  <si>
    <t>74070/4</t>
  </si>
  <si>
    <t>Fechadura de embutir completa, para portas internas</t>
  </si>
  <si>
    <t>PORTAS EM ALUMÍNIO</t>
  </si>
  <si>
    <t>74071/2</t>
  </si>
  <si>
    <t>6.9</t>
  </si>
  <si>
    <t>Porta de abrir - PA1 - 100x210 em chapa de alumínio com veneziana- conforme projeto de esquadrias, inclusive ferragens</t>
  </si>
  <si>
    <t>6.10</t>
  </si>
  <si>
    <t>Porta de abrir - PA2 - 80x210 em chapa de alumínio com veneziana- conforme projeto de esquadrias, inclusive ferragens</t>
  </si>
  <si>
    <t>6.11</t>
  </si>
  <si>
    <t>Porta de abrir - PA3 - 160x210 em chapa de alumínio com veneziana- conforme projeto de esquadrias, inclusive ferragens</t>
  </si>
  <si>
    <t>73838/1</t>
  </si>
  <si>
    <t>6.12</t>
  </si>
  <si>
    <t>Porta de correr  - PA4 - 450x210 conforme projeto de esquadrias, inclusive ferragens</t>
  </si>
  <si>
    <t>6.13</t>
  </si>
  <si>
    <t>Porta de correr  - PA5 - 240x210 com vidro - conforme projeto de esquadrias, inclusive ferragens</t>
  </si>
  <si>
    <t>74071/1</t>
  </si>
  <si>
    <t>6.14</t>
  </si>
  <si>
    <t>Porta de abrir - PA6 - 120x185 - veneziana -conforme projeto de esquadrias, inclusive ferragens</t>
  </si>
  <si>
    <t>6.15</t>
  </si>
  <si>
    <t>Porta de abrir - PA7 - 160+90x210 -  veneziana - conforme projeto de esquadrias, inclusive ferragens</t>
  </si>
  <si>
    <t>PORTAS DE VIDRO - PV</t>
  </si>
  <si>
    <t>6.17</t>
  </si>
  <si>
    <t>Porta de Vidro temperado - PV2 - 110x230,  de abrir, com ferragens, conforme projeto de esquadrias</t>
  </si>
  <si>
    <t>Bandeiras fixas de vidro para porta PV2, conforme projeto 175x35</t>
  </si>
  <si>
    <t>JANELAS DE ALUMÍNIO - JA</t>
  </si>
  <si>
    <t>6.19</t>
  </si>
  <si>
    <t>Janela de Alumínio - JA-01, 70x125, completa conforme projeto de esquadrias - Guilhotina</t>
  </si>
  <si>
    <t>6.20</t>
  </si>
  <si>
    <t>Janela de Alumínio - JA-02, 110x145, completa conforme projeto de esquadrias - Guilhotina</t>
  </si>
  <si>
    <t>6.21</t>
  </si>
  <si>
    <t>Vidro fixo - JA-03, 140x115, completa conforme projeto de esquadrias</t>
  </si>
  <si>
    <t>6.22</t>
  </si>
  <si>
    <t>Janela de Alumínio - JA-04, 140x145, completa conforme projeto de esquadrias - Guilhotina</t>
  </si>
  <si>
    <t>Janela de Alumínio - JA-05, 200x105, completa conforme projeto de esquadrias - Fixa</t>
  </si>
  <si>
    <t>73809/1</t>
  </si>
  <si>
    <t>6.24</t>
  </si>
  <si>
    <t>Janela de Alumínio - JA-06, 210x50, completa conforme projeto de esquadrias - Maxim- ar - incluso vidro liso incolor, espessura 6mm</t>
  </si>
  <si>
    <t>6.25</t>
  </si>
  <si>
    <t>Janela de Alumínio - JA-07, 210x75, completa conforme projeto de esquadrias - Maxim- ar - incluso vidro liso incolor, espessura 6mm</t>
  </si>
  <si>
    <t>Janela de Alumínio - JA-08, 210x100, completa conforme projeto de esquadrias - Maxim-ar - incluso vidro liso incolor, espessura 6mm</t>
  </si>
  <si>
    <t>6.27</t>
  </si>
  <si>
    <t>Janela de Alumínio - JA-09, 210x150, completa conforme projeto de esquadrias - Maxim-ar - incluso vidro liso incolor, espessura 6mm</t>
  </si>
  <si>
    <t>6.28</t>
  </si>
  <si>
    <t>Janela de Alumínio - JA-10, 140x150, completa conforme projeto de esquadrias - Maxim- ar - incluso vidro liso incolor, espessura 6mm</t>
  </si>
  <si>
    <t>6.29</t>
  </si>
  <si>
    <t>Janela de Alumínio - JA-11, 140x75, completa conforme projeto de esquadrias - Maxim- ar - incluso vidro liso incolor, espessura 6mm</t>
  </si>
  <si>
    <t>6.30</t>
  </si>
  <si>
    <t>Janela de Alumínio - JA-12, 420x50, completa conforme projeto de esquadrias - Maxim- ar - incluso vidro liso incolor, espessura 6mm</t>
  </si>
  <si>
    <t>6.31</t>
  </si>
  <si>
    <t>Janela de Alumínio - JA-13, 420x50, completa conforme projeto de esquadrias - Maxim- ar - incluso vidro liso incolor, espessura 6mm</t>
  </si>
  <si>
    <t>6.32</t>
  </si>
  <si>
    <t>Janela de Alumínio - JA-14, 560x100, completa conforme projeto de esquadrias - Maxim-ar - incluso vidro liso incolor, espessura 6mm</t>
  </si>
  <si>
    <t>6.33</t>
  </si>
  <si>
    <t>Janela de Alumínio - JA-15, 560x150, completa conforme projeto de esquadrias - Maxim-ar - incluso vidro liso incolor, espessura 6mm</t>
  </si>
  <si>
    <t>6.37</t>
  </si>
  <si>
    <t>Espelho cristal esp. 4mm com moldura de madeira</t>
  </si>
  <si>
    <t>ESQUADRIA - GRADIL METÁLICO</t>
  </si>
  <si>
    <t>6.38</t>
  </si>
  <si>
    <t>6.39</t>
  </si>
  <si>
    <t>Portão de abrir com gradil metálico e tela de aço galvanizado, inclusive pintura - fornecimento e instalação (PO1, PO2, PO3)</t>
  </si>
  <si>
    <t>SISTEMAS DE COBERTURA</t>
  </si>
  <si>
    <t>Estrutura metalica</t>
  </si>
  <si>
    <t>Telha Sanduiche metalica</t>
  </si>
  <si>
    <t>75381/1</t>
  </si>
  <si>
    <t>Cumieeira em perfil ondulado de aço zincado</t>
  </si>
  <si>
    <t>7.4</t>
  </si>
  <si>
    <t>Calha em chapa metalica Nº 22 desenvolvimento de 50 cm</t>
  </si>
  <si>
    <t>7.5</t>
  </si>
  <si>
    <t>Rufo em chapa de aço galvanizado nr. 24, desenvolvimento 25 cm</t>
  </si>
  <si>
    <t>7.6</t>
  </si>
  <si>
    <t>Pingadeira (chapim) em concreto</t>
  </si>
  <si>
    <t>74106/1</t>
  </si>
  <si>
    <t>Impermeabilização com tinta betuminosa em fundações, baldrames</t>
  </si>
  <si>
    <t>REVESTIMENTOS INTERNOS E EXTERNOS</t>
  </si>
  <si>
    <t>Chapisco de aderência em paredes internas, externas, vigas e platibanda</t>
  </si>
  <si>
    <t>Emboço para paredes internas e externas traço 1:2:9 - preparo manual - espessura 2,0 cm</t>
  </si>
  <si>
    <t>Emboço paulista para paredes externas traço 1:2:9 - preparo manual - espessura 2,5 cm</t>
  </si>
  <si>
    <t>9.4</t>
  </si>
  <si>
    <t>Reboco para paredes internas, externas, pórticos, vigas, traço 1:4,5 - espessura 0,5 cm</t>
  </si>
  <si>
    <t>9.5</t>
  </si>
  <si>
    <t>Revestimento cerâmico de paredes PEI IV- cerâmica 30 x 40 cm - incl. rejunte - conforme projeto - branca</t>
  </si>
  <si>
    <t>9.6</t>
  </si>
  <si>
    <t>Revestimento cerâmico de paredes PEI IV - cerâmica 10 x 10 cm - incl. rejunte - conforme projeto - azul</t>
  </si>
  <si>
    <t>9.7</t>
  </si>
  <si>
    <t>Revestimento cerâmico de paredes PEI IV - cerâmica 10 x 10 cm - incl. rejunte - conforme projeto - vermelho</t>
  </si>
  <si>
    <t>9.8</t>
  </si>
  <si>
    <t>Revestimento cerâmico de paredes PEI IV - cerâmica 10 x 10 cm - incl. rejunte - conforme projeto - branco</t>
  </si>
  <si>
    <t>9.9</t>
  </si>
  <si>
    <t>Revestimento cerâmico de paredes PEI IV - cerâmica 10 x 10 cm - incl. rejunte - conforme projeto - amarelo</t>
  </si>
  <si>
    <t>73886/1</t>
  </si>
  <si>
    <t>9.10</t>
  </si>
  <si>
    <t>C4294</t>
  </si>
  <si>
    <t>9.11</t>
  </si>
  <si>
    <t>Forro de gesso acartonado estruturado - montagem e instalação</t>
  </si>
  <si>
    <t>9.12</t>
  </si>
  <si>
    <t>SISTEMAS DE PISOS INTERNOS E EXTERNOS (PAVIMENTAÇÃO)</t>
  </si>
  <si>
    <t>73907/3</t>
  </si>
  <si>
    <t>Contrapiso e=5,0cm</t>
  </si>
  <si>
    <t>10.2</t>
  </si>
  <si>
    <t>Camada regularizadora e=2,0cm</t>
  </si>
  <si>
    <t>73922/5</t>
  </si>
  <si>
    <t>10.3</t>
  </si>
  <si>
    <t>Piso cimentado desempenado com acabamento liso e=3,0cm com junta plastica acabada 1,2m</t>
  </si>
  <si>
    <t>10.4</t>
  </si>
  <si>
    <t>Pintura de base epoxi sobre piso</t>
  </si>
  <si>
    <t>10.5</t>
  </si>
  <si>
    <t>Piso cerâmico antiderrapante PEI V - 40 x 40 cm - incl. rejunte - conforme projeto</t>
  </si>
  <si>
    <t>10.6</t>
  </si>
  <si>
    <t>Piso cerâmico antiderrapante PEI V - 60 x 60 cm - incl. rejunte - conforme projeto</t>
  </si>
  <si>
    <t>10.7</t>
  </si>
  <si>
    <t>Piso vinílico em manta e=2,0mm</t>
  </si>
  <si>
    <t>C4623</t>
  </si>
  <si>
    <t>10.8</t>
  </si>
  <si>
    <t>Piso podotátil de alerta em borracha integrado 30x30cm, assentamento com argamassa (fornecimento e assentamento)</t>
  </si>
  <si>
    <t>10.9</t>
  </si>
  <si>
    <t>Piso podotátil direcional em borracha integrado 30x30cm, assentamento com argamassa (fornecimento e assentamento)</t>
  </si>
  <si>
    <t>C2284</t>
  </si>
  <si>
    <t>10.10</t>
  </si>
  <si>
    <t>Soleira em granito cinza andorinha, L=15cm, E=2cm</t>
  </si>
  <si>
    <t>C2285</t>
  </si>
  <si>
    <t>10.11</t>
  </si>
  <si>
    <t>Soleira em granito cinza andorinha, L=30cm, E=2cm</t>
  </si>
  <si>
    <t>PAVIMENTAÇÃO EXTERNA</t>
  </si>
  <si>
    <t>73892/2</t>
  </si>
  <si>
    <t>10.12</t>
  </si>
  <si>
    <t>10.13</t>
  </si>
  <si>
    <t>73764/4</t>
  </si>
  <si>
    <t>10.14</t>
  </si>
  <si>
    <t>Pavimetação em blocos intertravado de concreto, e= 6,0cm, FCK 35MPa, assentados sobre colchão de areia</t>
  </si>
  <si>
    <t>C4624</t>
  </si>
  <si>
    <t>10.15</t>
  </si>
  <si>
    <t>Piso tátil de alerta em placas pré-moldadas - 5MPa</t>
  </si>
  <si>
    <t>10.16</t>
  </si>
  <si>
    <t>Piso tátil direcional em placas pré-moldadas - 5MPa</t>
  </si>
  <si>
    <t>74223/1</t>
  </si>
  <si>
    <t>10.17</t>
  </si>
  <si>
    <t>Meio -fio (guia) de concreto pré-moldado, rejuntado com argamassa, incluindo escavação e reaterro</t>
  </si>
  <si>
    <t>10.18</t>
  </si>
  <si>
    <t>Colchão de areia e=10cm</t>
  </si>
  <si>
    <t>74236/1</t>
  </si>
  <si>
    <t>10.19</t>
  </si>
  <si>
    <t>Grama batatais em placas</t>
  </si>
  <si>
    <t>PINTURA</t>
  </si>
  <si>
    <t>C1207</t>
  </si>
  <si>
    <t>Emassamento de paredes internas com massa acrílica - 02 demãos</t>
  </si>
  <si>
    <t>11.2</t>
  </si>
  <si>
    <t>Pintura em latex acrílico 02 demãos sobre paredes internas, externas</t>
  </si>
  <si>
    <t>11.3</t>
  </si>
  <si>
    <t>Pintura em latex PVA 02 demãos sobre teto</t>
  </si>
  <si>
    <t>74065/2</t>
  </si>
  <si>
    <t>11.4</t>
  </si>
  <si>
    <t>Pintura em esmalte sintético 02 demãos em esquadrias de madeira</t>
  </si>
  <si>
    <t>74065/1</t>
  </si>
  <si>
    <t>11.5</t>
  </si>
  <si>
    <t>Pintura em esmalte sintético 02 demãos em rodameio de madeira</t>
  </si>
  <si>
    <t>11.6</t>
  </si>
  <si>
    <t>Pintura epoxi - 02 demãos</t>
  </si>
  <si>
    <t>CAIXA DÁGUA - 30.000L</t>
  </si>
  <si>
    <t>C1520</t>
  </si>
  <si>
    <t>11.7</t>
  </si>
  <si>
    <t>Preparo de superfície: jateamento abrasivo ao metal branco, padrão AS 3.</t>
  </si>
  <si>
    <t>C2041</t>
  </si>
  <si>
    <t>11.8</t>
  </si>
  <si>
    <t>Acabamento externo: uma demão de espessura seca de  Epóxi</t>
  </si>
  <si>
    <t>11.9</t>
  </si>
  <si>
    <t>Acabamento interno: duas demãos de espessura seca de primer Epóxi</t>
  </si>
  <si>
    <t>C4409</t>
  </si>
  <si>
    <t>11.10</t>
  </si>
  <si>
    <t>Pintura Externa: Tinta esmalte sintético - dupla função - revestimento anti-corrosivo</t>
  </si>
  <si>
    <t>INSTALAÇÃO HIDRÁULICA</t>
  </si>
  <si>
    <t>TUBULAÇÕES E CONEXÕES DE PVC RÍGIDO</t>
  </si>
  <si>
    <t>Bolsa de ligação para vaso sanitário sanitário - 1 1/2"</t>
  </si>
  <si>
    <t>Engate flexivel plástico 1/2 -30cm</t>
  </si>
  <si>
    <t>12.5</t>
  </si>
  <si>
    <t>Luva soldável com rosca 25mm - 3/4"</t>
  </si>
  <si>
    <t>12.6</t>
  </si>
  <si>
    <t>Cap soldável 20mm</t>
  </si>
  <si>
    <t>12.7</t>
  </si>
  <si>
    <t>Adaptador soldavel com flange livre para caixa d'agua - 100mm - 3/4", fornecimento e instalação</t>
  </si>
  <si>
    <t>12.8</t>
  </si>
  <si>
    <t>Adaptador soldavel com flange livre para caixa d'agua - 85mm - 3", fornecimento e instalação</t>
  </si>
  <si>
    <t>12.9</t>
  </si>
  <si>
    <t>Adaptador soldavel com flange livre para caixa d'agua - 20mm - 1/2", fornecimento e instalação</t>
  </si>
  <si>
    <t>12.10</t>
  </si>
  <si>
    <t>Adaptador sol. curto com bolsa-rosca para registro - 110mm - 4", fornecimento e instalação</t>
  </si>
  <si>
    <t>12.11</t>
  </si>
  <si>
    <t>Adaptador sol. curto com bolsa-rosca para registro - 20mm - 1/2", fornecimento e instalação</t>
  </si>
  <si>
    <t>12.12</t>
  </si>
  <si>
    <t>Adaptador sol. curto com bolsa-rosca para registro - 25mm - 3/4", fornecimento e instalação</t>
  </si>
  <si>
    <t>12.13</t>
  </si>
  <si>
    <t>Adaptador sol. curto com bolsa-rosca para registro - 32mm - 1", fornecimento e instalação</t>
  </si>
  <si>
    <t>um</t>
  </si>
  <si>
    <t>12.14</t>
  </si>
  <si>
    <t>Adaptador sol. curto com bolsa-rosca para registro - 50mm - 1 1/2", fornecimento e instalação</t>
  </si>
  <si>
    <t>12.15</t>
  </si>
  <si>
    <t>Adaptador sol. curto com bolsa-rosca para registro - 60mm - 2", fornecimento e instalação</t>
  </si>
  <si>
    <t>12.16</t>
  </si>
  <si>
    <t>Adaptador sol. curto com bolsa-rosca para registro - 75mm - 2 1/2", fornecimento e instalação</t>
  </si>
  <si>
    <t>12.17</t>
  </si>
  <si>
    <t>Adaptador sol. curto com bolsa-rosca para registro - 85mm - 3", fornecimento e instalação</t>
  </si>
  <si>
    <t>12.18</t>
  </si>
  <si>
    <t>Bucha de redução sold. curta 110mm - 85mm, fornecimento e instalação</t>
  </si>
  <si>
    <t>12.19</t>
  </si>
  <si>
    <t>Bucha de redução sold. curta 32mm - 25mm, fornecimento e instalação</t>
  </si>
  <si>
    <t>12.20</t>
  </si>
  <si>
    <t>Bucha de redução sold. curta 60mm - 50mm, fornecimento e instalação</t>
  </si>
  <si>
    <t>12.21</t>
  </si>
  <si>
    <t>12.22</t>
  </si>
  <si>
    <t>Bucha de redução sold. curta 85mm - 75mm, fornecimento e instalação</t>
  </si>
  <si>
    <t>12.23</t>
  </si>
  <si>
    <t>Bucha de redução sold. longa 50mm-25mm, fornecimento e instalação</t>
  </si>
  <si>
    <t>12.24</t>
  </si>
  <si>
    <t>Bucha de redução sold. longa 50mm-32mm, fornecimento e instalação</t>
  </si>
  <si>
    <t>12.25</t>
  </si>
  <si>
    <t>Bucha de redução sold. longa 60mm-25mm, fornecimento e instalação</t>
  </si>
  <si>
    <t>12.26</t>
  </si>
  <si>
    <t>Bucha de redução sold. longa 75mm-50mm, fornecimento e instalação</t>
  </si>
  <si>
    <t>12.27</t>
  </si>
  <si>
    <t>Bucha de redução sold. longa 85mm-60mm, fornecimento e instalação</t>
  </si>
  <si>
    <t>12.28</t>
  </si>
  <si>
    <t>Joelho 45 soldável - 25mm, fornecimento e instalação</t>
  </si>
  <si>
    <t>12.29</t>
  </si>
  <si>
    <t>Joelho 45 soldável - 32mm, fornecimento e instalação</t>
  </si>
  <si>
    <t>12.30</t>
  </si>
  <si>
    <t>Joelho 45 soldável - 50mm, fornecimento e instalação</t>
  </si>
  <si>
    <t>12.31</t>
  </si>
  <si>
    <t>Joelho 45 soldável - 75mm, fornecimento e instalação</t>
  </si>
  <si>
    <t>12.32</t>
  </si>
  <si>
    <t>Joelho 45 soldável - 85mm, fornecimento e instalação</t>
  </si>
  <si>
    <t>12.33</t>
  </si>
  <si>
    <t>Joelho 90 soldável - 110mm, fornecimento e instalação</t>
  </si>
  <si>
    <t>12.34</t>
  </si>
  <si>
    <t>Joelho 90 soldável - 20mm, fornecimento e instalação</t>
  </si>
  <si>
    <t>12.35</t>
  </si>
  <si>
    <t>Joelho 90 soldável - 25mm, fornecimento e instalação</t>
  </si>
  <si>
    <t>12.36</t>
  </si>
  <si>
    <t>Joelho 90 soldável - 32mm, fornecimento e instalação</t>
  </si>
  <si>
    <t>12.37</t>
  </si>
  <si>
    <t>Joelho 90 soldável - 50mm, fornecimento e instalação</t>
  </si>
  <si>
    <t>12.38</t>
  </si>
  <si>
    <t>Joelho 90 soldável - 60mm, fornecimento e instalação</t>
  </si>
  <si>
    <t>12.39</t>
  </si>
  <si>
    <t>Joelho 90 soldável - 75mm, fornecimento e instalação</t>
  </si>
  <si>
    <t>12.40</t>
  </si>
  <si>
    <t>Joelho 90 soldável - 85mm, fornecimento e instalação</t>
  </si>
  <si>
    <t>12.41</t>
  </si>
  <si>
    <t>Joelho de redução 90 soldável 32mm-25mm, fornecimento e instalação</t>
  </si>
  <si>
    <t>12.42</t>
  </si>
  <si>
    <t>Tê 90 soldável - 110mm, fornecimento e instalação</t>
  </si>
  <si>
    <t>12.43</t>
  </si>
  <si>
    <t>Tê 90 soldável - 25mm, fornecimento e instalação</t>
  </si>
  <si>
    <t>12.44</t>
  </si>
  <si>
    <t>Tê 90 soldável - 32mm, fornecimento e instalação</t>
  </si>
  <si>
    <t>12.45</t>
  </si>
  <si>
    <t>Tê 90 soldável - 50mm, fornecimento e instalação</t>
  </si>
  <si>
    <t>12.46</t>
  </si>
  <si>
    <t>Tê 90 soldável - 60mm, fornecimento e instalação</t>
  </si>
  <si>
    <t>12.47</t>
  </si>
  <si>
    <t>Tê 90 soldável - 75mm, fornecimento e instalação</t>
  </si>
  <si>
    <t>12.48</t>
  </si>
  <si>
    <t>Tê 90 soldável - 85mm, fornecimento e instalação</t>
  </si>
  <si>
    <t>12.49</t>
  </si>
  <si>
    <t>Tê de redução 90 soldavel - 32mm - 25mm, fornecimento e instalação</t>
  </si>
  <si>
    <t>12.50</t>
  </si>
  <si>
    <t>Tê de redução 90 soldavel - 50mm - 25mm, fornecimento e instalação</t>
  </si>
  <si>
    <t>12.51</t>
  </si>
  <si>
    <t>Tê de redução 90 soldavel - 75mm - 50mm, fornecimento e instalação</t>
  </si>
  <si>
    <t>12.52</t>
  </si>
  <si>
    <t>Tê de redução 90 soldavel - 75mm - 60mm, fornecimento e instalação</t>
  </si>
  <si>
    <t>12.53</t>
  </si>
  <si>
    <t>Tê de redução 90 soldavel - 85mm - 60mm, fornecimento e instalação</t>
  </si>
  <si>
    <t>12.54</t>
  </si>
  <si>
    <t>Tê de redução 90 soldavel - 85mm - 75mm, fornecimento e instalação</t>
  </si>
  <si>
    <t>12.55</t>
  </si>
  <si>
    <t>Joelho 90º soldavel com bucha de latão - 25mm - 3/4", fornecimento e instalação</t>
  </si>
  <si>
    <t>12.56</t>
  </si>
  <si>
    <t>Joelho 90º soldavel com bucha de latão - 25mm - 1/2", fornecimento e instalação</t>
  </si>
  <si>
    <t>12.57</t>
  </si>
  <si>
    <t>Luva de redução soldavel com bucha latão - 25mm - 1/2", fornecimento e instalação</t>
  </si>
  <si>
    <t>12.58</t>
  </si>
  <si>
    <t>Tê redução 90º soldavel com bucha latão B central - 25mm - 1/2", fornecimento e instalação</t>
  </si>
  <si>
    <t>12.59</t>
  </si>
  <si>
    <t>12.60</t>
  </si>
  <si>
    <t>Colar de tomada - 1/2'', fornecimento e instalação</t>
  </si>
  <si>
    <t>12.61</t>
  </si>
  <si>
    <t>12.62</t>
  </si>
  <si>
    <t>12.63</t>
  </si>
  <si>
    <t>Tê soldavel com rosca bolsa central - 20mm - 1/2"</t>
  </si>
  <si>
    <t>12.64</t>
  </si>
  <si>
    <t>Tubo PVC soldável Ø 20 mm, fornecimento e instalação</t>
  </si>
  <si>
    <t>12.65</t>
  </si>
  <si>
    <t>Tubo PVC soldável Ø 25 mm, fornecimento e instalação</t>
  </si>
  <si>
    <t>12.66</t>
  </si>
  <si>
    <t>Tubo PVC soldável Ø 32 mm, fornecimento e instalação</t>
  </si>
  <si>
    <t>12.67</t>
  </si>
  <si>
    <t>Tubo PVC soldável Ø 50 mm, fornecimento e instalação</t>
  </si>
  <si>
    <t>12.68</t>
  </si>
  <si>
    <t>Tubo PVC soldável Ø 60 mm, fornecimento e instalação</t>
  </si>
  <si>
    <t>12.69</t>
  </si>
  <si>
    <t>Tubo PVC soldável Ø 75mm, fornecimento e instalação</t>
  </si>
  <si>
    <t>12.70</t>
  </si>
  <si>
    <t>Tubo PVC soldável Ø 85mm, fornecimento e instalação</t>
  </si>
  <si>
    <t>12.71</t>
  </si>
  <si>
    <t>Tubo PVC soldável Ø 110mm, fornecimento e instalação</t>
  </si>
  <si>
    <t>TUBULAÇÕES E CONEXÕES - METAIS</t>
  </si>
  <si>
    <t>12.72</t>
  </si>
  <si>
    <t>Registro esfera 1/2", fornecimento e instalação</t>
  </si>
  <si>
    <t>12.73</t>
  </si>
  <si>
    <t>12.74</t>
  </si>
  <si>
    <t>Registro esfera borboleta bruto PVC - 1/2", fornecimento e instalação</t>
  </si>
  <si>
    <t>74181/1</t>
  </si>
  <si>
    <t>12.75</t>
  </si>
  <si>
    <t>Registro bruto de gaveta 2", fornecimento e instalação</t>
  </si>
  <si>
    <t>74180/1</t>
  </si>
  <si>
    <t>12.76</t>
  </si>
  <si>
    <t>Registro bruto de gaveta 2 1/2", fornecimento e instalação</t>
  </si>
  <si>
    <t>12.77</t>
  </si>
  <si>
    <t>Registro bruto de gaveta 3", fornecimento e instalação</t>
  </si>
  <si>
    <t>12.78</t>
  </si>
  <si>
    <t>Registro bruto de gaveta 4", fornecimento e instalação</t>
  </si>
  <si>
    <t>74175/1</t>
  </si>
  <si>
    <t>12.79</t>
  </si>
  <si>
    <t>Registro de gaveta com canopla cromada 1", fornecimento e instalação</t>
  </si>
  <si>
    <t>74174/1</t>
  </si>
  <si>
    <t>12.80</t>
  </si>
  <si>
    <t>Registro de gaveta com canopla cromada 1 1/2", fornecimento e instalação</t>
  </si>
  <si>
    <t>12.81</t>
  </si>
  <si>
    <t>Registro de gaveta com canopla cromada 3/4", fornecimento e instalação</t>
  </si>
  <si>
    <t>12.82</t>
  </si>
  <si>
    <t>Registro de pressão com canopla cromada 3/4", fornecimento e instalação</t>
  </si>
  <si>
    <t>DRENAGEM DE ÁGUAS PLUVIAIS</t>
  </si>
  <si>
    <t>TUBULAÇÕES E CONEXÕES DE PVC</t>
  </si>
  <si>
    <t>Tubo de PVC Ø100mm, fornecimento e instalação</t>
  </si>
  <si>
    <t>13.2</t>
  </si>
  <si>
    <t>Tubo de PVC Ø150mm, fornecimento e instalação</t>
  </si>
  <si>
    <t>13.3</t>
  </si>
  <si>
    <t>Curva curta 90 - 100mm, fornecimento e instalação</t>
  </si>
  <si>
    <t>13.4</t>
  </si>
  <si>
    <t>Joelho 45 - 100mm, fornecimento e instalação</t>
  </si>
  <si>
    <t>13.5</t>
  </si>
  <si>
    <t>Joelho 90 - 100mm, fornecimento e instalação</t>
  </si>
  <si>
    <t>13.6</t>
  </si>
  <si>
    <t>Tê sanitario - 100mm - 100mm, fornecimento e instalação</t>
  </si>
  <si>
    <t>ACESSÓRIOS</t>
  </si>
  <si>
    <t>13.7</t>
  </si>
  <si>
    <t>13.8</t>
  </si>
  <si>
    <t>Caixa de areia sem grelha 80x80cm</t>
  </si>
  <si>
    <t>INSTALAÇÃO SANITÁRIA</t>
  </si>
  <si>
    <t>Caixa sifonada 150x150x50mm</t>
  </si>
  <si>
    <t>Caixa sifonada 150x185x75mm</t>
  </si>
  <si>
    <t>Ralo sifonado, PVC 100x100X40mm</t>
  </si>
  <si>
    <t>Tubo de PVC rígido 100mm, fornec. e instalação</t>
  </si>
  <si>
    <t>14.6</t>
  </si>
  <si>
    <t>Tubo de PVC rígido 40mm, fornec. e instalação</t>
  </si>
  <si>
    <t>14.7</t>
  </si>
  <si>
    <t>Tubo de PVC rígido 50mm, fornec. e instalação</t>
  </si>
  <si>
    <t>14.8</t>
  </si>
  <si>
    <t>Tubo de PVC rígido 75mm, fornec. e instalação</t>
  </si>
  <si>
    <t>14.9</t>
  </si>
  <si>
    <t>Tubo de PVC rígido 150mm, fornec. e instalação</t>
  </si>
  <si>
    <t>74051/2</t>
  </si>
  <si>
    <t>14.10</t>
  </si>
  <si>
    <t>Caixa de gordura SIMPLES</t>
  </si>
  <si>
    <t>14.11</t>
  </si>
  <si>
    <t>74104/1</t>
  </si>
  <si>
    <t>14.12</t>
  </si>
  <si>
    <t>74198/2</t>
  </si>
  <si>
    <t>14.13</t>
  </si>
  <si>
    <t>Sumidouro em alvenaria 2,40 x 2,40 m</t>
  </si>
  <si>
    <t>74197/1</t>
  </si>
  <si>
    <t>14.14</t>
  </si>
  <si>
    <t>14.15</t>
  </si>
  <si>
    <t>Bucha de redução PVC longa 50mm-40mm</t>
  </si>
  <si>
    <t>14.16</t>
  </si>
  <si>
    <t>Curva PVC 90º curta - 40mm - fornecimento e instalação</t>
  </si>
  <si>
    <t>14.17</t>
  </si>
  <si>
    <t>Curva PVC 90º curta - 50mm - fornecimento e instalação</t>
  </si>
  <si>
    <t>14.18</t>
  </si>
  <si>
    <t>Curva PVC 90º curta - 75mm - fornecimento e instalação</t>
  </si>
  <si>
    <t>14.19</t>
  </si>
  <si>
    <t>Joelho PVC 45º 100mm - fornecimento e instalação</t>
  </si>
  <si>
    <t>14.20</t>
  </si>
  <si>
    <t>Joelho PVC 45º 75mm - fornecimento e instalação</t>
  </si>
  <si>
    <t>14.21</t>
  </si>
  <si>
    <t>Joelho PVC 45º 50mm - fornecimento e instalação</t>
  </si>
  <si>
    <t>14.22</t>
  </si>
  <si>
    <t>Joelho PVC 45º 40mm - fornecimento e instalação</t>
  </si>
  <si>
    <t>14.23</t>
  </si>
  <si>
    <t>Joelho PVC 90º 100mm - fornecimento e instalação</t>
  </si>
  <si>
    <t>14.24</t>
  </si>
  <si>
    <t>Joelho PVC 90º 75mm - fornecimento e instalação</t>
  </si>
  <si>
    <t>14.25</t>
  </si>
  <si>
    <t>Joelho PVC 90º 50mm - fornecimento e instalação</t>
  </si>
  <si>
    <t>14.26</t>
  </si>
  <si>
    <t>Joelho PVC 90º 40mm - fornecimento e instalação</t>
  </si>
  <si>
    <t>14.27</t>
  </si>
  <si>
    <t>Joelho PVC 90 com anel para esgoto secundario - 40mm - 1 1/2" - fornecimento e instalação</t>
  </si>
  <si>
    <t>14.28</t>
  </si>
  <si>
    <t>Junção PVC simples 100mm-50mm - fornecimento e instalação</t>
  </si>
  <si>
    <t>14.29</t>
  </si>
  <si>
    <t>Junção PVC simples 100mm-75mm - fornecimento e instalação</t>
  </si>
  <si>
    <t>14.30</t>
  </si>
  <si>
    <t>Junção PVC simples 100mm-100mm - fornecimento e instalação</t>
  </si>
  <si>
    <t>14.31</t>
  </si>
  <si>
    <t>Junção PVC simples 75mm-50mm - fornecimento e instalação</t>
  </si>
  <si>
    <t>14.32</t>
  </si>
  <si>
    <t>Junção PVC simples 75mm-75mm - fornecimento e instalação</t>
  </si>
  <si>
    <t>14.33</t>
  </si>
  <si>
    <t>Redução excêntrica PVC  100mm-50mm - fornecimento e instalação</t>
  </si>
  <si>
    <t>14.34</t>
  </si>
  <si>
    <t>Redução excêntrica PVC  75mm-50mm - fornecimento e instalação</t>
  </si>
  <si>
    <t>14.35</t>
  </si>
  <si>
    <t>Tê PVC 45º - 40mm - fornecimento e instalação</t>
  </si>
  <si>
    <t>14.36</t>
  </si>
  <si>
    <t>Tê PVC 90º - 40mm - fornecimento e instalação</t>
  </si>
  <si>
    <t>14.37</t>
  </si>
  <si>
    <t>Tê PVC sanitario 100mm-50mm - fornecimento e instalação</t>
  </si>
  <si>
    <t>14.38</t>
  </si>
  <si>
    <t>Tê PVC sanitario 150mm-100mm - fornecimento e instalação</t>
  </si>
  <si>
    <t>14.39</t>
  </si>
  <si>
    <t>Tê PVC sanitario 50mm-50mm - fornecimento e instalação</t>
  </si>
  <si>
    <t>14.40</t>
  </si>
  <si>
    <t>Tê PVC sanitario 75mm-75mm - fornecimento e instalação</t>
  </si>
  <si>
    <t>LOUÇAS E METAIS</t>
  </si>
  <si>
    <t>C4635</t>
  </si>
  <si>
    <t>Bacia Sanitária Vogue Plus, Linha Conforto com abertura, cor Branco Gelo, código P.51, DECA, ou equivalente p/ de descarga, com acessórios, bolsa de borracha para ligacao, tubo pvc ligacao - fornecimento e instalação</t>
  </si>
  <si>
    <t>Bacia sanitária Convencional, código lzy P.11, DECA, ou equivalente com acessórios - fornecimento e instalação</t>
  </si>
  <si>
    <t>15.3</t>
  </si>
  <si>
    <t>Bacia Convencional Studio Kids, código PI.16, para valvula de descarga, em louca branca, assento plastico, anel de vedação, tubo pvc ligacao - fornecimento e instalacao, Deca ou equivalente</t>
  </si>
  <si>
    <t>15.4</t>
  </si>
  <si>
    <t>Valvula de descarga 1 1/2", com registro, acabamento em metal cromado - fornecimento e instalação</t>
  </si>
  <si>
    <t>C4642</t>
  </si>
  <si>
    <t>15.5</t>
  </si>
  <si>
    <t>Assento Poliéster com abertura frontal Vogue Plus, Linha Conforto, cor Branco Gelo, código AP.52, DECA, ou equivalente</t>
  </si>
  <si>
    <t>15.6</t>
  </si>
  <si>
    <t>Assento plástico Izy, código AP.01, DECA</t>
  </si>
  <si>
    <t>15.7</t>
  </si>
  <si>
    <t>Papeleira Metálica Linha Izy, código 2020.C37, DECA ou equivalente</t>
  </si>
  <si>
    <t>15.8</t>
  </si>
  <si>
    <t>Ducha Higiênica com registro e derivação Izy, código 1984.C37. ACT.CR, DECA, ou equivalente</t>
  </si>
  <si>
    <t>15.9</t>
  </si>
  <si>
    <t>Lavatório de canto suspenso com mesa, linha Izy código L101.17, DECA ou equivalente, com válvula, sifão e engate flexivel cromados</t>
  </si>
  <si>
    <t>15.10</t>
  </si>
  <si>
    <t>Lavatório pequeno Ravena/Izy cor branco gelo, com coluna suspensa, código L915 DECA ou equivalente</t>
  </si>
  <si>
    <t>15.11</t>
  </si>
  <si>
    <t>Cuba de Embutir Oval cor Branco Gelo, código L.37, DECA, ou equivalente, em bancada ecomplementos (válvula, sifao e engate flexível cromados), exceto torneira.</t>
  </si>
  <si>
    <t>15.12</t>
  </si>
  <si>
    <t>Cuba industrial 50x40 profundidade 30 – HIDRONOX, ou equivalente, com sifão em metal cromado 1.1/2x1.1/2", válvula em metal cromado tipo americana 3.1/2"x1.1/2" para pia - fornecimento e instalação</t>
  </si>
  <si>
    <t>15.13</t>
  </si>
  <si>
    <t>Cuba Inox Embutir 40x34x17cm, cuba 3, básica aço inoxidável, com válvula, FRANKE, ou equivalente, com sifão em metal cromado 1.1/2x1.1/2", válvula em metal cromado tipo americana 3.1/2"x1.1/2" para pia - fornecimento e instalação</t>
  </si>
  <si>
    <t>15.14</t>
  </si>
  <si>
    <t>Dispenser Saboneteira Linha Excellence, código 7009, Melhoramentos ou equivalente</t>
  </si>
  <si>
    <t>15.15</t>
  </si>
  <si>
    <t>Dispenser Toalha Linha Excellence, código 7007, Melhoramentos ou equivalente.</t>
  </si>
  <si>
    <t>15.16</t>
  </si>
  <si>
    <t>Barra de apoio, Linha conforto, código 2310.I.080.ESC, aço inox polido, DECA ou equivalente</t>
  </si>
  <si>
    <t>15.17</t>
  </si>
  <si>
    <t>Barra de apoio de canto para lavatório, aço inox polido,Celite ou equivalente</t>
  </si>
  <si>
    <t>15.19</t>
  </si>
  <si>
    <t>Barra de apoio de chuveiro PNE, em "L", Linha conforto código 2335.I.ESC</t>
  </si>
  <si>
    <t>74072/3</t>
  </si>
  <si>
    <t>15.20</t>
  </si>
  <si>
    <t>Barra metálica com pintura azul para proteção dos espelhos e chuveiro infantil d=1 1/4"</t>
  </si>
  <si>
    <t>15.21</t>
  </si>
  <si>
    <t>15.22</t>
  </si>
  <si>
    <t>15.23</t>
  </si>
  <si>
    <t>15.24</t>
  </si>
  <si>
    <t>Torneira Acabamento para registro pequeno Linha Izy, código: 4900.C37.PQ, DECA ou equivalente (para chuveiros), Deca ou equivalente</t>
  </si>
  <si>
    <t>15.25</t>
  </si>
  <si>
    <t>Torneira para cozinha de mesa bica móvel Izy, código 1167.C37, DECA, ou equivalente</t>
  </si>
  <si>
    <t>15.26</t>
  </si>
  <si>
    <t>Torneira de parede de uso geral para jardim ou tanque</t>
  </si>
  <si>
    <t>15.27</t>
  </si>
  <si>
    <t>Torneira para lavatório de mesa bica baixa Izy, código 1193.C37, Deca ou equivalente</t>
  </si>
  <si>
    <t>15.28</t>
  </si>
  <si>
    <t>Chuveiro Maxi Ducha, LORENZETTI, com Mangueira plástica/desviador para duchas elétricas, cógigo 8010-A, LORENZETTI, ou equivalente</t>
  </si>
  <si>
    <t>15.29</t>
  </si>
  <si>
    <t>Tanque Grande (40 L) cor Branco Gelo, código TQ.03, DECA, ou equivalente incluso torneira cromada</t>
  </si>
  <si>
    <t>INSTALAÇÃO DE GÁS COMBUSTÍVEL</t>
  </si>
  <si>
    <t>74138/2</t>
  </si>
  <si>
    <t>Tela metálica para ventilação com requadro em alumínio</t>
  </si>
  <si>
    <t>73976/3</t>
  </si>
  <si>
    <t>Tubo de aço Galvanizado Ø 3/4", inclusive conexões</t>
  </si>
  <si>
    <t>C1250</t>
  </si>
  <si>
    <t>16.4</t>
  </si>
  <si>
    <t>Envelopamento de concreto - 3cm</t>
  </si>
  <si>
    <t>16.5</t>
  </si>
  <si>
    <t>16.6</t>
  </si>
  <si>
    <t>16.7</t>
  </si>
  <si>
    <t>16.8</t>
  </si>
  <si>
    <t>16.9</t>
  </si>
  <si>
    <t>16.10</t>
  </si>
  <si>
    <t>16.11</t>
  </si>
  <si>
    <t>Tê redução 3/4"x1/2"</t>
  </si>
  <si>
    <t>16.12</t>
  </si>
  <si>
    <t>16.13</t>
  </si>
  <si>
    <t>16.14</t>
  </si>
  <si>
    <t>16.15</t>
  </si>
  <si>
    <t>16.16</t>
  </si>
  <si>
    <t>16.17</t>
  </si>
  <si>
    <t>16.18</t>
  </si>
  <si>
    <t>16.20</t>
  </si>
  <si>
    <t>Regulador 2º estágio com registro</t>
  </si>
  <si>
    <t>16.21</t>
  </si>
  <si>
    <t>Placa de sinalização em pvc cod 1 - (348x348) Proibido fumar</t>
  </si>
  <si>
    <t>16.22</t>
  </si>
  <si>
    <t>Placa de sinalização em pvc cod 6 - (348x348) Perigo Inflamável</t>
  </si>
  <si>
    <t>SISTEMA DE PROTEÇÃO CONTRA INCÊNDIO</t>
  </si>
  <si>
    <t>Extintor ABC - 6KG</t>
  </si>
  <si>
    <t>17.2</t>
  </si>
  <si>
    <t>Extintor CO2 - 6KG</t>
  </si>
  <si>
    <t>Cotovelo 45º galvanizado 2 1/2"</t>
  </si>
  <si>
    <t>Cotovelo 90º galvanizado 2 1/2"</t>
  </si>
  <si>
    <t>17.5</t>
  </si>
  <si>
    <t>Tubo aço carbono  2 1/2"</t>
  </si>
  <si>
    <t>17.6</t>
  </si>
  <si>
    <t>Niple duplo aço galvanizado 2 1/2"</t>
  </si>
  <si>
    <t>17.7</t>
  </si>
  <si>
    <t>Tê aço galvanizado 2 1/2"</t>
  </si>
  <si>
    <t>73976/8</t>
  </si>
  <si>
    <t>17.8</t>
  </si>
  <si>
    <t>Tubo aço galvanizado 65mm - 2 1/2"</t>
  </si>
  <si>
    <t>17.9</t>
  </si>
  <si>
    <t>17.10</t>
  </si>
  <si>
    <t>Caixa para abrigo de mangueira - 70x50x25 cm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</si>
  <si>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</si>
  <si>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</si>
  <si>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</si>
  <si>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</si>
  <si>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</si>
  <si>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</si>
  <si>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</si>
  <si>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</si>
  <si>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Registro bruto de gaveta industrial 2 1/2"</t>
  </si>
  <si>
    <t>73795/6</t>
  </si>
  <si>
    <t>17.19</t>
  </si>
  <si>
    <t>Válvula de retenção vertical 2 1/2"</t>
  </si>
  <si>
    <t>17.20</t>
  </si>
  <si>
    <t>União de ferro conico macho-femea 2 1/2'</t>
  </si>
  <si>
    <t>C4394</t>
  </si>
  <si>
    <t>17.21</t>
  </si>
  <si>
    <t>17.22</t>
  </si>
  <si>
    <t>Marcação no Piso - 1 x 1m para extintor</t>
  </si>
  <si>
    <t>17.23</t>
  </si>
  <si>
    <t>Marcação no Piso - 1 x 1m para hidrante</t>
  </si>
  <si>
    <t>17.24</t>
  </si>
  <si>
    <t>Conjunto motobomba trifasico BC-21 R 1 1/2 3 CV</t>
  </si>
  <si>
    <t>17.25</t>
  </si>
  <si>
    <t>Placa de sinalização em pvc cod 26 - (300x300) Hidrante de incendio</t>
  </si>
  <si>
    <t>17.26</t>
  </si>
  <si>
    <t>Placa de sinalização em pvc cod 12 - (316x158) Saída de emergência</t>
  </si>
  <si>
    <t>17.27</t>
  </si>
  <si>
    <t>Placa de sinalização em pvc cod 17 - (316x158) Mensagem "Saída"</t>
  </si>
  <si>
    <t>17.28</t>
  </si>
  <si>
    <t>Placa de sinalização em pvc cod 263 - (300x300) Extintor de Incêndio</t>
  </si>
  <si>
    <t>INSTALAÇÕES ELÉTRICAS - 220V</t>
  </si>
  <si>
    <t>CENTRO DE DISTRIBUIÇÃO</t>
  </si>
  <si>
    <t>74131/4</t>
  </si>
  <si>
    <t>74131/5</t>
  </si>
  <si>
    <t>18.4</t>
  </si>
  <si>
    <t>DISJUNTORES</t>
  </si>
  <si>
    <t>74130/1</t>
  </si>
  <si>
    <t>18.5</t>
  </si>
  <si>
    <t>Disjuntos unipolar termomagnético 10A</t>
  </si>
  <si>
    <t>18.6</t>
  </si>
  <si>
    <t>Disjuntos unipolar termomagnético 16A</t>
  </si>
  <si>
    <t>18.7</t>
  </si>
  <si>
    <t>Disjuntos unipolar termomagnético 20A</t>
  </si>
  <si>
    <t>18.8</t>
  </si>
  <si>
    <t>Disjuntos unipolar termomagnético 25A</t>
  </si>
  <si>
    <t>74130/4</t>
  </si>
  <si>
    <t>18.9</t>
  </si>
  <si>
    <t>Disjuntos tripolar termomagnético 32A</t>
  </si>
  <si>
    <t>74130/5</t>
  </si>
  <si>
    <t>18.10</t>
  </si>
  <si>
    <t>Disjuntos unipolar termomagnético 63A</t>
  </si>
  <si>
    <t>74130/6</t>
  </si>
  <si>
    <t>18.11</t>
  </si>
  <si>
    <t>Disjuntos unipolar termomagnético 160A</t>
  </si>
  <si>
    <t>74130/3</t>
  </si>
  <si>
    <t>18.12</t>
  </si>
  <si>
    <t>Disjuntos bipolar termomagnético 100A</t>
  </si>
  <si>
    <t>18.13</t>
  </si>
  <si>
    <t>Interruptor bipolar DR - 100A</t>
  </si>
  <si>
    <t>18.14</t>
  </si>
  <si>
    <t>Interruptor bipolar DR - 25A</t>
  </si>
  <si>
    <t>18.15</t>
  </si>
  <si>
    <t>Interruptor bipolar DR - 63A</t>
  </si>
  <si>
    <t>18.16</t>
  </si>
  <si>
    <t>18.17</t>
  </si>
  <si>
    <t>ELETRODUTOS E ACESSÓRIOS</t>
  </si>
  <si>
    <t>18.18</t>
  </si>
  <si>
    <t>Eletroduto PVC flexível corrugado reforçado, Ø20mm (DN 3/4"), inclusive conexões</t>
  </si>
  <si>
    <t>18.19</t>
  </si>
  <si>
    <t>Eletroduto PVC flexível corrugado reforçado, Ø25mm (DN 1"), inclusive conexões</t>
  </si>
  <si>
    <t>18.20</t>
  </si>
  <si>
    <t>Eletroduto PVC flexível corrugado reforçado, Ø32mm (DN 1 1/2"), inclusive conexões</t>
  </si>
  <si>
    <t>73798/1</t>
  </si>
  <si>
    <t>18.21</t>
  </si>
  <si>
    <t>Eletroduto PVC flexível corrugado reforçado, Ø50mm (DN 2"), inclusive conexões</t>
  </si>
  <si>
    <t>73798/3</t>
  </si>
  <si>
    <t>18.22</t>
  </si>
  <si>
    <t>Eletroduto PVC flexível corrugado reforçado, Ø75mm (DN 3"), inclusive conexões</t>
  </si>
  <si>
    <t>18.23</t>
  </si>
  <si>
    <t>Eletroduto PVC flexível corrugado reforçado, Ø100mm (DN 4"), inclusive conexões</t>
  </si>
  <si>
    <t>18.24</t>
  </si>
  <si>
    <t>Eletroduto PVC flexível corrugado reforçado, Ø126mm (DN 5"), inclusive conexões</t>
  </si>
  <si>
    <t>18.25</t>
  </si>
  <si>
    <t>Eletroduto PVC flexível corrugado reforçado, Ø150mm (DN 6"), inclusive conexões</t>
  </si>
  <si>
    <t>18.26</t>
  </si>
  <si>
    <t>Eletroduto Ferro Galvanizado DN 25mm (1"), inclusive conexões</t>
  </si>
  <si>
    <t>18.27</t>
  </si>
  <si>
    <t>Eletroduto Ferro Galvanizado DN 32mm (1 1/4"), inclusive conexões</t>
  </si>
  <si>
    <t>18.28</t>
  </si>
  <si>
    <t>Eletroduto Ferro Galvanizado DN 20mm (3/4"), inclusive conexões</t>
  </si>
  <si>
    <t>18.29</t>
  </si>
  <si>
    <t>Eletroduto Ferro Galvanizado DN 100mm (4"), inclusive conexões</t>
  </si>
  <si>
    <t>18.30</t>
  </si>
  <si>
    <t>18.31</t>
  </si>
  <si>
    <t>Canaleta PVC lisa 80x80mm - fornecimento e instalação</t>
  </si>
  <si>
    <t>18.32</t>
  </si>
  <si>
    <t>18.33</t>
  </si>
  <si>
    <t>18.34</t>
  </si>
  <si>
    <t>Caixa inspeção aterramento 250x250x400mm</t>
  </si>
  <si>
    <t>CABOS E FIOS (CONDUTORES)</t>
  </si>
  <si>
    <t>Condutor de cobre unipolar, isolação em PVC/70ºC, camada de proteção em PVC, não propagador de chamas, classe de tensão 750V, encordoamento classe 5, flexível, com as seguintes seções nominais:</t>
  </si>
  <si>
    <t>73860/8</t>
  </si>
  <si>
    <t>18.35</t>
  </si>
  <si>
    <t>#2,5 mm²</t>
  </si>
  <si>
    <t>73860/9</t>
  </si>
  <si>
    <t>18.36</t>
  </si>
  <si>
    <t>#4 mm²</t>
  </si>
  <si>
    <t>73860/10</t>
  </si>
  <si>
    <t>18.37</t>
  </si>
  <si>
    <t>#6 mm²</t>
  </si>
  <si>
    <t>73860/11</t>
  </si>
  <si>
    <t>18.38</t>
  </si>
  <si>
    <t>#10 mm²</t>
  </si>
  <si>
    <t>73860/12</t>
  </si>
  <si>
    <t>18.39</t>
  </si>
  <si>
    <t>#16 mm²</t>
  </si>
  <si>
    <t>73860/13</t>
  </si>
  <si>
    <t>18.40</t>
  </si>
  <si>
    <t>#25 mm²</t>
  </si>
  <si>
    <t>73860/14</t>
  </si>
  <si>
    <t>18.41</t>
  </si>
  <si>
    <t>#50 mm²</t>
  </si>
  <si>
    <t>ELETROCALHAS</t>
  </si>
  <si>
    <t>18.42</t>
  </si>
  <si>
    <t>18.43</t>
  </si>
  <si>
    <t>18.44</t>
  </si>
  <si>
    <t>Eletrocalha lisa tipo U 100x75mm com tampa, inclusive conexões</t>
  </si>
  <si>
    <t>18.45</t>
  </si>
  <si>
    <t>18.46</t>
  </si>
  <si>
    <t>18.47</t>
  </si>
  <si>
    <t>18.48</t>
  </si>
  <si>
    <t>18.49</t>
  </si>
  <si>
    <t>18.50</t>
  </si>
  <si>
    <t>Eletrocalha lisa tipo U 75x50mm com tampa, inclusive conexões</t>
  </si>
  <si>
    <t>18.51</t>
  </si>
  <si>
    <t>18.52</t>
  </si>
  <si>
    <t>18.53</t>
  </si>
  <si>
    <t>Suporte vertical eletrocalha 120x160mm</t>
  </si>
  <si>
    <t>18.54</t>
  </si>
  <si>
    <t>Suporte vertical eletrocalha 120x204mm</t>
  </si>
  <si>
    <t>18.55</t>
  </si>
  <si>
    <t>Suporte vertical eletrocalha 70x125mm</t>
  </si>
  <si>
    <t>18.56</t>
  </si>
  <si>
    <t>Suporte vertical eletrocalha 70x154mm</t>
  </si>
  <si>
    <t>18.57</t>
  </si>
  <si>
    <t>Suporte vertical eletrocalha 70x183mm</t>
  </si>
  <si>
    <t>18.58</t>
  </si>
  <si>
    <t>Suporte vertical eletrocalha 70x81mm</t>
  </si>
  <si>
    <t>18.59</t>
  </si>
  <si>
    <t>Suporte vertical eletrocalha 70x96mm</t>
  </si>
  <si>
    <t>18.60</t>
  </si>
  <si>
    <t>Suporte vertical eletrocalha 95x114mm</t>
  </si>
  <si>
    <t>18.61</t>
  </si>
  <si>
    <t>18.62</t>
  </si>
  <si>
    <t>ILUMINAÇÃO E TOMADAS</t>
  </si>
  <si>
    <t>18.63</t>
  </si>
  <si>
    <t>Tomada universal, circular, 2P+T, 10A, cor branca, completa</t>
  </si>
  <si>
    <t>18.64</t>
  </si>
  <si>
    <t>Tomada universal, circular, 2P+T, 20A, cor branca, completa</t>
  </si>
  <si>
    <t>18.65</t>
  </si>
  <si>
    <t>Interruptor simples 10 A, completa</t>
  </si>
  <si>
    <t>73953/6</t>
  </si>
  <si>
    <t>18.66</t>
  </si>
  <si>
    <t>Luminárias 2x36W completa</t>
  </si>
  <si>
    <t>73953/2</t>
  </si>
  <si>
    <t>18.67</t>
  </si>
  <si>
    <t>Luminárias 2x14 W completa</t>
  </si>
  <si>
    <t>74041/2</t>
  </si>
  <si>
    <t>18.68</t>
  </si>
  <si>
    <t>Luminárias 2X36 com alaetas completa</t>
  </si>
  <si>
    <t>18.69</t>
  </si>
  <si>
    <t>Luminária de piso, com lâmpada vapor metálico 70W</t>
  </si>
  <si>
    <t>C2045</t>
  </si>
  <si>
    <t>18.70</t>
  </si>
  <si>
    <t>18.71</t>
  </si>
  <si>
    <t>74041/1</t>
  </si>
  <si>
    <t>18.72</t>
  </si>
  <si>
    <t xml:space="preserve">Arandela de sobrepor com 1 lâmpada fluorescente compacta 60W </t>
  </si>
  <si>
    <t>INSTALAÇÕES DE CLIMATIZAÇÃO</t>
  </si>
  <si>
    <t>Tubo PVC soldável - Ø 25 mm, inclusive conexões (drenos para ar condicionado)</t>
  </si>
  <si>
    <t>Joelho 45 PVC - Ø 25mm, fornecimento e instalação</t>
  </si>
  <si>
    <t>INSTALAÇÕES DE REDE ESTRUTURADA</t>
  </si>
  <si>
    <t>EQUIPAMENTOS PASSIVOS</t>
  </si>
  <si>
    <t>Patch Panel 19" - 48 portas, Categoria 6</t>
  </si>
  <si>
    <t>20.5</t>
  </si>
  <si>
    <t>Guia de Cabos simples</t>
  </si>
  <si>
    <t>20.8</t>
  </si>
  <si>
    <t>Guia de Cabos Vertical</t>
  </si>
  <si>
    <t>Guia de Cabos Superior, fechado</t>
  </si>
  <si>
    <t xml:space="preserve">Perfil de montagem </t>
  </si>
  <si>
    <t xml:space="preserve">Anel organizador de cabos </t>
  </si>
  <si>
    <t>Bandeja deslizante perfurada</t>
  </si>
  <si>
    <t>20.13</t>
  </si>
  <si>
    <t xml:space="preserve">Kit pés niveladores </t>
  </si>
  <si>
    <t>CABOS EM PAR TRANÇADOS</t>
  </si>
  <si>
    <t>C0544</t>
  </si>
  <si>
    <t>CABOS DE CONEXÃO</t>
  </si>
  <si>
    <t>TOMADAS</t>
  </si>
  <si>
    <t>20.14</t>
  </si>
  <si>
    <t>20.15</t>
  </si>
  <si>
    <t>20.16</t>
  </si>
  <si>
    <t>Placa 2x4" 2 modulo RJ45</t>
  </si>
  <si>
    <t>20.17</t>
  </si>
  <si>
    <t>20.18</t>
  </si>
  <si>
    <t>20.19</t>
  </si>
  <si>
    <t>CAIXAS E ACESSÓRIOS</t>
  </si>
  <si>
    <t>20.20</t>
  </si>
  <si>
    <t>Caixa de passagem em alvenaria 30x30x12 com tampa de ferro fundido</t>
  </si>
  <si>
    <t>20.21</t>
  </si>
  <si>
    <t>Caixa de passagem PVC 4x2" - fornecimento e instalação</t>
  </si>
  <si>
    <t>20.22</t>
  </si>
  <si>
    <t>Eletroduto PVC flexivel 1", inclusive conexões</t>
  </si>
  <si>
    <t>20.23</t>
  </si>
  <si>
    <t>Eletroduto PVC flexivel 3/4", inclusive conexões</t>
  </si>
  <si>
    <t>20.24</t>
  </si>
  <si>
    <t>Eletroduto PVC flexivel 1 1/2", inclusive conexões</t>
  </si>
  <si>
    <t>20.25</t>
  </si>
  <si>
    <t>Eletroduto Ferro Galvanizado Ø1'' fornecimento e instalação</t>
  </si>
  <si>
    <t>20.26</t>
  </si>
  <si>
    <t>Eletroduto Ferro Galvanizado Ø2 1/2'' fornecimento e instalação</t>
  </si>
  <si>
    <t>20.27</t>
  </si>
  <si>
    <t>Luva aço galvanizado 1'' - fornecimento e instalação</t>
  </si>
  <si>
    <t>20.28</t>
  </si>
  <si>
    <t>Luva aço galvanizado 2 1/2'' - fornecimento e instalação</t>
  </si>
  <si>
    <t>20.29</t>
  </si>
  <si>
    <t>20.30</t>
  </si>
  <si>
    <t>Eletrocalha lisa com tampa 100 x 50 mm, inclusive conexões</t>
  </si>
  <si>
    <t>20.31</t>
  </si>
  <si>
    <t>20.32</t>
  </si>
  <si>
    <t>Eletrocalha lisa com tampa 75 x 50 mm, inclusive conexões</t>
  </si>
  <si>
    <t>SISTEMA DE EXAUSTÃO MECÂNICA</t>
  </si>
  <si>
    <t>21.2</t>
  </si>
  <si>
    <t>21.3</t>
  </si>
  <si>
    <t>SISTEMA DE PROTEÇÃO CONTRA DESCARGAS ATMOSFÉRICAS (SPDA)</t>
  </si>
  <si>
    <t>Pára-raios tipo Franklin em aço inox 3 pontas em haste de 3 m. x 1.1/2" tipo simples</t>
  </si>
  <si>
    <t>C3478</t>
  </si>
  <si>
    <t>22.2</t>
  </si>
  <si>
    <t>C0860</t>
  </si>
  <si>
    <t>22.3</t>
  </si>
  <si>
    <t>22.4</t>
  </si>
  <si>
    <t>22.5</t>
  </si>
  <si>
    <t>22.6</t>
  </si>
  <si>
    <t>73962/13</t>
  </si>
  <si>
    <t>22.7</t>
  </si>
  <si>
    <t>Escavação de vala para aterramento</t>
  </si>
  <si>
    <t>22.8</t>
  </si>
  <si>
    <t>Haste tipo coopperweld 5/8" x 2,40m.</t>
  </si>
  <si>
    <t>22.9</t>
  </si>
  <si>
    <t>Cordoalha de cobre nu 16 mm2</t>
  </si>
  <si>
    <t>22.10</t>
  </si>
  <si>
    <t>Cordoalha de cobre nu 35 mm2</t>
  </si>
  <si>
    <t>22.11</t>
  </si>
  <si>
    <t>Cordoalha de cobre nu 50 mm2</t>
  </si>
  <si>
    <t>22.12</t>
  </si>
  <si>
    <t>22.13</t>
  </si>
  <si>
    <t>SERVIÇOS COMPLEMENTARES</t>
  </si>
  <si>
    <t>C0864</t>
  </si>
  <si>
    <t>C4065</t>
  </si>
  <si>
    <t>23.2</t>
  </si>
  <si>
    <t>23.3</t>
  </si>
  <si>
    <t>C2910</t>
  </si>
  <si>
    <t>23.4</t>
  </si>
  <si>
    <t>C0361</t>
  </si>
  <si>
    <t>23.5</t>
  </si>
  <si>
    <t>23.6</t>
  </si>
  <si>
    <t>C1869</t>
  </si>
  <si>
    <t>23.7</t>
  </si>
  <si>
    <t>CAIXA DÁGUA -30.000L</t>
  </si>
  <si>
    <t>23.8</t>
  </si>
  <si>
    <t>Alça de içamento</t>
  </si>
  <si>
    <t>23.9</t>
  </si>
  <si>
    <t>Suporte  de luz piloto</t>
  </si>
  <si>
    <t>23.10</t>
  </si>
  <si>
    <t>Suporte para cinto de segurança</t>
  </si>
  <si>
    <t>23.11</t>
  </si>
  <si>
    <t>Suporte para Pára-raio</t>
  </si>
  <si>
    <t>23.12</t>
  </si>
  <si>
    <t>Escada interna e externa tipo marinheiro, inclusive pintura</t>
  </si>
  <si>
    <t>73737/2</t>
  </si>
  <si>
    <t>23.13</t>
  </si>
  <si>
    <t>23.14</t>
  </si>
  <si>
    <t>SERVIÇOS FINAIS</t>
  </si>
  <si>
    <t>Limpeza final da obra</t>
  </si>
  <si>
    <t>TOTAL GERAL COM BDI</t>
  </si>
  <si>
    <t>CRONOGRAMA FISICO-FINANCEIRO</t>
  </si>
  <si>
    <t>1º MÊS (30 DIAS)</t>
  </si>
  <si>
    <t>2º MÊS (60 DIAS)</t>
  </si>
  <si>
    <t>3º MÊS (90 DIAS)</t>
  </si>
  <si>
    <t>4º MÊS (120 DIAS)</t>
  </si>
  <si>
    <t>5º MÊS (150 DIAS)</t>
  </si>
  <si>
    <t>6º MÊS (180 DIAS)</t>
  </si>
  <si>
    <t>7º MÊS (210 DIAS)</t>
  </si>
  <si>
    <t>8º MÊS (240 DIAS)</t>
  </si>
  <si>
    <t>9º MÊS (270 DIAS)</t>
  </si>
  <si>
    <t>10º MÊS (300 DIAS)</t>
  </si>
  <si>
    <t>R$</t>
  </si>
  <si>
    <t>VALOR</t>
  </si>
  <si>
    <t>Parcial Simples</t>
  </si>
  <si>
    <t>Percentual Simples (%)</t>
  </si>
  <si>
    <t>Toral Acumulado</t>
  </si>
  <si>
    <t>Percentual Acumulado (%)</t>
  </si>
  <si>
    <t>COMPOSIÇÃO ANALÍTICA DA TAXA DE B.D.I.</t>
  </si>
  <si>
    <t>1 - ADMINISTRAÇÃO CENTRAL</t>
  </si>
  <si>
    <t>DESCRIÇÃO</t>
  </si>
  <si>
    <t>TAXA (%)</t>
  </si>
  <si>
    <t>MÃO DE OBRA</t>
  </si>
  <si>
    <t>TRANSPORTES</t>
  </si>
  <si>
    <t>MANUTENÇÃO E OPERAÇÃO DO ESCRITÓRIO CENTRAL</t>
  </si>
  <si>
    <t>DESPESAS DIVERSAS</t>
  </si>
  <si>
    <t>TOTAL DA ADMINISTRAÇÃO CENTRAL</t>
  </si>
  <si>
    <t>2 - DESPESAS FISCAIS</t>
  </si>
  <si>
    <t>ISS/ICMS</t>
  </si>
  <si>
    <t>CONFINS</t>
  </si>
  <si>
    <t>IRPJ</t>
  </si>
  <si>
    <t>CSLL</t>
  </si>
  <si>
    <t>TOTAL DAS DISPESAS FISCAIS</t>
  </si>
  <si>
    <t>3 - DIVERSOS</t>
  </si>
  <si>
    <t>BONIFICAÇÃO DA EMPRESA (LUCRO)</t>
  </si>
  <si>
    <t>DESPESAS FINANCEIRAS</t>
  </si>
  <si>
    <t>SEGURO OBRIGATÓRIO</t>
  </si>
  <si>
    <t>RISCOS E EVENTUAIS</t>
  </si>
  <si>
    <t>TOTAL DIVERSOS</t>
  </si>
  <si>
    <t>BONIFICAÇÃO E DESPESAS INDIRETAS (B.D.I)</t>
  </si>
  <si>
    <t>BDI =</t>
  </si>
  <si>
    <r>
      <t>(1 + X) x (1 + Y) x (1 + Z)</t>
    </r>
    <r>
      <rPr>
        <sz val="10"/>
        <rFont val="Arial"/>
        <family val="2"/>
      </rPr>
      <t xml:space="preserve">  - 1</t>
    </r>
  </si>
  <si>
    <t xml:space="preserve">             (1 - I)</t>
  </si>
  <si>
    <r>
      <t xml:space="preserve">  H C GOMES CONSTRUTORA COMÉRCIO E SERVIÇOS EIRELI - EPP</t>
    </r>
    <r>
      <rPr>
        <b/>
        <sz val="16"/>
        <rFont val="Times New Roman"/>
        <family val="1"/>
      </rPr>
      <t xml:space="preserve">                                                                                       </t>
    </r>
    <r>
      <rPr>
        <b/>
        <sz val="12"/>
        <rFont val="Times New Roman"/>
        <family val="1"/>
      </rPr>
      <t>CNPJ: 18.235.336/0001-07, Incs. Municipal: 30.476, Trav. João Augusto, nº 847 -                                                      Bairro: São Pedro - CEP: 68.400-000 - Cametá - Pará</t>
    </r>
  </si>
  <si>
    <t>CONCEITO DE ANO PRODUTIVO</t>
  </si>
  <si>
    <t>Jornada mensal de trabalho (220 horas/mês)</t>
  </si>
  <si>
    <t>horas/mês</t>
  </si>
  <si>
    <t>Jornada diária de trabalho =&gt; (220 horas/30 dias)</t>
  </si>
  <si>
    <t>horas/dia</t>
  </si>
  <si>
    <t>HORAS NÃO TRABALHADAS</t>
  </si>
  <si>
    <t>TAXAS DE LEIS SOCIAIS E RISCOS DE TRABALHO HORISTAS</t>
  </si>
  <si>
    <t>Domingos ou Repouso Semanal Remunerado</t>
  </si>
  <si>
    <t>horas</t>
  </si>
  <si>
    <t>A: Encargos Sociais Básicos</t>
  </si>
  <si>
    <t>Feriados</t>
  </si>
  <si>
    <t>12,5</t>
  </si>
  <si>
    <t>A.1</t>
  </si>
  <si>
    <t>Previdência Social (INSS)</t>
  </si>
  <si>
    <t>Auxílio Efermidade - Doença (15 dias, ocorrência de 3,40%)</t>
  </si>
  <si>
    <t>A.2</t>
  </si>
  <si>
    <t>Fundo de Garantia por Tempo de Serviço (FGTS)</t>
  </si>
  <si>
    <t>Licença Paternidade (5 dias, incidência (92,36%), proporção (85,64%) e rocorre (5,93%)</t>
  </si>
  <si>
    <t>A.3</t>
  </si>
  <si>
    <t>Salário Educação</t>
  </si>
  <si>
    <t>Licença Maternidade (120 dias, natalidade (4,33%), incidência (7,64%), proporção (82,40%)</t>
  </si>
  <si>
    <t>A.4</t>
  </si>
  <si>
    <t>Serviço Social da Industria (SESI)</t>
  </si>
  <si>
    <t>Faltas Justificadas</t>
  </si>
  <si>
    <t>A.5</t>
  </si>
  <si>
    <t>Serviço Nacional de Aprendizagem Industrial (SENAI)</t>
  </si>
  <si>
    <t>Dias de Chuvas</t>
  </si>
  <si>
    <t>A.6</t>
  </si>
  <si>
    <t>Serviço de Apoio a Pequena e Média Empresa (SEBRAE)</t>
  </si>
  <si>
    <t>Auxílio Acidente de Trabalho (incremento 3,50%)</t>
  </si>
  <si>
    <t>A.7</t>
  </si>
  <si>
    <t>Instituto Nacional de Colonização e Reforma Agraria (INCRA)</t>
  </si>
  <si>
    <t>Férias Gozadas + 1/3 Adicional</t>
  </si>
  <si>
    <t>A.8</t>
  </si>
  <si>
    <t>Seguro Contra os Acidentes de Trabalho (INSS)</t>
  </si>
  <si>
    <r>
      <t xml:space="preserve">ANO PRODUTIVO </t>
    </r>
    <r>
      <rPr>
        <sz val="9"/>
        <rFont val="Arial"/>
        <family val="2"/>
      </rPr>
      <t>(1 ano =&gt; 365 dias + 1/4 dia ano bisexto)</t>
    </r>
  </si>
  <si>
    <t>A.9</t>
  </si>
  <si>
    <t>SECONCI</t>
  </si>
  <si>
    <t>ANO PRODUTIVO MENOS HORAS NÃO TRABALHADAS</t>
  </si>
  <si>
    <t>12</t>
  </si>
  <si>
    <t>Subtotal (A)</t>
  </si>
  <si>
    <t>13º Salário (30 dias)</t>
  </si>
  <si>
    <t>B: Encargos Sociais que recebem as incidências de A</t>
  </si>
  <si>
    <t>Aviso prévio Indenizado (30 dias + 3 dias p/ano, incidência (90,00%)</t>
  </si>
  <si>
    <t>B.1</t>
  </si>
  <si>
    <t>Repouso Semanal e Feriados</t>
  </si>
  <si>
    <t>Aviso prévio trabalhado (7 dias)</t>
  </si>
  <si>
    <t>B.2</t>
  </si>
  <si>
    <t>Auxílio-enfermidade</t>
  </si>
  <si>
    <t>Férias Indenizadas + 1/3 Adicional (6,26 meses)</t>
  </si>
  <si>
    <t>B.3</t>
  </si>
  <si>
    <t>Licença-paternidade</t>
  </si>
  <si>
    <t>Depósito por Despedida Injusta</t>
  </si>
  <si>
    <t>B.4</t>
  </si>
  <si>
    <t>13º Salário</t>
  </si>
  <si>
    <t>Indenização Adicional (1/12 - adotado)</t>
  </si>
  <si>
    <t>B.5</t>
  </si>
  <si>
    <t>Dias de chuva/ falta justificadas/ acidentes de trabalho/ greves/ alta ou atraso na entrega de materiais ou serviços de obra/ outras dificuldades</t>
  </si>
  <si>
    <t>Subtotal (B)</t>
  </si>
  <si>
    <t>Legenda</t>
  </si>
  <si>
    <t>C: Encargos Sociais que não recebem as incidências globais de A</t>
  </si>
  <si>
    <t>C.1</t>
  </si>
  <si>
    <t>Depósito por despedida injusta: 50% sobre [A.2+(A.2xB)] (supondo apenas rescisões por despedida injusta)</t>
  </si>
  <si>
    <t>CUSTOS MÉDIOS ESTIMADOS</t>
  </si>
  <si>
    <t>VALORES</t>
  </si>
  <si>
    <t>C.2</t>
  </si>
  <si>
    <t>Férias (indenizadas)</t>
  </si>
  <si>
    <t>Custo Médio (un.) da Condução - C</t>
  </si>
  <si>
    <t>C.3</t>
  </si>
  <si>
    <t>Aviso Prévio Indenizado</t>
  </si>
  <si>
    <t>Número de Conduções - NC</t>
  </si>
  <si>
    <t>Subtotal (C)</t>
  </si>
  <si>
    <t>Custo Médio (un.) de um Café da Manhã - F</t>
  </si>
  <si>
    <t>D: Taxa de Reincidências</t>
  </si>
  <si>
    <t>Custo Médio (un.) da Refeição - R</t>
  </si>
  <si>
    <t>D.1</t>
  </si>
  <si>
    <t>Reincidência de A sobre B</t>
  </si>
  <si>
    <t>Número de Refeições - NR</t>
  </si>
  <si>
    <t>D.2</t>
  </si>
  <si>
    <t>Reicidência de A2 sobre C3</t>
  </si>
  <si>
    <t>Subtotal (D)</t>
  </si>
  <si>
    <t>Custo Médio (un.) do seguro - C</t>
  </si>
  <si>
    <t>TOTAL DE ENCARGOS SOCIAIS</t>
  </si>
  <si>
    <t>Custo Médio do EPI (mês)/-1/3 de calçado + 1/10 de capacete + 1/10 cinturão - K</t>
  </si>
  <si>
    <t>E: Complementos</t>
  </si>
  <si>
    <t>Salário Médio Nominal (mês)</t>
  </si>
  <si>
    <t>E.1</t>
  </si>
  <si>
    <t>Vale Transporte = (CxNCx0,06)/S%</t>
  </si>
  <si>
    <t>Ferramentas manuais</t>
  </si>
  <si>
    <t>E.2</t>
  </si>
  <si>
    <t>Vale Café da Manhâ = (FxNR-S/30x22x0,01)/S%</t>
  </si>
  <si>
    <t>E.3</t>
  </si>
  <si>
    <t>Refeição = (RxNRx0,95)/S%</t>
  </si>
  <si>
    <t>E.4</t>
  </si>
  <si>
    <t>Seguro de vida e Acidente em Grupo = C/S%</t>
  </si>
  <si>
    <t>E.5</t>
  </si>
  <si>
    <t>Equipamento de Proteção Individual = K/S%</t>
  </si>
  <si>
    <t>E.6</t>
  </si>
  <si>
    <t>Pesquisa de Dados no CAGED</t>
  </si>
  <si>
    <t>TOTAL DE COMPLEMENTOS</t>
  </si>
  <si>
    <t>TOTAL GERAL (Encargos Sociais + Complementos)</t>
  </si>
  <si>
    <t>Desligamentos</t>
  </si>
  <si>
    <t>Dispensados com Justa Causa</t>
  </si>
  <si>
    <t>Dispensados sem Justa Causa</t>
  </si>
  <si>
    <t>Espontâneos</t>
  </si>
  <si>
    <t>Fim de Contrato por Prazo Determinado</t>
  </si>
  <si>
    <t>Término de Contrato</t>
  </si>
  <si>
    <t>Aposentados</t>
  </si>
  <si>
    <t>Mortos</t>
  </si>
  <si>
    <t>Transferência de Saída</t>
  </si>
  <si>
    <t>Estoque</t>
  </si>
  <si>
    <t>Estoque Recuperado Início do Período</t>
  </si>
  <si>
    <t>Estoque Recuperado Final do Período</t>
  </si>
  <si>
    <t>Estoque Médio</t>
  </si>
  <si>
    <t>Dispensados Descontados (não considera os desligamentos espontâneos, aposentados, mortos e transferência de saída)</t>
  </si>
  <si>
    <t>Dispensados (não considera os aposentados, mortos e transferência de saída)</t>
  </si>
  <si>
    <t>Taxa de Rotatividade Descontada (apenas dispensados sem justa causa)</t>
  </si>
  <si>
    <t>Taxa de Rotatividade Não Descontada</t>
  </si>
  <si>
    <t>Desligados Espontâneos</t>
  </si>
  <si>
    <t>Duração Média de Emprego - (meses)</t>
  </si>
  <si>
    <t>Percentual de Dispensados sem Justa Causa</t>
  </si>
  <si>
    <t>COMPOSIÇÃO DE ENCARGOS - (MENSALISTA)</t>
  </si>
  <si>
    <t>CONCORRÊNCIA PÚBLICA Nº 003/2015 - SEMED - PMC</t>
  </si>
  <si>
    <t>TAXAS DE LEIS SOCIAIS E RISCOS DE TRABALHO MENSALISTA</t>
  </si>
  <si>
    <t>Salário</t>
  </si>
  <si>
    <t>Reicindência de A2 sobre C3</t>
  </si>
  <si>
    <t xml:space="preserve">P  L  A  N  I  L  H  A     O  R  Ç  A  M  E  N  T  Á  R  I  A </t>
  </si>
  <si>
    <t>Valor Total</t>
  </si>
  <si>
    <t>TERPLANC - TERRAPLENAGEM  PLANEJAMENTO CONSTRUÇÃO E SEVIÇOS  EIRELE - EPP</t>
  </si>
  <si>
    <t>VALOR GERAL COM BDI</t>
  </si>
  <si>
    <t>2.11</t>
  </si>
  <si>
    <t>CONCRETO</t>
  </si>
  <si>
    <t>TELHAMENTO</t>
  </si>
  <si>
    <t xml:space="preserve"> CALHAS / CUMEEIRAS</t>
  </si>
  <si>
    <t>MADEIRA</t>
  </si>
  <si>
    <t xml:space="preserve"> FERRO</t>
  </si>
  <si>
    <t>OUTROS MATERIAIS</t>
  </si>
  <si>
    <t xml:space="preserve"> P/ PORTAS</t>
  </si>
  <si>
    <t>ESMALTE</t>
  </si>
  <si>
    <t>ACRÍLICA</t>
  </si>
  <si>
    <t>OUTRAS PINTURAS</t>
  </si>
  <si>
    <t>QUADROS E CAIXAS</t>
  </si>
  <si>
    <t>PONTOS, TOMADAS E INTERRUPTORES</t>
  </si>
  <si>
    <t>LUMINÁRIAS</t>
  </si>
  <si>
    <t>18.2.4</t>
  </si>
  <si>
    <t>18.3.1</t>
  </si>
  <si>
    <t>25.2</t>
  </si>
  <si>
    <t>PRAZO DE EXECUÇÃO:  120 DIAS</t>
  </si>
  <si>
    <t>BDI (%): 23,40</t>
  </si>
  <si>
    <t>MOTORISTA</t>
  </si>
  <si>
    <t xml:space="preserve">Tijolo </t>
  </si>
  <si>
    <t>VIDRAÇEIRO</t>
  </si>
  <si>
    <t>11.1.2</t>
  </si>
  <si>
    <t>17.2.1</t>
  </si>
  <si>
    <t>17.2.2</t>
  </si>
  <si>
    <t>17.2.3</t>
  </si>
  <si>
    <t>PREDEIRO</t>
  </si>
  <si>
    <t>REFORMA E AMPLIAÇÃO DA E.M.E.F IZAURA DOMINGOS COSTA - BELA VISTA - SÃO MIGUEL DO GUAMÁ - PARÁ</t>
  </si>
  <si>
    <t>PREFEITURA MUNICIPAL DE SÃO MIGUEL DO GUAMÁ</t>
  </si>
  <si>
    <t>REVESTIMENTOS</t>
  </si>
  <si>
    <t>RODAPES, SOLEIRAS E PEITORIS</t>
  </si>
  <si>
    <t>INSTALAÇÕES HIDR0SSANITÁRIAS</t>
  </si>
  <si>
    <t>INSTALAÇÕES DE PROTEÇÃO/COMBATE A INCÊNDIO</t>
  </si>
  <si>
    <t>APARELHOS, LOUÇAS, METAIS E ACESSÓRIOS SANITÁRIOS</t>
  </si>
  <si>
    <t>SERRALHERIA</t>
  </si>
  <si>
    <t>ELEMENTOS DE ESCOLA</t>
  </si>
  <si>
    <t>DEMOLIÇÕES E RETIRADAS</t>
  </si>
  <si>
    <t>IMPERMEABILIZAÇÕES /TRATAMENTOS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</si>
</sst>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"/>
    <numFmt numFmtId="165" formatCode="0.000"/>
    <numFmt numFmtId="166" formatCode="_-[$R$-416]\ * #,##0.00_-;\-[$R$-416]\ * #,##0.00_-;_-[$R$-416]\ * &quot;-&quot;??_-;_-@_-"/>
    <numFmt numFmtId="167" formatCode="_-&quot;R$&quot;\ * #,##0.0000000_-;\-&quot;R$&quot;\ * #,##0.0000000_-;_-&quot;R$&quot;\ * &quot;-&quot;??_-;_-@_-"/>
    <numFmt numFmtId="168" formatCode="_-&quot;R$&quot;\ * #,##0.000_-;\-&quot;R$&quot;\ * #,##0.000_-;_-&quot;R$&quot;\ * &quot;-&quot;??_-;_-@_-"/>
    <numFmt numFmtId="169" formatCode="_(&quot;R$&quot;* #,##0.00_);_(&quot;R$&quot;* \(#,##0.00\);_(&quot;R$&quot;* &quot;-&quot;??_);_(@_)"/>
    <numFmt numFmtId="170" formatCode="&quot;R$ &quot;#,##0.00"/>
    <numFmt numFmtId="171" formatCode="0.0000%"/>
    <numFmt numFmtId="172" formatCode="0.0000"/>
    <numFmt numFmtId="173" formatCode="_(* #,##0.0000_);_(* \(#,##0.0000\);_(* &quot;-&quot;??_);_(@_)"/>
    <numFmt numFmtId="174" formatCode="_(* #,##0.00_);_(* \(#,##0.00\);_(* &quot;-&quot;??_);_(@_)"/>
    <numFmt numFmtId="175" formatCode="_(&quot;R$ &quot;* #,##0.00_);_(&quot;R$ &quot;* \(#,##0.00\);_(&quot;R$ &quot;* &quot;-&quot;??_);_(@_)"/>
    <numFmt numFmtId="176" formatCode="_-* #,##0.0000_-;\-* #,##0.0000_-;_-* &quot;-&quot;??_-;_-@_-"/>
    <numFmt numFmtId="177" formatCode="0.00000000000000000000000000000000000000%"/>
    <numFmt numFmtId="178" formatCode="#,"/>
    <numFmt numFmtId="179" formatCode="#,#00"/>
    <numFmt numFmtId="180" formatCode="%#,#00"/>
    <numFmt numFmtId="181" formatCode="#.##000"/>
  </numFmts>
  <fonts count="9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1"/>
      <name val="Times New Roman"/>
      <family val="1"/>
    </font>
    <font>
      <b/>
      <sz val="9"/>
      <name val="Tahoma"/>
      <family val="2"/>
    </font>
    <font>
      <b/>
      <sz val="9"/>
      <name val="Times New Roman"/>
      <family val="1"/>
    </font>
    <font>
      <sz val="9"/>
      <color theme="1"/>
      <name val="Tahoma"/>
      <family val="2"/>
    </font>
    <font>
      <u/>
      <sz val="11"/>
      <color rgb="FF000000"/>
      <name val="Calibri"/>
      <family val="2"/>
      <charset val="204"/>
    </font>
    <font>
      <b/>
      <i/>
      <sz val="10"/>
      <color rgb="FF000000"/>
      <name val="Calibri"/>
      <family val="2"/>
    </font>
    <font>
      <b/>
      <i/>
      <sz val="18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color rgb="FFFF0000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charset val="204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i/>
      <sz val="11"/>
      <color theme="1"/>
      <name val="Calibri"/>
      <family val="2"/>
    </font>
    <font>
      <sz val="10"/>
      <color rgb="FF000000"/>
      <name val="Times New Roman"/>
      <family val="1"/>
    </font>
    <font>
      <b/>
      <u/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u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Courier"/>
      <family val="3"/>
    </font>
    <font>
      <b/>
      <sz val="11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8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1"/>
      <color indexed="8"/>
      <name val="Calibri"/>
      <family val="2"/>
    </font>
    <font>
      <sz val="1"/>
      <color indexed="18"/>
      <name val="Courier"/>
      <family val="3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  <font>
      <b/>
      <sz val="14"/>
      <color rgb="FF000000"/>
      <name val="Arial"/>
      <family val="2"/>
    </font>
    <font>
      <sz val="11"/>
      <color rgb="FF000000"/>
      <name val="Times New Roman"/>
      <family val="1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Times New Roman"/>
      <family val="1"/>
    </font>
    <font>
      <b/>
      <sz val="8"/>
      <color theme="1"/>
      <name val="Arial"/>
      <family val="2"/>
    </font>
    <font>
      <b/>
      <sz val="12"/>
      <color rgb="FF000000"/>
      <name val="Tahoma"/>
      <family val="2"/>
    </font>
    <font>
      <b/>
      <sz val="11"/>
      <color theme="1"/>
      <name val="Arial"/>
      <family val="2"/>
    </font>
    <font>
      <sz val="11"/>
      <color theme="1"/>
      <name val="Tahoma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5">
    <xf numFmtId="0" fontId="0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5" fillId="0" borderId="0"/>
    <xf numFmtId="44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42" fillId="0" borderId="0"/>
    <xf numFmtId="0" fontId="35" fillId="0" borderId="0"/>
    <xf numFmtId="0" fontId="3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9" fontId="35" fillId="0" borderId="0" quotePrefix="1" applyFont="0" applyFill="0" applyBorder="0" applyAlignment="0">
      <protection locked="0"/>
    </xf>
    <xf numFmtId="170" fontId="35" fillId="0" borderId="0" applyFont="0" applyFill="0" applyBorder="0" applyAlignment="0" applyProtection="0"/>
    <xf numFmtId="0" fontId="1" fillId="0" borderId="0"/>
    <xf numFmtId="174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42" fillId="0" borderId="0"/>
    <xf numFmtId="0" fontId="35" fillId="0" borderId="0"/>
    <xf numFmtId="0" fontId="70" fillId="0" borderId="0"/>
    <xf numFmtId="0" fontId="72" fillId="0" borderId="0"/>
    <xf numFmtId="178" fontId="73" fillId="0" borderId="0">
      <protection locked="0"/>
    </xf>
    <xf numFmtId="178" fontId="73" fillId="0" borderId="0">
      <protection locked="0"/>
    </xf>
    <xf numFmtId="178" fontId="73" fillId="0" borderId="0">
      <protection locked="0"/>
    </xf>
    <xf numFmtId="178" fontId="73" fillId="0" borderId="0">
      <protection locked="0"/>
    </xf>
    <xf numFmtId="0" fontId="74" fillId="0" borderId="0">
      <protection locked="0"/>
    </xf>
    <xf numFmtId="178" fontId="73" fillId="0" borderId="0">
      <protection locked="0"/>
    </xf>
    <xf numFmtId="0" fontId="35" fillId="0" borderId="0"/>
    <xf numFmtId="178" fontId="73" fillId="0" borderId="0">
      <protection locked="0"/>
    </xf>
    <xf numFmtId="179" fontId="74" fillId="0" borderId="0">
      <protection locked="0"/>
    </xf>
    <xf numFmtId="178" fontId="75" fillId="0" borderId="0">
      <protection locked="0"/>
    </xf>
    <xf numFmtId="178" fontId="75" fillId="0" borderId="0">
      <protection locked="0"/>
    </xf>
    <xf numFmtId="3" fontId="35" fillId="0" borderId="0" applyFont="0" applyFill="0" applyBorder="0" applyAlignment="0" applyProtection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5" fillId="0" borderId="0"/>
    <xf numFmtId="0" fontId="70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178" fontId="73" fillId="0" borderId="0">
      <protection locked="0"/>
    </xf>
    <xf numFmtId="180" fontId="74" fillId="0" borderId="0">
      <protection locked="0"/>
    </xf>
    <xf numFmtId="181" fontId="74" fillId="0" borderId="0">
      <protection locked="0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6" fillId="0" borderId="0" applyFont="0" applyFill="0" applyBorder="0" applyAlignment="0" applyProtection="0"/>
    <xf numFmtId="178" fontId="77" fillId="0" borderId="0">
      <protection locked="0"/>
    </xf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78" fillId="0" borderId="0"/>
    <xf numFmtId="178" fontId="79" fillId="0" borderId="0">
      <protection locked="0"/>
    </xf>
    <xf numFmtId="178" fontId="79" fillId="0" borderId="0">
      <protection locked="0"/>
    </xf>
    <xf numFmtId="43" fontId="35" fillId="0" borderId="0" quotePrefix="1" applyFont="0" applyFill="0" applyBorder="0" applyAlignment="0">
      <protection locked="0"/>
    </xf>
    <xf numFmtId="174" fontId="35" fillId="0" borderId="0" applyFont="0" applyFill="0" applyBorder="0" applyAlignment="0" applyProtection="0"/>
    <xf numFmtId="174" fontId="76" fillId="0" borderId="0" applyFont="0" applyFill="0" applyBorder="0" applyAlignment="0" applyProtection="0"/>
    <xf numFmtId="3" fontId="35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744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2" fontId="0" fillId="0" borderId="2" xfId="0" applyNumberFormat="1" applyBorder="1"/>
    <xf numFmtId="2" fontId="14" fillId="0" borderId="0" xfId="0" applyNumberFormat="1" applyFont="1"/>
    <xf numFmtId="2" fontId="13" fillId="0" borderId="0" xfId="0" applyNumberFormat="1" applyFont="1"/>
    <xf numFmtId="2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5" fillId="0" borderId="0" xfId="0" applyFont="1" applyBorder="1" applyAlignment="1">
      <alignment horizontal="left" vertical="top"/>
    </xf>
    <xf numFmtId="0" fontId="0" fillId="0" borderId="2" xfId="0" applyBorder="1" applyAlignment="1"/>
    <xf numFmtId="4" fontId="0" fillId="0" borderId="2" xfId="0" applyNumberFormat="1" applyBorder="1" applyAlignment="1">
      <alignment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16" fillId="0" borderId="2" xfId="0" applyNumberFormat="1" applyFont="1" applyBorder="1"/>
    <xf numFmtId="0" fontId="12" fillId="0" borderId="2" xfId="0" applyFont="1" applyBorder="1" applyAlignment="1">
      <alignment wrapText="1"/>
    </xf>
    <xf numFmtId="0" fontId="17" fillId="0" borderId="0" xfId="0" applyFont="1"/>
    <xf numFmtId="165" fontId="0" fillId="0" borderId="2" xfId="0" applyNumberFormat="1" applyBorder="1"/>
    <xf numFmtId="2" fontId="18" fillId="0" borderId="0" xfId="0" applyNumberFormat="1" applyFont="1"/>
    <xf numFmtId="0" fontId="0" fillId="0" borderId="2" xfId="0" applyBorder="1" applyAlignment="1">
      <alignment horizontal="center"/>
    </xf>
    <xf numFmtId="0" fontId="19" fillId="0" borderId="2" xfId="0" applyFont="1" applyBorder="1"/>
    <xf numFmtId="0" fontId="20" fillId="0" borderId="2" xfId="0" applyFont="1" applyBorder="1"/>
    <xf numFmtId="4" fontId="0" fillId="0" borderId="0" xfId="0" applyNumberFormat="1"/>
    <xf numFmtId="4" fontId="18" fillId="0" borderId="0" xfId="0" applyNumberFormat="1" applyFont="1"/>
    <xf numFmtId="2" fontId="0" fillId="0" borderId="2" xfId="0" applyNumberFormat="1" applyBorder="1" applyAlignment="1">
      <alignment horizontal="right"/>
    </xf>
    <xf numFmtId="4" fontId="17" fillId="0" borderId="0" xfId="0" applyNumberFormat="1" applyFont="1"/>
    <xf numFmtId="4" fontId="0" fillId="0" borderId="2" xfId="0" applyNumberFormat="1" applyBorder="1"/>
    <xf numFmtId="2" fontId="0" fillId="0" borderId="2" xfId="0" applyNumberFormat="1" applyBorder="1" applyAlignment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2" fillId="0" borderId="0" xfId="0" applyFont="1" applyFill="1" applyBorder="1" applyAlignment="1">
      <alignment horizontal="right" vertical="top"/>
    </xf>
    <xf numFmtId="4" fontId="22" fillId="0" borderId="0" xfId="0" applyNumberFormat="1" applyFont="1" applyFill="1" applyBorder="1" applyAlignment="1">
      <alignment horizontal="right" vertical="top"/>
    </xf>
    <xf numFmtId="0" fontId="23" fillId="2" borderId="0" xfId="0" applyFont="1" applyFill="1" applyAlignment="1"/>
    <xf numFmtId="0" fontId="0" fillId="0" borderId="2" xfId="0" applyBorder="1" applyAlignment="1">
      <alignment horizontal="center"/>
    </xf>
    <xf numFmtId="0" fontId="28" fillId="0" borderId="7" xfId="0" applyFont="1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4" fontId="2" fillId="0" borderId="7" xfId="1" applyNumberFormat="1" applyFont="1" applyBorder="1" applyAlignment="1">
      <alignment horizontal="right"/>
    </xf>
    <xf numFmtId="4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4" fontId="0" fillId="0" borderId="7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9" fontId="0" fillId="0" borderId="7" xfId="2" applyFont="1" applyBorder="1" applyAlignment="1">
      <alignment horizontal="right"/>
    </xf>
    <xf numFmtId="44" fontId="0" fillId="0" borderId="7" xfId="1" applyFont="1" applyBorder="1" applyAlignment="1">
      <alignment horizontal="center"/>
    </xf>
    <xf numFmtId="4" fontId="0" fillId="0" borderId="7" xfId="1" applyNumberFormat="1" applyFont="1" applyBorder="1" applyAlignment="1">
      <alignment horizontal="right"/>
    </xf>
    <xf numFmtId="4" fontId="28" fillId="0" borderId="7" xfId="0" applyNumberFormat="1" applyFont="1" applyBorder="1"/>
    <xf numFmtId="0" fontId="31" fillId="0" borderId="11" xfId="0" applyFont="1" applyBorder="1" applyAlignment="1">
      <alignment horizontal="center" vertical="center"/>
    </xf>
    <xf numFmtId="4" fontId="31" fillId="0" borderId="12" xfId="0" applyNumberFormat="1" applyFont="1" applyBorder="1" applyAlignment="1">
      <alignment vertical="center"/>
    </xf>
    <xf numFmtId="166" fontId="0" fillId="0" borderId="7" xfId="2" applyNumberFormat="1" applyFont="1" applyBorder="1" applyAlignment="1">
      <alignment horizontal="right"/>
    </xf>
    <xf numFmtId="164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3" fillId="0" borderId="1" xfId="0" applyNumberFormat="1" applyFont="1" applyFill="1" applyBorder="1" applyAlignment="1">
      <alignment horizontal="right" vertical="top" wrapText="1" indent="2"/>
    </xf>
    <xf numFmtId="0" fontId="32" fillId="0" borderId="0" xfId="0" applyFont="1"/>
    <xf numFmtId="0" fontId="32" fillId="0" borderId="2" xfId="0" applyFont="1" applyBorder="1"/>
    <xf numFmtId="2" fontId="0" fillId="2" borderId="2" xfId="0" applyNumberFormat="1" applyFill="1" applyBorder="1"/>
    <xf numFmtId="0" fontId="35" fillId="0" borderId="0" xfId="3" applyAlignment="1">
      <alignment horizontal="right"/>
    </xf>
    <xf numFmtId="0" fontId="35" fillId="0" borderId="0" xfId="3" applyAlignment="1">
      <alignment horizontal="center" vertical="center"/>
    </xf>
    <xf numFmtId="0" fontId="35" fillId="0" borderId="0" xfId="3" applyFont="1" applyAlignment="1">
      <alignment horizontal="center" vertical="center"/>
    </xf>
    <xf numFmtId="44" fontId="35" fillId="0" borderId="0" xfId="3" applyNumberFormat="1" applyAlignment="1">
      <alignment horizontal="center" vertical="center"/>
    </xf>
    <xf numFmtId="167" fontId="35" fillId="0" borderId="0" xfId="3" applyNumberFormat="1" applyAlignment="1">
      <alignment horizontal="center" vertical="center"/>
    </xf>
    <xf numFmtId="168" fontId="35" fillId="0" borderId="0" xfId="3" applyNumberFormat="1" applyAlignment="1">
      <alignment horizontal="center" vertical="center"/>
    </xf>
    <xf numFmtId="0" fontId="6" fillId="0" borderId="0" xfId="3" applyFont="1" applyAlignment="1">
      <alignment vertical="center"/>
    </xf>
    <xf numFmtId="0" fontId="35" fillId="0" borderId="0" xfId="3"/>
    <xf numFmtId="0" fontId="6" fillId="0" borderId="0" xfId="3" applyFont="1" applyAlignment="1">
      <alignment vertical="center" wrapText="1"/>
    </xf>
    <xf numFmtId="0" fontId="39" fillId="0" borderId="0" xfId="3" applyFont="1" applyAlignment="1">
      <alignment vertical="center"/>
    </xf>
    <xf numFmtId="0" fontId="35" fillId="0" borderId="0" xfId="3" applyAlignment="1">
      <alignment vertical="center"/>
    </xf>
    <xf numFmtId="0" fontId="40" fillId="0" borderId="18" xfId="3" applyFont="1" applyBorder="1" applyAlignment="1">
      <alignment horizontal="center" vertical="center"/>
    </xf>
    <xf numFmtId="0" fontId="40" fillId="0" borderId="2" xfId="3" applyFont="1" applyBorder="1" applyAlignment="1">
      <alignment horizontal="left" vertical="center" wrapText="1"/>
    </xf>
    <xf numFmtId="166" fontId="40" fillId="0" borderId="2" xfId="3" applyNumberFormat="1" applyFont="1" applyFill="1" applyBorder="1" applyAlignment="1">
      <alignment horizontal="right" vertical="center"/>
    </xf>
    <xf numFmtId="10" fontId="40" fillId="0" borderId="24" xfId="5" applyNumberFormat="1" applyFont="1" applyBorder="1" applyAlignment="1">
      <alignment horizontal="center" vertical="center"/>
    </xf>
    <xf numFmtId="166" fontId="41" fillId="3" borderId="27" xfId="6" applyNumberFormat="1" applyFont="1" applyFill="1" applyBorder="1" applyAlignment="1">
      <alignment vertical="center"/>
    </xf>
    <xf numFmtId="10" fontId="40" fillId="0" borderId="28" xfId="5" applyNumberFormat="1" applyFont="1" applyFill="1" applyBorder="1" applyAlignment="1">
      <alignment horizontal="center" vertical="center"/>
    </xf>
    <xf numFmtId="44" fontId="35" fillId="0" borderId="0" xfId="3" applyNumberFormat="1"/>
    <xf numFmtId="0" fontId="43" fillId="0" borderId="0" xfId="7" applyFont="1" applyAlignment="1">
      <alignment vertical="center" wrapText="1"/>
    </xf>
    <xf numFmtId="0" fontId="35" fillId="0" borderId="0" xfId="8" applyFont="1" applyBorder="1"/>
    <xf numFmtId="0" fontId="44" fillId="0" borderId="0" xfId="9" applyFont="1" applyFill="1" applyAlignment="1">
      <alignment wrapText="1"/>
    </xf>
    <xf numFmtId="43" fontId="44" fillId="0" borderId="0" xfId="10" applyFont="1" applyFill="1" applyAlignment="1">
      <alignment wrapText="1"/>
    </xf>
    <xf numFmtId="0" fontId="44" fillId="0" borderId="0" xfId="8" applyFont="1"/>
    <xf numFmtId="9" fontId="44" fillId="0" borderId="0" xfId="11" applyFont="1"/>
    <xf numFmtId="0" fontId="45" fillId="0" borderId="2" xfId="8" applyNumberFormat="1" applyFont="1" applyFill="1" applyBorder="1" applyAlignment="1">
      <alignment horizontal="center" vertical="center"/>
    </xf>
    <xf numFmtId="0" fontId="45" fillId="0" borderId="2" xfId="12" applyNumberFormat="1" applyFont="1" applyFill="1" applyBorder="1" applyAlignment="1" applyProtection="1">
      <alignment horizontal="left" vertical="center" wrapText="1"/>
    </xf>
    <xf numFmtId="10" fontId="45" fillId="0" borderId="2" xfId="11" applyNumberFormat="1" applyFont="1" applyFill="1" applyBorder="1" applyAlignment="1" applyProtection="1">
      <alignment horizontal="right" vertical="center" wrapText="1"/>
      <protection locked="0"/>
    </xf>
    <xf numFmtId="10" fontId="46" fillId="0" borderId="0" xfId="13" applyNumberFormat="1" applyFont="1" applyBorder="1">
      <protection locked="0"/>
    </xf>
    <xf numFmtId="166" fontId="46" fillId="0" borderId="0" xfId="4" applyNumberFormat="1" applyFont="1" applyBorder="1" applyAlignment="1">
      <alignment horizontal="right"/>
    </xf>
    <xf numFmtId="4" fontId="46" fillId="0" borderId="0" xfId="8" applyNumberFormat="1" applyFont="1" applyBorder="1"/>
    <xf numFmtId="0" fontId="46" fillId="0" borderId="0" xfId="8" applyFont="1" applyBorder="1"/>
    <xf numFmtId="4" fontId="46" fillId="4" borderId="0" xfId="8" applyNumberFormat="1" applyFont="1" applyFill="1" applyBorder="1"/>
    <xf numFmtId="170" fontId="41" fillId="0" borderId="2" xfId="14" applyFont="1" applyBorder="1" applyAlignment="1" applyProtection="1">
      <protection locked="0"/>
    </xf>
    <xf numFmtId="9" fontId="41" fillId="0" borderId="2" xfId="11" applyFont="1" applyBorder="1" applyAlignment="1" applyProtection="1">
      <protection locked="0"/>
    </xf>
    <xf numFmtId="0" fontId="40" fillId="0" borderId="0" xfId="8" applyFont="1" applyBorder="1"/>
    <xf numFmtId="0" fontId="40" fillId="0" borderId="0" xfId="8" applyNumberFormat="1" applyFont="1" applyBorder="1"/>
    <xf numFmtId="9" fontId="40" fillId="0" borderId="0" xfId="11" applyFont="1" applyBorder="1"/>
    <xf numFmtId="4" fontId="35" fillId="0" borderId="0" xfId="8" applyNumberFormat="1" applyFont="1" applyBorder="1"/>
    <xf numFmtId="171" fontId="35" fillId="0" borderId="0" xfId="11" applyNumberFormat="1" applyFont="1" applyBorder="1"/>
    <xf numFmtId="43" fontId="40" fillId="0" borderId="0" xfId="10" applyFont="1" applyBorder="1"/>
    <xf numFmtId="10" fontId="40" fillId="0" borderId="0" xfId="11" applyNumberFormat="1" applyFont="1" applyBorder="1"/>
    <xf numFmtId="10" fontId="40" fillId="0" borderId="0" xfId="8" applyNumberFormat="1" applyFont="1" applyBorder="1"/>
    <xf numFmtId="0" fontId="47" fillId="5" borderId="0" xfId="15" applyFont="1" applyFill="1" applyBorder="1" applyAlignment="1">
      <alignment horizontal="center" vertical="center"/>
    </xf>
    <xf numFmtId="0" fontId="49" fillId="0" borderId="0" xfId="8" applyFont="1" applyAlignment="1">
      <alignment vertical="center"/>
    </xf>
    <xf numFmtId="0" fontId="50" fillId="5" borderId="0" xfId="15" applyFont="1" applyFill="1" applyBorder="1" applyAlignment="1">
      <alignment horizontal="center" vertical="center"/>
    </xf>
    <xf numFmtId="172" fontId="45" fillId="5" borderId="0" xfId="15" applyNumberFormat="1" applyFont="1" applyFill="1" applyBorder="1" applyAlignment="1">
      <alignment vertical="center"/>
    </xf>
    <xf numFmtId="0" fontId="47" fillId="5" borderId="0" xfId="15" applyFont="1" applyFill="1" applyBorder="1" applyAlignment="1">
      <alignment vertical="center"/>
    </xf>
    <xf numFmtId="0" fontId="49" fillId="0" borderId="0" xfId="8" applyFont="1" applyAlignment="1">
      <alignment horizontal="center" vertical="center"/>
    </xf>
    <xf numFmtId="0" fontId="48" fillId="0" borderId="0" xfId="15" applyFont="1" applyFill="1" applyBorder="1" applyAlignment="1">
      <alignment horizontal="center"/>
    </xf>
    <xf numFmtId="0" fontId="49" fillId="0" borderId="0" xfId="7" applyFont="1" applyFill="1" applyAlignment="1">
      <alignment vertical="center" wrapText="1"/>
    </xf>
    <xf numFmtId="0" fontId="49" fillId="0" borderId="0" xfId="7" applyNumberFormat="1" applyFont="1" applyFill="1" applyAlignment="1">
      <alignment horizontal="center" vertical="center" wrapText="1"/>
    </xf>
    <xf numFmtId="43" fontId="49" fillId="0" borderId="0" xfId="10" applyFont="1" applyFill="1" applyAlignment="1">
      <alignment vertical="center" wrapText="1"/>
    </xf>
    <xf numFmtId="43" fontId="49" fillId="4" borderId="0" xfId="10" applyFont="1" applyFill="1" applyAlignment="1">
      <alignment horizontal="right" vertical="center" wrapText="1"/>
    </xf>
    <xf numFmtId="173" fontId="49" fillId="0" borderId="0" xfId="7" applyNumberFormat="1" applyFont="1" applyFill="1" applyAlignment="1">
      <alignment vertical="center" wrapText="1"/>
    </xf>
    <xf numFmtId="0" fontId="48" fillId="0" borderId="0" xfId="7" applyFont="1" applyAlignment="1">
      <alignment vertical="center" wrapText="1"/>
    </xf>
    <xf numFmtId="0" fontId="49" fillId="0" borderId="0" xfId="8" applyNumberFormat="1" applyFont="1" applyFill="1" applyAlignment="1">
      <alignment horizontal="center" vertical="center" wrapText="1"/>
    </xf>
    <xf numFmtId="43" fontId="49" fillId="0" borderId="0" xfId="10" applyFont="1" applyFill="1" applyAlignment="1">
      <alignment horizontal="center" vertical="center"/>
    </xf>
    <xf numFmtId="43" fontId="49" fillId="4" borderId="0" xfId="10" applyFont="1" applyFill="1" applyAlignment="1">
      <alignment horizontal="right" vertical="center"/>
    </xf>
    <xf numFmtId="173" fontId="49" fillId="0" borderId="0" xfId="8" applyNumberFormat="1" applyFont="1" applyFill="1" applyAlignment="1">
      <alignment vertical="center"/>
    </xf>
    <xf numFmtId="43" fontId="49" fillId="0" borderId="0" xfId="10" applyFont="1" applyFill="1" applyAlignment="1">
      <alignment vertical="center"/>
    </xf>
    <xf numFmtId="4" fontId="49" fillId="0" borderId="0" xfId="8" applyNumberFormat="1" applyFont="1" applyAlignment="1">
      <alignment vertical="center"/>
    </xf>
    <xf numFmtId="165" fontId="34" fillId="6" borderId="0" xfId="15" applyNumberFormat="1" applyFont="1" applyFill="1" applyBorder="1" applyAlignment="1">
      <alignment vertical="center"/>
    </xf>
    <xf numFmtId="0" fontId="1" fillId="5" borderId="0" xfId="15" applyFill="1" applyBorder="1" applyAlignment="1">
      <alignment horizontal="center" vertical="center"/>
    </xf>
    <xf numFmtId="0" fontId="49" fillId="0" borderId="0" xfId="15" applyFont="1" applyFill="1" applyBorder="1" applyAlignment="1">
      <alignment vertical="center" wrapText="1"/>
    </xf>
    <xf numFmtId="0" fontId="49" fillId="0" borderId="0" xfId="15" applyNumberFormat="1" applyFont="1" applyFill="1" applyBorder="1" applyAlignment="1">
      <alignment horizontal="center" vertical="center"/>
    </xf>
    <xf numFmtId="43" fontId="49" fillId="0" borderId="0" xfId="10" applyFont="1" applyFill="1" applyBorder="1" applyAlignment="1">
      <alignment vertical="center"/>
    </xf>
    <xf numFmtId="43" fontId="49" fillId="4" borderId="0" xfId="10" applyFont="1" applyFill="1" applyBorder="1" applyAlignment="1">
      <alignment horizontal="right" vertical="center"/>
    </xf>
    <xf numFmtId="173" fontId="49" fillId="0" borderId="0" xfId="15" applyNumberFormat="1" applyFont="1" applyFill="1" applyBorder="1" applyAlignment="1">
      <alignment vertical="center"/>
    </xf>
    <xf numFmtId="0" fontId="51" fillId="5" borderId="0" xfId="15" applyFont="1" applyFill="1" applyBorder="1" applyAlignment="1">
      <alignment vertical="center"/>
    </xf>
    <xf numFmtId="10" fontId="51" fillId="5" borderId="0" xfId="15" applyNumberFormat="1" applyFont="1" applyFill="1" applyBorder="1" applyAlignment="1">
      <alignment horizontal="center" vertical="center"/>
    </xf>
    <xf numFmtId="2" fontId="52" fillId="5" borderId="0" xfId="15" applyNumberFormat="1" applyFont="1" applyFill="1" applyBorder="1" applyAlignment="1">
      <alignment vertical="center"/>
    </xf>
    <xf numFmtId="0" fontId="1" fillId="5" borderId="0" xfId="15" applyFill="1" applyBorder="1" applyAlignment="1">
      <alignment vertical="center"/>
    </xf>
    <xf numFmtId="0" fontId="48" fillId="0" borderId="0" xfId="15" applyFont="1" applyFill="1" applyBorder="1" applyAlignment="1">
      <alignment horizontal="center"/>
    </xf>
    <xf numFmtId="43" fontId="48" fillId="4" borderId="0" xfId="10" applyFont="1" applyFill="1" applyAlignment="1">
      <alignment horizontal="right" vertical="center" wrapText="1"/>
    </xf>
    <xf numFmtId="0" fontId="51" fillId="5" borderId="0" xfId="15" applyFont="1" applyFill="1" applyBorder="1" applyAlignment="1">
      <alignment horizontal="center" vertical="center"/>
    </xf>
    <xf numFmtId="172" fontId="52" fillId="5" borderId="0" xfId="15" applyNumberFormat="1" applyFont="1" applyFill="1" applyBorder="1" applyAlignment="1">
      <alignment horizontal="center" vertical="center"/>
    </xf>
    <xf numFmtId="43" fontId="48" fillId="0" borderId="0" xfId="10" applyFont="1" applyFill="1" applyAlignment="1">
      <alignment horizontal="center" vertical="center" wrapText="1"/>
    </xf>
    <xf numFmtId="172" fontId="52" fillId="5" borderId="0" xfId="15" applyNumberFormat="1" applyFont="1" applyFill="1" applyBorder="1" applyAlignment="1">
      <alignment vertical="center"/>
    </xf>
    <xf numFmtId="0" fontId="39" fillId="0" borderId="0" xfId="15" applyFont="1" applyFill="1" applyAlignment="1">
      <alignment horizontal="center" vertical="center" wrapText="1"/>
    </xf>
    <xf numFmtId="0" fontId="48" fillId="0" borderId="0" xfId="15" applyFont="1" applyFill="1" applyAlignment="1">
      <alignment horizontal="center" wrapText="1"/>
    </xf>
    <xf numFmtId="0" fontId="48" fillId="0" borderId="0" xfId="15" applyFont="1" applyFill="1" applyAlignment="1">
      <alignment vertical="center" wrapText="1"/>
    </xf>
    <xf numFmtId="0" fontId="49" fillId="0" borderId="0" xfId="15" applyNumberFormat="1" applyFont="1" applyFill="1" applyAlignment="1">
      <alignment horizontal="center" vertical="center"/>
    </xf>
    <xf numFmtId="173" fontId="49" fillId="0" borderId="0" xfId="16" applyNumberFormat="1" applyFont="1" applyFill="1" applyAlignment="1">
      <alignment vertical="center"/>
    </xf>
    <xf numFmtId="172" fontId="51" fillId="5" borderId="0" xfId="15" applyNumberFormat="1" applyFont="1" applyFill="1" applyBorder="1" applyAlignment="1">
      <alignment horizontal="center" vertical="center"/>
    </xf>
    <xf numFmtId="0" fontId="1" fillId="5" borderId="0" xfId="15" applyFill="1" applyBorder="1" applyAlignment="1">
      <alignment horizontal="center"/>
    </xf>
    <xf numFmtId="0" fontId="49" fillId="0" borderId="0" xfId="15" applyFont="1" applyFill="1" applyAlignment="1">
      <alignment wrapText="1"/>
    </xf>
    <xf numFmtId="0" fontId="49" fillId="0" borderId="0" xfId="15" applyNumberFormat="1" applyFont="1" applyFill="1" applyAlignment="1">
      <alignment horizontal="center"/>
    </xf>
    <xf numFmtId="43" fontId="49" fillId="0" borderId="0" xfId="10" applyFont="1" applyFill="1" applyAlignment="1"/>
    <xf numFmtId="43" fontId="49" fillId="4" borderId="0" xfId="10" applyFont="1" applyFill="1" applyAlignment="1">
      <alignment horizontal="right"/>
    </xf>
    <xf numFmtId="173" fontId="49" fillId="0" borderId="0" xfId="16" applyNumberFormat="1" applyFont="1" applyFill="1" applyAlignment="1"/>
    <xf numFmtId="0" fontId="51" fillId="5" borderId="0" xfId="15" applyFont="1" applyFill="1" applyBorder="1" applyAlignment="1"/>
    <xf numFmtId="0" fontId="52" fillId="5" borderId="0" xfId="15" applyFont="1" applyFill="1" applyBorder="1" applyAlignment="1">
      <alignment horizontal="center"/>
    </xf>
    <xf numFmtId="0" fontId="1" fillId="5" borderId="0" xfId="15" applyFill="1" applyBorder="1" applyAlignment="1"/>
    <xf numFmtId="0" fontId="49" fillId="0" borderId="0" xfId="15" applyFont="1" applyFill="1" applyAlignment="1">
      <alignment vertical="center" wrapText="1"/>
    </xf>
    <xf numFmtId="43" fontId="49" fillId="0" borderId="0" xfId="10" applyFont="1" applyFill="1" applyBorder="1" applyAlignment="1"/>
    <xf numFmtId="43" fontId="49" fillId="0" borderId="0" xfId="10" applyFont="1" applyFill="1" applyAlignment="1">
      <alignment horizontal="center" vertical="center"/>
    </xf>
    <xf numFmtId="43" fontId="48" fillId="0" borderId="0" xfId="10" applyFont="1" applyFill="1" applyAlignment="1">
      <alignment vertical="center"/>
    </xf>
    <xf numFmtId="0" fontId="53" fillId="0" borderId="0" xfId="15" applyFont="1" applyFill="1" applyAlignment="1">
      <alignment horizontal="center" vertical="center" wrapText="1"/>
    </xf>
    <xf numFmtId="0" fontId="48" fillId="2" borderId="0" xfId="15" applyFont="1" applyFill="1" applyAlignment="1">
      <alignment horizontal="center" wrapText="1"/>
    </xf>
    <xf numFmtId="0" fontId="54" fillId="5" borderId="0" xfId="15" applyFont="1" applyFill="1" applyBorder="1" applyAlignment="1">
      <alignment vertical="center"/>
    </xf>
    <xf numFmtId="0" fontId="33" fillId="5" borderId="0" xfId="15" applyFont="1" applyFill="1" applyBorder="1" applyAlignment="1">
      <alignment vertical="center"/>
    </xf>
    <xf numFmtId="0" fontId="39" fillId="0" borderId="0" xfId="15" applyFont="1" applyFill="1" applyAlignment="1">
      <alignment horizontal="center" vertical="center"/>
    </xf>
    <xf numFmtId="0" fontId="48" fillId="2" borderId="0" xfId="15" applyFont="1" applyFill="1" applyAlignment="1">
      <alignment horizontal="center"/>
    </xf>
    <xf numFmtId="0" fontId="49" fillId="5" borderId="0" xfId="15" applyFont="1" applyFill="1" applyBorder="1" applyAlignment="1">
      <alignment vertical="center"/>
    </xf>
    <xf numFmtId="0" fontId="55" fillId="5" borderId="0" xfId="15" applyFont="1" applyFill="1" applyBorder="1" applyAlignment="1">
      <alignment vertical="center"/>
    </xf>
    <xf numFmtId="173" fontId="49" fillId="0" borderId="0" xfId="10" applyNumberFormat="1" applyFont="1" applyFill="1" applyAlignment="1">
      <alignment vertical="center"/>
    </xf>
    <xf numFmtId="0" fontId="56" fillId="0" borderId="0" xfId="15" applyFont="1" applyFill="1" applyAlignment="1">
      <alignment horizontal="center" vertical="center"/>
    </xf>
    <xf numFmtId="0" fontId="48" fillId="0" borderId="0" xfId="15" applyFont="1" applyFill="1" applyAlignment="1">
      <alignment horizontal="center" vertical="center" wrapText="1"/>
    </xf>
    <xf numFmtId="0" fontId="35" fillId="0" borderId="0" xfId="15" applyFont="1" applyFill="1" applyAlignment="1">
      <alignment horizontal="center" vertical="center"/>
    </xf>
    <xf numFmtId="0" fontId="49" fillId="0" borderId="0" xfId="15" applyFont="1" applyFill="1" applyAlignment="1">
      <alignment horizontal="center"/>
    </xf>
    <xf numFmtId="0" fontId="1" fillId="5" borderId="0" xfId="15" applyFont="1" applyFill="1" applyBorder="1" applyAlignment="1">
      <alignment vertical="center"/>
    </xf>
    <xf numFmtId="0" fontId="49" fillId="0" borderId="0" xfId="15" applyFont="1" applyFill="1" applyBorder="1" applyAlignment="1">
      <alignment vertical="center"/>
    </xf>
    <xf numFmtId="0" fontId="39" fillId="0" borderId="0" xfId="15" applyFont="1" applyFill="1" applyAlignment="1">
      <alignment vertical="center" wrapText="1"/>
    </xf>
    <xf numFmtId="0" fontId="49" fillId="0" borderId="0" xfId="15" applyFont="1" applyFill="1" applyBorder="1" applyAlignment="1">
      <alignment wrapText="1"/>
    </xf>
    <xf numFmtId="43" fontId="49" fillId="4" borderId="0" xfId="10" applyFont="1" applyFill="1" applyBorder="1" applyAlignment="1">
      <alignment horizontal="right"/>
    </xf>
    <xf numFmtId="173" fontId="49" fillId="0" borderId="0" xfId="15" applyNumberFormat="1" applyFont="1" applyFill="1" applyBorder="1" applyAlignment="1"/>
    <xf numFmtId="43" fontId="49" fillId="0" borderId="0" xfId="10" applyFont="1" applyFill="1" applyBorder="1"/>
    <xf numFmtId="0" fontId="51" fillId="5" borderId="0" xfId="15" applyFont="1" applyFill="1" applyBorder="1"/>
    <xf numFmtId="0" fontId="1" fillId="5" borderId="0" xfId="15" applyFill="1" applyBorder="1"/>
    <xf numFmtId="0" fontId="1" fillId="0" borderId="0" xfId="15"/>
    <xf numFmtId="0" fontId="49" fillId="0" borderId="0" xfId="15" applyNumberFormat="1" applyFont="1" applyFill="1" applyBorder="1" applyAlignment="1">
      <alignment horizontal="center"/>
    </xf>
    <xf numFmtId="0" fontId="49" fillId="4" borderId="0" xfId="15" applyFont="1" applyFill="1" applyAlignment="1">
      <alignment horizontal="right"/>
    </xf>
    <xf numFmtId="43" fontId="49" fillId="0" borderId="0" xfId="10" applyFont="1" applyFill="1"/>
    <xf numFmtId="0" fontId="51" fillId="0" borderId="0" xfId="15" applyFont="1"/>
    <xf numFmtId="0" fontId="56" fillId="0" borderId="0" xfId="15" applyFont="1" applyFill="1" applyAlignment="1">
      <alignment vertical="center" wrapText="1"/>
    </xf>
    <xf numFmtId="0" fontId="48" fillId="0" borderId="0" xfId="15" applyFont="1" applyFill="1" applyAlignment="1">
      <alignment horizontal="center"/>
    </xf>
    <xf numFmtId="0" fontId="39" fillId="0" borderId="0" xfId="15" applyFont="1" applyFill="1" applyAlignment="1">
      <alignment vertical="center"/>
    </xf>
    <xf numFmtId="43" fontId="1" fillId="5" borderId="0" xfId="15" applyNumberFormat="1" applyFill="1" applyBorder="1" applyAlignment="1">
      <alignment vertical="center"/>
    </xf>
    <xf numFmtId="43" fontId="49" fillId="0" borderId="0" xfId="15" applyNumberFormat="1" applyFont="1" applyFill="1" applyBorder="1" applyAlignment="1">
      <alignment vertical="center"/>
    </xf>
    <xf numFmtId="0" fontId="1" fillId="2" borderId="0" xfId="15" applyFill="1" applyBorder="1" applyAlignment="1">
      <alignment horizontal="center" vertical="center"/>
    </xf>
    <xf numFmtId="0" fontId="48" fillId="2" borderId="0" xfId="15" applyFont="1" applyFill="1" applyBorder="1" applyAlignment="1">
      <alignment horizontal="center"/>
    </xf>
    <xf numFmtId="0" fontId="49" fillId="2" borderId="0" xfId="15" applyFont="1" applyFill="1" applyAlignment="1">
      <alignment vertical="center" wrapText="1"/>
    </xf>
    <xf numFmtId="0" fontId="49" fillId="2" borderId="0" xfId="15" applyNumberFormat="1" applyFont="1" applyFill="1" applyAlignment="1">
      <alignment horizontal="center" vertical="center"/>
    </xf>
    <xf numFmtId="43" fontId="49" fillId="2" borderId="0" xfId="10" applyFont="1" applyFill="1" applyAlignment="1">
      <alignment vertical="center"/>
    </xf>
    <xf numFmtId="43" fontId="48" fillId="2" borderId="0" xfId="10" applyFont="1" applyFill="1" applyAlignment="1">
      <alignment vertical="center"/>
    </xf>
    <xf numFmtId="0" fontId="51" fillId="2" borderId="0" xfId="15" applyFont="1" applyFill="1" applyBorder="1" applyAlignment="1">
      <alignment vertical="center"/>
    </xf>
    <xf numFmtId="0" fontId="52" fillId="2" borderId="0" xfId="15" applyFont="1" applyFill="1" applyBorder="1" applyAlignment="1">
      <alignment horizontal="center"/>
    </xf>
    <xf numFmtId="0" fontId="1" fillId="2" borderId="0" xfId="15" applyFill="1" applyBorder="1" applyAlignment="1">
      <alignment vertical="center"/>
    </xf>
    <xf numFmtId="0" fontId="1" fillId="0" borderId="0" xfId="15" applyNumberFormat="1" applyFont="1" applyFill="1" applyAlignment="1">
      <alignment horizontal="center" vertical="center"/>
    </xf>
    <xf numFmtId="0" fontId="48" fillId="0" borderId="0" xfId="15" applyNumberFormat="1" applyFont="1" applyFill="1" applyAlignment="1">
      <alignment vertical="center" wrapText="1"/>
    </xf>
    <xf numFmtId="0" fontId="51" fillId="0" borderId="0" xfId="15" applyFont="1" applyFill="1" applyBorder="1" applyAlignment="1">
      <alignment vertical="center"/>
    </xf>
    <xf numFmtId="0" fontId="1" fillId="0" borderId="0" xfId="15" applyFill="1" applyBorder="1" applyAlignment="1">
      <alignment vertical="center"/>
    </xf>
    <xf numFmtId="2" fontId="48" fillId="0" borderId="0" xfId="10" applyNumberFormat="1" applyFont="1" applyFill="1" applyAlignment="1">
      <alignment vertical="center"/>
    </xf>
    <xf numFmtId="43" fontId="49" fillId="4" borderId="0" xfId="10" applyFont="1" applyFill="1" applyAlignment="1">
      <alignment horizontal="center" vertical="center"/>
    </xf>
    <xf numFmtId="173" fontId="49" fillId="0" borderId="0" xfId="10" applyNumberFormat="1" applyFont="1" applyFill="1" applyAlignment="1">
      <alignment horizontal="center" vertical="center"/>
    </xf>
    <xf numFmtId="0" fontId="39" fillId="6" borderId="0" xfId="15" applyFont="1" applyFill="1" applyAlignment="1">
      <alignment horizontal="center" vertical="center"/>
    </xf>
    <xf numFmtId="43" fontId="49" fillId="4" borderId="0" xfId="10" applyFont="1" applyFill="1" applyAlignment="1">
      <alignment vertical="center"/>
    </xf>
    <xf numFmtId="0" fontId="48" fillId="0" borderId="0" xfId="15" applyNumberFormat="1" applyFont="1" applyFill="1" applyAlignment="1">
      <alignment horizontal="center" vertical="center" wrapText="1"/>
    </xf>
    <xf numFmtId="0" fontId="1" fillId="0" borderId="0" xfId="15" applyFill="1" applyAlignment="1">
      <alignment horizontal="center" vertical="center"/>
    </xf>
    <xf numFmtId="0" fontId="52" fillId="5" borderId="0" xfId="15" applyFont="1" applyFill="1" applyBorder="1" applyAlignment="1">
      <alignment horizontal="center" vertical="center"/>
    </xf>
    <xf numFmtId="0" fontId="48" fillId="0" borderId="0" xfId="15" applyNumberFormat="1" applyFont="1" applyFill="1" applyAlignment="1">
      <alignment horizontal="center" wrapText="1"/>
    </xf>
    <xf numFmtId="0" fontId="39" fillId="6" borderId="0" xfId="15" applyFont="1" applyFill="1" applyAlignment="1">
      <alignment vertical="center" wrapText="1"/>
    </xf>
    <xf numFmtId="0" fontId="48" fillId="0" borderId="0" xfId="15" applyNumberFormat="1" applyFont="1" applyFill="1" applyAlignment="1">
      <alignment horizontal="center" vertical="center"/>
    </xf>
    <xf numFmtId="0" fontId="39" fillId="6" borderId="0" xfId="15" applyFont="1" applyFill="1" applyAlignment="1">
      <alignment vertical="center"/>
    </xf>
    <xf numFmtId="43" fontId="48" fillId="0" borderId="0" xfId="10" applyNumberFormat="1" applyFont="1" applyFill="1" applyAlignment="1">
      <alignment vertical="center"/>
    </xf>
    <xf numFmtId="2" fontId="48" fillId="0" borderId="0" xfId="15" applyNumberFormat="1" applyFont="1" applyFill="1" applyAlignment="1">
      <alignment horizontal="center"/>
    </xf>
    <xf numFmtId="2" fontId="48" fillId="0" borderId="0" xfId="15" applyNumberFormat="1" applyFont="1" applyFill="1" applyAlignment="1">
      <alignment vertical="center" wrapText="1"/>
    </xf>
    <xf numFmtId="0" fontId="49" fillId="4" borderId="0" xfId="15" applyFont="1" applyFill="1" applyBorder="1" applyAlignment="1">
      <alignment horizontal="right" vertical="center"/>
    </xf>
    <xf numFmtId="0" fontId="57" fillId="0" borderId="0" xfId="15" applyFont="1" applyFill="1" applyAlignment="1">
      <alignment horizontal="left" vertical="center"/>
    </xf>
    <xf numFmtId="0" fontId="57" fillId="6" borderId="0" xfId="15" applyFont="1" applyFill="1" applyAlignment="1">
      <alignment horizontal="left" vertical="center"/>
    </xf>
    <xf numFmtId="0" fontId="58" fillId="6" borderId="0" xfId="15" applyFont="1" applyFill="1" applyAlignment="1">
      <alignment horizontal="left" vertical="center"/>
    </xf>
    <xf numFmtId="2" fontId="58" fillId="0" borderId="0" xfId="15" applyNumberFormat="1" applyFont="1" applyFill="1" applyAlignment="1">
      <alignment horizontal="left" vertical="center"/>
    </xf>
    <xf numFmtId="2" fontId="49" fillId="0" borderId="0" xfId="15" applyNumberFormat="1" applyFont="1" applyFill="1" applyAlignment="1">
      <alignment vertical="center" wrapText="1"/>
    </xf>
    <xf numFmtId="0" fontId="1" fillId="0" borderId="0" xfId="15" applyFill="1" applyBorder="1" applyAlignment="1">
      <alignment horizontal="center" vertical="center"/>
    </xf>
    <xf numFmtId="0" fontId="51" fillId="5" borderId="0" xfId="15" applyFont="1" applyFill="1" applyBorder="1" applyAlignment="1">
      <alignment horizontal="center"/>
    </xf>
    <xf numFmtId="172" fontId="52" fillId="5" borderId="0" xfId="15" applyNumberFormat="1" applyFont="1" applyFill="1" applyBorder="1"/>
    <xf numFmtId="0" fontId="1" fillId="0" borderId="0" xfId="15" applyBorder="1" applyAlignment="1">
      <alignment vertical="center"/>
    </xf>
    <xf numFmtId="0" fontId="1" fillId="0" borderId="0" xfId="15" applyAlignment="1">
      <alignment vertical="center"/>
    </xf>
    <xf numFmtId="0" fontId="55" fillId="0" borderId="0" xfId="9" applyFont="1" applyFill="1" applyAlignment="1">
      <alignment horizontal="center" vertical="center" wrapText="1"/>
    </xf>
    <xf numFmtId="43" fontId="55" fillId="0" borderId="0" xfId="10" applyFont="1" applyFill="1" applyAlignment="1">
      <alignment vertical="center"/>
    </xf>
    <xf numFmtId="44" fontId="55" fillId="0" borderId="0" xfId="4" applyFont="1" applyFill="1" applyAlignment="1">
      <alignment vertical="center"/>
    </xf>
    <xf numFmtId="44" fontId="1" fillId="0" borderId="0" xfId="15" applyNumberFormat="1" applyAlignment="1">
      <alignment vertical="center"/>
    </xf>
    <xf numFmtId="0" fontId="55" fillId="0" borderId="0" xfId="9" applyNumberFormat="1" applyFont="1" applyFill="1" applyAlignment="1">
      <alignment horizontal="center" vertical="center"/>
    </xf>
    <xf numFmtId="2" fontId="49" fillId="0" borderId="0" xfId="10" applyNumberFormat="1" applyFont="1" applyFill="1" applyAlignment="1">
      <alignment horizontal="center" vertical="center"/>
    </xf>
    <xf numFmtId="4" fontId="55" fillId="0" borderId="0" xfId="10" applyNumberFormat="1" applyFont="1" applyFill="1" applyAlignment="1">
      <alignment horizontal="right" vertical="center"/>
    </xf>
    <xf numFmtId="4" fontId="55" fillId="0" borderId="0" xfId="8" applyNumberFormat="1" applyFont="1" applyFill="1" applyAlignment="1">
      <alignment vertical="center"/>
    </xf>
    <xf numFmtId="0" fontId="60" fillId="0" borderId="0" xfId="9" applyFont="1" applyFill="1" applyAlignment="1">
      <alignment horizontal="center" vertical="center"/>
    </xf>
    <xf numFmtId="0" fontId="61" fillId="0" borderId="0" xfId="15" applyFont="1" applyFill="1" applyAlignment="1">
      <alignment horizontal="center" vertical="center"/>
    </xf>
    <xf numFmtId="0" fontId="61" fillId="0" borderId="0" xfId="15" applyNumberFormat="1" applyFont="1" applyFill="1" applyAlignment="1">
      <alignment horizontal="center" vertical="center"/>
    </xf>
    <xf numFmtId="0" fontId="60" fillId="0" borderId="0" xfId="9" applyNumberFormat="1" applyFont="1" applyFill="1" applyAlignment="1">
      <alignment horizontal="left" vertical="center" wrapText="1"/>
    </xf>
    <xf numFmtId="4" fontId="63" fillId="0" borderId="2" xfId="15" applyNumberFormat="1" applyFont="1" applyFill="1" applyBorder="1" applyAlignment="1">
      <alignment horizontal="center" vertical="center"/>
    </xf>
    <xf numFmtId="43" fontId="63" fillId="0" borderId="0" xfId="10" applyFont="1" applyBorder="1" applyAlignment="1">
      <alignment vertical="center" wrapText="1"/>
    </xf>
    <xf numFmtId="43" fontId="63" fillId="0" borderId="0" xfId="10" applyFont="1" applyBorder="1" applyAlignment="1">
      <alignment vertical="center"/>
    </xf>
    <xf numFmtId="49" fontId="63" fillId="0" borderId="3" xfId="15" applyNumberFormat="1" applyFont="1" applyFill="1" applyBorder="1" applyAlignment="1">
      <alignment vertical="center"/>
    </xf>
    <xf numFmtId="0" fontId="62" fillId="7" borderId="2" xfId="15" applyNumberFormat="1" applyFont="1" applyFill="1" applyBorder="1" applyAlignment="1">
      <alignment horizontal="center" vertical="center"/>
    </xf>
    <xf numFmtId="0" fontId="63" fillId="7" borderId="2" xfId="15" applyFont="1" applyFill="1" applyBorder="1" applyAlignment="1">
      <alignment horizontal="center" vertical="center"/>
    </xf>
    <xf numFmtId="0" fontId="63" fillId="7" borderId="2" xfId="15" applyFont="1" applyFill="1" applyBorder="1" applyAlignment="1">
      <alignment horizontal="left" vertical="center" wrapText="1"/>
    </xf>
    <xf numFmtId="0" fontId="58" fillId="7" borderId="2" xfId="15" applyNumberFormat="1" applyFont="1" applyFill="1" applyBorder="1" applyAlignment="1">
      <alignment horizontal="center" vertical="center"/>
    </xf>
    <xf numFmtId="2" fontId="51" fillId="7" borderId="2" xfId="15" applyNumberFormat="1" applyFont="1" applyFill="1" applyBorder="1" applyAlignment="1">
      <alignment horizontal="center" vertical="center"/>
    </xf>
    <xf numFmtId="43" fontId="62" fillId="7" borderId="2" xfId="10" applyFont="1" applyFill="1" applyBorder="1" applyAlignment="1">
      <alignment vertical="center"/>
    </xf>
    <xf numFmtId="43" fontId="1" fillId="7" borderId="2" xfId="10" applyFont="1" applyFill="1" applyBorder="1" applyAlignment="1">
      <alignment vertical="center"/>
    </xf>
    <xf numFmtId="4" fontId="63" fillId="7" borderId="2" xfId="4" applyNumberFormat="1" applyFont="1" applyFill="1" applyBorder="1" applyAlignment="1">
      <alignment vertical="center"/>
    </xf>
    <xf numFmtId="4" fontId="1" fillId="0" borderId="0" xfId="15" applyNumberFormat="1" applyFill="1" applyAlignment="1">
      <alignment vertical="center"/>
    </xf>
    <xf numFmtId="49" fontId="62" fillId="0" borderId="3" xfId="15" applyNumberFormat="1" applyFont="1" applyFill="1" applyBorder="1" applyAlignment="1">
      <alignment vertical="center"/>
    </xf>
    <xf numFmtId="0" fontId="62" fillId="0" borderId="2" xfId="15" applyNumberFormat="1" applyFont="1" applyFill="1" applyBorder="1" applyAlignment="1">
      <alignment horizontal="center" vertical="center"/>
    </xf>
    <xf numFmtId="0" fontId="62" fillId="0" borderId="2" xfId="15" applyFont="1" applyFill="1" applyBorder="1" applyAlignment="1">
      <alignment horizontal="center" vertical="center"/>
    </xf>
    <xf numFmtId="0" fontId="62" fillId="0" borderId="2" xfId="15" applyFont="1" applyFill="1" applyBorder="1" applyAlignment="1">
      <alignment horizontal="left" vertical="center" wrapText="1"/>
    </xf>
    <xf numFmtId="0" fontId="51" fillId="0" borderId="2" xfId="15" applyNumberFormat="1" applyFont="1" applyFill="1" applyBorder="1" applyAlignment="1">
      <alignment horizontal="center" vertical="center"/>
    </xf>
    <xf numFmtId="2" fontId="51" fillId="0" borderId="2" xfId="15" applyNumberFormat="1" applyFont="1" applyFill="1" applyBorder="1" applyAlignment="1">
      <alignment horizontal="center" vertical="center"/>
    </xf>
    <xf numFmtId="43" fontId="1" fillId="0" borderId="2" xfId="10" applyFont="1" applyFill="1" applyBorder="1" applyAlignment="1">
      <alignment vertical="center"/>
    </xf>
    <xf numFmtId="4" fontId="62" fillId="0" borderId="2" xfId="4" applyNumberFormat="1" applyFont="1" applyFill="1" applyBorder="1" applyAlignment="1">
      <alignment vertical="center"/>
    </xf>
    <xf numFmtId="43" fontId="62" fillId="0" borderId="0" xfId="10" applyFont="1" applyBorder="1" applyAlignment="1">
      <alignment vertical="center"/>
    </xf>
    <xf numFmtId="43" fontId="1" fillId="0" borderId="0" xfId="15" applyNumberFormat="1" applyAlignment="1">
      <alignment vertical="center"/>
    </xf>
    <xf numFmtId="0" fontId="1" fillId="0" borderId="0" xfId="15" applyFill="1" applyAlignment="1">
      <alignment vertical="center"/>
    </xf>
    <xf numFmtId="43" fontId="62" fillId="0" borderId="0" xfId="10" applyFont="1" applyFill="1" applyBorder="1" applyAlignment="1">
      <alignment vertical="center"/>
    </xf>
    <xf numFmtId="43" fontId="1" fillId="0" borderId="0" xfId="15" applyNumberFormat="1" applyFill="1" applyAlignment="1">
      <alignment vertical="center"/>
    </xf>
    <xf numFmtId="43" fontId="63" fillId="0" borderId="0" xfId="10" applyFont="1" applyFill="1" applyBorder="1" applyAlignment="1">
      <alignment vertical="center"/>
    </xf>
    <xf numFmtId="0" fontId="62" fillId="0" borderId="0" xfId="15" applyFont="1" applyFill="1" applyAlignment="1">
      <alignment vertical="center"/>
    </xf>
    <xf numFmtId="0" fontId="62" fillId="0" borderId="2" xfId="15" applyNumberFormat="1" applyFont="1" applyFill="1" applyBorder="1" applyAlignment="1">
      <alignment horizontal="left" vertical="center"/>
    </xf>
    <xf numFmtId="43" fontId="62" fillId="0" borderId="2" xfId="10" applyFont="1" applyFill="1" applyBorder="1" applyAlignment="1">
      <alignment vertical="center"/>
    </xf>
    <xf numFmtId="0" fontId="63" fillId="0" borderId="2" xfId="15" applyFont="1" applyFill="1" applyBorder="1" applyAlignment="1">
      <alignment horizontal="left" vertical="center" wrapText="1"/>
    </xf>
    <xf numFmtId="0" fontId="62" fillId="0" borderId="2" xfId="15" applyFont="1" applyFill="1" applyBorder="1" applyAlignment="1">
      <alignment vertical="center"/>
    </xf>
    <xf numFmtId="0" fontId="51" fillId="7" borderId="2" xfId="15" applyNumberFormat="1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4" fontId="63" fillId="0" borderId="2" xfId="4" applyNumberFormat="1" applyFont="1" applyFill="1" applyBorder="1" applyAlignment="1">
      <alignment vertical="center"/>
    </xf>
    <xf numFmtId="44" fontId="1" fillId="0" borderId="0" xfId="15" applyNumberFormat="1" applyFill="1" applyAlignment="1">
      <alignment vertical="center"/>
    </xf>
    <xf numFmtId="0" fontId="62" fillId="0" borderId="2" xfId="15" applyNumberFormat="1" applyFont="1" applyFill="1" applyBorder="1" applyAlignment="1">
      <alignment horizontal="left" vertical="center" wrapText="1"/>
    </xf>
    <xf numFmtId="2" fontId="62" fillId="0" borderId="2" xfId="15" applyNumberFormat="1" applyFont="1" applyFill="1" applyBorder="1" applyAlignment="1">
      <alignment horizontal="center" vertical="center" wrapText="1"/>
    </xf>
    <xf numFmtId="43" fontId="1" fillId="0" borderId="2" xfId="15" applyNumberFormat="1" applyFont="1" applyFill="1" applyBorder="1" applyAlignment="1">
      <alignment vertical="center" wrapText="1"/>
    </xf>
    <xf numFmtId="0" fontId="62" fillId="0" borderId="2" xfId="15" applyFont="1" applyFill="1" applyBorder="1" applyAlignment="1">
      <alignment vertical="center" wrapText="1"/>
    </xf>
    <xf numFmtId="0" fontId="62" fillId="0" borderId="2" xfId="15" applyNumberFormat="1" applyFont="1" applyFill="1" applyBorder="1" applyAlignment="1">
      <alignment horizontal="center" vertical="center" wrapText="1"/>
    </xf>
    <xf numFmtId="43" fontId="62" fillId="0" borderId="2" xfId="10" applyFont="1" applyFill="1" applyBorder="1" applyAlignment="1">
      <alignment horizontal="left" vertical="center" wrapText="1"/>
    </xf>
    <xf numFmtId="0" fontId="58" fillId="0" borderId="2" xfId="15" applyNumberFormat="1" applyFont="1" applyFill="1" applyBorder="1" applyAlignment="1">
      <alignment horizontal="center" vertical="center"/>
    </xf>
    <xf numFmtId="0" fontId="64" fillId="0" borderId="2" xfId="15" applyNumberFormat="1" applyFont="1" applyFill="1" applyBorder="1" applyAlignment="1">
      <alignment horizontal="center" vertical="center"/>
    </xf>
    <xf numFmtId="0" fontId="64" fillId="0" borderId="2" xfId="15" applyFont="1" applyFill="1" applyBorder="1" applyAlignment="1">
      <alignment horizontal="center" vertical="center"/>
    </xf>
    <xf numFmtId="0" fontId="64" fillId="0" borderId="2" xfId="15" applyFont="1" applyFill="1" applyBorder="1" applyAlignment="1">
      <alignment horizontal="left" vertical="center" wrapText="1"/>
    </xf>
    <xf numFmtId="0" fontId="49" fillId="0" borderId="2" xfId="15" applyNumberFormat="1" applyFont="1" applyFill="1" applyBorder="1" applyAlignment="1">
      <alignment horizontal="center" vertical="center"/>
    </xf>
    <xf numFmtId="2" fontId="49" fillId="0" borderId="2" xfId="15" applyNumberFormat="1" applyFont="1" applyFill="1" applyBorder="1" applyAlignment="1">
      <alignment horizontal="center" vertical="center"/>
    </xf>
    <xf numFmtId="43" fontId="55" fillId="0" borderId="2" xfId="10" applyFont="1" applyFill="1" applyBorder="1" applyAlignment="1">
      <alignment vertical="center"/>
    </xf>
    <xf numFmtId="0" fontId="64" fillId="0" borderId="2" xfId="15" applyNumberFormat="1" applyFont="1" applyFill="1" applyBorder="1" applyAlignment="1">
      <alignment horizontal="left" vertical="center" wrapText="1"/>
    </xf>
    <xf numFmtId="43" fontId="64" fillId="0" borderId="2" xfId="10" applyFont="1" applyFill="1" applyBorder="1" applyAlignment="1">
      <alignment vertical="center"/>
    </xf>
    <xf numFmtId="49" fontId="62" fillId="2" borderId="3" xfId="15" applyNumberFormat="1" applyFont="1" applyFill="1" applyBorder="1" applyAlignment="1">
      <alignment vertical="center"/>
    </xf>
    <xf numFmtId="0" fontId="62" fillId="2" borderId="2" xfId="15" applyNumberFormat="1" applyFont="1" applyFill="1" applyBorder="1" applyAlignment="1">
      <alignment horizontal="center" vertical="center"/>
    </xf>
    <xf numFmtId="0" fontId="62" fillId="2" borderId="2" xfId="15" applyFont="1" applyFill="1" applyBorder="1" applyAlignment="1">
      <alignment horizontal="center" vertical="center"/>
    </xf>
    <xf numFmtId="0" fontId="62" fillId="2" borderId="2" xfId="15" applyFont="1" applyFill="1" applyBorder="1" applyAlignment="1">
      <alignment horizontal="left" vertical="center" wrapText="1"/>
    </xf>
    <xf numFmtId="0" fontId="51" fillId="2" borderId="2" xfId="15" applyNumberFormat="1" applyFont="1" applyFill="1" applyBorder="1" applyAlignment="1">
      <alignment horizontal="center" vertical="center"/>
    </xf>
    <xf numFmtId="2" fontId="51" fillId="2" borderId="2" xfId="15" applyNumberFormat="1" applyFont="1" applyFill="1" applyBorder="1" applyAlignment="1">
      <alignment horizontal="center" vertical="center"/>
    </xf>
    <xf numFmtId="43" fontId="1" fillId="2" borderId="2" xfId="10" applyFont="1" applyFill="1" applyBorder="1" applyAlignment="1">
      <alignment vertical="center"/>
    </xf>
    <xf numFmtId="4" fontId="62" fillId="2" borderId="2" xfId="4" applyNumberFormat="1" applyFont="1" applyFill="1" applyBorder="1" applyAlignment="1">
      <alignment vertical="center"/>
    </xf>
    <xf numFmtId="0" fontId="1" fillId="2" borderId="0" xfId="15" applyFill="1" applyAlignment="1">
      <alignment vertical="center"/>
    </xf>
    <xf numFmtId="43" fontId="62" fillId="2" borderId="0" xfId="10" applyFont="1" applyFill="1" applyBorder="1" applyAlignment="1">
      <alignment vertical="center"/>
    </xf>
    <xf numFmtId="43" fontId="1" fillId="2" borderId="0" xfId="15" applyNumberFormat="1" applyFill="1" applyAlignment="1">
      <alignment vertical="center"/>
    </xf>
    <xf numFmtId="43" fontId="65" fillId="4" borderId="0" xfId="10" applyFont="1" applyFill="1" applyBorder="1" applyAlignment="1">
      <alignment vertical="center"/>
    </xf>
    <xf numFmtId="0" fontId="1" fillId="4" borderId="0" xfId="15" applyFill="1" applyAlignment="1">
      <alignment vertical="center"/>
    </xf>
    <xf numFmtId="43" fontId="62" fillId="4" borderId="0" xfId="10" applyFont="1" applyFill="1" applyBorder="1" applyAlignment="1">
      <alignment vertical="center"/>
    </xf>
    <xf numFmtId="43" fontId="1" fillId="4" borderId="0" xfId="15" applyNumberFormat="1" applyFill="1" applyAlignment="1">
      <alignment vertical="center"/>
    </xf>
    <xf numFmtId="0" fontId="1" fillId="0" borderId="2" xfId="15" applyFont="1" applyFill="1" applyBorder="1" applyAlignment="1">
      <alignment horizontal="left" vertical="center"/>
    </xf>
    <xf numFmtId="49" fontId="63" fillId="2" borderId="3" xfId="15" applyNumberFormat="1" applyFont="1" applyFill="1" applyBorder="1" applyAlignment="1">
      <alignment vertical="center"/>
    </xf>
    <xf numFmtId="0" fontId="1" fillId="2" borderId="2" xfId="15" applyFont="1" applyFill="1" applyBorder="1" applyAlignment="1">
      <alignment horizontal="left" vertical="center" wrapText="1"/>
    </xf>
    <xf numFmtId="0" fontId="62" fillId="0" borderId="2" xfId="15" quotePrefix="1" applyFont="1" applyFill="1" applyBorder="1" applyAlignment="1">
      <alignment horizontal="center" vertical="center"/>
    </xf>
    <xf numFmtId="2" fontId="1" fillId="0" borderId="2" xfId="15" applyNumberFormat="1" applyFont="1" applyFill="1" applyBorder="1" applyAlignment="1">
      <alignment vertical="center"/>
    </xf>
    <xf numFmtId="0" fontId="1" fillId="0" borderId="2" xfId="15" applyFont="1" applyFill="1" applyBorder="1" applyAlignment="1">
      <alignment vertical="center"/>
    </xf>
    <xf numFmtId="0" fontId="1" fillId="0" borderId="2" xfId="15" applyFont="1" applyFill="1" applyBorder="1" applyAlignment="1">
      <alignment horizontal="left" vertical="center" wrapText="1"/>
    </xf>
    <xf numFmtId="2" fontId="1" fillId="0" borderId="2" xfId="15" applyNumberFormat="1" applyFont="1" applyFill="1" applyBorder="1" applyAlignment="1">
      <alignment horizontal="center" vertical="center"/>
    </xf>
    <xf numFmtId="0" fontId="1" fillId="4" borderId="0" xfId="15" applyFill="1" applyBorder="1" applyAlignment="1">
      <alignment vertical="center"/>
    </xf>
    <xf numFmtId="0" fontId="62" fillId="2" borderId="0" xfId="15" applyFont="1" applyFill="1" applyAlignment="1">
      <alignment vertical="center"/>
    </xf>
    <xf numFmtId="0" fontId="62" fillId="2" borderId="2" xfId="15" applyNumberFormat="1" applyFont="1" applyFill="1" applyBorder="1" applyAlignment="1">
      <alignment horizontal="left" vertical="center"/>
    </xf>
    <xf numFmtId="43" fontId="62" fillId="2" borderId="2" xfId="10" applyFont="1" applyFill="1" applyBorder="1" applyAlignment="1">
      <alignment vertical="center"/>
    </xf>
    <xf numFmtId="49" fontId="63" fillId="0" borderId="0" xfId="15" applyNumberFormat="1" applyFont="1" applyFill="1" applyBorder="1" applyAlignment="1">
      <alignment vertical="center"/>
    </xf>
    <xf numFmtId="0" fontId="62" fillId="2" borderId="2" xfId="15" applyNumberFormat="1" applyFont="1" applyFill="1" applyBorder="1" applyAlignment="1">
      <alignment horizontal="left" vertical="center" wrapText="1"/>
    </xf>
    <xf numFmtId="49" fontId="62" fillId="0" borderId="0" xfId="15" applyNumberFormat="1" applyFont="1" applyFill="1" applyBorder="1" applyAlignment="1">
      <alignment vertical="center"/>
    </xf>
    <xf numFmtId="0" fontId="63" fillId="2" borderId="2" xfId="15" applyFont="1" applyFill="1" applyBorder="1" applyAlignment="1">
      <alignment horizontal="center" vertical="center"/>
    </xf>
    <xf numFmtId="0" fontId="63" fillId="2" borderId="2" xfId="15" applyFont="1" applyFill="1" applyBorder="1" applyAlignment="1">
      <alignment horizontal="left" vertical="center"/>
    </xf>
    <xf numFmtId="0" fontId="62" fillId="0" borderId="2" xfId="15" applyFont="1" applyFill="1" applyBorder="1" applyAlignment="1">
      <alignment horizontal="left" vertical="center"/>
    </xf>
    <xf numFmtId="0" fontId="63" fillId="7" borderId="2" xfId="15" applyFont="1" applyFill="1" applyBorder="1" applyAlignment="1">
      <alignment horizontal="left" vertical="center"/>
    </xf>
    <xf numFmtId="0" fontId="63" fillId="0" borderId="2" xfId="15" applyFont="1" applyFill="1" applyBorder="1" applyAlignment="1">
      <alignment horizontal="left" vertical="center"/>
    </xf>
    <xf numFmtId="0" fontId="63" fillId="2" borderId="2" xfId="15" applyFont="1" applyFill="1" applyBorder="1" applyAlignment="1">
      <alignment horizontal="left" vertical="center" wrapText="1"/>
    </xf>
    <xf numFmtId="4" fontId="63" fillId="2" borderId="2" xfId="4" applyNumberFormat="1" applyFont="1" applyFill="1" applyBorder="1" applyAlignment="1">
      <alignment vertical="center"/>
    </xf>
    <xf numFmtId="4" fontId="1" fillId="2" borderId="0" xfId="15" applyNumberFormat="1" applyFill="1" applyAlignment="1">
      <alignment vertical="center"/>
    </xf>
    <xf numFmtId="0" fontId="1" fillId="0" borderId="2" xfId="15" applyFont="1" applyFill="1" applyBorder="1" applyAlignment="1">
      <alignment horizontal="center" vertical="center"/>
    </xf>
    <xf numFmtId="44" fontId="63" fillId="0" borderId="2" xfId="4" applyFont="1" applyFill="1" applyBorder="1" applyAlignment="1">
      <alignment vertical="center"/>
    </xf>
    <xf numFmtId="44" fontId="0" fillId="0" borderId="0" xfId="4" applyFont="1" applyFill="1" applyAlignment="1">
      <alignment vertical="center"/>
    </xf>
    <xf numFmtId="0" fontId="52" fillId="0" borderId="0" xfId="15" applyFont="1" applyFill="1" applyAlignment="1">
      <alignment vertical="center"/>
    </xf>
    <xf numFmtId="0" fontId="52" fillId="0" borderId="0" xfId="15" applyNumberFormat="1" applyFont="1" applyFill="1" applyAlignment="1">
      <alignment horizontal="center" vertical="center"/>
    </xf>
    <xf numFmtId="0" fontId="52" fillId="0" borderId="0" xfId="15" applyNumberFormat="1" applyFont="1" applyFill="1" applyAlignment="1">
      <alignment horizontal="left" vertical="center"/>
    </xf>
    <xf numFmtId="2" fontId="66" fillId="0" borderId="0" xfId="15" applyNumberFormat="1" applyFont="1" applyFill="1" applyAlignment="1">
      <alignment horizontal="center" vertical="center"/>
    </xf>
    <xf numFmtId="43" fontId="52" fillId="0" borderId="0" xfId="10" applyFont="1" applyFill="1" applyAlignment="1">
      <alignment vertical="center"/>
    </xf>
    <xf numFmtId="43" fontId="67" fillId="0" borderId="0" xfId="10" applyFont="1" applyFill="1" applyAlignment="1">
      <alignment vertical="center"/>
    </xf>
    <xf numFmtId="0" fontId="68" fillId="0" borderId="0" xfId="15" applyNumberFormat="1" applyFont="1" applyFill="1" applyAlignment="1">
      <alignment horizontal="left" vertical="center"/>
    </xf>
    <xf numFmtId="44" fontId="52" fillId="0" borderId="0" xfId="11" applyNumberFormat="1" applyFont="1" applyFill="1" applyAlignment="1">
      <alignment vertical="center"/>
    </xf>
    <xf numFmtId="176" fontId="52" fillId="0" borderId="0" xfId="11" applyNumberFormat="1" applyFont="1" applyFill="1" applyAlignment="1">
      <alignment vertical="center"/>
    </xf>
    <xf numFmtId="10" fontId="0" fillId="0" borderId="0" xfId="11" applyNumberFormat="1" applyFont="1" applyFill="1" applyAlignment="1">
      <alignment vertical="center"/>
    </xf>
    <xf numFmtId="10" fontId="1" fillId="0" borderId="0" xfId="15" applyNumberFormat="1" applyFill="1" applyBorder="1" applyAlignment="1">
      <alignment vertical="center"/>
    </xf>
    <xf numFmtId="10" fontId="1" fillId="0" borderId="0" xfId="15" applyNumberFormat="1" applyFill="1" applyAlignment="1">
      <alignment vertical="center"/>
    </xf>
    <xf numFmtId="10" fontId="52" fillId="0" borderId="0" xfId="11" applyNumberFormat="1" applyFont="1" applyFill="1" applyAlignment="1">
      <alignment vertical="center"/>
    </xf>
    <xf numFmtId="44" fontId="52" fillId="0" borderId="0" xfId="15" applyNumberFormat="1" applyFont="1" applyFill="1" applyAlignment="1">
      <alignment vertical="center"/>
    </xf>
    <xf numFmtId="4" fontId="52" fillId="0" borderId="0" xfId="15" applyNumberFormat="1" applyFont="1" applyFill="1" applyAlignment="1">
      <alignment vertical="center"/>
    </xf>
    <xf numFmtId="0" fontId="52" fillId="0" borderId="0" xfId="15" applyFont="1"/>
    <xf numFmtId="0" fontId="52" fillId="0" borderId="0" xfId="15" applyNumberFormat="1" applyFont="1" applyFill="1" applyAlignment="1">
      <alignment horizontal="center"/>
    </xf>
    <xf numFmtId="0" fontId="52" fillId="0" borderId="0" xfId="15" applyNumberFormat="1" applyFont="1" applyAlignment="1">
      <alignment horizontal="center"/>
    </xf>
    <xf numFmtId="0" fontId="52" fillId="0" borderId="0" xfId="15" applyNumberFormat="1" applyFont="1" applyAlignment="1">
      <alignment horizontal="left"/>
    </xf>
    <xf numFmtId="2" fontId="66" fillId="0" borderId="0" xfId="15" applyNumberFormat="1" applyFont="1" applyAlignment="1">
      <alignment horizontal="center"/>
    </xf>
    <xf numFmtId="43" fontId="52" fillId="0" borderId="0" xfId="10" applyFont="1" applyAlignment="1">
      <alignment vertical="center"/>
    </xf>
    <xf numFmtId="43" fontId="67" fillId="0" borderId="0" xfId="10" applyFont="1" applyAlignment="1">
      <alignment vertical="center"/>
    </xf>
    <xf numFmtId="0" fontId="1" fillId="0" borderId="0" xfId="15" applyBorder="1"/>
    <xf numFmtId="0" fontId="35" fillId="0" borderId="0" xfId="18" applyFont="1" applyFill="1" applyAlignment="1">
      <alignment wrapText="1"/>
    </xf>
    <xf numFmtId="0" fontId="35" fillId="0" borderId="0" xfId="18" applyFont="1" applyFill="1" applyAlignment="1">
      <alignment horizontal="center" wrapText="1"/>
    </xf>
    <xf numFmtId="0" fontId="35" fillId="0" borderId="0" xfId="18" applyFont="1" applyFill="1"/>
    <xf numFmtId="0" fontId="35" fillId="0" borderId="0" xfId="8" applyFont="1" applyAlignment="1">
      <alignment wrapText="1"/>
    </xf>
    <xf numFmtId="0" fontId="39" fillId="0" borderId="0" xfId="7" applyFont="1" applyAlignment="1">
      <alignment vertical="center" wrapText="1"/>
    </xf>
    <xf numFmtId="0" fontId="35" fillId="0" borderId="0" xfId="18" applyFont="1" applyAlignment="1"/>
    <xf numFmtId="0" fontId="39" fillId="0" borderId="0" xfId="18" applyFont="1" applyAlignment="1">
      <alignment horizontal="center"/>
    </xf>
    <xf numFmtId="0" fontId="35" fillId="0" borderId="0" xfId="18" applyFont="1" applyFill="1" applyAlignment="1">
      <alignment horizontal="center"/>
    </xf>
    <xf numFmtId="0" fontId="35" fillId="0" borderId="0" xfId="9" applyFont="1" applyFill="1" applyAlignment="1"/>
    <xf numFmtId="0" fontId="39" fillId="0" borderId="0" xfId="18" applyFont="1"/>
    <xf numFmtId="0" fontId="39" fillId="0" borderId="0" xfId="9" applyFont="1" applyFill="1"/>
    <xf numFmtId="0" fontId="39" fillId="0" borderId="0" xfId="19" applyFont="1" applyAlignment="1">
      <alignment wrapText="1"/>
    </xf>
    <xf numFmtId="0" fontId="39" fillId="0" borderId="13" xfId="18" applyNumberFormat="1" applyFont="1" applyBorder="1" applyAlignment="1"/>
    <xf numFmtId="0" fontId="39" fillId="0" borderId="13" xfId="18" applyNumberFormat="1" applyFont="1" applyBorder="1" applyAlignment="1">
      <alignment wrapText="1"/>
    </xf>
    <xf numFmtId="174" fontId="58" fillId="0" borderId="2" xfId="16" applyFont="1" applyBorder="1" applyAlignment="1">
      <alignment horizontal="center" vertical="center"/>
    </xf>
    <xf numFmtId="10" fontId="58" fillId="0" borderId="2" xfId="5" applyNumberFormat="1" applyFont="1" applyBorder="1" applyAlignment="1">
      <alignment horizontal="center" vertical="center"/>
    </xf>
    <xf numFmtId="9" fontId="58" fillId="0" borderId="2" xfId="5" applyFont="1" applyBorder="1" applyAlignment="1">
      <alignment horizontal="center" vertical="center"/>
    </xf>
    <xf numFmtId="174" fontId="58" fillId="0" borderId="2" xfId="16" applyFont="1" applyFill="1" applyBorder="1" applyAlignment="1">
      <alignment horizontal="center" vertical="center"/>
    </xf>
    <xf numFmtId="9" fontId="58" fillId="0" borderId="2" xfId="5" applyFont="1" applyFill="1" applyBorder="1" applyAlignment="1">
      <alignment horizontal="center" vertical="center"/>
    </xf>
    <xf numFmtId="0" fontId="51" fillId="0" borderId="2" xfId="15" applyFont="1" applyBorder="1" applyAlignment="1">
      <alignment horizontal="center"/>
    </xf>
    <xf numFmtId="0" fontId="51" fillId="0" borderId="2" xfId="15" applyFont="1" applyBorder="1" applyAlignment="1">
      <alignment wrapText="1"/>
    </xf>
    <xf numFmtId="174" fontId="35" fillId="8" borderId="2" xfId="16" applyFont="1" applyFill="1" applyBorder="1"/>
    <xf numFmtId="10" fontId="35" fillId="0" borderId="2" xfId="5" applyNumberFormat="1" applyFont="1" applyBorder="1"/>
    <xf numFmtId="174" fontId="35" fillId="0" borderId="2" xfId="16" applyFont="1" applyBorder="1"/>
    <xf numFmtId="10" fontId="35" fillId="0" borderId="2" xfId="15" applyNumberFormat="1" applyFont="1" applyBorder="1"/>
    <xf numFmtId="43" fontId="35" fillId="0" borderId="2" xfId="15" applyNumberFormat="1" applyFont="1" applyBorder="1"/>
    <xf numFmtId="174" fontId="35" fillId="0" borderId="2" xfId="16" applyFont="1" applyFill="1" applyBorder="1"/>
    <xf numFmtId="0" fontId="39" fillId="0" borderId="0" xfId="18" applyFont="1" applyBorder="1" applyAlignment="1"/>
    <xf numFmtId="43" fontId="35" fillId="0" borderId="2" xfId="15" applyNumberFormat="1" applyFont="1" applyFill="1" applyBorder="1"/>
    <xf numFmtId="0" fontId="35" fillId="0" borderId="0" xfId="18" applyFont="1" applyAlignment="1">
      <alignment vertical="top"/>
    </xf>
    <xf numFmtId="10" fontId="35" fillId="0" borderId="2" xfId="15" applyNumberFormat="1" applyFont="1" applyFill="1" applyBorder="1"/>
    <xf numFmtId="10" fontId="35" fillId="0" borderId="2" xfId="5" applyNumberFormat="1" applyFont="1" applyFill="1" applyBorder="1"/>
    <xf numFmtId="43" fontId="35" fillId="8" borderId="2" xfId="15" applyNumberFormat="1" applyFont="1" applyFill="1" applyBorder="1"/>
    <xf numFmtId="174" fontId="58" fillId="8" borderId="2" xfId="16" applyNumberFormat="1" applyFont="1" applyFill="1" applyBorder="1"/>
    <xf numFmtId="174" fontId="58" fillId="8" borderId="2" xfId="5" applyNumberFormat="1" applyFont="1" applyFill="1" applyBorder="1"/>
    <xf numFmtId="0" fontId="35" fillId="8" borderId="2" xfId="15" applyFont="1" applyFill="1" applyBorder="1"/>
    <xf numFmtId="10" fontId="58" fillId="0" borderId="2" xfId="5" applyNumberFormat="1" applyFont="1" applyBorder="1"/>
    <xf numFmtId="9" fontId="58" fillId="0" borderId="2" xfId="5" applyFont="1" applyBorder="1"/>
    <xf numFmtId="9" fontId="35" fillId="0" borderId="2" xfId="5" applyFont="1" applyBorder="1"/>
    <xf numFmtId="10" fontId="58" fillId="8" borderId="2" xfId="5" applyNumberFormat="1" applyFont="1" applyFill="1" applyBorder="1"/>
    <xf numFmtId="173" fontId="35" fillId="8" borderId="2" xfId="15" applyNumberFormat="1" applyFont="1" applyFill="1" applyBorder="1"/>
    <xf numFmtId="0" fontId="35" fillId="0" borderId="2" xfId="15" applyFont="1" applyFill="1" applyBorder="1"/>
    <xf numFmtId="0" fontId="6" fillId="0" borderId="0" xfId="3" applyFont="1" applyAlignment="1">
      <alignment horizontal="right" vertical="center"/>
    </xf>
    <xf numFmtId="0" fontId="35" fillId="0" borderId="0" xfId="3" applyAlignment="1">
      <alignment wrapText="1"/>
    </xf>
    <xf numFmtId="0" fontId="39" fillId="0" borderId="0" xfId="3" applyFont="1" applyAlignment="1">
      <alignment horizontal="left" vertical="center"/>
    </xf>
    <xf numFmtId="0" fontId="39" fillId="0" borderId="37" xfId="3" applyFont="1" applyBorder="1" applyAlignment="1">
      <alignment horizontal="center" vertical="center"/>
    </xf>
    <xf numFmtId="0" fontId="39" fillId="0" borderId="22" xfId="3" applyFont="1" applyBorder="1" applyAlignment="1">
      <alignment horizontal="left" vertical="top"/>
    </xf>
    <xf numFmtId="0" fontId="39" fillId="0" borderId="23" xfId="3" applyFont="1" applyBorder="1" applyAlignment="1">
      <alignment horizontal="center" vertical="top"/>
    </xf>
    <xf numFmtId="0" fontId="35" fillId="0" borderId="18" xfId="3" applyFont="1" applyBorder="1" applyAlignment="1">
      <alignment horizontal="center" vertical="top"/>
    </xf>
    <xf numFmtId="0" fontId="35" fillId="0" borderId="2" xfId="3" applyFont="1" applyBorder="1" applyAlignment="1">
      <alignment horizontal="left" vertical="top"/>
    </xf>
    <xf numFmtId="2" fontId="35" fillId="0" borderId="24" xfId="3" applyNumberFormat="1" applyFont="1" applyBorder="1" applyAlignment="1">
      <alignment horizontal="center" vertical="top"/>
    </xf>
    <xf numFmtId="0" fontId="35" fillId="0" borderId="38" xfId="3" applyFont="1" applyBorder="1" applyAlignment="1">
      <alignment horizontal="center" vertical="top"/>
    </xf>
    <xf numFmtId="0" fontId="35" fillId="0" borderId="20" xfId="3" applyFont="1" applyBorder="1" applyAlignment="1">
      <alignment horizontal="left" vertical="top"/>
    </xf>
    <xf numFmtId="2" fontId="35" fillId="0" borderId="21" xfId="3" applyNumberFormat="1" applyFont="1" applyBorder="1" applyAlignment="1">
      <alignment horizontal="center" vertical="top"/>
    </xf>
    <xf numFmtId="2" fontId="39" fillId="0" borderId="40" xfId="3" applyNumberFormat="1" applyFont="1" applyBorder="1" applyAlignment="1">
      <alignment horizontal="center" vertical="top"/>
    </xf>
    <xf numFmtId="10" fontId="39" fillId="0" borderId="28" xfId="5" applyNumberFormat="1" applyFont="1" applyBorder="1" applyAlignment="1">
      <alignment horizontal="center" vertical="top"/>
    </xf>
    <xf numFmtId="10" fontId="35" fillId="0" borderId="0" xfId="3" applyNumberFormat="1" applyAlignment="1">
      <alignment vertical="center"/>
    </xf>
    <xf numFmtId="0" fontId="69" fillId="0" borderId="32" xfId="3" applyFont="1" applyBorder="1" applyAlignment="1">
      <alignment vertical="center"/>
    </xf>
    <xf numFmtId="0" fontId="35" fillId="0" borderId="33" xfId="3" applyBorder="1" applyAlignment="1">
      <alignment vertical="center"/>
    </xf>
    <xf numFmtId="0" fontId="35" fillId="0" borderId="42" xfId="3" applyBorder="1" applyAlignment="1">
      <alignment vertical="center"/>
    </xf>
    <xf numFmtId="0" fontId="35" fillId="0" borderId="43" xfId="3" applyBorder="1" applyAlignment="1">
      <alignment vertical="center"/>
    </xf>
    <xf numFmtId="177" fontId="35" fillId="0" borderId="0" xfId="3" applyNumberFormat="1" applyAlignment="1">
      <alignment vertical="center"/>
    </xf>
    <xf numFmtId="0" fontId="71" fillId="0" borderId="0" xfId="20" applyFont="1" applyAlignment="1">
      <alignment horizontal="center" vertical="center"/>
    </xf>
    <xf numFmtId="0" fontId="39" fillId="0" borderId="0" xfId="20" applyFont="1" applyAlignment="1">
      <alignment vertical="center"/>
    </xf>
    <xf numFmtId="0" fontId="46" fillId="0" borderId="0" xfId="20" applyFont="1" applyAlignment="1">
      <alignment horizontal="center" vertical="center"/>
    </xf>
    <xf numFmtId="0" fontId="35" fillId="0" borderId="0" xfId="20" applyFont="1" applyAlignment="1">
      <alignment vertical="center"/>
    </xf>
    <xf numFmtId="0" fontId="35" fillId="0" borderId="0" xfId="20" applyFont="1" applyAlignment="1">
      <alignment horizontal="right" vertical="center"/>
    </xf>
    <xf numFmtId="2" fontId="35" fillId="0" borderId="0" xfId="20" applyNumberFormat="1" applyFont="1" applyAlignment="1">
      <alignment vertical="center"/>
    </xf>
    <xf numFmtId="0" fontId="41" fillId="0" borderId="0" xfId="20" applyFont="1" applyAlignment="1">
      <alignment horizontal="left" vertical="center"/>
    </xf>
    <xf numFmtId="0" fontId="71" fillId="0" borderId="0" xfId="20" applyFont="1" applyFill="1" applyBorder="1" applyAlignment="1">
      <alignment horizontal="center" vertical="center"/>
    </xf>
    <xf numFmtId="0" fontId="35" fillId="0" borderId="0" xfId="20" applyFont="1" applyAlignment="1">
      <alignment horizontal="left" vertical="center" wrapText="1"/>
    </xf>
    <xf numFmtId="3" fontId="35" fillId="0" borderId="0" xfId="3" applyNumberFormat="1" applyFont="1" applyBorder="1" applyAlignment="1">
      <alignment horizontal="right" vertical="center"/>
    </xf>
    <xf numFmtId="49" fontId="35" fillId="0" borderId="0" xfId="20" applyNumberFormat="1" applyFont="1" applyFill="1" applyBorder="1" applyAlignment="1">
      <alignment horizontal="right" vertical="center"/>
    </xf>
    <xf numFmtId="0" fontId="39" fillId="0" borderId="2" xfId="3" applyFont="1" applyBorder="1" applyAlignment="1">
      <alignment horizontal="center"/>
    </xf>
    <xf numFmtId="0" fontId="39" fillId="0" borderId="0" xfId="3" applyFont="1" applyBorder="1" applyAlignment="1">
      <alignment horizontal="center"/>
    </xf>
    <xf numFmtId="0" fontId="40" fillId="0" borderId="0" xfId="20" applyFont="1" applyAlignment="1">
      <alignment horizontal="left" vertical="center"/>
    </xf>
    <xf numFmtId="49" fontId="40" fillId="0" borderId="0" xfId="20" applyNumberFormat="1" applyFont="1" applyAlignment="1">
      <alignment horizontal="right" vertical="center"/>
    </xf>
    <xf numFmtId="4" fontId="35" fillId="0" borderId="0" xfId="3" applyNumberFormat="1" applyFont="1" applyBorder="1" applyAlignment="1">
      <alignment horizontal="right"/>
    </xf>
    <xf numFmtId="0" fontId="39" fillId="0" borderId="2" xfId="20" applyFont="1" applyBorder="1" applyAlignment="1">
      <alignment horizontal="center" vertical="center"/>
    </xf>
    <xf numFmtId="0" fontId="39" fillId="0" borderId="2" xfId="3" applyFont="1" applyBorder="1" applyAlignment="1">
      <alignment horizontal="left"/>
    </xf>
    <xf numFmtId="4" fontId="39" fillId="0" borderId="2" xfId="3" applyNumberFormat="1" applyFont="1" applyFill="1" applyBorder="1" applyAlignment="1">
      <alignment horizontal="center"/>
    </xf>
    <xf numFmtId="4" fontId="39" fillId="0" borderId="0" xfId="3" applyNumberFormat="1" applyFont="1" applyBorder="1" applyAlignment="1">
      <alignment horizontal="center"/>
    </xf>
    <xf numFmtId="3" fontId="35" fillId="0" borderId="0" xfId="3" applyNumberFormat="1" applyFont="1" applyBorder="1" applyAlignment="1">
      <alignment horizontal="right"/>
    </xf>
    <xf numFmtId="0" fontId="40" fillId="0" borderId="0" xfId="20" applyFont="1" applyAlignment="1">
      <alignment vertical="center"/>
    </xf>
    <xf numFmtId="4" fontId="40" fillId="0" borderId="0" xfId="3" applyNumberFormat="1" applyFont="1" applyBorder="1" applyAlignment="1">
      <alignment horizontal="left" vertical="center"/>
    </xf>
    <xf numFmtId="4" fontId="35" fillId="0" borderId="0" xfId="3" applyNumberFormat="1" applyFont="1" applyBorder="1" applyAlignment="1">
      <alignment horizontal="right" vertical="center"/>
    </xf>
    <xf numFmtId="4" fontId="40" fillId="0" borderId="0" xfId="3" applyNumberFormat="1" applyFont="1" applyBorder="1" applyAlignment="1">
      <alignment horizontal="left"/>
    </xf>
    <xf numFmtId="4" fontId="39" fillId="0" borderId="0" xfId="3" applyNumberFormat="1" applyFont="1" applyFill="1" applyBorder="1" applyAlignment="1">
      <alignment horizontal="center"/>
    </xf>
    <xf numFmtId="3" fontId="40" fillId="0" borderId="0" xfId="3" applyNumberFormat="1" applyFont="1" applyBorder="1" applyAlignment="1">
      <alignment horizontal="right" vertical="center"/>
    </xf>
    <xf numFmtId="4" fontId="40" fillId="0" borderId="0" xfId="3" applyNumberFormat="1" applyFont="1" applyBorder="1" applyAlignment="1">
      <alignment horizontal="right" vertical="center"/>
    </xf>
    <xf numFmtId="0" fontId="40" fillId="0" borderId="0" xfId="20" applyFont="1" applyAlignment="1">
      <alignment horizontal="right" vertical="center"/>
    </xf>
    <xf numFmtId="2" fontId="41" fillId="0" borderId="0" xfId="20" applyNumberFormat="1" applyFont="1" applyAlignment="1">
      <alignment vertical="center"/>
    </xf>
    <xf numFmtId="4" fontId="39" fillId="0" borderId="2" xfId="3" applyNumberFormat="1" applyFont="1" applyBorder="1" applyAlignment="1">
      <alignment horizontal="center"/>
    </xf>
    <xf numFmtId="4" fontId="39" fillId="0" borderId="2" xfId="20" applyNumberFormat="1" applyFont="1" applyBorder="1" applyAlignment="1">
      <alignment horizontal="center" vertical="center"/>
    </xf>
    <xf numFmtId="4" fontId="39" fillId="0" borderId="0" xfId="20" applyNumberFormat="1" applyFont="1" applyBorder="1" applyAlignment="1">
      <alignment horizontal="center" vertical="center"/>
    </xf>
    <xf numFmtId="0" fontId="39" fillId="0" borderId="0" xfId="20" applyFont="1" applyBorder="1" applyAlignment="1">
      <alignment horizontal="center" vertical="center"/>
    </xf>
    <xf numFmtId="4" fontId="40" fillId="0" borderId="0" xfId="20" applyNumberFormat="1" applyFont="1" applyBorder="1" applyAlignment="1">
      <alignment horizontal="left" vertical="center"/>
    </xf>
    <xf numFmtId="3" fontId="40" fillId="0" borderId="0" xfId="20" applyNumberFormat="1" applyFont="1" applyBorder="1" applyAlignment="1">
      <alignment horizontal="right" vertical="center"/>
    </xf>
    <xf numFmtId="4" fontId="40" fillId="0" borderId="0" xfId="20" applyNumberFormat="1" applyFont="1" applyBorder="1" applyAlignment="1">
      <alignment horizontal="right" vertical="center"/>
    </xf>
    <xf numFmtId="0" fontId="39" fillId="0" borderId="2" xfId="20" applyFont="1" applyBorder="1" applyAlignment="1">
      <alignment horizontal="left" vertical="center"/>
    </xf>
    <xf numFmtId="2" fontId="40" fillId="0" borderId="0" xfId="20" applyNumberFormat="1" applyFont="1" applyBorder="1" applyAlignment="1">
      <alignment horizontal="right" vertical="center"/>
    </xf>
    <xf numFmtId="0" fontId="40" fillId="0" borderId="0" xfId="20" applyFont="1" applyBorder="1" applyAlignment="1">
      <alignment horizontal="left" vertical="center"/>
    </xf>
    <xf numFmtId="0" fontId="39" fillId="0" borderId="2" xfId="20" applyFont="1" applyBorder="1" applyAlignment="1">
      <alignment horizontal="left" vertical="center" wrapText="1"/>
    </xf>
    <xf numFmtId="2" fontId="39" fillId="0" borderId="2" xfId="20" applyNumberFormat="1" applyFont="1" applyBorder="1" applyAlignment="1">
      <alignment horizontal="center" vertical="center"/>
    </xf>
    <xf numFmtId="0" fontId="35" fillId="0" borderId="0" xfId="20" applyFont="1" applyBorder="1" applyAlignment="1">
      <alignment horizontal="right" vertical="center"/>
    </xf>
    <xf numFmtId="0" fontId="39" fillId="0" borderId="2" xfId="3" applyFont="1" applyBorder="1" applyAlignment="1">
      <alignment horizontal="left" wrapText="1"/>
    </xf>
    <xf numFmtId="0" fontId="40" fillId="0" borderId="2" xfId="20" applyFont="1" applyBorder="1" applyAlignment="1">
      <alignment vertical="center"/>
    </xf>
    <xf numFmtId="0" fontId="39" fillId="0" borderId="0" xfId="20" applyFont="1" applyBorder="1" applyAlignment="1">
      <alignment horizontal="right" vertical="center"/>
    </xf>
    <xf numFmtId="0" fontId="39" fillId="0" borderId="2" xfId="20" applyFont="1" applyFill="1" applyBorder="1" applyAlignment="1">
      <alignment vertical="center"/>
    </xf>
    <xf numFmtId="166" fontId="40" fillId="0" borderId="2" xfId="20" applyNumberFormat="1" applyFont="1" applyBorder="1" applyAlignment="1">
      <alignment vertical="center"/>
    </xf>
    <xf numFmtId="0" fontId="35" fillId="0" borderId="2" xfId="20" applyFont="1" applyBorder="1" applyAlignment="1">
      <alignment horizontal="right" vertical="center"/>
    </xf>
    <xf numFmtId="0" fontId="35" fillId="0" borderId="2" xfId="20" applyFont="1" applyBorder="1" applyAlignment="1">
      <alignment vertical="center"/>
    </xf>
    <xf numFmtId="0" fontId="39" fillId="0" borderId="2" xfId="3" applyFont="1" applyBorder="1" applyAlignment="1">
      <alignment horizontal="center" vertical="center"/>
    </xf>
    <xf numFmtId="0" fontId="39" fillId="0" borderId="2" xfId="3" applyFont="1" applyBorder="1" applyAlignment="1">
      <alignment horizontal="left" vertical="center"/>
    </xf>
    <xf numFmtId="0" fontId="35" fillId="0" borderId="0" xfId="20" applyFont="1" applyFill="1" applyBorder="1" applyAlignment="1">
      <alignment vertical="center"/>
    </xf>
    <xf numFmtId="4" fontId="39" fillId="0" borderId="0" xfId="3" applyNumberFormat="1" applyFont="1" applyBorder="1" applyAlignment="1">
      <alignment horizontal="center" vertical="center"/>
    </xf>
    <xf numFmtId="0" fontId="35" fillId="0" borderId="0" xfId="20" applyFont="1" applyFill="1" applyBorder="1" applyAlignment="1">
      <alignment horizontal="center" vertical="center"/>
    </xf>
    <xf numFmtId="0" fontId="39" fillId="0" borderId="2" xfId="20" applyFont="1" applyBorder="1" applyAlignment="1">
      <alignment horizontal="right" vertical="center"/>
    </xf>
    <xf numFmtId="0" fontId="35" fillId="0" borderId="44" xfId="3" applyFont="1" applyBorder="1" applyAlignment="1">
      <alignment vertical="center" wrapText="1"/>
    </xf>
    <xf numFmtId="10" fontId="39" fillId="0" borderId="2" xfId="5" applyNumberFormat="1" applyFont="1" applyBorder="1" applyAlignment="1">
      <alignment horizontal="right" vertical="center"/>
    </xf>
    <xf numFmtId="2" fontId="39" fillId="0" borderId="2" xfId="3" applyNumberFormat="1" applyFont="1" applyBorder="1" applyAlignment="1">
      <alignment horizontal="right" vertical="center"/>
    </xf>
    <xf numFmtId="0" fontId="39" fillId="0" borderId="0" xfId="20" applyFont="1" applyBorder="1" applyAlignment="1">
      <alignment horizontal="left" vertical="center"/>
    </xf>
    <xf numFmtId="0" fontId="41" fillId="0" borderId="0" xfId="20" applyFont="1" applyAlignment="1">
      <alignment horizontal="center" vertical="center"/>
    </xf>
    <xf numFmtId="0" fontId="35" fillId="6" borderId="2" xfId="20" applyFont="1" applyFill="1" applyBorder="1" applyAlignment="1">
      <alignment vertical="center"/>
    </xf>
    <xf numFmtId="0" fontId="35" fillId="0" borderId="0" xfId="20" applyFont="1" applyFill="1" applyAlignment="1">
      <alignment vertical="center"/>
    </xf>
    <xf numFmtId="0" fontId="39" fillId="0" borderId="2" xfId="20" applyFont="1" applyFill="1" applyBorder="1" applyAlignment="1">
      <alignment horizontal="left" vertical="center"/>
    </xf>
    <xf numFmtId="0" fontId="39" fillId="0" borderId="2" xfId="20" applyFont="1" applyFill="1" applyBorder="1" applyAlignment="1">
      <alignment horizontal="right" vertical="center"/>
    </xf>
    <xf numFmtId="0" fontId="35" fillId="0" borderId="0" xfId="3" applyFill="1" applyAlignment="1">
      <alignment vertical="center"/>
    </xf>
    <xf numFmtId="0" fontId="83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top" wrapText="1"/>
    </xf>
    <xf numFmtId="0" fontId="84" fillId="0" borderId="1" xfId="0" applyFont="1" applyFill="1" applyBorder="1" applyAlignment="1">
      <alignment horizontal="center" vertical="center" wrapText="1"/>
    </xf>
    <xf numFmtId="0" fontId="8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vertical="center"/>
    </xf>
    <xf numFmtId="0" fontId="39" fillId="2" borderId="6" xfId="0" applyFont="1" applyFill="1" applyBorder="1" applyAlignment="1">
      <alignment horizontal="center" vertical="center" wrapText="1"/>
    </xf>
    <xf numFmtId="0" fontId="82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top" wrapText="1"/>
    </xf>
    <xf numFmtId="0" fontId="82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top" wrapText="1"/>
    </xf>
    <xf numFmtId="0" fontId="85" fillId="10" borderId="1" xfId="0" applyFont="1" applyFill="1" applyBorder="1" applyAlignment="1">
      <alignment horizontal="center" vertical="center" wrapText="1"/>
    </xf>
    <xf numFmtId="4" fontId="87" fillId="10" borderId="1" xfId="0" applyNumberFormat="1" applyFont="1" applyFill="1" applyBorder="1" applyAlignment="1">
      <alignment horizontal="right" vertical="center" wrapText="1"/>
    </xf>
    <xf numFmtId="4" fontId="67" fillId="0" borderId="1" xfId="0" applyNumberFormat="1" applyFont="1" applyFill="1" applyBorder="1" applyAlignment="1">
      <alignment horizontal="right" wrapText="1"/>
    </xf>
    <xf numFmtId="4" fontId="87" fillId="0" borderId="1" xfId="0" applyNumberFormat="1" applyFont="1" applyFill="1" applyBorder="1" applyAlignment="1">
      <alignment horizontal="right" wrapText="1"/>
    </xf>
    <xf numFmtId="4" fontId="67" fillId="0" borderId="1" xfId="0" applyNumberFormat="1" applyFont="1" applyFill="1" applyBorder="1" applyAlignment="1">
      <alignment horizontal="right" vertical="center" wrapText="1"/>
    </xf>
    <xf numFmtId="0" fontId="90" fillId="0" borderId="0" xfId="0" applyFont="1" applyFill="1" applyBorder="1" applyAlignment="1">
      <alignment horizontal="left" vertical="top"/>
    </xf>
    <xf numFmtId="0" fontId="87" fillId="10" borderId="1" xfId="0" applyFont="1" applyFill="1" applyBorder="1" applyAlignment="1">
      <alignment horizontal="center" vertical="center" wrapText="1"/>
    </xf>
    <xf numFmtId="4" fontId="88" fillId="0" borderId="1" xfId="0" applyNumberFormat="1" applyFont="1" applyFill="1" applyBorder="1" applyAlignment="1">
      <alignment horizontal="center" vertical="center" wrapText="1"/>
    </xf>
    <xf numFmtId="4" fontId="81" fillId="10" borderId="1" xfId="0" applyNumberFormat="1" applyFont="1" applyFill="1" applyBorder="1" applyAlignment="1">
      <alignment horizontal="center" vertical="center" wrapText="1"/>
    </xf>
    <xf numFmtId="4" fontId="88" fillId="10" borderId="1" xfId="0" applyNumberFormat="1" applyFont="1" applyFill="1" applyBorder="1" applyAlignment="1">
      <alignment horizontal="center" vertical="center" wrapText="1"/>
    </xf>
    <xf numFmtId="4" fontId="81" fillId="0" borderId="1" xfId="0" applyNumberFormat="1" applyFont="1" applyFill="1" applyBorder="1" applyAlignment="1">
      <alignment horizontal="center" vertical="center" wrapText="1"/>
    </xf>
    <xf numFmtId="0" fontId="83" fillId="0" borderId="1" xfId="0" applyFont="1" applyFill="1" applyBorder="1" applyAlignment="1">
      <alignment horizontal="left" vertical="top" wrapText="1"/>
    </xf>
    <xf numFmtId="0" fontId="82" fillId="10" borderId="1" xfId="0" applyFont="1" applyFill="1" applyBorder="1" applyAlignment="1">
      <alignment horizontal="left" vertical="top" wrapText="1"/>
    </xf>
    <xf numFmtId="0" fontId="85" fillId="0" borderId="1" xfId="0" applyFont="1" applyFill="1" applyBorder="1" applyAlignment="1">
      <alignment horizontal="left" vertical="top" wrapText="1"/>
    </xf>
    <xf numFmtId="0" fontId="85" fillId="10" borderId="1" xfId="0" applyFont="1" applyFill="1" applyBorder="1" applyAlignment="1">
      <alignment horizontal="left" vertical="top" wrapText="1"/>
    </xf>
    <xf numFmtId="0" fontId="92" fillId="0" borderId="0" xfId="0" applyFont="1" applyFill="1" applyBorder="1" applyAlignment="1">
      <alignment vertical="center"/>
    </xf>
    <xf numFmtId="4" fontId="0" fillId="0" borderId="0" xfId="0" applyNumberFormat="1" applyFill="1" applyBorder="1" applyAlignment="1">
      <alignment horizontal="left" vertical="top"/>
    </xf>
    <xf numFmtId="0" fontId="0" fillId="5" borderId="0" xfId="15" applyFont="1" applyFill="1" applyBorder="1" applyAlignment="1">
      <alignment horizontal="center" vertical="center"/>
    </xf>
    <xf numFmtId="173" fontId="48" fillId="0" borderId="0" xfId="16" applyNumberFormat="1" applyFont="1" applyFill="1" applyAlignment="1">
      <alignment vertical="center" wrapText="1"/>
    </xf>
    <xf numFmtId="4" fontId="1" fillId="5" borderId="0" xfId="15" applyNumberFormat="1" applyFill="1" applyBorder="1" applyAlignment="1">
      <alignment vertical="center"/>
    </xf>
    <xf numFmtId="0" fontId="49" fillId="0" borderId="0" xfId="15" applyFont="1" applyFill="1" applyAlignment="1">
      <alignment horizontal="center" vertical="center" wrapText="1"/>
    </xf>
    <xf numFmtId="0" fontId="0" fillId="2" borderId="0" xfId="0" applyFill="1" applyBorder="1" applyAlignment="1">
      <alignment horizontal="left" vertical="top"/>
    </xf>
    <xf numFmtId="0" fontId="90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22" fillId="2" borderId="0" xfId="0" applyFont="1" applyFill="1" applyBorder="1" applyAlignment="1">
      <alignment horizontal="right" vertical="top"/>
    </xf>
    <xf numFmtId="0" fontId="13" fillId="0" borderId="0" xfId="0" applyFont="1" applyBorder="1"/>
    <xf numFmtId="0" fontId="91" fillId="0" borderId="0" xfId="0" applyFont="1" applyBorder="1"/>
    <xf numFmtId="0" fontId="13" fillId="0" borderId="0" xfId="0" applyFont="1" applyBorder="1" applyAlignment="1">
      <alignment horizontal="center" vertical="center"/>
    </xf>
    <xf numFmtId="0" fontId="89" fillId="0" borderId="0" xfId="0" applyFont="1" applyBorder="1"/>
    <xf numFmtId="0" fontId="13" fillId="2" borderId="0" xfId="0" applyFont="1" applyFill="1" applyBorder="1"/>
    <xf numFmtId="0" fontId="13" fillId="2" borderId="0" xfId="0" applyFont="1" applyFill="1" applyBorder="1" applyAlignment="1"/>
    <xf numFmtId="43" fontId="49" fillId="0" borderId="0" xfId="10" applyFont="1" applyFill="1" applyAlignment="1">
      <alignment horizontal="center" vertical="center"/>
    </xf>
    <xf numFmtId="0" fontId="48" fillId="0" borderId="0" xfId="15" applyFont="1" applyFill="1" applyBorder="1" applyAlignment="1">
      <alignment horizontal="center"/>
    </xf>
    <xf numFmtId="0" fontId="48" fillId="0" borderId="0" xfId="15" applyFont="1" applyFill="1" applyAlignment="1">
      <alignment vertical="center" wrapText="1"/>
    </xf>
    <xf numFmtId="0" fontId="48" fillId="0" borderId="0" xfId="15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8" fillId="2" borderId="0" xfId="0" applyFont="1" applyFill="1" applyAlignment="1">
      <alignment horizontal="center" wrapText="1"/>
    </xf>
    <xf numFmtId="0" fontId="48" fillId="0" borderId="0" xfId="0" applyFont="1" applyFill="1" applyAlignment="1">
      <alignment vertical="center" wrapText="1"/>
    </xf>
    <xf numFmtId="0" fontId="49" fillId="0" borderId="0" xfId="0" applyNumberFormat="1" applyFont="1" applyFill="1" applyAlignment="1">
      <alignment horizontal="center" vertical="center"/>
    </xf>
    <xf numFmtId="43" fontId="49" fillId="0" borderId="0" xfId="114" applyFont="1" applyFill="1" applyAlignment="1">
      <alignment vertical="center"/>
    </xf>
    <xf numFmtId="43" fontId="49" fillId="4" borderId="0" xfId="114" applyFont="1" applyFill="1" applyAlignment="1">
      <alignment horizontal="right" vertical="center"/>
    </xf>
    <xf numFmtId="0" fontId="49" fillId="0" borderId="0" xfId="0" applyFont="1" applyFill="1" applyAlignment="1">
      <alignment vertical="center" wrapText="1"/>
    </xf>
    <xf numFmtId="43" fontId="48" fillId="0" borderId="0" xfId="114" applyFont="1" applyFill="1" applyAlignment="1">
      <alignment vertical="center"/>
    </xf>
    <xf numFmtId="43" fontId="49" fillId="0" borderId="0" xfId="114" applyFont="1" applyFill="1" applyBorder="1" applyAlignment="1">
      <alignment vertical="center"/>
    </xf>
    <xf numFmtId="0" fontId="39" fillId="0" borderId="0" xfId="0" applyFont="1" applyFill="1" applyAlignment="1">
      <alignment vertical="center" wrapText="1"/>
    </xf>
    <xf numFmtId="0" fontId="49" fillId="2" borderId="0" xfId="0" applyFont="1" applyFill="1" applyAlignment="1">
      <alignment vertical="center" wrapText="1"/>
    </xf>
    <xf numFmtId="0" fontId="49" fillId="2" borderId="0" xfId="0" applyNumberFormat="1" applyFont="1" applyFill="1" applyAlignment="1">
      <alignment horizontal="center" vertical="center"/>
    </xf>
    <xf numFmtId="43" fontId="49" fillId="2" borderId="0" xfId="114" applyFont="1" applyFill="1" applyAlignment="1">
      <alignment vertical="center"/>
    </xf>
    <xf numFmtId="43" fontId="48" fillId="2" borderId="0" xfId="114" applyFont="1" applyFill="1" applyAlignment="1">
      <alignment vertical="center"/>
    </xf>
    <xf numFmtId="4" fontId="1" fillId="2" borderId="0" xfId="15" applyNumberFormat="1" applyFill="1" applyBorder="1" applyAlignment="1">
      <alignment vertical="center"/>
    </xf>
    <xf numFmtId="43" fontId="49" fillId="2" borderId="0" xfId="114" applyFont="1" applyFill="1" applyAlignment="1">
      <alignment horizontal="center" vertical="center"/>
    </xf>
    <xf numFmtId="43" fontId="49" fillId="2" borderId="0" xfId="10" applyFont="1" applyFill="1" applyAlignment="1">
      <alignment horizontal="right" vertical="center"/>
    </xf>
    <xf numFmtId="173" fontId="49" fillId="2" borderId="0" xfId="16" applyNumberFormat="1" applyFont="1" applyFill="1" applyAlignment="1">
      <alignment vertical="center"/>
    </xf>
    <xf numFmtId="43" fontId="49" fillId="2" borderId="0" xfId="10" applyFont="1" applyFill="1" applyAlignment="1">
      <alignment horizontal="center" vertical="center"/>
    </xf>
    <xf numFmtId="173" fontId="49" fillId="2" borderId="0" xfId="10" applyNumberFormat="1" applyFont="1" applyFill="1" applyAlignment="1">
      <alignment vertical="center"/>
    </xf>
    <xf numFmtId="172" fontId="51" fillId="2" borderId="0" xfId="15" applyNumberFormat="1" applyFont="1" applyFill="1" applyBorder="1" applyAlignment="1">
      <alignment horizontal="center" vertical="center"/>
    </xf>
    <xf numFmtId="43" fontId="49" fillId="0" borderId="0" xfId="10" applyFont="1" applyFill="1" applyAlignment="1">
      <alignment horizontal="center" vertical="center"/>
    </xf>
    <xf numFmtId="0" fontId="48" fillId="0" borderId="0" xfId="15" applyFont="1" applyFill="1" applyBorder="1" applyAlignment="1">
      <alignment horizontal="center"/>
    </xf>
    <xf numFmtId="0" fontId="48" fillId="0" borderId="0" xfId="15" applyFont="1" applyFill="1" applyAlignment="1">
      <alignment vertical="center" wrapText="1"/>
    </xf>
    <xf numFmtId="0" fontId="48" fillId="0" borderId="0" xfId="15" applyNumberFormat="1" applyFont="1" applyFill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35" fillId="0" borderId="0" xfId="3" applyAlignment="1">
      <alignment horizontal="center" vertical="center"/>
    </xf>
    <xf numFmtId="43" fontId="49" fillId="0" borderId="0" xfId="10" applyFont="1" applyFill="1" applyAlignment="1">
      <alignment horizontal="right" vertical="center"/>
    </xf>
    <xf numFmtId="172" fontId="51" fillId="0" borderId="0" xfId="15" applyNumberFormat="1" applyFont="1" applyFill="1" applyBorder="1" applyAlignment="1">
      <alignment horizontal="center" vertical="center"/>
    </xf>
    <xf numFmtId="0" fontId="52" fillId="0" borderId="0" xfId="15" applyFont="1" applyFill="1" applyBorder="1" applyAlignment="1">
      <alignment horizontal="center"/>
    </xf>
    <xf numFmtId="0" fontId="89" fillId="2" borderId="0" xfId="0" applyFont="1" applyFill="1" applyBorder="1" applyAlignment="1"/>
    <xf numFmtId="0" fontId="94" fillId="0" borderId="0" xfId="0" applyFont="1" applyBorder="1"/>
    <xf numFmtId="4" fontId="45" fillId="0" borderId="2" xfId="12" applyNumberFormat="1" applyFont="1" applyFill="1" applyBorder="1" applyAlignment="1" applyProtection="1">
      <alignment horizontal="center" vertical="center" wrapText="1"/>
    </xf>
    <xf numFmtId="0" fontId="39" fillId="0" borderId="2" xfId="3" quotePrefix="1" applyFont="1" applyBorder="1" applyAlignment="1">
      <alignment horizontal="left"/>
    </xf>
    <xf numFmtId="0" fontId="35" fillId="0" borderId="2" xfId="3" quotePrefix="1" applyFont="1" applyBorder="1" applyAlignment="1">
      <alignment horizontal="left" vertical="top"/>
    </xf>
    <xf numFmtId="0" fontId="48" fillId="0" borderId="0" xfId="15" quotePrefix="1" applyFont="1" applyFill="1" applyBorder="1" applyAlignment="1">
      <alignment horizontal="center"/>
    </xf>
    <xf numFmtId="0" fontId="45" fillId="0" borderId="2" xfId="12" quotePrefix="1" applyNumberFormat="1" applyFont="1" applyFill="1" applyBorder="1" applyAlignment="1" applyProtection="1">
      <alignment horizontal="left" vertical="center" wrapText="1"/>
    </xf>
    <xf numFmtId="0" fontId="35" fillId="0" borderId="0" xfId="3" quotePrefix="1"/>
    <xf numFmtId="0" fontId="83" fillId="0" borderId="52" xfId="0" applyFont="1" applyFill="1" applyBorder="1" applyAlignment="1">
      <alignment horizontal="center" vertical="center" wrapText="1"/>
    </xf>
    <xf numFmtId="0" fontId="83" fillId="0" borderId="53" xfId="0" applyFont="1" applyFill="1" applyBorder="1" applyAlignment="1">
      <alignment horizontal="center" vertical="center" wrapText="1"/>
    </xf>
    <xf numFmtId="0" fontId="83" fillId="0" borderId="54" xfId="0" applyFont="1" applyFill="1" applyBorder="1" applyAlignment="1">
      <alignment horizontal="center" vertical="center" wrapText="1"/>
    </xf>
    <xf numFmtId="0" fontId="80" fillId="0" borderId="0" xfId="0" applyFont="1" applyFill="1" applyBorder="1" applyAlignment="1">
      <alignment horizontal="center" vertical="center"/>
    </xf>
    <xf numFmtId="0" fontId="5" fillId="10" borderId="46" xfId="0" applyFont="1" applyFill="1" applyBorder="1" applyAlignment="1">
      <alignment horizontal="center" vertical="top" wrapText="1"/>
    </xf>
    <xf numFmtId="0" fontId="5" fillId="10" borderId="45" xfId="0" applyFont="1" applyFill="1" applyBorder="1" applyAlignment="1">
      <alignment horizontal="center" vertical="top" wrapText="1"/>
    </xf>
    <xf numFmtId="0" fontId="5" fillId="10" borderId="47" xfId="0" applyFont="1" applyFill="1" applyBorder="1" applyAlignment="1">
      <alignment horizontal="center" vertical="top" wrapText="1"/>
    </xf>
    <xf numFmtId="0" fontId="5" fillId="10" borderId="48" xfId="0" applyFont="1" applyFill="1" applyBorder="1" applyAlignment="1">
      <alignment horizontal="center" vertical="top" wrapText="1"/>
    </xf>
    <xf numFmtId="0" fontId="5" fillId="10" borderId="49" xfId="0" applyFont="1" applyFill="1" applyBorder="1" applyAlignment="1">
      <alignment horizontal="center" vertical="top" wrapText="1"/>
    </xf>
    <xf numFmtId="0" fontId="5" fillId="10" borderId="50" xfId="0" applyFont="1" applyFill="1" applyBorder="1" applyAlignment="1">
      <alignment horizontal="center" vertical="top" wrapText="1"/>
    </xf>
    <xf numFmtId="4" fontId="93" fillId="10" borderId="51" xfId="0" applyNumberFormat="1" applyFont="1" applyFill="1" applyBorder="1" applyAlignment="1">
      <alignment horizontal="right" vertical="top"/>
    </xf>
    <xf numFmtId="4" fontId="93" fillId="10" borderId="22" xfId="0" applyNumberFormat="1" applyFont="1" applyFill="1" applyBorder="1" applyAlignment="1">
      <alignment horizontal="right" vertical="top"/>
    </xf>
    <xf numFmtId="0" fontId="80" fillId="2" borderId="2" xfId="0" applyFont="1" applyFill="1" applyBorder="1" applyAlignment="1">
      <alignment horizontal="center" vertical="center" wrapText="1"/>
    </xf>
    <xf numFmtId="44" fontId="90" fillId="0" borderId="0" xfId="0" applyNumberFormat="1" applyFont="1" applyFill="1" applyBorder="1" applyAlignment="1">
      <alignment horizontal="center" vertical="center"/>
    </xf>
    <xf numFmtId="44" fontId="21" fillId="0" borderId="0" xfId="0" applyNumberFormat="1" applyFont="1" applyFill="1" applyBorder="1" applyAlignment="1">
      <alignment horizontal="center" vertical="center"/>
    </xf>
    <xf numFmtId="0" fontId="92" fillId="0" borderId="0" xfId="0" applyFont="1" applyBorder="1" applyAlignment="1">
      <alignment horizontal="left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166" fontId="30" fillId="0" borderId="8" xfId="0" applyNumberFormat="1" applyFont="1" applyBorder="1" applyAlignment="1">
      <alignment horizontal="center" vertical="center" wrapText="1"/>
    </xf>
    <xf numFmtId="166" fontId="30" fillId="0" borderId="9" xfId="0" applyNumberFormat="1" applyFont="1" applyBorder="1" applyAlignment="1">
      <alignment horizontal="center" vertical="center" wrapText="1"/>
    </xf>
    <xf numFmtId="0" fontId="29" fillId="0" borderId="8" xfId="0" quotePrefix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40" fillId="0" borderId="25" xfId="3" quotePrefix="1" applyFont="1" applyBorder="1" applyAlignment="1">
      <alignment horizontal="right" vertical="center"/>
    </xf>
    <xf numFmtId="0" fontId="40" fillId="0" borderId="26" xfId="3" quotePrefix="1" applyFont="1" applyBorder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 wrapText="1"/>
    </xf>
    <xf numFmtId="0" fontId="39" fillId="0" borderId="0" xfId="3" applyFont="1" applyAlignment="1">
      <alignment horizontal="left" vertical="center"/>
    </xf>
    <xf numFmtId="0" fontId="39" fillId="0" borderId="14" xfId="3" applyFont="1" applyBorder="1" applyAlignment="1">
      <alignment horizontal="center" vertical="center"/>
    </xf>
    <xf numFmtId="0" fontId="39" fillId="0" borderId="18" xfId="3" applyFont="1" applyBorder="1" applyAlignment="1">
      <alignment horizontal="center" vertical="center"/>
    </xf>
    <xf numFmtId="0" fontId="39" fillId="0" borderId="15" xfId="3" applyFont="1" applyBorder="1" applyAlignment="1">
      <alignment horizontal="center" vertical="center" wrapText="1"/>
    </xf>
    <xf numFmtId="0" fontId="39" fillId="0" borderId="19" xfId="3" applyFont="1" applyBorder="1" applyAlignment="1">
      <alignment horizontal="center" vertical="center" wrapText="1"/>
    </xf>
    <xf numFmtId="0" fontId="39" fillId="0" borderId="22" xfId="3" applyFont="1" applyBorder="1" applyAlignment="1">
      <alignment horizontal="center" vertical="center" wrapText="1"/>
    </xf>
    <xf numFmtId="0" fontId="39" fillId="0" borderId="16" xfId="3" applyFont="1" applyBorder="1" applyAlignment="1">
      <alignment horizontal="center" vertical="center" wrapText="1"/>
    </xf>
    <xf numFmtId="0" fontId="39" fillId="0" borderId="17" xfId="3" applyFont="1" applyBorder="1" applyAlignment="1">
      <alignment horizontal="center" vertical="center" wrapText="1"/>
    </xf>
    <xf numFmtId="0" fontId="39" fillId="0" borderId="20" xfId="3" applyFont="1" applyBorder="1" applyAlignment="1">
      <alignment horizontal="center" vertical="center" wrapText="1"/>
    </xf>
    <xf numFmtId="0" fontId="39" fillId="0" borderId="21" xfId="3" applyFont="1" applyBorder="1" applyAlignment="1">
      <alignment horizontal="center" vertical="center"/>
    </xf>
    <xf numFmtId="0" fontId="39" fillId="0" borderId="23" xfId="3" applyFont="1" applyBorder="1" applyAlignment="1">
      <alignment horizontal="center" vertical="center"/>
    </xf>
    <xf numFmtId="0" fontId="36" fillId="0" borderId="0" xfId="3" applyFont="1" applyAlignment="1">
      <alignment horizontal="center" vertical="center" wrapText="1"/>
    </xf>
    <xf numFmtId="0" fontId="35" fillId="0" borderId="0" xfId="3" applyFont="1" applyAlignment="1">
      <alignment horizontal="center" vertical="center"/>
    </xf>
    <xf numFmtId="0" fontId="35" fillId="0" borderId="0" xfId="3" applyAlignment="1">
      <alignment horizontal="center" vertical="center"/>
    </xf>
    <xf numFmtId="44" fontId="35" fillId="0" borderId="0" xfId="4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41" fillId="0" borderId="3" xfId="8" applyFont="1" applyBorder="1" applyAlignment="1">
      <alignment horizontal="center"/>
    </xf>
    <xf numFmtId="0" fontId="41" fillId="0" borderId="5" xfId="8" applyFont="1" applyBorder="1" applyAlignment="1">
      <alignment horizontal="center"/>
    </xf>
    <xf numFmtId="0" fontId="44" fillId="2" borderId="0" xfId="9" applyFont="1" applyFill="1" applyAlignment="1">
      <alignment horizontal="left" wrapText="1"/>
    </xf>
    <xf numFmtId="0" fontId="43" fillId="0" borderId="0" xfId="8" applyFont="1" applyBorder="1" applyAlignment="1">
      <alignment horizontal="center"/>
    </xf>
    <xf numFmtId="14" fontId="44" fillId="0" borderId="13" xfId="8" applyNumberFormat="1" applyFont="1" applyBorder="1" applyAlignment="1"/>
    <xf numFmtId="0" fontId="44" fillId="0" borderId="13" xfId="8" applyFont="1" applyBorder="1" applyAlignment="1"/>
    <xf numFmtId="0" fontId="43" fillId="0" borderId="20" xfId="8" applyFont="1" applyFill="1" applyBorder="1" applyAlignment="1">
      <alignment horizontal="center" vertical="center" wrapText="1"/>
    </xf>
    <xf numFmtId="0" fontId="43" fillId="0" borderId="22" xfId="8" applyFont="1" applyFill="1" applyBorder="1" applyAlignment="1">
      <alignment horizontal="center" vertical="center" wrapText="1"/>
    </xf>
    <xf numFmtId="0" fontId="43" fillId="0" borderId="20" xfId="8" applyNumberFormat="1" applyFont="1" applyFill="1" applyBorder="1" applyAlignment="1">
      <alignment horizontal="center" vertical="center" wrapText="1"/>
    </xf>
    <xf numFmtId="0" fontId="43" fillId="0" borderId="22" xfId="8" applyNumberFormat="1" applyFont="1" applyFill="1" applyBorder="1" applyAlignment="1">
      <alignment horizontal="center" vertical="center" wrapText="1"/>
    </xf>
    <xf numFmtId="9" fontId="43" fillId="0" borderId="20" xfId="11" applyFont="1" applyFill="1" applyBorder="1" applyAlignment="1">
      <alignment horizontal="center" vertical="center" wrapText="1"/>
    </xf>
    <xf numFmtId="9" fontId="43" fillId="0" borderId="22" xfId="11" applyFont="1" applyFill="1" applyBorder="1" applyAlignment="1">
      <alignment horizontal="center" vertical="center" wrapText="1"/>
    </xf>
    <xf numFmtId="0" fontId="44" fillId="0" borderId="0" xfId="9" applyFont="1" applyFill="1" applyAlignment="1">
      <alignment horizontal="left" wrapText="1"/>
    </xf>
    <xf numFmtId="43" fontId="49" fillId="0" borderId="0" xfId="10" applyFont="1" applyFill="1" applyAlignment="1">
      <alignment horizontal="center" vertical="center"/>
    </xf>
    <xf numFmtId="174" fontId="49" fillId="0" borderId="0" xfId="16" applyNumberFormat="1" applyFont="1" applyFill="1" applyAlignment="1">
      <alignment horizontal="center" vertical="center"/>
    </xf>
    <xf numFmtId="43" fontId="49" fillId="0" borderId="0" xfId="114" applyFont="1" applyFill="1" applyAlignment="1">
      <alignment horizontal="center" vertical="center"/>
    </xf>
    <xf numFmtId="43" fontId="49" fillId="2" borderId="0" xfId="114" applyFont="1" applyFill="1" applyAlignment="1">
      <alignment horizontal="center" vertical="center"/>
    </xf>
    <xf numFmtId="0" fontId="48" fillId="0" borderId="0" xfId="8" applyFont="1" applyFill="1" applyAlignment="1">
      <alignment horizontal="center" vertical="center" wrapText="1"/>
    </xf>
    <xf numFmtId="0" fontId="49" fillId="0" borderId="0" xfId="7" applyFont="1" applyFill="1" applyAlignment="1">
      <alignment horizontal="center" vertical="center" wrapText="1"/>
    </xf>
    <xf numFmtId="0" fontId="0" fillId="5" borderId="0" xfId="15" applyFont="1" applyFill="1" applyBorder="1" applyAlignment="1">
      <alignment horizontal="center" vertical="center"/>
    </xf>
    <xf numFmtId="0" fontId="48" fillId="0" borderId="0" xfId="15" applyFont="1" applyFill="1" applyBorder="1" applyAlignment="1">
      <alignment horizontal="center"/>
    </xf>
    <xf numFmtId="0" fontId="48" fillId="0" borderId="0" xfId="15" applyFont="1" applyFill="1" applyAlignment="1">
      <alignment vertical="center" wrapText="1"/>
    </xf>
    <xf numFmtId="0" fontId="48" fillId="0" borderId="0" xfId="15" applyNumberFormat="1" applyFont="1" applyFill="1" applyAlignment="1">
      <alignment horizontal="center" vertical="center"/>
    </xf>
    <xf numFmtId="43" fontId="48" fillId="0" borderId="0" xfId="10" applyFont="1" applyFill="1" applyAlignment="1">
      <alignment horizontal="center" vertical="center" wrapText="1"/>
    </xf>
    <xf numFmtId="173" fontId="48" fillId="0" borderId="0" xfId="16" applyNumberFormat="1" applyFont="1" applyFill="1" applyAlignment="1">
      <alignment vertical="center" wrapText="1"/>
    </xf>
    <xf numFmtId="174" fontId="48" fillId="0" borderId="0" xfId="16" applyFont="1" applyFill="1" applyAlignment="1">
      <alignment horizontal="center" vertical="center" wrapText="1"/>
    </xf>
    <xf numFmtId="0" fontId="39" fillId="9" borderId="31" xfId="3" applyFont="1" applyFill="1" applyBorder="1" applyAlignment="1">
      <alignment horizontal="center" vertical="top"/>
    </xf>
    <xf numFmtId="0" fontId="39" fillId="9" borderId="32" xfId="3" applyFont="1" applyFill="1" applyBorder="1" applyAlignment="1">
      <alignment horizontal="center" vertical="top"/>
    </xf>
    <xf numFmtId="0" fontId="39" fillId="9" borderId="33" xfId="3" applyFont="1" applyFill="1" applyBorder="1" applyAlignment="1">
      <alignment horizontal="center" vertical="top"/>
    </xf>
    <xf numFmtId="0" fontId="35" fillId="0" borderId="31" xfId="3" applyBorder="1" applyAlignment="1">
      <alignment horizontal="center" vertical="center"/>
    </xf>
    <xf numFmtId="0" fontId="35" fillId="0" borderId="41" xfId="3" applyBorder="1" applyAlignment="1">
      <alignment horizontal="center" vertical="center"/>
    </xf>
    <xf numFmtId="0" fontId="39" fillId="0" borderId="34" xfId="3" applyFont="1" applyBorder="1" applyAlignment="1">
      <alignment horizontal="right" vertical="top"/>
    </xf>
    <xf numFmtId="0" fontId="39" fillId="0" borderId="39" xfId="3" applyFont="1" applyBorder="1" applyAlignment="1">
      <alignment horizontal="right" vertical="top"/>
    </xf>
    <xf numFmtId="0" fontId="39" fillId="0" borderId="34" xfId="3" applyFont="1" applyBorder="1" applyAlignment="1">
      <alignment horizontal="left" vertical="top"/>
    </xf>
    <xf numFmtId="0" fontId="39" fillId="0" borderId="35" xfId="3" applyFont="1" applyBorder="1" applyAlignment="1">
      <alignment horizontal="left" vertical="top"/>
    </xf>
    <xf numFmtId="0" fontId="39" fillId="0" borderId="36" xfId="3" applyFont="1" applyBorder="1" applyAlignment="1">
      <alignment horizontal="left" vertical="top"/>
    </xf>
    <xf numFmtId="0" fontId="35" fillId="9" borderId="2" xfId="20" applyFont="1" applyFill="1" applyBorder="1" applyAlignment="1">
      <alignment horizontal="center" vertical="center"/>
    </xf>
    <xf numFmtId="0" fontId="39" fillId="0" borderId="2" xfId="20" applyFont="1" applyBorder="1" applyAlignment="1">
      <alignment horizontal="left" vertical="center"/>
    </xf>
    <xf numFmtId="0" fontId="39" fillId="0" borderId="2" xfId="20" applyFont="1" applyBorder="1" applyAlignment="1">
      <alignment horizontal="right" vertical="center"/>
    </xf>
    <xf numFmtId="0" fontId="40" fillId="0" borderId="0" xfId="20" applyFont="1" applyAlignment="1">
      <alignment horizontal="center" vertical="center"/>
    </xf>
    <xf numFmtId="0" fontId="39" fillId="0" borderId="2" xfId="3" applyFont="1" applyFill="1" applyBorder="1" applyAlignment="1">
      <alignment horizontal="left" vertical="center"/>
    </xf>
    <xf numFmtId="0" fontId="35" fillId="0" borderId="0" xfId="20" applyFont="1" applyAlignment="1">
      <alignment horizontal="left" vertical="center"/>
    </xf>
    <xf numFmtId="0" fontId="35" fillId="0" borderId="0" xfId="3" applyAlignment="1">
      <alignment horizontal="left" vertical="center"/>
    </xf>
    <xf numFmtId="0" fontId="71" fillId="9" borderId="2" xfId="20" applyFont="1" applyFill="1" applyBorder="1" applyAlignment="1">
      <alignment horizontal="center" vertical="center"/>
    </xf>
    <xf numFmtId="0" fontId="39" fillId="0" borderId="2" xfId="3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3" xfId="0" applyFont="1" applyBorder="1" applyAlignment="1">
      <alignment horizontal="left" wrapText="1"/>
    </xf>
    <xf numFmtId="0" fontId="0" fillId="0" borderId="0" xfId="0" applyAlignment="1">
      <alignment horizontal="center"/>
    </xf>
    <xf numFmtId="2" fontId="13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" fontId="12" fillId="0" borderId="3" xfId="0" applyNumberFormat="1" applyFont="1" applyBorder="1" applyAlignment="1">
      <alignment vertical="center"/>
    </xf>
    <xf numFmtId="4" fontId="12" fillId="0" borderId="4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4" fontId="1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2" fontId="0" fillId="0" borderId="3" xfId="0" applyNumberFormat="1" applyFill="1" applyBorder="1" applyAlignment="1">
      <alignment horizontal="center" vertical="top"/>
    </xf>
    <xf numFmtId="2" fontId="0" fillId="0" borderId="4" xfId="0" applyNumberFormat="1" applyFill="1" applyBorder="1" applyAlignment="1">
      <alignment horizontal="center" vertical="top"/>
    </xf>
    <xf numFmtId="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0" fontId="58" fillId="8" borderId="3" xfId="15" applyFont="1" applyFill="1" applyBorder="1" applyAlignment="1">
      <alignment horizontal="center"/>
    </xf>
    <xf numFmtId="0" fontId="58" fillId="8" borderId="5" xfId="15" applyFont="1" applyFill="1" applyBorder="1" applyAlignment="1">
      <alignment horizontal="center"/>
    </xf>
    <xf numFmtId="9" fontId="58" fillId="0" borderId="3" xfId="5" applyFont="1" applyBorder="1" applyAlignment="1">
      <alignment horizontal="center"/>
    </xf>
    <xf numFmtId="9" fontId="58" fillId="0" borderId="5" xfId="5" applyFont="1" applyBorder="1" applyAlignment="1">
      <alignment horizontal="center"/>
    </xf>
    <xf numFmtId="0" fontId="58" fillId="0" borderId="3" xfId="15" applyFont="1" applyFill="1" applyBorder="1" applyAlignment="1">
      <alignment horizontal="center"/>
    </xf>
    <xf numFmtId="0" fontId="58" fillId="0" borderId="5" xfId="15" applyFont="1" applyFill="1" applyBorder="1" applyAlignment="1">
      <alignment horizontal="center"/>
    </xf>
    <xf numFmtId="0" fontId="58" fillId="0" borderId="2" xfId="15" applyFont="1" applyBorder="1" applyAlignment="1">
      <alignment horizontal="center" vertical="center"/>
    </xf>
    <xf numFmtId="0" fontId="43" fillId="0" borderId="0" xfId="18" applyFont="1" applyAlignment="1">
      <alignment horizontal="center" wrapText="1"/>
    </xf>
    <xf numFmtId="0" fontId="35" fillId="0" borderId="0" xfId="9" applyFont="1" applyFill="1" applyAlignment="1">
      <alignment horizontal="left"/>
    </xf>
    <xf numFmtId="0" fontId="39" fillId="0" borderId="0" xfId="7" applyFont="1" applyAlignment="1">
      <alignment horizontal="center" vertical="center" wrapText="1"/>
    </xf>
    <xf numFmtId="0" fontId="58" fillId="0" borderId="2" xfId="15" applyFont="1" applyBorder="1" applyAlignment="1">
      <alignment horizontal="center" vertical="center" wrapText="1"/>
    </xf>
    <xf numFmtId="174" fontId="58" fillId="0" borderId="2" xfId="16" applyFont="1" applyBorder="1" applyAlignment="1">
      <alignment horizontal="center" vertical="center"/>
    </xf>
    <xf numFmtId="0" fontId="39" fillId="0" borderId="3" xfId="15" applyFont="1" applyBorder="1" applyAlignment="1">
      <alignment horizontal="center" vertical="center"/>
    </xf>
    <xf numFmtId="0" fontId="39" fillId="0" borderId="5" xfId="15" applyFont="1" applyBorder="1" applyAlignment="1">
      <alignment horizontal="center" vertical="center"/>
    </xf>
    <xf numFmtId="0" fontId="71" fillId="0" borderId="0" xfId="20" applyFont="1" applyAlignment="1">
      <alignment horizontal="center" vertical="center"/>
    </xf>
    <xf numFmtId="0" fontId="46" fillId="0" borderId="0" xfId="20" applyFont="1" applyAlignment="1">
      <alignment horizontal="center" vertical="center"/>
    </xf>
    <xf numFmtId="43" fontId="63" fillId="0" borderId="0" xfId="10" applyFont="1" applyBorder="1" applyAlignment="1">
      <alignment vertical="center" wrapText="1"/>
    </xf>
    <xf numFmtId="43" fontId="63" fillId="0" borderId="0" xfId="10" applyFont="1" applyBorder="1" applyAlignment="1">
      <alignment vertical="center"/>
    </xf>
    <xf numFmtId="0" fontId="62" fillId="0" borderId="2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0" fillId="0" borderId="0" xfId="9" applyFont="1" applyFill="1" applyAlignment="1">
      <alignment horizontal="center" vertical="center"/>
    </xf>
    <xf numFmtId="49" fontId="1" fillId="0" borderId="29" xfId="15" applyNumberFormat="1" applyFont="1" applyFill="1" applyBorder="1" applyAlignment="1">
      <alignment horizontal="center" vertical="center"/>
    </xf>
    <xf numFmtId="49" fontId="1" fillId="0" borderId="30" xfId="15" applyNumberFormat="1" applyFont="1" applyFill="1" applyBorder="1" applyAlignment="1">
      <alignment horizontal="center" vertical="center"/>
    </xf>
    <xf numFmtId="0" fontId="1" fillId="0" borderId="20" xfId="15" applyNumberFormat="1" applyFont="1" applyFill="1" applyBorder="1" applyAlignment="1">
      <alignment horizontal="center" vertical="center"/>
    </xf>
    <xf numFmtId="0" fontId="1" fillId="0" borderId="22" xfId="15" applyNumberFormat="1" applyFont="1" applyFill="1" applyBorder="1" applyAlignment="1">
      <alignment horizontal="center" vertical="center"/>
    </xf>
    <xf numFmtId="0" fontId="62" fillId="0" borderId="2" xfId="15" applyFont="1" applyFill="1" applyBorder="1" applyAlignment="1">
      <alignment horizontal="center" vertical="center" wrapText="1"/>
    </xf>
    <xf numFmtId="0" fontId="51" fillId="0" borderId="2" xfId="15" applyNumberFormat="1" applyFont="1" applyFill="1" applyBorder="1" applyAlignment="1">
      <alignment horizontal="center" vertical="center"/>
    </xf>
    <xf numFmtId="2" fontId="51" fillId="0" borderId="2" xfId="15" applyNumberFormat="1" applyFont="1" applyFill="1" applyBorder="1" applyAlignment="1">
      <alignment horizontal="center" vertical="center"/>
    </xf>
    <xf numFmtId="43" fontId="62" fillId="0" borderId="2" xfId="10" applyFont="1" applyFill="1" applyBorder="1" applyAlignment="1">
      <alignment horizontal="center" vertical="center"/>
    </xf>
    <xf numFmtId="43" fontId="1" fillId="0" borderId="2" xfId="10" applyFont="1" applyFill="1" applyBorder="1" applyAlignment="1">
      <alignment horizontal="center" vertical="center"/>
    </xf>
    <xf numFmtId="4" fontId="62" fillId="0" borderId="2" xfId="15" applyNumberFormat="1" applyFont="1" applyFill="1" applyBorder="1" applyAlignment="1">
      <alignment horizontal="center" vertical="center"/>
    </xf>
    <xf numFmtId="0" fontId="1" fillId="0" borderId="0" xfId="15" applyFont="1" applyFill="1" applyAlignment="1">
      <alignment horizontal="left" vertical="center"/>
    </xf>
    <xf numFmtId="0" fontId="59" fillId="0" borderId="0" xfId="7" applyFont="1" applyFill="1" applyAlignment="1">
      <alignment horizontal="center" vertical="center" wrapText="1"/>
    </xf>
    <xf numFmtId="0" fontId="55" fillId="0" borderId="0" xfId="9" applyFont="1" applyFill="1" applyAlignment="1">
      <alignment horizontal="left" vertical="center" wrapText="1"/>
    </xf>
    <xf numFmtId="0" fontId="55" fillId="0" borderId="0" xfId="9" applyFont="1" applyFill="1" applyAlignment="1">
      <alignment horizontal="center" vertical="center" wrapText="1"/>
    </xf>
  </cellXfs>
  <cellStyles count="115">
    <cellStyle name="0,0_x000d__x000a_NA_x000d__x000a_" xfId="21"/>
    <cellStyle name="Comma" xfId="22"/>
    <cellStyle name="Comma0" xfId="23"/>
    <cellStyle name="Currency" xfId="24"/>
    <cellStyle name="Currency0" xfId="25"/>
    <cellStyle name="Data" xfId="26"/>
    <cellStyle name="Date" xfId="27"/>
    <cellStyle name="Euro" xfId="28"/>
    <cellStyle name="Fixed" xfId="29"/>
    <cellStyle name="Fixo" xfId="30"/>
    <cellStyle name="Heading 1" xfId="31"/>
    <cellStyle name="Heading 2" xfId="32"/>
    <cellStyle name="Moeda" xfId="1" builtinId="4"/>
    <cellStyle name="Moeda 2" xfId="4"/>
    <cellStyle name="Moeda 2 2" xfId="14"/>
    <cellStyle name="Moeda 2 3" xfId="17"/>
    <cellStyle name="Moeda 3" xfId="6"/>
    <cellStyle name="Moeda0" xfId="33"/>
    <cellStyle name="Normal" xfId="0" builtinId="0"/>
    <cellStyle name="Normal 10" xfId="34"/>
    <cellStyle name="Normal 11 2" xfId="3"/>
    <cellStyle name="Normal 11 3" xfId="35"/>
    <cellStyle name="Normal 11 4" xfId="36"/>
    <cellStyle name="Normal 11 5" xfId="37"/>
    <cellStyle name="Normal 11 6" xfId="38"/>
    <cellStyle name="Normal 11 7" xfId="39"/>
    <cellStyle name="Normal 11 8" xfId="40"/>
    <cellStyle name="Normal 13" xfId="41"/>
    <cellStyle name="Normal 2" xfId="42"/>
    <cellStyle name="Normal 2 10" xfId="43"/>
    <cellStyle name="Normal 2 11" xfId="44"/>
    <cellStyle name="Normal 2 12" xfId="45"/>
    <cellStyle name="Normal 2 2" xfId="46"/>
    <cellStyle name="Normal 2 2 10" xfId="47"/>
    <cellStyle name="Normal 2 2 11" xfId="48"/>
    <cellStyle name="Normal 2 2 2" xfId="49"/>
    <cellStyle name="Normal 2 2 2 2" xfId="7"/>
    <cellStyle name="Normal 2 2 2 3" xfId="50"/>
    <cellStyle name="Normal 2 2 2 4" xfId="51"/>
    <cellStyle name="Normal 2 2 2 5" xfId="52"/>
    <cellStyle name="Normal 2 2 2 6" xfId="53"/>
    <cellStyle name="Normal 2 2 2 7" xfId="54"/>
    <cellStyle name="Normal 2 2 2 8" xfId="55"/>
    <cellStyle name="Normal 2 2 3" xfId="18"/>
    <cellStyle name="Normal 2 2 4" xfId="56"/>
    <cellStyle name="Normal 2 2 5" xfId="57"/>
    <cellStyle name="Normal 2 2 6" xfId="58"/>
    <cellStyle name="Normal 2 2 7" xfId="59"/>
    <cellStyle name="Normal 2 2 8" xfId="60"/>
    <cellStyle name="Normal 2 2 9" xfId="61"/>
    <cellStyle name="Normal 2 3" xfId="62"/>
    <cellStyle name="Normal 2 3 2" xfId="63"/>
    <cellStyle name="Normal 2 3 3" xfId="64"/>
    <cellStyle name="Normal 2 3 4" xfId="65"/>
    <cellStyle name="Normal 2 3 5" xfId="66"/>
    <cellStyle name="Normal 2 3 6" xfId="67"/>
    <cellStyle name="Normal 2 3 7" xfId="68"/>
    <cellStyle name="Normal 2 3 8" xfId="69"/>
    <cellStyle name="Normal 2 4" xfId="70"/>
    <cellStyle name="Normal 2 5" xfId="12"/>
    <cellStyle name="Normal 2 6" xfId="71"/>
    <cellStyle name="Normal 2 7" xfId="72"/>
    <cellStyle name="Normal 2 8" xfId="73"/>
    <cellStyle name="Normal 2 9" xfId="74"/>
    <cellStyle name="Normal 2_Orçamento Duque de Caxias" xfId="75"/>
    <cellStyle name="Normal 3" xfId="76"/>
    <cellStyle name="Normal 3 2" xfId="77"/>
    <cellStyle name="Normal 3 2 2" xfId="8"/>
    <cellStyle name="Normal 3 3" xfId="15"/>
    <cellStyle name="Normal 4" xfId="78"/>
    <cellStyle name="Normal 4 2" xfId="19"/>
    <cellStyle name="Normal 49" xfId="79"/>
    <cellStyle name="Normal 5" xfId="80"/>
    <cellStyle name="Normal 5 2" xfId="81"/>
    <cellStyle name="Normal 5 3" xfId="82"/>
    <cellStyle name="Normal 5 4" xfId="83"/>
    <cellStyle name="Normal 5 5" xfId="84"/>
    <cellStyle name="Normal 6" xfId="85"/>
    <cellStyle name="Normal 7" xfId="86"/>
    <cellStyle name="Normal 8" xfId="87"/>
    <cellStyle name="Normal 9" xfId="88"/>
    <cellStyle name="Normal_22 - Memória 22ª medição REDENÇÃO (ADITIVO) 2" xfId="9"/>
    <cellStyle name="Normal_COMPCUST" xfId="20"/>
    <cellStyle name="Percent" xfId="89"/>
    <cellStyle name="Percentual" xfId="90"/>
    <cellStyle name="Ponto" xfId="91"/>
    <cellStyle name="Porcentagem" xfId="2" builtinId="5"/>
    <cellStyle name="Porcentagem 2" xfId="5"/>
    <cellStyle name="Porcentagem 2 2" xfId="92"/>
    <cellStyle name="Porcentagem 2 3" xfId="93"/>
    <cellStyle name="Porcentagem 2 4" xfId="94"/>
    <cellStyle name="Porcentagem 2 5" xfId="95"/>
    <cellStyle name="Porcentagem 2 6" xfId="96"/>
    <cellStyle name="Porcentagem 3" xfId="11"/>
    <cellStyle name="Porcentagem 4" xfId="13"/>
    <cellStyle name="Porcentagem 5" xfId="97"/>
    <cellStyle name="Separador de m" xfId="98"/>
    <cellStyle name="Separador de milhares 2" xfId="99"/>
    <cellStyle name="Separador de milhares 2 2" xfId="100"/>
    <cellStyle name="Separador de milhares 2 3" xfId="101"/>
    <cellStyle name="Separador de milhares 2 4" xfId="102"/>
    <cellStyle name="Separador de milhares 2 5" xfId="103"/>
    <cellStyle name="Separador de milhares 2 6" xfId="104"/>
    <cellStyle name="Separador de milhares 3" xfId="105"/>
    <cellStyle name="Separador de milhares 3 2" xfId="106"/>
    <cellStyle name="SUB" xfId="107"/>
    <cellStyle name="Titulo1" xfId="108"/>
    <cellStyle name="Titulo2" xfId="109"/>
    <cellStyle name="Vírgula" xfId="114" builtinId="3"/>
    <cellStyle name="Vírgula 2" xfId="10"/>
    <cellStyle name="Vírgula 2 2" xfId="16"/>
    <cellStyle name="Vírgula 3" xfId="110"/>
    <cellStyle name="Vírgula 4" xfId="111"/>
    <cellStyle name="Vírgula 5" xfId="112"/>
    <cellStyle name="Vírgula0" xfId="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2722</xdr:colOff>
      <xdr:row>9</xdr:row>
      <xdr:rowOff>142875</xdr:rowOff>
    </xdr:from>
    <xdr:ext cx="6889749" cy="328295"/>
    <xdr:sp macro="" textlink="">
      <xdr:nvSpPr>
        <xdr:cNvPr id="3" name="CaixaDeTexto 2"/>
        <xdr:cNvSpPr txBox="1"/>
      </xdr:nvSpPr>
      <xdr:spPr>
        <a:xfrm>
          <a:off x="4901293" y="469446"/>
          <a:ext cx="688974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endParaRPr lang="pt-BR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11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7800975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302419</xdr:colOff>
      <xdr:row>0</xdr:row>
      <xdr:rowOff>121444</xdr:rowOff>
    </xdr:from>
    <xdr:to>
      <xdr:col>0</xdr:col>
      <xdr:colOff>1571625</xdr:colOff>
      <xdr:row>7</xdr:row>
      <xdr:rowOff>76200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19" y="121444"/>
          <a:ext cx="1269206" cy="1088231"/>
        </a:xfrm>
        <a:prstGeom prst="rect">
          <a:avLst/>
        </a:prstGeom>
        <a:noFill/>
      </xdr:spPr>
    </xdr:pic>
    <xdr:clientData/>
  </xdr:twoCellAnchor>
  <xdr:oneCellAnchor>
    <xdr:from>
      <xdr:col>0</xdr:col>
      <xdr:colOff>1460500</xdr:colOff>
      <xdr:row>1</xdr:row>
      <xdr:rowOff>174626</xdr:rowOff>
    </xdr:from>
    <xdr:ext cx="4914901" cy="781240"/>
    <xdr:sp macro="" textlink="">
      <xdr:nvSpPr>
        <xdr:cNvPr id="3" name="CaixaDeTexto 2"/>
        <xdr:cNvSpPr txBox="1"/>
      </xdr:nvSpPr>
      <xdr:spPr>
        <a:xfrm>
          <a:off x="1460500" y="365126"/>
          <a:ext cx="491490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ESTADO DO PARÁ</a:t>
          </a:r>
          <a:endParaRPr lang="pt-BR">
            <a:effectLst/>
          </a:endParaRPr>
        </a:p>
        <a:p>
          <a:pPr algn="ctr"/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PREFEITURA MUNICIPAL DE SÃO MIGUEL DO GUAMÁ-PA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endParaRPr lang="pt-BR">
            <a:effectLst/>
          </a:endParaRPr>
        </a:p>
        <a:p>
          <a:pPr algn="ctr"/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SECRETARIA DE </a:t>
          </a:r>
          <a:r>
            <a:rPr lang="pt-BR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INFRAESTRUTURA E URBANISMO</a:t>
          </a:r>
          <a:endParaRPr lang="pt-BR">
            <a:effectLst/>
          </a:endParaRPr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view="pageBreakPreview" topLeftCell="A154" zoomScale="90" zoomScaleNormal="100" zoomScaleSheetLayoutView="90" workbookViewId="0">
      <selection activeCell="C69" sqref="C69"/>
    </sheetView>
  </sheetViews>
  <sheetFormatPr defaultRowHeight="12.75" x14ac:dyDescent="0.2"/>
  <cols>
    <col min="1" max="1" width="11" customWidth="1"/>
    <col min="2" max="2" width="12.83203125" hidden="1" customWidth="1"/>
    <col min="3" max="3" width="68.5" style="517" customWidth="1"/>
    <col min="4" max="4" width="9.83203125" customWidth="1"/>
    <col min="5" max="5" width="13" style="503" customWidth="1"/>
    <col min="6" max="6" width="15.83203125" style="503" customWidth="1"/>
    <col min="7" max="7" width="16" style="503" customWidth="1"/>
    <col min="8" max="8" width="19.6640625" style="517" customWidth="1"/>
    <col min="9" max="9" width="29.5" hidden="1" customWidth="1"/>
    <col min="14" max="14" width="10.1640625" bestFit="1" customWidth="1"/>
  </cols>
  <sheetData>
    <row r="1" spans="1:9" x14ac:dyDescent="0.2">
      <c r="A1" s="588" t="s">
        <v>1749</v>
      </c>
      <c r="B1" s="588"/>
      <c r="C1" s="588"/>
      <c r="D1" s="588"/>
      <c r="E1" s="588"/>
      <c r="F1" s="588"/>
      <c r="G1" s="588"/>
      <c r="H1" s="588"/>
    </row>
    <row r="2" spans="1:9" x14ac:dyDescent="0.2">
      <c r="A2" s="588"/>
      <c r="B2" s="588"/>
      <c r="C2" s="588"/>
      <c r="D2" s="588"/>
      <c r="E2" s="588"/>
      <c r="F2" s="588"/>
      <c r="G2" s="588"/>
      <c r="H2" s="588"/>
    </row>
    <row r="3" spans="1:9" x14ac:dyDescent="0.2">
      <c r="A3" s="588"/>
      <c r="B3" s="588"/>
      <c r="C3" s="588"/>
      <c r="D3" s="588"/>
      <c r="E3" s="588"/>
      <c r="F3" s="588"/>
      <c r="G3" s="588"/>
      <c r="H3" s="588"/>
    </row>
    <row r="4" spans="1:9" x14ac:dyDescent="0.2">
      <c r="A4" s="588"/>
      <c r="B4" s="588"/>
      <c r="C4" s="588"/>
      <c r="D4" s="588"/>
      <c r="E4" s="588"/>
      <c r="F4" s="588"/>
      <c r="G4" s="588"/>
      <c r="H4" s="588"/>
    </row>
    <row r="5" spans="1:9" x14ac:dyDescent="0.2">
      <c r="A5" s="588"/>
      <c r="B5" s="588"/>
      <c r="C5" s="588"/>
      <c r="D5" s="588"/>
      <c r="E5" s="588"/>
      <c r="F5" s="588"/>
      <c r="G5" s="588"/>
      <c r="H5" s="588"/>
    </row>
    <row r="6" spans="1:9" x14ac:dyDescent="0.2">
      <c r="A6" s="588"/>
      <c r="B6" s="588"/>
      <c r="C6" s="588"/>
      <c r="D6" s="588"/>
      <c r="E6" s="588"/>
      <c r="F6" s="588"/>
      <c r="G6" s="588"/>
      <c r="H6" s="588"/>
    </row>
    <row r="7" spans="1:9" x14ac:dyDescent="0.2">
      <c r="A7" s="588"/>
      <c r="B7" s="588"/>
      <c r="C7" s="588"/>
      <c r="D7" s="588"/>
      <c r="E7" s="588"/>
      <c r="F7" s="588"/>
      <c r="G7" s="588"/>
      <c r="H7" s="588"/>
    </row>
    <row r="8" spans="1:9" ht="15.75" x14ac:dyDescent="0.25">
      <c r="A8" s="578" t="s">
        <v>1779</v>
      </c>
      <c r="B8" s="537"/>
      <c r="C8" s="538"/>
      <c r="D8" s="537"/>
      <c r="E8" s="539"/>
      <c r="F8" s="539"/>
      <c r="G8" s="539"/>
      <c r="H8" s="540"/>
    </row>
    <row r="9" spans="1:9" ht="14.25" x14ac:dyDescent="0.2">
      <c r="A9" s="578" t="s">
        <v>166</v>
      </c>
      <c r="I9" s="47"/>
    </row>
    <row r="10" spans="1:9" ht="14.25" x14ac:dyDescent="0.2">
      <c r="A10" s="578" t="s">
        <v>363</v>
      </c>
      <c r="I10" s="47"/>
    </row>
    <row r="11" spans="1:9" ht="14.25" x14ac:dyDescent="0.2">
      <c r="A11" s="578" t="s">
        <v>362</v>
      </c>
      <c r="I11" s="47"/>
    </row>
    <row r="12" spans="1:9" s="533" customFormat="1" ht="15.75" x14ac:dyDescent="0.25">
      <c r="A12" s="577" t="s">
        <v>1768</v>
      </c>
      <c r="B12" s="542"/>
      <c r="C12" s="542"/>
      <c r="D12" s="542"/>
      <c r="E12" s="542"/>
      <c r="F12" s="542"/>
      <c r="G12" s="542"/>
      <c r="H12" s="542"/>
      <c r="I12" s="536"/>
    </row>
    <row r="13" spans="1:9" s="533" customFormat="1" ht="15.75" x14ac:dyDescent="0.25">
      <c r="A13" s="541"/>
      <c r="C13" s="534"/>
      <c r="E13" s="535"/>
      <c r="F13" s="535"/>
      <c r="G13" s="535"/>
      <c r="H13" s="534"/>
      <c r="I13" s="536"/>
    </row>
    <row r="14" spans="1:9" ht="12" customHeight="1" x14ac:dyDescent="0.2">
      <c r="A14" s="597" t="s">
        <v>1747</v>
      </c>
      <c r="B14" s="597"/>
      <c r="C14" s="597"/>
      <c r="D14" s="597"/>
      <c r="E14" s="597"/>
      <c r="F14" s="597"/>
      <c r="G14" s="597"/>
      <c r="H14" s="597"/>
      <c r="I14" s="47"/>
    </row>
    <row r="15" spans="1:9" ht="18.75" customHeight="1" x14ac:dyDescent="0.2">
      <c r="A15" s="597"/>
      <c r="B15" s="597"/>
      <c r="C15" s="597"/>
      <c r="D15" s="597"/>
      <c r="E15" s="597"/>
      <c r="F15" s="597"/>
      <c r="G15" s="597"/>
      <c r="H15" s="597"/>
      <c r="I15" s="47"/>
    </row>
    <row r="16" spans="1:9" ht="34.5" customHeight="1" x14ac:dyDescent="0.2">
      <c r="A16" s="506" t="s">
        <v>325</v>
      </c>
      <c r="B16" s="506" t="s">
        <v>96</v>
      </c>
      <c r="C16" s="506" t="s">
        <v>647</v>
      </c>
      <c r="D16" s="506" t="s">
        <v>97</v>
      </c>
      <c r="E16" s="506" t="s">
        <v>93</v>
      </c>
      <c r="F16" s="506" t="s">
        <v>94</v>
      </c>
      <c r="G16" s="506" t="s">
        <v>95</v>
      </c>
      <c r="H16" s="506" t="s">
        <v>1748</v>
      </c>
      <c r="I16" s="47"/>
    </row>
    <row r="17" spans="1:14" ht="12" customHeight="1" x14ac:dyDescent="0.2">
      <c r="A17" s="507">
        <v>1</v>
      </c>
      <c r="B17" s="508"/>
      <c r="C17" s="509" t="s">
        <v>337</v>
      </c>
      <c r="D17" s="507"/>
      <c r="E17" s="518"/>
      <c r="F17" s="518"/>
      <c r="G17" s="518"/>
      <c r="H17" s="513">
        <f>SUM(H18:H22)</f>
        <v>15310.926476552075</v>
      </c>
      <c r="I17" s="48">
        <f>SUM(H18:H22)</f>
        <v>15310.926476552075</v>
      </c>
    </row>
    <row r="18" spans="1:14" ht="12" customHeight="1" x14ac:dyDescent="0.2">
      <c r="A18" s="499" t="s">
        <v>185</v>
      </c>
      <c r="B18" s="69">
        <v>10767</v>
      </c>
      <c r="C18" s="523" t="s">
        <v>71</v>
      </c>
      <c r="D18" s="1" t="s">
        <v>1</v>
      </c>
      <c r="E18" s="519">
        <v>9</v>
      </c>
      <c r="F18" s="519">
        <v>283.52999999999997</v>
      </c>
      <c r="G18" s="519">
        <f>Comp!I51</f>
        <v>349.88081514877194</v>
      </c>
      <c r="H18" s="514">
        <f>G18*E18</f>
        <v>3148.9273363389475</v>
      </c>
      <c r="I18" s="47"/>
      <c r="L18">
        <v>0.23400000000000001</v>
      </c>
      <c r="M18" s="528">
        <f>F18*L18</f>
        <v>66.346019999999996</v>
      </c>
      <c r="N18" s="528">
        <f>F18+M18</f>
        <v>349.87601999999998</v>
      </c>
    </row>
    <row r="19" spans="1:14" ht="12" customHeight="1" x14ac:dyDescent="0.2">
      <c r="A19" s="499" t="s">
        <v>655</v>
      </c>
      <c r="B19" s="72">
        <v>10009</v>
      </c>
      <c r="C19" s="523" t="s">
        <v>389</v>
      </c>
      <c r="D19" s="1" t="s">
        <v>1</v>
      </c>
      <c r="E19" s="519">
        <f>'Memoria de Calculo'!F21</f>
        <v>326.10599999999999</v>
      </c>
      <c r="F19" s="519">
        <v>2.66</v>
      </c>
      <c r="G19" s="519">
        <f>Comp!I64</f>
        <v>3.2840338344000002</v>
      </c>
      <c r="H19" s="514">
        <f>G19*E19</f>
        <v>1070.9431376008465</v>
      </c>
      <c r="I19" s="47"/>
      <c r="L19">
        <v>0.23400000000000001</v>
      </c>
      <c r="M19" s="528">
        <f t="shared" ref="M19:M82" si="0">F19*L19</f>
        <v>0.6224400000000001</v>
      </c>
      <c r="N19" s="528">
        <f t="shared" ref="N19:N82" si="1">F19+M19</f>
        <v>3.2824400000000002</v>
      </c>
    </row>
    <row r="20" spans="1:14" ht="12" customHeight="1" x14ac:dyDescent="0.2">
      <c r="A20" s="499" t="s">
        <v>658</v>
      </c>
      <c r="B20" s="69">
        <v>2</v>
      </c>
      <c r="C20" s="523" t="s">
        <v>72</v>
      </c>
      <c r="D20" s="1" t="s">
        <v>6</v>
      </c>
      <c r="E20" s="519">
        <v>1</v>
      </c>
      <c r="F20" s="519">
        <v>3890</v>
      </c>
      <c r="G20" s="519">
        <f>Comp!I75</f>
        <v>4800.2597334560005</v>
      </c>
      <c r="H20" s="514">
        <f>G20*E20</f>
        <v>4800.2597334560005</v>
      </c>
      <c r="I20" s="47"/>
      <c r="L20">
        <v>0.23400000000000001</v>
      </c>
      <c r="M20" s="528">
        <f t="shared" si="0"/>
        <v>910.2600000000001</v>
      </c>
      <c r="N20" s="528">
        <f t="shared" si="1"/>
        <v>4800.26</v>
      </c>
    </row>
    <row r="21" spans="1:14" ht="12" customHeight="1" x14ac:dyDescent="0.2">
      <c r="A21" s="499" t="s">
        <v>186</v>
      </c>
      <c r="B21" s="69">
        <v>10004</v>
      </c>
      <c r="C21" s="523" t="s">
        <v>73</v>
      </c>
      <c r="D21" s="1" t="s">
        <v>1</v>
      </c>
      <c r="E21" s="519">
        <f>'Memoria de Calculo'!F25</f>
        <v>6</v>
      </c>
      <c r="F21" s="519">
        <v>231.4</v>
      </c>
      <c r="G21" s="519">
        <f>Comp!I88</f>
        <v>285.54601369053199</v>
      </c>
      <c r="H21" s="514">
        <f>G21*E21</f>
        <v>1713.2760821431921</v>
      </c>
      <c r="I21" s="47"/>
      <c r="L21">
        <v>0.23400000000000001</v>
      </c>
      <c r="M21" s="528">
        <f t="shared" si="0"/>
        <v>54.147600000000004</v>
      </c>
      <c r="N21" s="528">
        <f t="shared" si="1"/>
        <v>285.54759999999999</v>
      </c>
    </row>
    <row r="22" spans="1:14" ht="12" customHeight="1" x14ac:dyDescent="0.2">
      <c r="A22" s="499" t="s">
        <v>187</v>
      </c>
      <c r="B22" s="72">
        <v>10003</v>
      </c>
      <c r="C22" s="523" t="s">
        <v>379</v>
      </c>
      <c r="D22" s="1" t="s">
        <v>1</v>
      </c>
      <c r="E22" s="519">
        <v>69</v>
      </c>
      <c r="F22" s="519">
        <v>53.76</v>
      </c>
      <c r="G22" s="519">
        <f>Comp!I198</f>
        <v>66.340872275552002</v>
      </c>
      <c r="H22" s="514">
        <f>G22*E22</f>
        <v>4577.5201870130877</v>
      </c>
      <c r="I22" s="47"/>
      <c r="L22">
        <v>0.23400000000000001</v>
      </c>
      <c r="M22" s="528">
        <f t="shared" si="0"/>
        <v>12.579840000000001</v>
      </c>
      <c r="N22" s="528">
        <f t="shared" si="1"/>
        <v>66.339839999999995</v>
      </c>
    </row>
    <row r="23" spans="1:14" ht="12" customHeight="1" x14ac:dyDescent="0.2">
      <c r="A23" s="585"/>
      <c r="B23" s="586"/>
      <c r="C23" s="586"/>
      <c r="D23" s="586"/>
      <c r="E23" s="586"/>
      <c r="F23" s="586"/>
      <c r="G23" s="586"/>
      <c r="H23" s="587"/>
      <c r="I23" s="47"/>
      <c r="L23">
        <v>0.23400000000000001</v>
      </c>
      <c r="M23" s="528">
        <f t="shared" si="0"/>
        <v>0</v>
      </c>
      <c r="N23" s="528">
        <f t="shared" si="1"/>
        <v>0</v>
      </c>
    </row>
    <row r="24" spans="1:14" ht="12" customHeight="1" x14ac:dyDescent="0.2">
      <c r="A24" s="507">
        <v>2</v>
      </c>
      <c r="B24" s="507"/>
      <c r="C24" s="509" t="s">
        <v>1787</v>
      </c>
      <c r="D24" s="507"/>
      <c r="E24" s="518"/>
      <c r="F24" s="518"/>
      <c r="G24" s="518"/>
      <c r="H24" s="513">
        <f>SUM(H25:H35)</f>
        <v>7924.6448285808547</v>
      </c>
      <c r="I24" s="48">
        <f>SUM(H25:H35)</f>
        <v>7924.6448285808547</v>
      </c>
      <c r="L24">
        <v>0.23400000000000001</v>
      </c>
      <c r="M24" s="528">
        <f t="shared" si="0"/>
        <v>0</v>
      </c>
      <c r="N24" s="528">
        <f t="shared" si="1"/>
        <v>0</v>
      </c>
    </row>
    <row r="25" spans="1:14" ht="12" customHeight="1" x14ac:dyDescent="0.2">
      <c r="A25" s="499" t="s">
        <v>671</v>
      </c>
      <c r="B25" s="69">
        <v>20023</v>
      </c>
      <c r="C25" s="523" t="s">
        <v>74</v>
      </c>
      <c r="D25" s="1" t="s">
        <v>1</v>
      </c>
      <c r="E25" s="519">
        <f>'Memoria de Calculo'!F31</f>
        <v>236.99250000000001</v>
      </c>
      <c r="F25" s="519">
        <v>5.82</v>
      </c>
      <c r="G25" s="519">
        <f>Comp!I207</f>
        <v>7.1777012900048005</v>
      </c>
      <c r="H25" s="514">
        <f t="shared" ref="H25:H35" si="2">G25*E25</f>
        <v>1701.0613729714628</v>
      </c>
      <c r="I25" s="47"/>
      <c r="L25">
        <v>0.23400000000000001</v>
      </c>
      <c r="M25" s="528">
        <f t="shared" si="0"/>
        <v>1.3618800000000002</v>
      </c>
      <c r="N25" s="528">
        <f t="shared" si="1"/>
        <v>7.1818800000000005</v>
      </c>
    </row>
    <row r="26" spans="1:14" ht="12" customHeight="1" x14ac:dyDescent="0.2">
      <c r="A26" s="499" t="s">
        <v>189</v>
      </c>
      <c r="B26" s="69">
        <v>20016</v>
      </c>
      <c r="C26" s="523" t="s">
        <v>75</v>
      </c>
      <c r="D26" s="1" t="s">
        <v>0</v>
      </c>
      <c r="E26" s="519">
        <f>'Memoria de Calculo'!F35</f>
        <v>18.323999999999998</v>
      </c>
      <c r="F26" s="519">
        <v>25.61</v>
      </c>
      <c r="G26" s="519">
        <f>Comp!I216</f>
        <v>31.599838638944</v>
      </c>
      <c r="H26" s="514">
        <f t="shared" si="2"/>
        <v>579.03544322000982</v>
      </c>
      <c r="I26" s="47"/>
      <c r="L26">
        <v>0.23400000000000001</v>
      </c>
      <c r="M26" s="528">
        <f t="shared" si="0"/>
        <v>5.9927400000000004</v>
      </c>
      <c r="N26" s="528">
        <f t="shared" si="1"/>
        <v>31.602740000000001</v>
      </c>
    </row>
    <row r="27" spans="1:14" ht="12" customHeight="1" x14ac:dyDescent="0.2">
      <c r="A27" s="499" t="s">
        <v>190</v>
      </c>
      <c r="B27" s="69">
        <v>20014</v>
      </c>
      <c r="C27" s="523" t="s">
        <v>76</v>
      </c>
      <c r="D27" s="1" t="s">
        <v>1</v>
      </c>
      <c r="E27" s="519">
        <f>'Memoria de Calculo'!F40</f>
        <v>14.399999999999999</v>
      </c>
      <c r="F27" s="519">
        <v>2.54</v>
      </c>
      <c r="G27" s="519">
        <f>Comp!I225</f>
        <v>3.1268986412120001</v>
      </c>
      <c r="H27" s="514">
        <f t="shared" si="2"/>
        <v>45.0273404334528</v>
      </c>
      <c r="I27" s="47"/>
      <c r="L27">
        <v>0.23400000000000001</v>
      </c>
      <c r="M27" s="528">
        <f t="shared" si="0"/>
        <v>0.59436</v>
      </c>
      <c r="N27" s="528">
        <f t="shared" si="1"/>
        <v>3.13436</v>
      </c>
    </row>
    <row r="28" spans="1:14" ht="12" customHeight="1" x14ac:dyDescent="0.2">
      <c r="A28" s="499" t="s">
        <v>191</v>
      </c>
      <c r="B28" s="69">
        <v>21527</v>
      </c>
      <c r="C28" s="523" t="s">
        <v>77</v>
      </c>
      <c r="D28" s="1" t="s">
        <v>1</v>
      </c>
      <c r="E28" s="519">
        <f>'Memoria de Calculo'!F45</f>
        <v>47</v>
      </c>
      <c r="F28" s="519">
        <v>10.14</v>
      </c>
      <c r="G28" s="519">
        <f>Comp!I234</f>
        <v>12.511069666799999</v>
      </c>
      <c r="H28" s="514">
        <f t="shared" si="2"/>
        <v>588.02027433959995</v>
      </c>
      <c r="I28" s="47"/>
      <c r="L28">
        <v>0.23400000000000001</v>
      </c>
      <c r="M28" s="528">
        <f t="shared" si="0"/>
        <v>2.3727600000000004</v>
      </c>
      <c r="N28" s="528">
        <f t="shared" si="1"/>
        <v>12.51276</v>
      </c>
    </row>
    <row r="29" spans="1:14" ht="12" customHeight="1" x14ac:dyDescent="0.2">
      <c r="A29" s="499" t="s">
        <v>192</v>
      </c>
      <c r="B29" s="69">
        <v>21526</v>
      </c>
      <c r="C29" s="523" t="s">
        <v>78</v>
      </c>
      <c r="D29" s="1" t="s">
        <v>6</v>
      </c>
      <c r="E29" s="519">
        <v>3</v>
      </c>
      <c r="F29" s="519">
        <v>17.86</v>
      </c>
      <c r="G29" s="519">
        <f>Comp!I243</f>
        <v>22.037254349128396</v>
      </c>
      <c r="H29" s="514">
        <f t="shared" si="2"/>
        <v>66.111763047385182</v>
      </c>
      <c r="I29" s="47"/>
      <c r="L29">
        <v>0.23400000000000001</v>
      </c>
      <c r="M29" s="528">
        <f t="shared" si="0"/>
        <v>4.1792400000000001</v>
      </c>
      <c r="N29" s="528">
        <f t="shared" si="1"/>
        <v>22.039239999999999</v>
      </c>
    </row>
    <row r="30" spans="1:14" ht="12" customHeight="1" x14ac:dyDescent="0.2">
      <c r="A30" s="499" t="s">
        <v>193</v>
      </c>
      <c r="B30" s="69">
        <v>20862</v>
      </c>
      <c r="C30" s="523" t="s">
        <v>79</v>
      </c>
      <c r="D30" s="1" t="s">
        <v>6</v>
      </c>
      <c r="E30" s="519">
        <v>18</v>
      </c>
      <c r="F30" s="519">
        <v>20.079999999999998</v>
      </c>
      <c r="G30" s="519">
        <f>Comp!I252</f>
        <v>24.779816690352</v>
      </c>
      <c r="H30" s="514">
        <f t="shared" si="2"/>
        <v>446.03670042633598</v>
      </c>
      <c r="I30" s="47"/>
      <c r="L30">
        <v>0.23400000000000001</v>
      </c>
      <c r="M30" s="528">
        <f t="shared" si="0"/>
        <v>4.6987199999999998</v>
      </c>
      <c r="N30" s="528">
        <f t="shared" si="1"/>
        <v>24.77872</v>
      </c>
    </row>
    <row r="31" spans="1:14" ht="12" customHeight="1" x14ac:dyDescent="0.2">
      <c r="A31" s="499" t="s">
        <v>194</v>
      </c>
      <c r="B31" s="69">
        <v>21529</v>
      </c>
      <c r="C31" s="523" t="s">
        <v>80</v>
      </c>
      <c r="D31" s="1" t="s">
        <v>26</v>
      </c>
      <c r="E31" s="519">
        <v>4</v>
      </c>
      <c r="F31" s="519">
        <v>9.2200000000000006</v>
      </c>
      <c r="G31" s="519">
        <f>Comp!I261</f>
        <v>11.380108666800002</v>
      </c>
      <c r="H31" s="514">
        <f t="shared" si="2"/>
        <v>45.520434667200007</v>
      </c>
      <c r="I31" s="47"/>
      <c r="L31">
        <v>0.23400000000000001</v>
      </c>
      <c r="M31" s="528">
        <f t="shared" si="0"/>
        <v>2.1574800000000001</v>
      </c>
      <c r="N31" s="528">
        <f t="shared" si="1"/>
        <v>11.37748</v>
      </c>
    </row>
    <row r="32" spans="1:14" ht="12" customHeight="1" x14ac:dyDescent="0.2">
      <c r="A32" s="499" t="s">
        <v>195</v>
      </c>
      <c r="B32" s="69">
        <v>20857</v>
      </c>
      <c r="C32" s="523" t="s">
        <v>81</v>
      </c>
      <c r="D32" s="1" t="s">
        <v>26</v>
      </c>
      <c r="E32" s="519">
        <v>20</v>
      </c>
      <c r="F32" s="519">
        <v>7.14</v>
      </c>
      <c r="G32" s="519">
        <f>Comp!I270</f>
        <v>8.8132815555999997</v>
      </c>
      <c r="H32" s="514">
        <f t="shared" si="2"/>
        <v>176.26563111199999</v>
      </c>
      <c r="I32" s="47"/>
      <c r="L32">
        <v>0.23400000000000001</v>
      </c>
      <c r="M32" s="528">
        <f t="shared" si="0"/>
        <v>1.67076</v>
      </c>
      <c r="N32" s="528">
        <f t="shared" si="1"/>
        <v>8.8107600000000001</v>
      </c>
    </row>
    <row r="33" spans="1:14" ht="12" customHeight="1" x14ac:dyDescent="0.2">
      <c r="A33" s="499" t="s">
        <v>196</v>
      </c>
      <c r="B33" s="69">
        <v>20019</v>
      </c>
      <c r="C33" s="523" t="s">
        <v>82</v>
      </c>
      <c r="D33" s="1" t="s">
        <v>1</v>
      </c>
      <c r="E33" s="519">
        <f>'Memoria de Calculo'!F49</f>
        <v>537</v>
      </c>
      <c r="F33" s="519">
        <v>2.56</v>
      </c>
      <c r="G33" s="519">
        <f>Comp!I279</f>
        <v>3.1621785556000002</v>
      </c>
      <c r="H33" s="514">
        <f t="shared" si="2"/>
        <v>1698.0898843572002</v>
      </c>
      <c r="I33" s="47"/>
      <c r="L33">
        <v>0.23400000000000001</v>
      </c>
      <c r="M33" s="528">
        <f t="shared" si="0"/>
        <v>0.59904000000000002</v>
      </c>
      <c r="N33" s="528">
        <f t="shared" si="1"/>
        <v>3.1590400000000001</v>
      </c>
    </row>
    <row r="34" spans="1:14" ht="12" customHeight="1" x14ac:dyDescent="0.2">
      <c r="A34" s="499" t="s">
        <v>197</v>
      </c>
      <c r="B34" s="72">
        <v>20020</v>
      </c>
      <c r="C34" s="523" t="s">
        <v>390</v>
      </c>
      <c r="D34" s="1" t="s">
        <v>1</v>
      </c>
      <c r="E34" s="519">
        <v>280</v>
      </c>
      <c r="F34" s="519">
        <v>3.2</v>
      </c>
      <c r="G34" s="519">
        <f>Comp!I288</f>
        <v>3.9457394642967998</v>
      </c>
      <c r="H34" s="514">
        <f t="shared" si="2"/>
        <v>1104.807050003104</v>
      </c>
      <c r="I34" s="47"/>
      <c r="L34">
        <v>0.23400000000000001</v>
      </c>
      <c r="M34" s="528">
        <f t="shared" si="0"/>
        <v>0.74880000000000013</v>
      </c>
      <c r="N34" s="528">
        <f t="shared" si="1"/>
        <v>3.9488000000000003</v>
      </c>
    </row>
    <row r="35" spans="1:14" ht="12" customHeight="1" x14ac:dyDescent="0.2">
      <c r="A35" s="499" t="s">
        <v>1751</v>
      </c>
      <c r="B35" s="72">
        <v>20307</v>
      </c>
      <c r="C35" s="523" t="s">
        <v>391</v>
      </c>
      <c r="D35" s="1" t="s">
        <v>1</v>
      </c>
      <c r="E35" s="519">
        <v>280</v>
      </c>
      <c r="F35" s="519">
        <v>4.2699999999999996</v>
      </c>
      <c r="G35" s="519">
        <f>Comp!I297</f>
        <v>5.2666747642968001</v>
      </c>
      <c r="H35" s="514">
        <f t="shared" si="2"/>
        <v>1474.6689340031041</v>
      </c>
      <c r="I35" s="47"/>
      <c r="L35">
        <v>0.23400000000000001</v>
      </c>
      <c r="M35" s="528">
        <f t="shared" si="0"/>
        <v>0.99917999999999996</v>
      </c>
      <c r="N35" s="528">
        <f t="shared" si="1"/>
        <v>5.2691799999999995</v>
      </c>
    </row>
    <row r="36" spans="1:14" ht="12" customHeight="1" x14ac:dyDescent="0.2">
      <c r="A36" s="585"/>
      <c r="B36" s="586"/>
      <c r="C36" s="586"/>
      <c r="D36" s="586"/>
      <c r="E36" s="586"/>
      <c r="F36" s="586"/>
      <c r="G36" s="586"/>
      <c r="H36" s="587"/>
      <c r="I36" s="47"/>
      <c r="L36">
        <v>0.23400000000000001</v>
      </c>
      <c r="M36" s="528">
        <f t="shared" si="0"/>
        <v>0</v>
      </c>
      <c r="N36" s="528">
        <f t="shared" si="1"/>
        <v>0</v>
      </c>
    </row>
    <row r="37" spans="1:14" ht="12" customHeight="1" x14ac:dyDescent="0.2">
      <c r="A37" s="507">
        <v>3</v>
      </c>
      <c r="B37" s="507"/>
      <c r="C37" s="509" t="s">
        <v>338</v>
      </c>
      <c r="D37" s="507"/>
      <c r="E37" s="518"/>
      <c r="F37" s="518"/>
      <c r="G37" s="518"/>
      <c r="H37" s="513">
        <f>SUM(H38)</f>
        <v>1173.8945490310443</v>
      </c>
      <c r="I37" s="48">
        <f>SUM(H38:H38)</f>
        <v>1173.8945490310443</v>
      </c>
      <c r="L37">
        <v>0.23400000000000001</v>
      </c>
      <c r="M37" s="528">
        <f t="shared" si="0"/>
        <v>0</v>
      </c>
      <c r="N37" s="528">
        <f t="shared" si="1"/>
        <v>0</v>
      </c>
    </row>
    <row r="38" spans="1:14" ht="12" customHeight="1" x14ac:dyDescent="0.2">
      <c r="A38" s="499" t="s">
        <v>684</v>
      </c>
      <c r="B38" s="69">
        <v>30010</v>
      </c>
      <c r="C38" s="523" t="s">
        <v>83</v>
      </c>
      <c r="D38" s="1" t="s">
        <v>0</v>
      </c>
      <c r="E38" s="519">
        <f>'Memoria de Calculo'!F57</f>
        <v>42.269999999999996</v>
      </c>
      <c r="F38" s="519">
        <v>22.5</v>
      </c>
      <c r="G38" s="519">
        <f>Comp!I305</f>
        <v>27.771340171068001</v>
      </c>
      <c r="H38" s="514">
        <f>G38*E38</f>
        <v>1173.8945490310443</v>
      </c>
      <c r="I38" s="47"/>
      <c r="L38">
        <v>0.23400000000000001</v>
      </c>
      <c r="M38" s="528">
        <f t="shared" si="0"/>
        <v>5.2650000000000006</v>
      </c>
      <c r="N38" s="528">
        <f t="shared" si="1"/>
        <v>27.765000000000001</v>
      </c>
    </row>
    <row r="39" spans="1:14" ht="12" customHeight="1" x14ac:dyDescent="0.2">
      <c r="A39" s="585"/>
      <c r="B39" s="586"/>
      <c r="C39" s="586"/>
      <c r="D39" s="586"/>
      <c r="E39" s="586"/>
      <c r="F39" s="586"/>
      <c r="G39" s="586"/>
      <c r="H39" s="587"/>
      <c r="I39" s="47"/>
      <c r="L39">
        <v>0.23400000000000001</v>
      </c>
      <c r="M39" s="528">
        <f t="shared" si="0"/>
        <v>0</v>
      </c>
      <c r="N39" s="528">
        <f t="shared" si="1"/>
        <v>0</v>
      </c>
    </row>
    <row r="40" spans="1:14" ht="12" customHeight="1" x14ac:dyDescent="0.2">
      <c r="A40" s="507">
        <v>4</v>
      </c>
      <c r="B40" s="507"/>
      <c r="C40" s="509" t="s">
        <v>339</v>
      </c>
      <c r="D40" s="507"/>
      <c r="E40" s="518"/>
      <c r="F40" s="518"/>
      <c r="G40" s="518"/>
      <c r="H40" s="513">
        <f>SUM(H41:H42)</f>
        <v>42184.025128047666</v>
      </c>
      <c r="I40" s="48">
        <f>SUM(H41:H42)</f>
        <v>42184.025128047666</v>
      </c>
      <c r="L40">
        <v>0.23400000000000001</v>
      </c>
      <c r="M40" s="528">
        <f t="shared" si="0"/>
        <v>0</v>
      </c>
      <c r="N40" s="528">
        <f t="shared" si="1"/>
        <v>0</v>
      </c>
    </row>
    <row r="41" spans="1:14" ht="12" customHeight="1" x14ac:dyDescent="0.2">
      <c r="A41" s="499" t="s">
        <v>199</v>
      </c>
      <c r="B41" s="69">
        <v>40284</v>
      </c>
      <c r="C41" s="523" t="s">
        <v>84</v>
      </c>
      <c r="D41" s="1" t="s">
        <v>0</v>
      </c>
      <c r="E41" s="519">
        <f>'Memoria de Calculo'!F68</f>
        <v>20.624000000000002</v>
      </c>
      <c r="F41" s="519">
        <v>1398.67</v>
      </c>
      <c r="G41" s="519">
        <f>Comp!I325</f>
        <v>1725.9555727994484</v>
      </c>
      <c r="H41" s="514">
        <f>G41*E41</f>
        <v>35596.107733415825</v>
      </c>
      <c r="I41" s="47"/>
      <c r="L41">
        <v>0.23400000000000001</v>
      </c>
      <c r="M41" s="528">
        <f t="shared" si="0"/>
        <v>327.28878000000003</v>
      </c>
      <c r="N41" s="528">
        <f t="shared" si="1"/>
        <v>1725.9587800000002</v>
      </c>
    </row>
    <row r="42" spans="1:14" ht="12" customHeight="1" x14ac:dyDescent="0.2">
      <c r="A42" s="499" t="s">
        <v>200</v>
      </c>
      <c r="B42" s="69">
        <v>40283</v>
      </c>
      <c r="C42" s="523" t="s">
        <v>85</v>
      </c>
      <c r="D42" s="1" t="s">
        <v>0</v>
      </c>
      <c r="E42" s="519">
        <f>'Memoria de Calculo'!F63</f>
        <v>3.600000000000001</v>
      </c>
      <c r="F42" s="519">
        <v>1482.97</v>
      </c>
      <c r="G42" s="519">
        <f>Comp!I345</f>
        <v>1829.9770540643985</v>
      </c>
      <c r="H42" s="514">
        <f>G42*E42</f>
        <v>6587.9173946318369</v>
      </c>
      <c r="I42" s="47"/>
      <c r="L42">
        <v>0.23400000000000001</v>
      </c>
      <c r="M42" s="528">
        <f t="shared" si="0"/>
        <v>347.01498000000004</v>
      </c>
      <c r="N42" s="528">
        <f t="shared" si="1"/>
        <v>1829.9849800000002</v>
      </c>
    </row>
    <row r="43" spans="1:14" ht="12" customHeight="1" x14ac:dyDescent="0.2">
      <c r="A43" s="585"/>
      <c r="B43" s="586"/>
      <c r="C43" s="586"/>
      <c r="D43" s="586"/>
      <c r="E43" s="586"/>
      <c r="F43" s="586"/>
      <c r="G43" s="586"/>
      <c r="H43" s="587"/>
      <c r="I43" s="47"/>
      <c r="L43">
        <v>0.23400000000000001</v>
      </c>
      <c r="M43" s="528">
        <f t="shared" si="0"/>
        <v>0</v>
      </c>
      <c r="N43" s="528">
        <f t="shared" si="1"/>
        <v>0</v>
      </c>
    </row>
    <row r="44" spans="1:14" ht="12" customHeight="1" x14ac:dyDescent="0.2">
      <c r="A44" s="507">
        <v>5</v>
      </c>
      <c r="B44" s="510"/>
      <c r="C44" s="524" t="s">
        <v>340</v>
      </c>
      <c r="D44" s="511"/>
      <c r="E44" s="520"/>
      <c r="F44" s="520"/>
      <c r="G44" s="521"/>
      <c r="H44" s="513">
        <f>SUM(H46)</f>
        <v>11058.174798279346</v>
      </c>
      <c r="I44" s="48">
        <f>SUM(H45:H46)</f>
        <v>11058.174798279346</v>
      </c>
      <c r="L44">
        <v>0.23400000000000001</v>
      </c>
      <c r="M44" s="528">
        <f t="shared" si="0"/>
        <v>0</v>
      </c>
      <c r="N44" s="528">
        <f t="shared" si="1"/>
        <v>0</v>
      </c>
    </row>
    <row r="45" spans="1:14" ht="12" customHeight="1" x14ac:dyDescent="0.2">
      <c r="A45" s="502" t="s">
        <v>201</v>
      </c>
      <c r="B45" s="501"/>
      <c r="C45" s="525" t="s">
        <v>1752</v>
      </c>
      <c r="D45" s="500"/>
      <c r="E45" s="522"/>
      <c r="F45" s="522"/>
      <c r="G45" s="519"/>
      <c r="H45" s="514"/>
      <c r="I45" s="47"/>
      <c r="L45">
        <v>0.23400000000000001</v>
      </c>
      <c r="M45" s="528">
        <f t="shared" si="0"/>
        <v>0</v>
      </c>
      <c r="N45" s="528">
        <f t="shared" si="1"/>
        <v>0</v>
      </c>
    </row>
    <row r="46" spans="1:14" ht="12" customHeight="1" x14ac:dyDescent="0.2">
      <c r="A46" s="499" t="s">
        <v>202</v>
      </c>
      <c r="B46" s="69">
        <v>51172</v>
      </c>
      <c r="C46" s="523" t="s">
        <v>70</v>
      </c>
      <c r="D46" s="1" t="s">
        <v>0</v>
      </c>
      <c r="E46" s="519">
        <f>'Memoria de Calculo'!F76</f>
        <v>5.7250800000000002</v>
      </c>
      <c r="F46" s="519">
        <v>1565.26</v>
      </c>
      <c r="G46" s="519">
        <f>Comp!I365</f>
        <v>1931.5319258908776</v>
      </c>
      <c r="H46" s="514">
        <f>G46*E46</f>
        <v>11058.174798279346</v>
      </c>
      <c r="I46" s="47"/>
      <c r="L46">
        <v>0.23400000000000001</v>
      </c>
      <c r="M46" s="528">
        <f t="shared" si="0"/>
        <v>366.27084000000002</v>
      </c>
      <c r="N46" s="528">
        <f t="shared" si="1"/>
        <v>1931.5308399999999</v>
      </c>
    </row>
    <row r="47" spans="1:14" ht="12" customHeight="1" x14ac:dyDescent="0.2">
      <c r="A47" s="585"/>
      <c r="B47" s="586"/>
      <c r="C47" s="586"/>
      <c r="D47" s="586"/>
      <c r="E47" s="586"/>
      <c r="F47" s="586"/>
      <c r="G47" s="586"/>
      <c r="H47" s="587"/>
      <c r="I47" s="47"/>
      <c r="L47">
        <v>0.23400000000000001</v>
      </c>
      <c r="M47" s="528">
        <f t="shared" si="0"/>
        <v>0</v>
      </c>
      <c r="N47" s="528">
        <f t="shared" si="1"/>
        <v>0</v>
      </c>
    </row>
    <row r="48" spans="1:14" ht="12" customHeight="1" x14ac:dyDescent="0.2">
      <c r="A48" s="512">
        <v>6</v>
      </c>
      <c r="B48" s="510"/>
      <c r="C48" s="526" t="s">
        <v>86</v>
      </c>
      <c r="D48" s="511"/>
      <c r="E48" s="520"/>
      <c r="F48" s="520"/>
      <c r="G48" s="521"/>
      <c r="H48" s="513">
        <f>SUM(H49)</f>
        <v>30171.568875414458</v>
      </c>
      <c r="I48" s="48">
        <f>SUM(H49)</f>
        <v>30171.568875414458</v>
      </c>
      <c r="L48">
        <v>0.23400000000000001</v>
      </c>
      <c r="M48" s="528">
        <f t="shared" si="0"/>
        <v>0</v>
      </c>
      <c r="N48" s="528">
        <f t="shared" si="1"/>
        <v>0</v>
      </c>
    </row>
    <row r="49" spans="1:14" ht="14.25" x14ac:dyDescent="0.2">
      <c r="A49" s="499" t="s">
        <v>203</v>
      </c>
      <c r="B49" s="69">
        <v>60046</v>
      </c>
      <c r="C49" s="523" t="s">
        <v>69</v>
      </c>
      <c r="D49" s="1" t="s">
        <v>1</v>
      </c>
      <c r="E49" s="519">
        <f>'Memoria de Calculo'!F86</f>
        <v>745.94199999999989</v>
      </c>
      <c r="F49" s="519">
        <v>32.78</v>
      </c>
      <c r="G49" s="519">
        <f>Comp!I376</f>
        <v>40.447607019599999</v>
      </c>
      <c r="H49" s="514">
        <f>G49*E49</f>
        <v>30171.568875414458</v>
      </c>
      <c r="I49" s="47"/>
      <c r="L49">
        <v>0.23400000000000001</v>
      </c>
      <c r="M49" s="528">
        <f t="shared" si="0"/>
        <v>7.6705200000000007</v>
      </c>
      <c r="N49" s="528">
        <f t="shared" si="1"/>
        <v>40.450520000000004</v>
      </c>
    </row>
    <row r="50" spans="1:14" ht="14.25" x14ac:dyDescent="0.2">
      <c r="A50" s="585"/>
      <c r="B50" s="586"/>
      <c r="C50" s="586"/>
      <c r="D50" s="586"/>
      <c r="E50" s="586"/>
      <c r="F50" s="586"/>
      <c r="G50" s="586"/>
      <c r="H50" s="587"/>
      <c r="I50" s="47"/>
      <c r="L50">
        <v>0.23400000000000001</v>
      </c>
      <c r="M50" s="528">
        <f t="shared" si="0"/>
        <v>0</v>
      </c>
      <c r="N50" s="528">
        <f t="shared" si="1"/>
        <v>0</v>
      </c>
    </row>
    <row r="51" spans="1:14" ht="14.25" customHeight="1" x14ac:dyDescent="0.2">
      <c r="A51" s="507">
        <v>7</v>
      </c>
      <c r="B51" s="510"/>
      <c r="C51" s="524" t="s">
        <v>342</v>
      </c>
      <c r="D51" s="511"/>
      <c r="E51" s="520"/>
      <c r="F51" s="520"/>
      <c r="G51" s="521"/>
      <c r="H51" s="513">
        <f>SUM(H53:H63)</f>
        <v>103419.17297507526</v>
      </c>
      <c r="I51" s="48">
        <f>SUM(H52:H63)</f>
        <v>103419.17297507526</v>
      </c>
      <c r="L51">
        <v>0.23400000000000001</v>
      </c>
      <c r="M51" s="528">
        <f t="shared" si="0"/>
        <v>0</v>
      </c>
      <c r="N51" s="528">
        <f t="shared" si="1"/>
        <v>0</v>
      </c>
    </row>
    <row r="52" spans="1:14" ht="15" x14ac:dyDescent="0.25">
      <c r="A52" s="502" t="s">
        <v>204</v>
      </c>
      <c r="B52" s="501"/>
      <c r="C52" s="525" t="s">
        <v>340</v>
      </c>
      <c r="D52" s="500"/>
      <c r="E52" s="522"/>
      <c r="F52" s="522"/>
      <c r="G52" s="519"/>
      <c r="H52" s="515"/>
      <c r="I52" s="47"/>
      <c r="L52">
        <v>0.23400000000000001</v>
      </c>
      <c r="M52" s="528">
        <f t="shared" si="0"/>
        <v>0</v>
      </c>
      <c r="N52" s="528">
        <f t="shared" si="1"/>
        <v>0</v>
      </c>
    </row>
    <row r="53" spans="1:14" ht="14.25" x14ac:dyDescent="0.2">
      <c r="A53" s="499" t="s">
        <v>205</v>
      </c>
      <c r="B53" s="69">
        <v>70308</v>
      </c>
      <c r="C53" s="523" t="s">
        <v>66</v>
      </c>
      <c r="D53" s="1" t="s">
        <v>1</v>
      </c>
      <c r="E53" s="519">
        <f>'Memoria de Calculo'!F94</f>
        <v>871.35899999999992</v>
      </c>
      <c r="F53" s="519">
        <v>31.46</v>
      </c>
      <c r="G53" s="519">
        <f>Comp!I386</f>
        <v>38.816999419599995</v>
      </c>
      <c r="H53" s="514">
        <f>G53*E53</f>
        <v>33823.541797263228</v>
      </c>
      <c r="I53" s="47"/>
      <c r="L53">
        <v>0.23400000000000001</v>
      </c>
      <c r="M53" s="528">
        <f t="shared" si="0"/>
        <v>7.3616400000000004</v>
      </c>
      <c r="N53" s="528">
        <f t="shared" si="1"/>
        <v>38.821640000000002</v>
      </c>
    </row>
    <row r="54" spans="1:14" ht="12" customHeight="1" x14ac:dyDescent="0.2">
      <c r="A54" s="499" t="s">
        <v>206</v>
      </c>
      <c r="B54" s="69">
        <v>71361</v>
      </c>
      <c r="C54" s="523" t="s">
        <v>323</v>
      </c>
      <c r="D54" s="1" t="s">
        <v>1</v>
      </c>
      <c r="E54" s="519">
        <v>35.94</v>
      </c>
      <c r="F54" s="519">
        <v>122.87</v>
      </c>
      <c r="G54" s="519">
        <f>Comp!I397</f>
        <v>151.62090993800001</v>
      </c>
      <c r="H54" s="514">
        <f>G54*E54</f>
        <v>5449.2555031717202</v>
      </c>
      <c r="I54" s="47"/>
      <c r="L54">
        <v>0.23400000000000001</v>
      </c>
      <c r="M54" s="528">
        <f t="shared" si="0"/>
        <v>28.751580000000004</v>
      </c>
      <c r="N54" s="528">
        <f t="shared" si="1"/>
        <v>151.62157999999999</v>
      </c>
    </row>
    <row r="55" spans="1:14" ht="14.25" x14ac:dyDescent="0.2">
      <c r="A55" s="499" t="s">
        <v>207</v>
      </c>
      <c r="B55" s="69">
        <v>70195</v>
      </c>
      <c r="C55" s="523" t="s">
        <v>67</v>
      </c>
      <c r="D55" s="1" t="s">
        <v>6</v>
      </c>
      <c r="E55" s="519">
        <v>6</v>
      </c>
      <c r="F55" s="519">
        <v>688.98</v>
      </c>
      <c r="G55" s="519">
        <f>Comp!I408</f>
        <v>850.20494425800007</v>
      </c>
      <c r="H55" s="514">
        <f>G55*E55</f>
        <v>5101.2296655480004</v>
      </c>
      <c r="I55" s="47"/>
      <c r="L55">
        <v>0.23400000000000001</v>
      </c>
      <c r="M55" s="528">
        <f t="shared" si="0"/>
        <v>161.22132000000002</v>
      </c>
      <c r="N55" s="528">
        <f t="shared" si="1"/>
        <v>850.20132000000001</v>
      </c>
    </row>
    <row r="56" spans="1:14" ht="12.75" customHeight="1" x14ac:dyDescent="0.2">
      <c r="A56" s="499" t="s">
        <v>208</v>
      </c>
      <c r="B56" s="69">
        <v>70194</v>
      </c>
      <c r="C56" s="523" t="s">
        <v>68</v>
      </c>
      <c r="D56" s="1" t="s">
        <v>6</v>
      </c>
      <c r="E56" s="519">
        <v>6</v>
      </c>
      <c r="F56" s="519">
        <v>1023.97</v>
      </c>
      <c r="G56" s="519">
        <f>Comp!I419</f>
        <v>1263.5826042579999</v>
      </c>
      <c r="H56" s="514">
        <f>G56*E56</f>
        <v>7581.4956255479992</v>
      </c>
      <c r="I56" s="47"/>
      <c r="L56">
        <v>0.23400000000000001</v>
      </c>
      <c r="M56" s="528">
        <f t="shared" si="0"/>
        <v>239.60898000000003</v>
      </c>
      <c r="N56" s="528">
        <f t="shared" si="1"/>
        <v>1263.57898</v>
      </c>
    </row>
    <row r="57" spans="1:14" ht="15" x14ac:dyDescent="0.25">
      <c r="A57" s="502" t="s">
        <v>209</v>
      </c>
      <c r="B57" s="501"/>
      <c r="C57" s="525" t="s">
        <v>1753</v>
      </c>
      <c r="D57" s="500"/>
      <c r="E57" s="522"/>
      <c r="F57" s="522"/>
      <c r="G57" s="519"/>
      <c r="H57" s="515"/>
      <c r="I57" s="47"/>
      <c r="L57">
        <v>0.23400000000000001</v>
      </c>
      <c r="M57" s="528">
        <f t="shared" si="0"/>
        <v>0</v>
      </c>
      <c r="N57" s="528">
        <f t="shared" si="1"/>
        <v>0</v>
      </c>
    </row>
    <row r="58" spans="1:14" ht="14.25" x14ac:dyDescent="0.2">
      <c r="A58" s="499" t="s">
        <v>210</v>
      </c>
      <c r="B58" s="69">
        <v>70058</v>
      </c>
      <c r="C58" s="523" t="s">
        <v>319</v>
      </c>
      <c r="D58" s="1" t="s">
        <v>1</v>
      </c>
      <c r="E58" s="519">
        <f>'Memoria de Calculo'!F101</f>
        <v>871.35899999999992</v>
      </c>
      <c r="F58" s="519">
        <v>40.35</v>
      </c>
      <c r="G58" s="519">
        <f>Comp!I429</f>
        <v>49.78792035</v>
      </c>
      <c r="H58" s="514">
        <f>G58*E58</f>
        <v>43383.152488255648</v>
      </c>
      <c r="I58" s="47"/>
      <c r="L58">
        <v>0.23400000000000001</v>
      </c>
      <c r="M58" s="528">
        <f t="shared" si="0"/>
        <v>9.4419000000000004</v>
      </c>
      <c r="N58" s="528">
        <f t="shared" si="1"/>
        <v>49.791899999999998</v>
      </c>
    </row>
    <row r="59" spans="1:14" ht="14.25" x14ac:dyDescent="0.2">
      <c r="A59" s="499" t="s">
        <v>388</v>
      </c>
      <c r="B59" s="72">
        <v>71364</v>
      </c>
      <c r="C59" s="523" t="s">
        <v>387</v>
      </c>
      <c r="D59" s="1" t="s">
        <v>1</v>
      </c>
      <c r="E59" s="519">
        <v>7.3</v>
      </c>
      <c r="F59" s="519">
        <v>265.98</v>
      </c>
      <c r="G59" s="519">
        <f>Comp!I439</f>
        <v>328.21963467</v>
      </c>
      <c r="H59" s="514">
        <f>G59*E59</f>
        <v>2396.0033330910001</v>
      </c>
      <c r="I59" s="47"/>
      <c r="L59">
        <v>0.23400000000000001</v>
      </c>
      <c r="M59" s="528">
        <f t="shared" si="0"/>
        <v>62.239320000000006</v>
      </c>
      <c r="N59" s="528">
        <f t="shared" si="1"/>
        <v>328.21932000000004</v>
      </c>
    </row>
    <row r="60" spans="1:14" ht="15" x14ac:dyDescent="0.25">
      <c r="A60" s="502" t="s">
        <v>211</v>
      </c>
      <c r="B60" s="501"/>
      <c r="C60" s="525" t="s">
        <v>1754</v>
      </c>
      <c r="D60" s="500"/>
      <c r="E60" s="522"/>
      <c r="F60" s="522"/>
      <c r="G60" s="519"/>
      <c r="H60" s="515"/>
      <c r="I60" s="47"/>
      <c r="L60">
        <v>0.23400000000000001</v>
      </c>
      <c r="M60" s="528">
        <f t="shared" si="0"/>
        <v>0</v>
      </c>
      <c r="N60" s="528">
        <f t="shared" si="1"/>
        <v>0</v>
      </c>
    </row>
    <row r="61" spans="1:14" ht="14.25" x14ac:dyDescent="0.2">
      <c r="A61" s="499" t="s">
        <v>212</v>
      </c>
      <c r="B61" s="69">
        <v>70277</v>
      </c>
      <c r="C61" s="523" t="s">
        <v>63</v>
      </c>
      <c r="D61" s="1" t="s">
        <v>2</v>
      </c>
      <c r="E61" s="519">
        <v>71.5</v>
      </c>
      <c r="F61" s="519">
        <v>31.79</v>
      </c>
      <c r="G61" s="519">
        <f>Comp!N452</f>
        <v>39.228859999999997</v>
      </c>
      <c r="H61" s="514">
        <f>G61*E61</f>
        <v>2804.8634899999997</v>
      </c>
      <c r="I61" s="47"/>
      <c r="L61">
        <v>0.23400000000000001</v>
      </c>
      <c r="M61" s="528">
        <f t="shared" si="0"/>
        <v>7.43886</v>
      </c>
      <c r="N61" s="528">
        <f t="shared" si="1"/>
        <v>39.228859999999997</v>
      </c>
    </row>
    <row r="62" spans="1:14" ht="14.25" x14ac:dyDescent="0.2">
      <c r="A62" s="499" t="s">
        <v>213</v>
      </c>
      <c r="B62" s="69">
        <v>70287</v>
      </c>
      <c r="C62" s="523" t="s">
        <v>64</v>
      </c>
      <c r="D62" s="1" t="s">
        <v>2</v>
      </c>
      <c r="E62" s="519">
        <v>102.23</v>
      </c>
      <c r="F62" s="519">
        <v>16.78</v>
      </c>
      <c r="G62" s="519">
        <f>Comp!I462</f>
        <v>20.705554271600001</v>
      </c>
      <c r="H62" s="514">
        <f>G62*E62</f>
        <v>2116.7288131856681</v>
      </c>
      <c r="I62" s="47"/>
      <c r="L62">
        <v>0.23400000000000001</v>
      </c>
      <c r="M62" s="528">
        <f t="shared" si="0"/>
        <v>3.9265200000000005</v>
      </c>
      <c r="N62" s="528">
        <f t="shared" si="1"/>
        <v>20.706520000000001</v>
      </c>
    </row>
    <row r="63" spans="1:14" ht="14.25" x14ac:dyDescent="0.2">
      <c r="A63" s="499" t="s">
        <v>214</v>
      </c>
      <c r="B63" s="69">
        <v>70294</v>
      </c>
      <c r="C63" s="523" t="s">
        <v>65</v>
      </c>
      <c r="D63" s="1" t="s">
        <v>2</v>
      </c>
      <c r="E63" s="519">
        <v>30</v>
      </c>
      <c r="F63" s="519">
        <v>20.61</v>
      </c>
      <c r="G63" s="519">
        <f>Comp!I472</f>
        <v>25.430075300400006</v>
      </c>
      <c r="H63" s="514">
        <f>G63*E63</f>
        <v>762.90225901200017</v>
      </c>
      <c r="I63" s="47"/>
      <c r="L63">
        <v>0.23400000000000001</v>
      </c>
      <c r="M63" s="528">
        <f t="shared" si="0"/>
        <v>4.8227400000000005</v>
      </c>
      <c r="N63" s="528">
        <f t="shared" si="1"/>
        <v>25.432739999999999</v>
      </c>
    </row>
    <row r="64" spans="1:14" ht="14.25" x14ac:dyDescent="0.2">
      <c r="A64" s="585"/>
      <c r="B64" s="586"/>
      <c r="C64" s="586"/>
      <c r="D64" s="586"/>
      <c r="E64" s="586"/>
      <c r="F64" s="586"/>
      <c r="G64" s="586"/>
      <c r="H64" s="587"/>
      <c r="I64" s="47"/>
      <c r="L64">
        <v>0.23400000000000001</v>
      </c>
      <c r="M64" s="528">
        <f t="shared" si="0"/>
        <v>0</v>
      </c>
      <c r="N64" s="528">
        <f t="shared" si="1"/>
        <v>0</v>
      </c>
    </row>
    <row r="65" spans="1:14" ht="15" x14ac:dyDescent="0.2">
      <c r="A65" s="507">
        <v>8</v>
      </c>
      <c r="B65" s="510"/>
      <c r="C65" s="524" t="s">
        <v>1788</v>
      </c>
      <c r="D65" s="511"/>
      <c r="E65" s="520"/>
      <c r="F65" s="520"/>
      <c r="G65" s="521"/>
      <c r="H65" s="513">
        <f>SUM(H66:H67)</f>
        <v>5780.1536521413673</v>
      </c>
      <c r="I65" s="48">
        <f>SUM(H66:H67)</f>
        <v>5780.1536521413673</v>
      </c>
      <c r="L65">
        <v>0.23400000000000001</v>
      </c>
      <c r="M65" s="528">
        <f t="shared" si="0"/>
        <v>0</v>
      </c>
      <c r="N65" s="528">
        <f t="shared" si="1"/>
        <v>0</v>
      </c>
    </row>
    <row r="66" spans="1:14" ht="14.25" x14ac:dyDescent="0.2">
      <c r="A66" s="499" t="s">
        <v>215</v>
      </c>
      <c r="B66" s="69">
        <v>80200</v>
      </c>
      <c r="C66" s="523" t="s">
        <v>61</v>
      </c>
      <c r="D66" s="1" t="s">
        <v>1</v>
      </c>
      <c r="E66" s="519">
        <v>77.22</v>
      </c>
      <c r="F66" s="519">
        <v>16.61</v>
      </c>
      <c r="G66" s="519">
        <f>Comp!I482</f>
        <v>20.504251358000001</v>
      </c>
      <c r="H66" s="514">
        <f>G66*E66</f>
        <v>1583.3382898647601</v>
      </c>
      <c r="I66" s="47"/>
      <c r="L66">
        <v>0.23400000000000001</v>
      </c>
      <c r="M66" s="528">
        <f t="shared" si="0"/>
        <v>3.8867400000000001</v>
      </c>
      <c r="N66" s="528">
        <f t="shared" si="1"/>
        <v>20.496739999999999</v>
      </c>
    </row>
    <row r="67" spans="1:14" ht="14.25" x14ac:dyDescent="0.2">
      <c r="A67" s="499" t="s">
        <v>216</v>
      </c>
      <c r="B67" s="69">
        <v>80300</v>
      </c>
      <c r="C67" s="523" t="s">
        <v>62</v>
      </c>
      <c r="D67" s="1" t="s">
        <v>1</v>
      </c>
      <c r="E67" s="519">
        <f>'Memoria de Calculo'!F106</f>
        <v>871.35899999999992</v>
      </c>
      <c r="F67" s="519">
        <v>3.91</v>
      </c>
      <c r="G67" s="519">
        <f>Comp!I492</f>
        <v>4.8164021514400002</v>
      </c>
      <c r="H67" s="514">
        <f>G67*E67</f>
        <v>4196.8153622766067</v>
      </c>
      <c r="I67" s="47"/>
      <c r="L67">
        <v>0.23400000000000001</v>
      </c>
      <c r="M67" s="528">
        <f t="shared" si="0"/>
        <v>0.91494000000000009</v>
      </c>
      <c r="N67" s="528">
        <f t="shared" si="1"/>
        <v>4.8249399999999998</v>
      </c>
    </row>
    <row r="68" spans="1:14" ht="14.25" x14ac:dyDescent="0.2">
      <c r="A68" s="585"/>
      <c r="B68" s="586"/>
      <c r="C68" s="586"/>
      <c r="D68" s="586"/>
      <c r="E68" s="586"/>
      <c r="F68" s="586"/>
      <c r="G68" s="586"/>
      <c r="H68" s="587"/>
      <c r="I68" s="47"/>
      <c r="L68">
        <v>0.23400000000000001</v>
      </c>
      <c r="M68" s="528">
        <f t="shared" si="0"/>
        <v>0</v>
      </c>
      <c r="N68" s="528">
        <f t="shared" si="1"/>
        <v>0</v>
      </c>
    </row>
    <row r="69" spans="1:14" ht="13.5" customHeight="1" x14ac:dyDescent="0.2">
      <c r="A69" s="507">
        <v>9</v>
      </c>
      <c r="B69" s="510"/>
      <c r="C69" s="524" t="s">
        <v>344</v>
      </c>
      <c r="D69" s="511"/>
      <c r="E69" s="520"/>
      <c r="F69" s="520"/>
      <c r="G69" s="521"/>
      <c r="H69" s="513">
        <f>SUM(H71:H77)</f>
        <v>72118.199539957917</v>
      </c>
      <c r="I69" s="48">
        <f>SUM(H70:H77)</f>
        <v>72118.199539957917</v>
      </c>
      <c r="L69">
        <v>0.23400000000000001</v>
      </c>
      <c r="M69" s="528">
        <f t="shared" si="0"/>
        <v>0</v>
      </c>
      <c r="N69" s="528">
        <f t="shared" si="1"/>
        <v>0</v>
      </c>
    </row>
    <row r="70" spans="1:14" ht="15" x14ac:dyDescent="0.25">
      <c r="A70" s="502" t="s">
        <v>217</v>
      </c>
      <c r="B70" s="501"/>
      <c r="C70" s="525" t="s">
        <v>1755</v>
      </c>
      <c r="D70" s="500"/>
      <c r="E70" s="522"/>
      <c r="F70" s="522"/>
      <c r="G70" s="519"/>
      <c r="H70" s="515"/>
      <c r="I70" s="47"/>
      <c r="L70">
        <v>0.23400000000000001</v>
      </c>
      <c r="M70" s="528">
        <f t="shared" si="0"/>
        <v>0</v>
      </c>
      <c r="N70" s="528">
        <f t="shared" si="1"/>
        <v>0</v>
      </c>
    </row>
    <row r="71" spans="1:14" ht="12.75" customHeight="1" x14ac:dyDescent="0.2">
      <c r="A71" s="499" t="s">
        <v>218</v>
      </c>
      <c r="B71" s="69">
        <v>90062</v>
      </c>
      <c r="C71" s="523" t="s">
        <v>60</v>
      </c>
      <c r="D71" s="1" t="s">
        <v>1</v>
      </c>
      <c r="E71" s="519">
        <f>'Memoria de Calculo'!F114</f>
        <v>20.490000000000002</v>
      </c>
      <c r="F71" s="519">
        <v>376.8</v>
      </c>
      <c r="G71" s="519">
        <f>Comp!I503</f>
        <v>464.96572227399997</v>
      </c>
      <c r="H71" s="514">
        <f>G71*E71</f>
        <v>9527.147649394261</v>
      </c>
      <c r="I71" s="47"/>
      <c r="L71">
        <v>0.23400000000000001</v>
      </c>
      <c r="M71" s="528">
        <f t="shared" si="0"/>
        <v>88.171200000000013</v>
      </c>
      <c r="N71" s="528">
        <f t="shared" si="1"/>
        <v>464.97120000000001</v>
      </c>
    </row>
    <row r="72" spans="1:14" ht="15" x14ac:dyDescent="0.25">
      <c r="A72" s="502" t="s">
        <v>219</v>
      </c>
      <c r="B72" s="501"/>
      <c r="C72" s="525" t="s">
        <v>1756</v>
      </c>
      <c r="D72" s="500"/>
      <c r="E72" s="522"/>
      <c r="F72" s="522"/>
      <c r="G72" s="519"/>
      <c r="H72" s="515"/>
      <c r="I72" s="47"/>
      <c r="L72">
        <v>0.23400000000000001</v>
      </c>
      <c r="M72" s="528">
        <f t="shared" si="0"/>
        <v>0</v>
      </c>
      <c r="N72" s="528">
        <f t="shared" si="1"/>
        <v>0</v>
      </c>
    </row>
    <row r="73" spans="1:14" ht="14.25" x14ac:dyDescent="0.2">
      <c r="A73" s="499" t="s">
        <v>220</v>
      </c>
      <c r="B73" s="69">
        <v>90825</v>
      </c>
      <c r="C73" s="523" t="s">
        <v>57</v>
      </c>
      <c r="D73" s="1" t="s">
        <v>1</v>
      </c>
      <c r="E73" s="519">
        <f>'Memoria de Calculo'!F122</f>
        <v>175.75</v>
      </c>
      <c r="F73" s="519">
        <v>223.34</v>
      </c>
      <c r="G73" s="519">
        <f>Comp!I514</f>
        <v>275.60254473200001</v>
      </c>
      <c r="H73" s="514">
        <f>G73*E73</f>
        <v>48437.147236649005</v>
      </c>
      <c r="I73" s="47"/>
      <c r="L73">
        <v>0.23400000000000001</v>
      </c>
      <c r="M73" s="528">
        <f t="shared" si="0"/>
        <v>52.261560000000003</v>
      </c>
      <c r="N73" s="528">
        <f t="shared" si="1"/>
        <v>275.60156000000001</v>
      </c>
    </row>
    <row r="74" spans="1:14" ht="14.25" x14ac:dyDescent="0.2">
      <c r="A74" s="499" t="s">
        <v>221</v>
      </c>
      <c r="B74" s="69">
        <v>90070</v>
      </c>
      <c r="C74" s="523" t="s">
        <v>58</v>
      </c>
      <c r="D74" s="1" t="s">
        <v>1</v>
      </c>
      <c r="E74" s="519">
        <f>'Memoria de Calculo'!F126</f>
        <v>5</v>
      </c>
      <c r="F74" s="519">
        <v>298.58</v>
      </c>
      <c r="G74" s="519">
        <f>Comp!I525</f>
        <v>368.44870473199995</v>
      </c>
      <c r="H74" s="514">
        <f>G74*E74</f>
        <v>1842.2435236599997</v>
      </c>
      <c r="I74" s="47"/>
      <c r="L74">
        <v>0.23400000000000001</v>
      </c>
      <c r="M74" s="528">
        <f t="shared" si="0"/>
        <v>69.867720000000006</v>
      </c>
      <c r="N74" s="528">
        <f t="shared" si="1"/>
        <v>368.44772</v>
      </c>
    </row>
    <row r="75" spans="1:14" ht="14.25" x14ac:dyDescent="0.2">
      <c r="A75" s="499" t="s">
        <v>222</v>
      </c>
      <c r="B75" s="69">
        <v>90822</v>
      </c>
      <c r="C75" s="523" t="s">
        <v>59</v>
      </c>
      <c r="D75" s="1" t="s">
        <v>1</v>
      </c>
      <c r="E75" s="519">
        <f>'Memoria de Calculo'!F131</f>
        <v>5</v>
      </c>
      <c r="F75" s="519">
        <v>250.9</v>
      </c>
      <c r="G75" s="519">
        <f>Comp!I536</f>
        <v>309.60541473200004</v>
      </c>
      <c r="H75" s="514">
        <f>G75*E75</f>
        <v>1548.0270736600003</v>
      </c>
      <c r="I75" s="47"/>
      <c r="L75">
        <v>0.23400000000000001</v>
      </c>
      <c r="M75" s="528">
        <f t="shared" si="0"/>
        <v>58.710600000000007</v>
      </c>
      <c r="N75" s="528">
        <f t="shared" si="1"/>
        <v>309.61060000000003</v>
      </c>
    </row>
    <row r="76" spans="1:14" ht="15" x14ac:dyDescent="0.2">
      <c r="A76" s="502" t="s">
        <v>223</v>
      </c>
      <c r="B76" s="501"/>
      <c r="C76" s="525" t="s">
        <v>1757</v>
      </c>
      <c r="D76" s="500"/>
      <c r="E76" s="522"/>
      <c r="F76" s="522"/>
      <c r="G76" s="519"/>
      <c r="H76" s="514"/>
      <c r="I76" s="47"/>
      <c r="L76">
        <v>0.23400000000000001</v>
      </c>
      <c r="M76" s="528">
        <f t="shared" si="0"/>
        <v>0</v>
      </c>
      <c r="N76" s="528">
        <f t="shared" si="1"/>
        <v>0</v>
      </c>
    </row>
    <row r="77" spans="1:14" ht="14.25" x14ac:dyDescent="0.2">
      <c r="A77" s="499" t="s">
        <v>224</v>
      </c>
      <c r="B77" s="69">
        <v>91376</v>
      </c>
      <c r="C77" s="523" t="s">
        <v>56</v>
      </c>
      <c r="D77" s="1" t="s">
        <v>1</v>
      </c>
      <c r="E77" s="519">
        <f>'Memoria de Calculo'!F138</f>
        <v>22.408000000000001</v>
      </c>
      <c r="F77" s="519">
        <v>389.26</v>
      </c>
      <c r="G77" s="519">
        <f>Comp!I547</f>
        <v>480.34782473199994</v>
      </c>
      <c r="H77" s="514">
        <f>G77*E77</f>
        <v>10763.634056594656</v>
      </c>
      <c r="I77" s="47"/>
      <c r="L77">
        <v>0.23400000000000001</v>
      </c>
      <c r="M77" s="528">
        <f t="shared" si="0"/>
        <v>91.086840000000009</v>
      </c>
      <c r="N77" s="528">
        <f t="shared" si="1"/>
        <v>480.34683999999999</v>
      </c>
    </row>
    <row r="78" spans="1:14" ht="14.25" x14ac:dyDescent="0.2">
      <c r="A78" s="585"/>
      <c r="B78" s="586"/>
      <c r="C78" s="586"/>
      <c r="D78" s="586"/>
      <c r="E78" s="586"/>
      <c r="F78" s="586"/>
      <c r="G78" s="586"/>
      <c r="H78" s="587"/>
      <c r="I78" s="47"/>
      <c r="L78">
        <v>0.23400000000000001</v>
      </c>
      <c r="M78" s="528">
        <f t="shared" si="0"/>
        <v>0</v>
      </c>
      <c r="N78" s="528">
        <f t="shared" si="1"/>
        <v>0</v>
      </c>
    </row>
    <row r="79" spans="1:14" ht="15" x14ac:dyDescent="0.2">
      <c r="A79" s="507">
        <v>10</v>
      </c>
      <c r="B79" s="510"/>
      <c r="C79" s="524" t="s">
        <v>87</v>
      </c>
      <c r="D79" s="511"/>
      <c r="E79" s="520"/>
      <c r="F79" s="520"/>
      <c r="G79" s="521"/>
      <c r="H79" s="513">
        <f>H80</f>
        <v>2866.6955747636648</v>
      </c>
      <c r="I79" s="48">
        <f>SUM(H80:H82)</f>
        <v>5432.3975361164648</v>
      </c>
      <c r="L79">
        <v>0.23400000000000001</v>
      </c>
      <c r="M79" s="528">
        <f t="shared" si="0"/>
        <v>0</v>
      </c>
      <c r="N79" s="528">
        <f t="shared" si="1"/>
        <v>0</v>
      </c>
    </row>
    <row r="80" spans="1:14" ht="14.25" x14ac:dyDescent="0.2">
      <c r="A80" s="499" t="s">
        <v>225</v>
      </c>
      <c r="B80" s="70">
        <v>161392</v>
      </c>
      <c r="C80" s="523" t="s">
        <v>55</v>
      </c>
      <c r="D80" s="1" t="s">
        <v>1</v>
      </c>
      <c r="E80" s="519">
        <f>'Memoria de Calculo'!F142</f>
        <v>11.340000000000002</v>
      </c>
      <c r="F80" s="519">
        <v>204.86</v>
      </c>
      <c r="G80" s="519">
        <f>Comp!I557</f>
        <v>252.79502422960002</v>
      </c>
      <c r="H80" s="514">
        <f>G80*E80</f>
        <v>2866.6955747636648</v>
      </c>
      <c r="I80" s="47"/>
      <c r="L80">
        <v>0.23400000000000001</v>
      </c>
      <c r="M80" s="528">
        <f t="shared" si="0"/>
        <v>47.937240000000003</v>
      </c>
      <c r="N80" s="528">
        <f t="shared" si="1"/>
        <v>252.79724000000002</v>
      </c>
    </row>
    <row r="81" spans="1:14" ht="14.25" x14ac:dyDescent="0.2">
      <c r="A81" s="585"/>
      <c r="B81" s="586"/>
      <c r="C81" s="586"/>
      <c r="D81" s="586"/>
      <c r="E81" s="586"/>
      <c r="F81" s="586"/>
      <c r="G81" s="586"/>
      <c r="H81" s="587"/>
      <c r="I81" s="47"/>
      <c r="L81">
        <v>0.23400000000000001</v>
      </c>
      <c r="M81" s="528">
        <f t="shared" si="0"/>
        <v>0</v>
      </c>
      <c r="N81" s="528">
        <f t="shared" si="1"/>
        <v>0</v>
      </c>
    </row>
    <row r="82" spans="1:14" ht="15" x14ac:dyDescent="0.2">
      <c r="A82" s="507">
        <v>11</v>
      </c>
      <c r="B82" s="510"/>
      <c r="C82" s="524" t="s">
        <v>345</v>
      </c>
      <c r="D82" s="511"/>
      <c r="E82" s="520"/>
      <c r="F82" s="520"/>
      <c r="G82" s="521"/>
      <c r="H82" s="513">
        <f>SUM(H84:H87)</f>
        <v>2565.7019613528</v>
      </c>
      <c r="I82" s="48">
        <f>SUM(H83:H87)</f>
        <v>2565.7019613528</v>
      </c>
      <c r="L82">
        <v>0.23400000000000001</v>
      </c>
      <c r="M82" s="528">
        <f t="shared" si="0"/>
        <v>0</v>
      </c>
      <c r="N82" s="528">
        <f t="shared" si="1"/>
        <v>0</v>
      </c>
    </row>
    <row r="83" spans="1:14" ht="14.25" x14ac:dyDescent="0.2">
      <c r="A83" s="502" t="s">
        <v>226</v>
      </c>
      <c r="B83" s="69"/>
      <c r="C83" s="525" t="s">
        <v>1758</v>
      </c>
      <c r="D83" s="1"/>
      <c r="E83" s="519"/>
      <c r="F83" s="519"/>
      <c r="G83" s="519"/>
      <c r="H83" s="514"/>
      <c r="I83" s="47"/>
      <c r="L83">
        <v>0.23400000000000001</v>
      </c>
      <c r="M83" s="528">
        <f t="shared" ref="M83:M146" si="3">F83*L83</f>
        <v>0</v>
      </c>
      <c r="N83" s="528">
        <f t="shared" ref="N83:N146" si="4">F83+M83</f>
        <v>0</v>
      </c>
    </row>
    <row r="84" spans="1:14" ht="14.25" x14ac:dyDescent="0.2">
      <c r="A84" s="499" t="s">
        <v>227</v>
      </c>
      <c r="B84" s="69">
        <v>100816</v>
      </c>
      <c r="C84" s="523" t="s">
        <v>51</v>
      </c>
      <c r="D84" s="1" t="s">
        <v>6</v>
      </c>
      <c r="E84" s="519">
        <v>7</v>
      </c>
      <c r="F84" s="519">
        <v>55.1</v>
      </c>
      <c r="G84" s="519">
        <f>Comp!I568</f>
        <v>67.988052337599996</v>
      </c>
      <c r="H84" s="514">
        <f>G84*E84</f>
        <v>475.91636636319998</v>
      </c>
      <c r="I84" s="47"/>
      <c r="L84">
        <v>0.23400000000000001</v>
      </c>
      <c r="M84" s="528">
        <f t="shared" si="3"/>
        <v>12.893400000000002</v>
      </c>
      <c r="N84" s="528">
        <f t="shared" si="4"/>
        <v>67.993400000000008</v>
      </c>
    </row>
    <row r="85" spans="1:14" ht="14.25" x14ac:dyDescent="0.2">
      <c r="A85" s="499" t="s">
        <v>1773</v>
      </c>
      <c r="B85" s="69">
        <v>100818</v>
      </c>
      <c r="C85" s="523" t="s">
        <v>52</v>
      </c>
      <c r="D85" s="1" t="s">
        <v>6</v>
      </c>
      <c r="E85" s="519">
        <v>6</v>
      </c>
      <c r="F85" s="519">
        <v>56.4</v>
      </c>
      <c r="G85" s="519">
        <f>Comp!I578</f>
        <v>69.595275144000013</v>
      </c>
      <c r="H85" s="514">
        <f>G85*E85</f>
        <v>417.57165086400005</v>
      </c>
      <c r="I85" s="47"/>
      <c r="L85">
        <v>0.23400000000000001</v>
      </c>
      <c r="M85" s="528">
        <f t="shared" si="3"/>
        <v>13.1976</v>
      </c>
      <c r="N85" s="528">
        <f t="shared" si="4"/>
        <v>69.5976</v>
      </c>
    </row>
    <row r="86" spans="1:14" ht="14.25" x14ac:dyDescent="0.2">
      <c r="A86" s="499" t="s">
        <v>228</v>
      </c>
      <c r="B86" s="69">
        <v>100228</v>
      </c>
      <c r="C86" s="523" t="s">
        <v>53</v>
      </c>
      <c r="D86" s="1" t="s">
        <v>5</v>
      </c>
      <c r="E86" s="519">
        <v>7</v>
      </c>
      <c r="F86" s="519">
        <v>103.64</v>
      </c>
      <c r="G86" s="519">
        <f>Comp!N589</f>
        <v>127.89176</v>
      </c>
      <c r="H86" s="514">
        <f>G86*E86</f>
        <v>895.24232000000006</v>
      </c>
      <c r="I86" s="47"/>
      <c r="L86">
        <v>0.23400000000000001</v>
      </c>
      <c r="M86" s="528">
        <f t="shared" si="3"/>
        <v>24.251760000000001</v>
      </c>
      <c r="N86" s="528">
        <f t="shared" si="4"/>
        <v>127.89176</v>
      </c>
    </row>
    <row r="87" spans="1:14" ht="14.25" x14ac:dyDescent="0.2">
      <c r="A87" s="499" t="s">
        <v>229</v>
      </c>
      <c r="B87" s="69">
        <v>100227</v>
      </c>
      <c r="C87" s="523" t="s">
        <v>54</v>
      </c>
      <c r="D87" s="1" t="s">
        <v>5</v>
      </c>
      <c r="E87" s="519">
        <v>6</v>
      </c>
      <c r="F87" s="519">
        <v>104.94</v>
      </c>
      <c r="G87" s="519">
        <f>Comp!I600</f>
        <v>129.4952706876</v>
      </c>
      <c r="H87" s="514">
        <f>G87*E87</f>
        <v>776.97162412559999</v>
      </c>
      <c r="I87" s="47"/>
      <c r="L87">
        <v>0.23400000000000001</v>
      </c>
      <c r="M87" s="528">
        <f t="shared" si="3"/>
        <v>24.555960000000002</v>
      </c>
      <c r="N87" s="528">
        <f t="shared" si="4"/>
        <v>129.49596</v>
      </c>
    </row>
    <row r="88" spans="1:14" ht="14.25" x14ac:dyDescent="0.2">
      <c r="A88" s="585"/>
      <c r="B88" s="586"/>
      <c r="C88" s="586"/>
      <c r="D88" s="586"/>
      <c r="E88" s="586"/>
      <c r="F88" s="586"/>
      <c r="G88" s="586"/>
      <c r="H88" s="587"/>
      <c r="I88" s="47"/>
      <c r="L88">
        <v>0.23400000000000001</v>
      </c>
      <c r="M88" s="528">
        <f t="shared" si="3"/>
        <v>0</v>
      </c>
      <c r="N88" s="528">
        <f t="shared" si="4"/>
        <v>0</v>
      </c>
    </row>
    <row r="89" spans="1:14" ht="15" x14ac:dyDescent="0.2">
      <c r="A89" s="507">
        <v>12</v>
      </c>
      <c r="B89" s="510"/>
      <c r="C89" s="524" t="s">
        <v>1780</v>
      </c>
      <c r="D89" s="511"/>
      <c r="E89" s="520"/>
      <c r="F89" s="520"/>
      <c r="G89" s="521"/>
      <c r="H89" s="513">
        <f>SUM(H90:H93)</f>
        <v>62022.766251053581</v>
      </c>
      <c r="I89" s="48">
        <f>SUM(H90:H93)</f>
        <v>62022.766251053581</v>
      </c>
      <c r="L89">
        <v>0.23400000000000001</v>
      </c>
      <c r="M89" s="528">
        <f t="shared" si="3"/>
        <v>0</v>
      </c>
      <c r="N89" s="528">
        <f t="shared" si="4"/>
        <v>0</v>
      </c>
    </row>
    <row r="90" spans="1:14" ht="14.25" x14ac:dyDescent="0.2">
      <c r="A90" s="499" t="s">
        <v>230</v>
      </c>
      <c r="B90" s="69">
        <v>110644</v>
      </c>
      <c r="C90" s="523" t="s">
        <v>49</v>
      </c>
      <c r="D90" s="1" t="s">
        <v>1</v>
      </c>
      <c r="E90" s="519">
        <f>'Memoria de Calculo'!F150</f>
        <v>196.88</v>
      </c>
      <c r="F90" s="519">
        <v>52.02</v>
      </c>
      <c r="G90" s="519">
        <f>Comp!I613</f>
        <v>64.187009403008418</v>
      </c>
      <c r="H90" s="514">
        <f>G90*E90</f>
        <v>12637.138411264297</v>
      </c>
      <c r="I90" s="47"/>
      <c r="L90">
        <v>0.23400000000000001</v>
      </c>
      <c r="M90" s="528">
        <f t="shared" si="3"/>
        <v>12.172680000000001</v>
      </c>
      <c r="N90" s="528">
        <f t="shared" si="4"/>
        <v>64.19268000000001</v>
      </c>
    </row>
    <row r="91" spans="1:14" ht="14.25" x14ac:dyDescent="0.2">
      <c r="A91" s="499" t="s">
        <v>231</v>
      </c>
      <c r="B91" s="69">
        <v>110143</v>
      </c>
      <c r="C91" s="523" t="s">
        <v>50</v>
      </c>
      <c r="D91" s="1" t="s">
        <v>1</v>
      </c>
      <c r="E91" s="519">
        <f>'Memoria de Calculo'!F154</f>
        <v>1491.8839999999998</v>
      </c>
      <c r="F91" s="519">
        <v>5.35</v>
      </c>
      <c r="G91" s="519">
        <f>Comp!I623</f>
        <v>6.5978653629600004</v>
      </c>
      <c r="H91" s="514">
        <f>G91*E91</f>
        <v>9843.2497691542158</v>
      </c>
      <c r="I91" s="47"/>
      <c r="L91">
        <v>0.23400000000000001</v>
      </c>
      <c r="M91" s="528">
        <f t="shared" si="3"/>
        <v>1.2519</v>
      </c>
      <c r="N91" s="528">
        <f t="shared" si="4"/>
        <v>6.6018999999999997</v>
      </c>
    </row>
    <row r="92" spans="1:14" ht="14.25" x14ac:dyDescent="0.2">
      <c r="A92" s="499" t="s">
        <v>232</v>
      </c>
      <c r="B92" s="69">
        <v>110762</v>
      </c>
      <c r="C92" s="523" t="s">
        <v>320</v>
      </c>
      <c r="D92" s="1" t="s">
        <v>1</v>
      </c>
      <c r="E92" s="519">
        <f>'Memoria de Calculo'!F158</f>
        <v>196.88</v>
      </c>
      <c r="F92" s="519">
        <v>18.84</v>
      </c>
      <c r="G92" s="519">
        <f>Comp!I633</f>
        <v>23.2495615144</v>
      </c>
      <c r="H92" s="514">
        <f>G92*E92</f>
        <v>4577.3736709550722</v>
      </c>
      <c r="I92" s="47"/>
      <c r="L92">
        <v>0.23400000000000001</v>
      </c>
      <c r="M92" s="528">
        <f t="shared" si="3"/>
        <v>4.4085600000000005</v>
      </c>
      <c r="N92" s="528">
        <f t="shared" si="4"/>
        <v>23.248560000000001</v>
      </c>
    </row>
    <row r="93" spans="1:14" ht="14.25" x14ac:dyDescent="0.2">
      <c r="A93" s="499" t="s">
        <v>233</v>
      </c>
      <c r="B93" s="69">
        <v>110763</v>
      </c>
      <c r="C93" s="523" t="s">
        <v>321</v>
      </c>
      <c r="D93" s="1" t="s">
        <v>1</v>
      </c>
      <c r="E93" s="519">
        <f>'Memoria de Calculo'!F162</f>
        <v>1295.0039999999999</v>
      </c>
      <c r="F93" s="519">
        <v>21.88</v>
      </c>
      <c r="G93" s="519">
        <f>Comp!N643</f>
        <v>26.999919999999999</v>
      </c>
      <c r="H93" s="514">
        <f>G93*E93</f>
        <v>34965.004399679994</v>
      </c>
      <c r="I93" s="47"/>
      <c r="L93">
        <v>0.23400000000000001</v>
      </c>
      <c r="M93" s="528">
        <f t="shared" si="3"/>
        <v>5.1199200000000005</v>
      </c>
      <c r="N93" s="528">
        <f t="shared" si="4"/>
        <v>26.999919999999999</v>
      </c>
    </row>
    <row r="94" spans="1:14" ht="14.25" x14ac:dyDescent="0.2">
      <c r="A94" s="585"/>
      <c r="B94" s="586"/>
      <c r="C94" s="586"/>
      <c r="D94" s="586"/>
      <c r="E94" s="586"/>
      <c r="F94" s="586"/>
      <c r="G94" s="586"/>
      <c r="H94" s="587"/>
      <c r="I94" s="47"/>
      <c r="L94">
        <v>0.23400000000000001</v>
      </c>
      <c r="M94" s="528">
        <f t="shared" si="3"/>
        <v>0</v>
      </c>
      <c r="N94" s="528">
        <f t="shared" si="4"/>
        <v>0</v>
      </c>
    </row>
    <row r="95" spans="1:14" ht="15" x14ac:dyDescent="0.2">
      <c r="A95" s="507">
        <v>13</v>
      </c>
      <c r="B95" s="510"/>
      <c r="C95" s="524" t="s">
        <v>1781</v>
      </c>
      <c r="D95" s="511"/>
      <c r="E95" s="520"/>
      <c r="F95" s="520"/>
      <c r="G95" s="521"/>
      <c r="H95" s="513">
        <f>SUM(H96)</f>
        <v>4770.5656707749395</v>
      </c>
      <c r="I95" s="48">
        <f>SUM(H96:H98)</f>
        <v>92473.426240101238</v>
      </c>
      <c r="L95">
        <v>0.23400000000000001</v>
      </c>
      <c r="M95" s="528">
        <f t="shared" si="3"/>
        <v>0</v>
      </c>
      <c r="N95" s="528">
        <f t="shared" si="4"/>
        <v>0</v>
      </c>
    </row>
    <row r="96" spans="1:14" ht="14.25" x14ac:dyDescent="0.2">
      <c r="A96" s="499" t="s">
        <v>234</v>
      </c>
      <c r="B96" s="70">
        <v>120164</v>
      </c>
      <c r="C96" s="523" t="s">
        <v>48</v>
      </c>
      <c r="D96" s="1" t="s">
        <v>2</v>
      </c>
      <c r="E96" s="519">
        <f>(6*2+8*2-1)*6+(4*2+6*2-0.86)*2+(5*2+8*2-1)+(2.3*2+5*2-0.86)+(3*2+5*2-1)+(4.08*4+6*2-2)+(3.5*2+6*2-1)+(6*2+7.7*2-1)+(5.6*2+7.7*2-1)+(5.5*2+7.7*2-0.86)+(7.7*2+3.1*2-1)+(7.7*2+5.65*2-1)</f>
        <v>422.18000000000006</v>
      </c>
      <c r="F96" s="519">
        <v>9.16</v>
      </c>
      <c r="G96" s="519">
        <f>Comp!I653</f>
        <v>11.299838151439999</v>
      </c>
      <c r="H96" s="514">
        <f>G96*E96</f>
        <v>4770.5656707749395</v>
      </c>
      <c r="I96" s="47"/>
      <c r="L96">
        <v>0.23400000000000001</v>
      </c>
      <c r="M96" s="528">
        <f t="shared" si="3"/>
        <v>2.14344</v>
      </c>
      <c r="N96" s="528">
        <f t="shared" si="4"/>
        <v>11.30344</v>
      </c>
    </row>
    <row r="97" spans="1:14" ht="14.25" x14ac:dyDescent="0.2">
      <c r="A97" s="585"/>
      <c r="B97" s="586"/>
      <c r="C97" s="586"/>
      <c r="D97" s="586"/>
      <c r="E97" s="586"/>
      <c r="F97" s="586"/>
      <c r="G97" s="586"/>
      <c r="H97" s="587"/>
      <c r="I97" s="47"/>
      <c r="L97">
        <v>0.23400000000000001</v>
      </c>
      <c r="M97" s="528">
        <f t="shared" si="3"/>
        <v>0</v>
      </c>
      <c r="N97" s="528">
        <f t="shared" si="4"/>
        <v>0</v>
      </c>
    </row>
    <row r="98" spans="1:14" ht="15" x14ac:dyDescent="0.2">
      <c r="A98" s="507">
        <v>14</v>
      </c>
      <c r="B98" s="510"/>
      <c r="C98" s="524" t="s">
        <v>348</v>
      </c>
      <c r="D98" s="511"/>
      <c r="E98" s="520"/>
      <c r="F98" s="520"/>
      <c r="G98" s="521"/>
      <c r="H98" s="513">
        <f>SUM(H99:H103)</f>
        <v>87702.860569326294</v>
      </c>
      <c r="I98" s="48">
        <f>SUM(H99:H103)</f>
        <v>87702.860569326294</v>
      </c>
      <c r="L98">
        <v>0.23400000000000001</v>
      </c>
      <c r="M98" s="528">
        <f t="shared" si="3"/>
        <v>0</v>
      </c>
      <c r="N98" s="528">
        <f t="shared" si="4"/>
        <v>0</v>
      </c>
    </row>
    <row r="99" spans="1:14" ht="14.25" x14ac:dyDescent="0.2">
      <c r="A99" s="499" t="s">
        <v>235</v>
      </c>
      <c r="B99" s="69">
        <v>130492</v>
      </c>
      <c r="C99" s="523" t="s">
        <v>43</v>
      </c>
      <c r="D99" s="1" t="s">
        <v>1</v>
      </c>
      <c r="E99" s="519">
        <f>'Memoria de Calculo'!F170</f>
        <v>165.07499999999999</v>
      </c>
      <c r="F99" s="519">
        <v>65.010000000000005</v>
      </c>
      <c r="G99" s="519">
        <f>Comp!I663</f>
        <v>80.220015144000001</v>
      </c>
      <c r="H99" s="514">
        <f>G99*E99</f>
        <v>13242.318999895799</v>
      </c>
      <c r="I99" s="47"/>
      <c r="L99">
        <v>0.23400000000000001</v>
      </c>
      <c r="M99" s="528">
        <f t="shared" si="3"/>
        <v>15.212340000000003</v>
      </c>
      <c r="N99" s="528">
        <f t="shared" si="4"/>
        <v>80.222340000000003</v>
      </c>
    </row>
    <row r="100" spans="1:14" ht="14.25" x14ac:dyDescent="0.2">
      <c r="A100" s="499" t="s">
        <v>236</v>
      </c>
      <c r="B100" s="69">
        <v>130507</v>
      </c>
      <c r="C100" s="523" t="s">
        <v>44</v>
      </c>
      <c r="D100" s="1" t="s">
        <v>1</v>
      </c>
      <c r="E100" s="519">
        <f>'Memoria de Calculo'!F185</f>
        <v>532.54690000000005</v>
      </c>
      <c r="F100" s="519">
        <v>35.49</v>
      </c>
      <c r="G100" s="519">
        <f>Comp!I673</f>
        <v>43.786165144000002</v>
      </c>
      <c r="H100" s="514">
        <f>G100*E100</f>
        <v>23318.186510325257</v>
      </c>
      <c r="I100" s="47"/>
      <c r="L100">
        <v>0.23400000000000001</v>
      </c>
      <c r="M100" s="528">
        <f t="shared" si="3"/>
        <v>8.3046600000000002</v>
      </c>
      <c r="N100" s="528">
        <f t="shared" si="4"/>
        <v>43.79466</v>
      </c>
    </row>
    <row r="101" spans="1:14" ht="14.25" x14ac:dyDescent="0.2">
      <c r="A101" s="499" t="s">
        <v>237</v>
      </c>
      <c r="B101" s="69">
        <v>130110</v>
      </c>
      <c r="C101" s="523" t="s">
        <v>45</v>
      </c>
      <c r="D101" s="1" t="s">
        <v>1</v>
      </c>
      <c r="E101" s="519">
        <f>'Memoria de Calculo'!F200</f>
        <v>532.54690000000005</v>
      </c>
      <c r="F101" s="519">
        <v>18.329999999999998</v>
      </c>
      <c r="G101" s="519">
        <f>Comp!I685</f>
        <v>22.615014774800002</v>
      </c>
      <c r="H101" s="514">
        <f>G101*E101</f>
        <v>12043.556011773941</v>
      </c>
      <c r="I101" s="47"/>
      <c r="L101">
        <v>0.23400000000000001</v>
      </c>
      <c r="M101" s="528">
        <f t="shared" si="3"/>
        <v>4.2892200000000003</v>
      </c>
      <c r="N101" s="528">
        <f t="shared" si="4"/>
        <v>22.619219999999999</v>
      </c>
    </row>
    <row r="102" spans="1:14" ht="14.25" x14ac:dyDescent="0.2">
      <c r="A102" s="499" t="s">
        <v>238</v>
      </c>
      <c r="B102" s="69">
        <v>131026</v>
      </c>
      <c r="C102" s="523" t="s">
        <v>46</v>
      </c>
      <c r="D102" s="1" t="s">
        <v>1</v>
      </c>
      <c r="E102" s="519">
        <f>'Memoria de Calculo'!F209</f>
        <v>67.584400000000002</v>
      </c>
      <c r="F102" s="519">
        <v>51.88</v>
      </c>
      <c r="G102" s="519">
        <f>Comp!I695</f>
        <v>64.017595143999998</v>
      </c>
      <c r="H102" s="514">
        <f>G102*E102</f>
        <v>4326.5907572501537</v>
      </c>
      <c r="I102" s="47"/>
      <c r="L102">
        <v>0.23400000000000001</v>
      </c>
      <c r="M102" s="528">
        <f t="shared" si="3"/>
        <v>12.139920000000002</v>
      </c>
      <c r="N102" s="528">
        <f t="shared" si="4"/>
        <v>64.019919999999999</v>
      </c>
    </row>
    <row r="103" spans="1:14" ht="14.25" x14ac:dyDescent="0.2">
      <c r="A103" s="499" t="s">
        <v>239</v>
      </c>
      <c r="B103" s="69">
        <v>130725</v>
      </c>
      <c r="C103" s="523" t="s">
        <v>47</v>
      </c>
      <c r="D103" s="1" t="s">
        <v>1</v>
      </c>
      <c r="E103" s="519">
        <f>'Memoria de Calculo'!F222</f>
        <v>464.77530000000002</v>
      </c>
      <c r="F103" s="519">
        <v>60.63</v>
      </c>
      <c r="G103" s="519">
        <f>Comp!I705</f>
        <v>74.815095143999997</v>
      </c>
      <c r="H103" s="514">
        <f>G103*E103</f>
        <v>34772.208290081144</v>
      </c>
      <c r="I103" s="47"/>
      <c r="L103">
        <v>0.23400000000000001</v>
      </c>
      <c r="M103" s="528">
        <f t="shared" si="3"/>
        <v>14.187420000000001</v>
      </c>
      <c r="N103" s="528">
        <f t="shared" si="4"/>
        <v>74.817419999999998</v>
      </c>
    </row>
    <row r="104" spans="1:14" ht="14.25" x14ac:dyDescent="0.2">
      <c r="A104" s="585"/>
      <c r="B104" s="586"/>
      <c r="C104" s="586"/>
      <c r="D104" s="586"/>
      <c r="E104" s="586"/>
      <c r="F104" s="586"/>
      <c r="G104" s="586"/>
      <c r="H104" s="587"/>
      <c r="I104" s="47"/>
      <c r="L104">
        <v>0.23400000000000001</v>
      </c>
      <c r="M104" s="528">
        <f t="shared" si="3"/>
        <v>0</v>
      </c>
      <c r="N104" s="528">
        <f t="shared" si="4"/>
        <v>0</v>
      </c>
    </row>
    <row r="105" spans="1:14" ht="15" x14ac:dyDescent="0.2">
      <c r="A105" s="507">
        <v>15</v>
      </c>
      <c r="B105" s="510"/>
      <c r="C105" s="524" t="s">
        <v>349</v>
      </c>
      <c r="D105" s="511"/>
      <c r="E105" s="520"/>
      <c r="F105" s="520"/>
      <c r="G105" s="521"/>
      <c r="H105" s="513">
        <f>SUM(H106:H107)</f>
        <v>16534.248285865277</v>
      </c>
      <c r="I105" s="48">
        <f>SUM(H106:H107)</f>
        <v>16534.248285865277</v>
      </c>
      <c r="L105">
        <v>0.23400000000000001</v>
      </c>
      <c r="M105" s="528">
        <f t="shared" si="3"/>
        <v>0</v>
      </c>
      <c r="N105" s="528">
        <f t="shared" si="4"/>
        <v>0</v>
      </c>
    </row>
    <row r="106" spans="1:14" ht="14.25" x14ac:dyDescent="0.2">
      <c r="A106" s="499" t="s">
        <v>240</v>
      </c>
      <c r="B106" s="69">
        <v>140348</v>
      </c>
      <c r="C106" s="523" t="s">
        <v>41</v>
      </c>
      <c r="D106" s="1" t="s">
        <v>1</v>
      </c>
      <c r="E106" s="519">
        <f>'Memoria de Calculo'!F235</f>
        <v>248.96690000000004</v>
      </c>
      <c r="F106" s="519">
        <v>26.47</v>
      </c>
      <c r="G106" s="519">
        <f>Comp!I715</f>
        <v>32.655413572</v>
      </c>
      <c r="H106" s="514">
        <f>G106*E106</f>
        <v>8130.1170852387686</v>
      </c>
      <c r="I106" s="47"/>
      <c r="L106">
        <v>0.23400000000000001</v>
      </c>
      <c r="M106" s="528">
        <f t="shared" si="3"/>
        <v>6.1939799999999998</v>
      </c>
      <c r="N106" s="528">
        <f t="shared" si="4"/>
        <v>32.663979999999995</v>
      </c>
    </row>
    <row r="107" spans="1:14" ht="14.25" x14ac:dyDescent="0.2">
      <c r="A107" s="499" t="s">
        <v>241</v>
      </c>
      <c r="B107" s="69">
        <v>141336</v>
      </c>
      <c r="C107" s="523" t="s">
        <v>42</v>
      </c>
      <c r="D107" s="1" t="s">
        <v>1</v>
      </c>
      <c r="E107" s="519">
        <f>'Memoria de Calculo'!F248</f>
        <v>248.96690000000004</v>
      </c>
      <c r="F107" s="519">
        <v>27.36</v>
      </c>
      <c r="G107" s="519">
        <f>Comp!I725</f>
        <v>33.756018171999997</v>
      </c>
      <c r="H107" s="514">
        <f>G107*E107</f>
        <v>8404.1312006265071</v>
      </c>
      <c r="I107" s="47"/>
      <c r="L107">
        <v>0.23400000000000001</v>
      </c>
      <c r="M107" s="528">
        <f t="shared" si="3"/>
        <v>6.4022399999999999</v>
      </c>
      <c r="N107" s="528">
        <f t="shared" si="4"/>
        <v>33.762239999999998</v>
      </c>
    </row>
    <row r="108" spans="1:14" ht="14.25" x14ac:dyDescent="0.2">
      <c r="A108" s="585"/>
      <c r="B108" s="586"/>
      <c r="C108" s="586"/>
      <c r="D108" s="586"/>
      <c r="E108" s="586"/>
      <c r="F108" s="586"/>
      <c r="G108" s="586"/>
      <c r="H108" s="587"/>
      <c r="I108" s="47"/>
      <c r="L108">
        <v>0.23400000000000001</v>
      </c>
      <c r="M108" s="528">
        <f t="shared" si="3"/>
        <v>0</v>
      </c>
      <c r="N108" s="528">
        <f t="shared" si="4"/>
        <v>0</v>
      </c>
    </row>
    <row r="109" spans="1:14" ht="15" x14ac:dyDescent="0.2">
      <c r="A109" s="507">
        <v>16</v>
      </c>
      <c r="B109" s="510"/>
      <c r="C109" s="524" t="s">
        <v>350</v>
      </c>
      <c r="D109" s="511"/>
      <c r="E109" s="520"/>
      <c r="F109" s="520"/>
      <c r="G109" s="521"/>
      <c r="H109" s="513">
        <f>SUM(H110:H117)</f>
        <v>38732.742240953237</v>
      </c>
      <c r="I109" s="48">
        <f>SUM(H110:H117)</f>
        <v>38732.742240953237</v>
      </c>
      <c r="L109">
        <v>0.23400000000000001</v>
      </c>
      <c r="M109" s="528">
        <f t="shared" si="3"/>
        <v>0</v>
      </c>
      <c r="N109" s="528">
        <f t="shared" si="4"/>
        <v>0</v>
      </c>
    </row>
    <row r="110" spans="1:14" ht="14.25" x14ac:dyDescent="0.2">
      <c r="A110" s="502" t="s">
        <v>242</v>
      </c>
      <c r="B110" s="69"/>
      <c r="C110" s="525" t="s">
        <v>1759</v>
      </c>
      <c r="D110" s="1"/>
      <c r="E110" s="519"/>
      <c r="F110" s="519"/>
      <c r="G110" s="519"/>
      <c r="H110" s="514"/>
      <c r="I110" s="47"/>
      <c r="L110">
        <v>0.23400000000000001</v>
      </c>
      <c r="M110" s="528">
        <f t="shared" si="3"/>
        <v>0</v>
      </c>
      <c r="N110" s="528">
        <f t="shared" si="4"/>
        <v>0</v>
      </c>
    </row>
    <row r="111" spans="1:14" ht="14.25" x14ac:dyDescent="0.2">
      <c r="A111" s="499" t="s">
        <v>243</v>
      </c>
      <c r="B111" s="69">
        <v>150491</v>
      </c>
      <c r="C111" s="523" t="s">
        <v>39</v>
      </c>
      <c r="D111" s="1" t="s">
        <v>1</v>
      </c>
      <c r="E111" s="519">
        <f>'Memoria de Calculo'!F258</f>
        <v>180.75</v>
      </c>
      <c r="F111" s="519">
        <v>25.21</v>
      </c>
      <c r="G111" s="519">
        <f>Comp!I735</f>
        <v>31.106819660440003</v>
      </c>
      <c r="H111" s="514">
        <f>G111*E111</f>
        <v>5622.5576536245308</v>
      </c>
      <c r="I111" s="47"/>
      <c r="L111">
        <v>0.23400000000000001</v>
      </c>
      <c r="M111" s="528">
        <f t="shared" si="3"/>
        <v>5.8991400000000009</v>
      </c>
      <c r="N111" s="528">
        <f t="shared" si="4"/>
        <v>31.109140000000004</v>
      </c>
    </row>
    <row r="112" spans="1:14" ht="14.25" x14ac:dyDescent="0.2">
      <c r="A112" s="499" t="s">
        <v>244</v>
      </c>
      <c r="B112" s="69">
        <v>150134</v>
      </c>
      <c r="C112" s="523" t="s">
        <v>40</v>
      </c>
      <c r="D112" s="1" t="s">
        <v>1</v>
      </c>
      <c r="E112" s="519">
        <f>'Memoria de Calculo'!F265</f>
        <v>20.490000000000002</v>
      </c>
      <c r="F112" s="519">
        <v>21.63</v>
      </c>
      <c r="G112" s="519">
        <f>Comp!I745</f>
        <v>26.688886869480001</v>
      </c>
      <c r="H112" s="514">
        <f>G112*E112</f>
        <v>546.85529195564527</v>
      </c>
      <c r="I112" s="47"/>
      <c r="L112">
        <v>0.23400000000000001</v>
      </c>
      <c r="M112" s="528">
        <f t="shared" si="3"/>
        <v>5.06142</v>
      </c>
      <c r="N112" s="528">
        <f t="shared" si="4"/>
        <v>26.691420000000001</v>
      </c>
    </row>
    <row r="113" spans="1:14" ht="14.25" x14ac:dyDescent="0.2">
      <c r="A113" s="502" t="s">
        <v>245</v>
      </c>
      <c r="B113" s="69"/>
      <c r="C113" s="525" t="s">
        <v>1760</v>
      </c>
      <c r="D113" s="1"/>
      <c r="E113" s="519"/>
      <c r="F113" s="519"/>
      <c r="G113" s="519"/>
      <c r="H113" s="514"/>
      <c r="I113" s="47"/>
      <c r="L113">
        <v>0.23400000000000001</v>
      </c>
      <c r="M113" s="528">
        <f t="shared" si="3"/>
        <v>0</v>
      </c>
      <c r="N113" s="528">
        <f t="shared" si="4"/>
        <v>0</v>
      </c>
    </row>
    <row r="114" spans="1:14" ht="14.25" x14ac:dyDescent="0.2">
      <c r="A114" s="499" t="s">
        <v>246</v>
      </c>
      <c r="B114" s="69">
        <v>150741</v>
      </c>
      <c r="C114" s="523" t="s">
        <v>37</v>
      </c>
      <c r="D114" s="1" t="s">
        <v>1</v>
      </c>
      <c r="E114" s="519">
        <f>'Memoria de Calculo'!F271</f>
        <v>686.06</v>
      </c>
      <c r="F114" s="519">
        <v>7.39</v>
      </c>
      <c r="G114" s="519">
        <f>Comp!I755</f>
        <v>9.1206192485319999</v>
      </c>
      <c r="H114" s="514">
        <f>G114*E114</f>
        <v>6257.2920416478637</v>
      </c>
      <c r="I114" s="47"/>
      <c r="L114">
        <v>0.23400000000000001</v>
      </c>
      <c r="M114" s="528">
        <f t="shared" si="3"/>
        <v>1.72926</v>
      </c>
      <c r="N114" s="528">
        <f t="shared" si="4"/>
        <v>9.1192600000000006</v>
      </c>
    </row>
    <row r="115" spans="1:14" ht="14.25" x14ac:dyDescent="0.2">
      <c r="A115" s="499" t="s">
        <v>247</v>
      </c>
      <c r="B115" s="69">
        <v>150253</v>
      </c>
      <c r="C115" s="523" t="s">
        <v>38</v>
      </c>
      <c r="D115" s="1" t="s">
        <v>1</v>
      </c>
      <c r="E115" s="519">
        <f>'Memoria de Calculo'!F276</f>
        <v>853.81000000000006</v>
      </c>
      <c r="F115" s="519">
        <v>23.11</v>
      </c>
      <c r="G115" s="519">
        <f>Comp!I765</f>
        <v>28.519666895935998</v>
      </c>
      <c r="H115" s="514">
        <f>G115*E115</f>
        <v>24350.376792419116</v>
      </c>
      <c r="I115" s="47"/>
      <c r="L115">
        <v>0.23400000000000001</v>
      </c>
      <c r="M115" s="528">
        <f t="shared" si="3"/>
        <v>5.4077400000000004</v>
      </c>
      <c r="N115" s="528">
        <f t="shared" si="4"/>
        <v>28.51774</v>
      </c>
    </row>
    <row r="116" spans="1:14" ht="14.25" x14ac:dyDescent="0.2">
      <c r="A116" s="502" t="s">
        <v>248</v>
      </c>
      <c r="B116" s="69"/>
      <c r="C116" s="525" t="s">
        <v>1761</v>
      </c>
      <c r="D116" s="1"/>
      <c r="E116" s="519"/>
      <c r="F116" s="519"/>
      <c r="G116" s="519"/>
      <c r="H116" s="514"/>
      <c r="I116" s="47"/>
      <c r="L116">
        <v>0.23400000000000001</v>
      </c>
      <c r="M116" s="528">
        <f t="shared" si="3"/>
        <v>0</v>
      </c>
      <c r="N116" s="528">
        <f t="shared" si="4"/>
        <v>0</v>
      </c>
    </row>
    <row r="117" spans="1:14" ht="14.25" x14ac:dyDescent="0.2">
      <c r="A117" s="499" t="s">
        <v>249</v>
      </c>
      <c r="B117" s="69">
        <v>150207</v>
      </c>
      <c r="C117" s="523" t="s">
        <v>36</v>
      </c>
      <c r="D117" s="1" t="s">
        <v>1</v>
      </c>
      <c r="E117" s="519">
        <f>'Memoria de Calculo'!F283</f>
        <v>165.07499999999999</v>
      </c>
      <c r="F117" s="519">
        <v>9.6</v>
      </c>
      <c r="G117" s="519">
        <f>Comp!I775</f>
        <v>11.847102597644</v>
      </c>
      <c r="H117" s="514">
        <f>G117*E117</f>
        <v>1955.6604613060831</v>
      </c>
      <c r="I117" s="47"/>
      <c r="L117">
        <v>0.23400000000000001</v>
      </c>
      <c r="M117" s="528">
        <f t="shared" si="3"/>
        <v>2.2464</v>
      </c>
      <c r="N117" s="528">
        <f t="shared" si="4"/>
        <v>11.846399999999999</v>
      </c>
    </row>
    <row r="118" spans="1:14" ht="14.25" x14ac:dyDescent="0.2">
      <c r="A118" s="585"/>
      <c r="B118" s="586"/>
      <c r="C118" s="586"/>
      <c r="D118" s="586"/>
      <c r="E118" s="586"/>
      <c r="F118" s="586"/>
      <c r="G118" s="586"/>
      <c r="H118" s="587"/>
      <c r="I118" s="47"/>
      <c r="L118">
        <v>0.23400000000000001</v>
      </c>
      <c r="M118" s="528">
        <f t="shared" si="3"/>
        <v>0</v>
      </c>
      <c r="N118" s="528">
        <f t="shared" si="4"/>
        <v>0</v>
      </c>
    </row>
    <row r="119" spans="1:14" ht="15" x14ac:dyDescent="0.2">
      <c r="A119" s="507">
        <v>17</v>
      </c>
      <c r="B119" s="510"/>
      <c r="C119" s="524" t="s">
        <v>88</v>
      </c>
      <c r="D119" s="511"/>
      <c r="E119" s="520"/>
      <c r="F119" s="520"/>
      <c r="G119" s="521"/>
      <c r="H119" s="513">
        <f>SUM(H120:H128)</f>
        <v>21844.875162552002</v>
      </c>
      <c r="I119" s="48">
        <f>SUM(H120:H128)</f>
        <v>21844.875162552002</v>
      </c>
      <c r="L119">
        <v>0.23400000000000001</v>
      </c>
      <c r="M119" s="528">
        <f t="shared" si="3"/>
        <v>0</v>
      </c>
      <c r="N119" s="528">
        <f t="shared" si="4"/>
        <v>0</v>
      </c>
    </row>
    <row r="120" spans="1:14" ht="14.25" x14ac:dyDescent="0.2">
      <c r="A120" s="502" t="s">
        <v>252</v>
      </c>
      <c r="B120" s="69"/>
      <c r="C120" s="525" t="s">
        <v>1762</v>
      </c>
      <c r="D120" s="1"/>
      <c r="E120" s="519"/>
      <c r="F120" s="519"/>
      <c r="G120" s="519"/>
      <c r="H120" s="514"/>
      <c r="I120" s="47"/>
      <c r="L120">
        <v>0.23400000000000001</v>
      </c>
      <c r="M120" s="528">
        <f t="shared" si="3"/>
        <v>0</v>
      </c>
      <c r="N120" s="528">
        <f t="shared" si="4"/>
        <v>0</v>
      </c>
    </row>
    <row r="121" spans="1:14" ht="14.25" x14ac:dyDescent="0.2">
      <c r="A121" s="499" t="s">
        <v>253</v>
      </c>
      <c r="B121" s="69">
        <v>170887</v>
      </c>
      <c r="C121" s="523" t="s">
        <v>34</v>
      </c>
      <c r="D121" s="1" t="s">
        <v>6</v>
      </c>
      <c r="E121" s="519">
        <v>1</v>
      </c>
      <c r="F121" s="519">
        <v>332.44</v>
      </c>
      <c r="G121" s="519">
        <f>Comp!I785</f>
        <v>410.23078230400006</v>
      </c>
      <c r="H121" s="514">
        <f>G121*E121</f>
        <v>410.23078230400006</v>
      </c>
      <c r="I121" s="47"/>
      <c r="L121">
        <v>0.23400000000000001</v>
      </c>
      <c r="M121" s="528">
        <f t="shared" si="3"/>
        <v>77.790959999999998</v>
      </c>
      <c r="N121" s="528">
        <f t="shared" si="4"/>
        <v>410.23095999999998</v>
      </c>
    </row>
    <row r="122" spans="1:14" ht="14.25" x14ac:dyDescent="0.2">
      <c r="A122" s="499" t="s">
        <v>254</v>
      </c>
      <c r="B122" s="69">
        <v>170615</v>
      </c>
      <c r="C122" s="523" t="s">
        <v>35</v>
      </c>
      <c r="D122" s="1" t="s">
        <v>6</v>
      </c>
      <c r="E122" s="519">
        <v>1</v>
      </c>
      <c r="F122" s="519">
        <v>431.18</v>
      </c>
      <c r="G122" s="519">
        <f>Comp!I795</f>
        <v>532.08112510399997</v>
      </c>
      <c r="H122" s="514">
        <f>G122*E122</f>
        <v>532.08112510399997</v>
      </c>
      <c r="I122" s="47"/>
      <c r="L122">
        <v>0.23400000000000001</v>
      </c>
      <c r="M122" s="528">
        <f t="shared" si="3"/>
        <v>100.89612000000001</v>
      </c>
      <c r="N122" s="528">
        <f t="shared" si="4"/>
        <v>532.07612000000006</v>
      </c>
    </row>
    <row r="123" spans="1:14" ht="14.25" x14ac:dyDescent="0.2">
      <c r="A123" s="502" t="s">
        <v>1278</v>
      </c>
      <c r="B123" s="69"/>
      <c r="C123" s="525" t="s">
        <v>1763</v>
      </c>
      <c r="D123" s="1"/>
      <c r="E123" s="519"/>
      <c r="F123" s="519"/>
      <c r="G123" s="519"/>
      <c r="H123" s="514"/>
      <c r="I123" s="47"/>
      <c r="L123">
        <v>0.23400000000000001</v>
      </c>
      <c r="M123" s="528">
        <f t="shared" si="3"/>
        <v>0</v>
      </c>
      <c r="N123" s="528">
        <f t="shared" si="4"/>
        <v>0</v>
      </c>
    </row>
    <row r="124" spans="1:14" ht="14.25" x14ac:dyDescent="0.2">
      <c r="A124" s="499" t="s">
        <v>1774</v>
      </c>
      <c r="B124" s="69">
        <v>170701</v>
      </c>
      <c r="C124" s="523" t="s">
        <v>31</v>
      </c>
      <c r="D124" s="1" t="s">
        <v>26</v>
      </c>
      <c r="E124" s="519">
        <v>39</v>
      </c>
      <c r="F124" s="519">
        <v>223.17</v>
      </c>
      <c r="G124" s="519">
        <f>Comp!I805</f>
        <v>275.38604930399998</v>
      </c>
      <c r="H124" s="514">
        <f>G124*E124</f>
        <v>10740.055922856</v>
      </c>
      <c r="I124" s="47"/>
      <c r="L124">
        <v>0.23400000000000001</v>
      </c>
      <c r="M124" s="528">
        <f t="shared" si="3"/>
        <v>52.221780000000003</v>
      </c>
      <c r="N124" s="528">
        <f t="shared" si="4"/>
        <v>275.39177999999998</v>
      </c>
    </row>
    <row r="125" spans="1:14" ht="14.25" x14ac:dyDescent="0.2">
      <c r="A125" s="499" t="s">
        <v>1775</v>
      </c>
      <c r="B125" s="69">
        <v>170081</v>
      </c>
      <c r="C125" s="523" t="s">
        <v>32</v>
      </c>
      <c r="D125" s="1" t="s">
        <v>26</v>
      </c>
      <c r="E125" s="519">
        <v>40</v>
      </c>
      <c r="F125" s="519">
        <v>107.36</v>
      </c>
      <c r="G125" s="519">
        <f>Comp!I815</f>
        <v>132.47991514399999</v>
      </c>
      <c r="H125" s="514">
        <f>G125*E125</f>
        <v>5299.1966057599993</v>
      </c>
      <c r="I125" s="47"/>
      <c r="L125">
        <v>0.23400000000000001</v>
      </c>
      <c r="M125" s="528">
        <f t="shared" si="3"/>
        <v>25.122240000000001</v>
      </c>
      <c r="N125" s="528">
        <f t="shared" si="4"/>
        <v>132.48223999999999</v>
      </c>
    </row>
    <row r="126" spans="1:14" ht="14.25" x14ac:dyDescent="0.2">
      <c r="A126" s="499" t="s">
        <v>1776</v>
      </c>
      <c r="B126" s="69">
        <v>170692</v>
      </c>
      <c r="C126" s="523" t="s">
        <v>33</v>
      </c>
      <c r="D126" s="1" t="s">
        <v>26</v>
      </c>
      <c r="E126" s="519">
        <v>26</v>
      </c>
      <c r="F126" s="519">
        <v>53.17</v>
      </c>
      <c r="G126" s="519">
        <f>Comp!I825</f>
        <v>65.608601215999997</v>
      </c>
      <c r="H126" s="514">
        <f>G126*E126</f>
        <v>1705.8236316159998</v>
      </c>
      <c r="I126" s="47"/>
      <c r="L126">
        <v>0.23400000000000001</v>
      </c>
      <c r="M126" s="528">
        <f t="shared" si="3"/>
        <v>12.441780000000001</v>
      </c>
      <c r="N126" s="528">
        <f t="shared" si="4"/>
        <v>65.61178000000001</v>
      </c>
    </row>
    <row r="127" spans="1:14" ht="14.25" x14ac:dyDescent="0.2">
      <c r="A127" s="502" t="s">
        <v>255</v>
      </c>
      <c r="B127" s="69"/>
      <c r="C127" s="525" t="s">
        <v>1764</v>
      </c>
      <c r="D127" s="1"/>
      <c r="E127" s="519"/>
      <c r="F127" s="519"/>
      <c r="G127" s="519"/>
      <c r="H127" s="514"/>
      <c r="I127" s="47"/>
      <c r="L127">
        <v>0.23400000000000001</v>
      </c>
      <c r="M127" s="528">
        <f t="shared" si="3"/>
        <v>0</v>
      </c>
      <c r="N127" s="528">
        <f t="shared" si="4"/>
        <v>0</v>
      </c>
    </row>
    <row r="128" spans="1:14" ht="14.25" x14ac:dyDescent="0.2">
      <c r="A128" s="499" t="s">
        <v>256</v>
      </c>
      <c r="B128" s="69">
        <v>170981</v>
      </c>
      <c r="C128" s="523" t="s">
        <v>30</v>
      </c>
      <c r="D128" s="1" t="s">
        <v>6</v>
      </c>
      <c r="E128" s="519">
        <v>40</v>
      </c>
      <c r="F128" s="519">
        <v>63.97</v>
      </c>
      <c r="G128" s="519">
        <f>Comp!I835</f>
        <v>78.937177372800008</v>
      </c>
      <c r="H128" s="514">
        <f>G128*E128</f>
        <v>3157.4870949120004</v>
      </c>
      <c r="I128" s="47"/>
      <c r="L128">
        <v>0.23400000000000001</v>
      </c>
      <c r="M128" s="528">
        <f t="shared" si="3"/>
        <v>14.96898</v>
      </c>
      <c r="N128" s="528">
        <f t="shared" si="4"/>
        <v>78.938980000000001</v>
      </c>
    </row>
    <row r="129" spans="1:14" ht="14.25" x14ac:dyDescent="0.2">
      <c r="A129" s="585"/>
      <c r="B129" s="586"/>
      <c r="C129" s="586"/>
      <c r="D129" s="586"/>
      <c r="E129" s="586"/>
      <c r="F129" s="586"/>
      <c r="G129" s="586"/>
      <c r="H129" s="587"/>
      <c r="I129" s="47"/>
      <c r="L129">
        <v>0.23400000000000001</v>
      </c>
      <c r="M129" s="528">
        <f t="shared" si="3"/>
        <v>0</v>
      </c>
      <c r="N129" s="528">
        <f t="shared" si="4"/>
        <v>0</v>
      </c>
    </row>
    <row r="130" spans="1:14" ht="15" x14ac:dyDescent="0.2">
      <c r="A130" s="507">
        <v>18</v>
      </c>
      <c r="B130" s="510"/>
      <c r="C130" s="524" t="s">
        <v>1782</v>
      </c>
      <c r="D130" s="511"/>
      <c r="E130" s="520"/>
      <c r="F130" s="520"/>
      <c r="G130" s="521"/>
      <c r="H130" s="513">
        <f>SUM(H131:H140)</f>
        <v>22434.547866054003</v>
      </c>
      <c r="I130" s="48">
        <f>SUM(H131:H140)</f>
        <v>22434.547866054003</v>
      </c>
      <c r="L130">
        <v>0.23400000000000001</v>
      </c>
      <c r="M130" s="528">
        <f t="shared" si="3"/>
        <v>0</v>
      </c>
      <c r="N130" s="528">
        <f t="shared" si="4"/>
        <v>0</v>
      </c>
    </row>
    <row r="131" spans="1:14" ht="14.25" x14ac:dyDescent="0.2">
      <c r="A131" s="502" t="s">
        <v>258</v>
      </c>
      <c r="B131" s="69"/>
      <c r="C131" s="525" t="s">
        <v>89</v>
      </c>
      <c r="D131" s="1"/>
      <c r="E131" s="519"/>
      <c r="F131" s="519"/>
      <c r="G131" s="519"/>
      <c r="H131" s="514"/>
      <c r="I131" s="47"/>
      <c r="L131">
        <v>0.23400000000000001</v>
      </c>
      <c r="M131" s="528">
        <f t="shared" si="3"/>
        <v>0</v>
      </c>
      <c r="N131" s="528">
        <f t="shared" si="4"/>
        <v>0</v>
      </c>
    </row>
    <row r="132" spans="1:14" ht="14.25" x14ac:dyDescent="0.2">
      <c r="A132" s="499" t="s">
        <v>259</v>
      </c>
      <c r="B132" s="69">
        <v>180299</v>
      </c>
      <c r="C132" s="523" t="s">
        <v>29</v>
      </c>
      <c r="D132" s="1" t="s">
        <v>26</v>
      </c>
      <c r="E132" s="519">
        <v>12</v>
      </c>
      <c r="F132" s="519">
        <v>181.2</v>
      </c>
      <c r="G132" s="519">
        <f>Comp!I845</f>
        <v>223.60343952599999</v>
      </c>
      <c r="H132" s="514">
        <f>G132*E132</f>
        <v>2683.2412743119999</v>
      </c>
      <c r="I132" s="47"/>
      <c r="L132">
        <v>0.23400000000000001</v>
      </c>
      <c r="M132" s="528">
        <f t="shared" si="3"/>
        <v>42.400799999999997</v>
      </c>
      <c r="N132" s="528">
        <f t="shared" si="4"/>
        <v>223.60079999999999</v>
      </c>
    </row>
    <row r="133" spans="1:14" ht="14.25" x14ac:dyDescent="0.2">
      <c r="A133" s="499" t="s">
        <v>260</v>
      </c>
      <c r="B133" s="69">
        <v>181504</v>
      </c>
      <c r="C133" s="523" t="s">
        <v>392</v>
      </c>
      <c r="D133" s="1" t="s">
        <v>6</v>
      </c>
      <c r="E133" s="519">
        <v>1</v>
      </c>
      <c r="F133" s="519">
        <v>1324.55</v>
      </c>
      <c r="G133" s="519">
        <f>Comp!I855</f>
        <v>1634.486027448</v>
      </c>
      <c r="H133" s="514">
        <f>G133*E133</f>
        <v>1634.486027448</v>
      </c>
      <c r="I133" s="47"/>
      <c r="L133">
        <v>0.23400000000000001</v>
      </c>
      <c r="M133" s="528">
        <f t="shared" si="3"/>
        <v>309.94470000000001</v>
      </c>
      <c r="N133" s="528">
        <f t="shared" si="4"/>
        <v>1634.4947</v>
      </c>
    </row>
    <row r="134" spans="1:14" ht="14.25" x14ac:dyDescent="0.2">
      <c r="A134" s="502" t="s">
        <v>261</v>
      </c>
      <c r="B134" s="69"/>
      <c r="C134" s="525" t="s">
        <v>90</v>
      </c>
      <c r="D134" s="1"/>
      <c r="E134" s="519"/>
      <c r="F134" s="519"/>
      <c r="G134" s="519"/>
      <c r="H134" s="514"/>
      <c r="I134" s="47"/>
      <c r="L134">
        <v>0.23400000000000001</v>
      </c>
      <c r="M134" s="528">
        <f t="shared" si="3"/>
        <v>0</v>
      </c>
      <c r="N134" s="528">
        <f t="shared" si="4"/>
        <v>0</v>
      </c>
    </row>
    <row r="135" spans="1:14" ht="14.25" x14ac:dyDescent="0.2">
      <c r="A135" s="499" t="s">
        <v>262</v>
      </c>
      <c r="B135" s="69">
        <v>180548</v>
      </c>
      <c r="C135" s="523" t="s">
        <v>24</v>
      </c>
      <c r="D135" s="1" t="s">
        <v>6</v>
      </c>
      <c r="E135" s="519">
        <v>1</v>
      </c>
      <c r="F135" s="519">
        <v>8108.28</v>
      </c>
      <c r="G135" s="519">
        <f>Comp!I868</f>
        <v>10005.616018947592</v>
      </c>
      <c r="H135" s="514">
        <f>G135*E135</f>
        <v>10005.616018947592</v>
      </c>
      <c r="I135" s="47"/>
      <c r="L135">
        <v>0.23400000000000001</v>
      </c>
      <c r="M135" s="528">
        <f t="shared" si="3"/>
        <v>1897.33752</v>
      </c>
      <c r="N135" s="528">
        <f t="shared" si="4"/>
        <v>10005.61752</v>
      </c>
    </row>
    <row r="136" spans="1:14" ht="14.25" x14ac:dyDescent="0.2">
      <c r="A136" s="499" t="s">
        <v>263</v>
      </c>
      <c r="B136" s="69">
        <v>180214</v>
      </c>
      <c r="C136" s="523" t="s">
        <v>25</v>
      </c>
      <c r="D136" s="1" t="s">
        <v>26</v>
      </c>
      <c r="E136" s="519">
        <v>9</v>
      </c>
      <c r="F136" s="519">
        <v>184.94</v>
      </c>
      <c r="G136" s="519">
        <f>Comp!I879</f>
        <v>228.22375838640002</v>
      </c>
      <c r="H136" s="514">
        <f>G136*E136</f>
        <v>2054.0138254776002</v>
      </c>
      <c r="I136" s="47"/>
      <c r="L136">
        <v>0.23400000000000001</v>
      </c>
      <c r="M136" s="528">
        <f t="shared" si="3"/>
        <v>43.275960000000005</v>
      </c>
      <c r="N136" s="528">
        <f t="shared" si="4"/>
        <v>228.21596</v>
      </c>
    </row>
    <row r="137" spans="1:14" ht="14.25" x14ac:dyDescent="0.2">
      <c r="A137" s="499" t="s">
        <v>264</v>
      </c>
      <c r="B137" s="69">
        <v>180540</v>
      </c>
      <c r="C137" s="523" t="s">
        <v>27</v>
      </c>
      <c r="D137" s="1" t="s">
        <v>6</v>
      </c>
      <c r="E137" s="519">
        <v>1</v>
      </c>
      <c r="F137" s="519">
        <v>3753.49</v>
      </c>
      <c r="G137" s="519">
        <f>Comp!I891</f>
        <v>4631.806392947592</v>
      </c>
      <c r="H137" s="514">
        <f>G137*E137</f>
        <v>4631.806392947592</v>
      </c>
      <c r="I137" s="47"/>
      <c r="L137">
        <v>0.23400000000000001</v>
      </c>
      <c r="M137" s="528">
        <f t="shared" si="3"/>
        <v>878.31665999999996</v>
      </c>
      <c r="N137" s="528">
        <f t="shared" si="4"/>
        <v>4631.8066600000002</v>
      </c>
    </row>
    <row r="138" spans="1:14" ht="14.25" x14ac:dyDescent="0.2">
      <c r="A138" s="499" t="s">
        <v>1765</v>
      </c>
      <c r="B138" s="69">
        <v>180102</v>
      </c>
      <c r="C138" s="523" t="s">
        <v>28</v>
      </c>
      <c r="D138" s="1" t="s">
        <v>2</v>
      </c>
      <c r="E138" s="519">
        <f>3*16</f>
        <v>48</v>
      </c>
      <c r="F138" s="519">
        <v>19.27</v>
      </c>
      <c r="G138" s="519">
        <f>Comp!I901</f>
        <v>23.782102980735999</v>
      </c>
      <c r="H138" s="514">
        <f>G138*E138</f>
        <v>1141.540943075328</v>
      </c>
      <c r="I138" s="47"/>
      <c r="L138">
        <v>0.23400000000000001</v>
      </c>
      <c r="M138" s="528">
        <f t="shared" si="3"/>
        <v>4.5091799999999997</v>
      </c>
      <c r="N138" s="528">
        <f t="shared" si="4"/>
        <v>23.77918</v>
      </c>
    </row>
    <row r="139" spans="1:14" ht="14.25" x14ac:dyDescent="0.2">
      <c r="A139" s="502" t="s">
        <v>265</v>
      </c>
      <c r="B139" s="69"/>
      <c r="C139" s="525" t="s">
        <v>91</v>
      </c>
      <c r="D139" s="1"/>
      <c r="E139" s="519"/>
      <c r="F139" s="519"/>
      <c r="G139" s="519"/>
      <c r="H139" s="514"/>
      <c r="I139" s="47"/>
      <c r="L139">
        <v>0.23400000000000001</v>
      </c>
      <c r="M139" s="528">
        <f t="shared" si="3"/>
        <v>0</v>
      </c>
      <c r="N139" s="528">
        <f t="shared" si="4"/>
        <v>0</v>
      </c>
    </row>
    <row r="140" spans="1:14" ht="14.25" x14ac:dyDescent="0.2">
      <c r="A140" s="499" t="s">
        <v>1766</v>
      </c>
      <c r="B140" s="69">
        <v>180474</v>
      </c>
      <c r="C140" s="523" t="s">
        <v>23</v>
      </c>
      <c r="D140" s="1" t="s">
        <v>6</v>
      </c>
      <c r="E140" s="519">
        <v>16</v>
      </c>
      <c r="F140" s="519">
        <v>14.38</v>
      </c>
      <c r="G140" s="519">
        <f>Comp!I911</f>
        <v>17.740211490367997</v>
      </c>
      <c r="H140" s="514">
        <f>G140*E140</f>
        <v>283.84338384588796</v>
      </c>
      <c r="I140" s="47"/>
      <c r="L140">
        <v>0.23400000000000001</v>
      </c>
      <c r="M140" s="528">
        <f t="shared" si="3"/>
        <v>3.3649200000000006</v>
      </c>
      <c r="N140" s="528">
        <f t="shared" si="4"/>
        <v>17.74492</v>
      </c>
    </row>
    <row r="141" spans="1:14" ht="14.25" x14ac:dyDescent="0.2">
      <c r="A141" s="585"/>
      <c r="B141" s="586"/>
      <c r="C141" s="586"/>
      <c r="D141" s="586"/>
      <c r="E141" s="586"/>
      <c r="F141" s="586"/>
      <c r="G141" s="586"/>
      <c r="H141" s="587"/>
      <c r="I141" s="47"/>
      <c r="L141">
        <v>0.23400000000000001</v>
      </c>
      <c r="M141" s="528">
        <f t="shared" si="3"/>
        <v>0</v>
      </c>
      <c r="N141" s="528">
        <f t="shared" si="4"/>
        <v>0</v>
      </c>
    </row>
    <row r="142" spans="1:14" ht="15" x14ac:dyDescent="0.2">
      <c r="A142" s="507">
        <v>19</v>
      </c>
      <c r="B142" s="510"/>
      <c r="C142" s="524" t="s">
        <v>1783</v>
      </c>
      <c r="D142" s="511"/>
      <c r="E142" s="520"/>
      <c r="F142" s="520"/>
      <c r="G142" s="521"/>
      <c r="H142" s="513">
        <f>SUM(H143:H145)</f>
        <v>2608.1504476924802</v>
      </c>
      <c r="I142" s="48">
        <f>SUM(H143:H145)</f>
        <v>2608.1504476924802</v>
      </c>
      <c r="L142">
        <v>0.23400000000000001</v>
      </c>
      <c r="M142" s="528">
        <f t="shared" si="3"/>
        <v>0</v>
      </c>
      <c r="N142" s="528">
        <f t="shared" si="4"/>
        <v>0</v>
      </c>
    </row>
    <row r="143" spans="1:14" ht="14.25" x14ac:dyDescent="0.2">
      <c r="A143" s="499" t="s">
        <v>266</v>
      </c>
      <c r="B143" s="69">
        <v>201328</v>
      </c>
      <c r="C143" s="523" t="s">
        <v>20</v>
      </c>
      <c r="D143" s="1" t="s">
        <v>6</v>
      </c>
      <c r="E143" s="519">
        <v>2</v>
      </c>
      <c r="F143" s="519">
        <v>338.93</v>
      </c>
      <c r="G143" s="519">
        <f>Comp!I921</f>
        <v>418.24241081439999</v>
      </c>
      <c r="H143" s="514">
        <f>G143*E143</f>
        <v>836.48482162879998</v>
      </c>
      <c r="I143" s="47"/>
      <c r="L143">
        <v>0.23400000000000001</v>
      </c>
      <c r="M143" s="528">
        <f t="shared" si="3"/>
        <v>79.30962000000001</v>
      </c>
      <c r="N143" s="528">
        <f t="shared" si="4"/>
        <v>418.23962</v>
      </c>
    </row>
    <row r="144" spans="1:14" ht="14.25" x14ac:dyDescent="0.2">
      <c r="A144" s="499" t="s">
        <v>267</v>
      </c>
      <c r="B144" s="69">
        <v>201509</v>
      </c>
      <c r="C144" s="523" t="s">
        <v>21</v>
      </c>
      <c r="D144" s="1" t="s">
        <v>6</v>
      </c>
      <c r="E144" s="519">
        <v>2</v>
      </c>
      <c r="F144" s="519">
        <v>308.93</v>
      </c>
      <c r="G144" s="519">
        <f>Comp!I931</f>
        <v>381.21712702384002</v>
      </c>
      <c r="H144" s="514">
        <f>G144*E144</f>
        <v>762.43425404768004</v>
      </c>
      <c r="I144" s="47"/>
      <c r="L144">
        <v>0.23400000000000001</v>
      </c>
      <c r="M144" s="528">
        <f t="shared" si="3"/>
        <v>72.289619999999999</v>
      </c>
      <c r="N144" s="528">
        <f t="shared" si="4"/>
        <v>381.21962000000002</v>
      </c>
    </row>
    <row r="145" spans="1:14" ht="14.25" x14ac:dyDescent="0.2">
      <c r="A145" s="499" t="s">
        <v>268</v>
      </c>
      <c r="B145" s="69">
        <v>201325</v>
      </c>
      <c r="C145" s="523" t="s">
        <v>22</v>
      </c>
      <c r="D145" s="1" t="s">
        <v>6</v>
      </c>
      <c r="E145" s="519">
        <v>2</v>
      </c>
      <c r="F145" s="519">
        <v>408.93</v>
      </c>
      <c r="G145" s="519">
        <f>Comp!I941</f>
        <v>504.61568600800007</v>
      </c>
      <c r="H145" s="514">
        <f>G145*E145</f>
        <v>1009.2313720160001</v>
      </c>
      <c r="I145" s="47"/>
      <c r="L145">
        <v>0.23400000000000001</v>
      </c>
      <c r="M145" s="528">
        <f t="shared" si="3"/>
        <v>95.689620000000005</v>
      </c>
      <c r="N145" s="528">
        <f t="shared" si="4"/>
        <v>504.61962</v>
      </c>
    </row>
    <row r="146" spans="1:14" ht="14.25" x14ac:dyDescent="0.2">
      <c r="A146" s="585"/>
      <c r="B146" s="586"/>
      <c r="C146" s="586"/>
      <c r="D146" s="586"/>
      <c r="E146" s="586"/>
      <c r="F146" s="586"/>
      <c r="G146" s="586"/>
      <c r="H146" s="587"/>
      <c r="I146" s="47"/>
      <c r="L146">
        <v>0.23400000000000001</v>
      </c>
      <c r="M146" s="528">
        <f t="shared" si="3"/>
        <v>0</v>
      </c>
      <c r="N146" s="528">
        <f t="shared" si="4"/>
        <v>0</v>
      </c>
    </row>
    <row r="147" spans="1:14" ht="15" x14ac:dyDescent="0.2">
      <c r="A147" s="507">
        <v>20</v>
      </c>
      <c r="B147" s="510"/>
      <c r="C147" s="524" t="s">
        <v>1784</v>
      </c>
      <c r="D147" s="511"/>
      <c r="E147" s="520"/>
      <c r="F147" s="520"/>
      <c r="G147" s="521"/>
      <c r="H147" s="513">
        <f>SUM(H148:H157)</f>
        <v>13736.601460510801</v>
      </c>
      <c r="I147" s="48">
        <f>SUM(H148:H157)</f>
        <v>13736.601460510801</v>
      </c>
      <c r="L147">
        <v>0.23400000000000001</v>
      </c>
      <c r="M147" s="528">
        <f t="shared" ref="M147:M177" si="5">F147*L147</f>
        <v>0</v>
      </c>
      <c r="N147" s="528">
        <f t="shared" ref="N147:N177" si="6">F147+M147</f>
        <v>0</v>
      </c>
    </row>
    <row r="148" spans="1:14" ht="14.25" x14ac:dyDescent="0.2">
      <c r="A148" s="499" t="s">
        <v>269</v>
      </c>
      <c r="B148" s="69">
        <v>190303</v>
      </c>
      <c r="C148" s="523" t="s">
        <v>10</v>
      </c>
      <c r="D148" s="1" t="s">
        <v>6</v>
      </c>
      <c r="E148" s="519">
        <v>2</v>
      </c>
      <c r="F148" s="519">
        <v>702.68</v>
      </c>
      <c r="G148" s="519">
        <f>Comp!I952</f>
        <v>867.10661257920003</v>
      </c>
      <c r="H148" s="514">
        <f t="shared" ref="H148:H157" si="7">G148*E148</f>
        <v>1734.2132251584001</v>
      </c>
      <c r="I148" s="47"/>
      <c r="L148">
        <v>0.23400000000000001</v>
      </c>
      <c r="M148" s="528">
        <f t="shared" si="5"/>
        <v>164.42712</v>
      </c>
      <c r="N148" s="528">
        <f t="shared" si="6"/>
        <v>867.1071199999999</v>
      </c>
    </row>
    <row r="149" spans="1:14" ht="14.25" x14ac:dyDescent="0.2">
      <c r="A149" s="499" t="s">
        <v>270</v>
      </c>
      <c r="B149" s="69">
        <v>190609</v>
      </c>
      <c r="C149" s="523" t="s">
        <v>11</v>
      </c>
      <c r="D149" s="1" t="s">
        <v>6</v>
      </c>
      <c r="E149" s="519">
        <v>5</v>
      </c>
      <c r="F149" s="519">
        <v>377.27</v>
      </c>
      <c r="G149" s="519">
        <f>Comp!I963</f>
        <v>465.55457646159994</v>
      </c>
      <c r="H149" s="514">
        <f t="shared" si="7"/>
        <v>2327.7728823079997</v>
      </c>
      <c r="I149" s="47"/>
      <c r="L149">
        <v>0.23400000000000001</v>
      </c>
      <c r="M149" s="528">
        <f t="shared" si="5"/>
        <v>88.281180000000006</v>
      </c>
      <c r="N149" s="528">
        <f t="shared" si="6"/>
        <v>465.55117999999999</v>
      </c>
    </row>
    <row r="150" spans="1:14" ht="14.25" x14ac:dyDescent="0.2">
      <c r="A150" s="499" t="s">
        <v>271</v>
      </c>
      <c r="B150" s="69">
        <v>190716</v>
      </c>
      <c r="C150" s="523" t="s">
        <v>12</v>
      </c>
      <c r="D150" s="1" t="s">
        <v>2</v>
      </c>
      <c r="E150" s="519">
        <v>3.2</v>
      </c>
      <c r="F150" s="519">
        <v>201</v>
      </c>
      <c r="G150" s="519">
        <f>Comp!I974</f>
        <v>248.02525834399998</v>
      </c>
      <c r="H150" s="514">
        <f t="shared" si="7"/>
        <v>793.68082670080003</v>
      </c>
      <c r="I150" s="47"/>
      <c r="L150">
        <v>0.23400000000000001</v>
      </c>
      <c r="M150" s="528">
        <f t="shared" si="5"/>
        <v>47.034000000000006</v>
      </c>
      <c r="N150" s="528">
        <f t="shared" si="6"/>
        <v>248.03399999999999</v>
      </c>
    </row>
    <row r="151" spans="1:14" ht="14.25" x14ac:dyDescent="0.2">
      <c r="A151" s="499" t="s">
        <v>272</v>
      </c>
      <c r="B151" s="69">
        <v>190529</v>
      </c>
      <c r="C151" s="523" t="s">
        <v>13</v>
      </c>
      <c r="D151" s="1" t="s">
        <v>6</v>
      </c>
      <c r="E151" s="519">
        <v>1</v>
      </c>
      <c r="F151" s="519">
        <v>2970.5</v>
      </c>
      <c r="G151" s="519">
        <f>Comp!I985</f>
        <v>3665.600631415201</v>
      </c>
      <c r="H151" s="514">
        <f t="shared" si="7"/>
        <v>3665.600631415201</v>
      </c>
      <c r="I151" s="47"/>
      <c r="L151">
        <v>0.23400000000000001</v>
      </c>
      <c r="M151" s="528">
        <f t="shared" si="5"/>
        <v>695.09700000000009</v>
      </c>
      <c r="N151" s="528">
        <f t="shared" si="6"/>
        <v>3665.5970000000002</v>
      </c>
    </row>
    <row r="152" spans="1:14" ht="14.25" x14ac:dyDescent="0.2">
      <c r="A152" s="499" t="s">
        <v>1478</v>
      </c>
      <c r="B152" s="69">
        <v>190092</v>
      </c>
      <c r="C152" s="523" t="s">
        <v>14</v>
      </c>
      <c r="D152" s="1" t="s">
        <v>6</v>
      </c>
      <c r="E152" s="519">
        <v>6</v>
      </c>
      <c r="F152" s="519">
        <v>350.92</v>
      </c>
      <c r="G152" s="519">
        <f>Comp!I996</f>
        <v>433.03789114400001</v>
      </c>
      <c r="H152" s="514">
        <f t="shared" si="7"/>
        <v>2598.2273468640001</v>
      </c>
      <c r="I152" s="47"/>
      <c r="L152">
        <v>0.23400000000000001</v>
      </c>
      <c r="M152" s="528">
        <f t="shared" si="5"/>
        <v>82.115280000000013</v>
      </c>
      <c r="N152" s="528">
        <f t="shared" si="6"/>
        <v>433.03528000000006</v>
      </c>
    </row>
    <row r="153" spans="1:14" ht="14.25" x14ac:dyDescent="0.2">
      <c r="A153" s="499" t="s">
        <v>273</v>
      </c>
      <c r="B153" s="69">
        <v>191089</v>
      </c>
      <c r="C153" s="523" t="s">
        <v>15</v>
      </c>
      <c r="D153" s="1" t="s">
        <v>6</v>
      </c>
      <c r="E153" s="519">
        <v>1</v>
      </c>
      <c r="F153" s="519">
        <v>745.52</v>
      </c>
      <c r="G153" s="519">
        <f>Comp!I1007</f>
        <v>919.96988304920001</v>
      </c>
      <c r="H153" s="514">
        <f t="shared" si="7"/>
        <v>919.96988304920001</v>
      </c>
      <c r="I153" s="47"/>
      <c r="L153">
        <v>0.23400000000000001</v>
      </c>
      <c r="M153" s="528">
        <f t="shared" si="5"/>
        <v>174.45168000000001</v>
      </c>
      <c r="N153" s="528">
        <f t="shared" si="6"/>
        <v>919.97167999999999</v>
      </c>
    </row>
    <row r="154" spans="1:14" ht="14.25" x14ac:dyDescent="0.2">
      <c r="A154" s="499" t="s">
        <v>274</v>
      </c>
      <c r="B154" s="69">
        <v>190101</v>
      </c>
      <c r="C154" s="523" t="s">
        <v>16</v>
      </c>
      <c r="D154" s="1" t="s">
        <v>6</v>
      </c>
      <c r="E154" s="519">
        <v>1</v>
      </c>
      <c r="F154" s="519">
        <v>739.16</v>
      </c>
      <c r="G154" s="519">
        <f>Comp!I1018</f>
        <v>912.11617914400006</v>
      </c>
      <c r="H154" s="514">
        <f t="shared" si="7"/>
        <v>912.11617914400006</v>
      </c>
      <c r="I154" s="47"/>
      <c r="L154">
        <v>0.23400000000000001</v>
      </c>
      <c r="M154" s="528">
        <f t="shared" si="5"/>
        <v>172.96343999999999</v>
      </c>
      <c r="N154" s="528">
        <f t="shared" si="6"/>
        <v>912.12343999999996</v>
      </c>
    </row>
    <row r="155" spans="1:14" ht="14.25" x14ac:dyDescent="0.2">
      <c r="A155" s="499" t="s">
        <v>1480</v>
      </c>
      <c r="B155" s="69">
        <v>190797</v>
      </c>
      <c r="C155" s="523" t="s">
        <v>17</v>
      </c>
      <c r="D155" s="1" t="s">
        <v>6</v>
      </c>
      <c r="E155" s="519">
        <v>7</v>
      </c>
      <c r="F155" s="519">
        <v>37.14</v>
      </c>
      <c r="G155" s="519">
        <f>Comp!I1029</f>
        <v>45.825706029599999</v>
      </c>
      <c r="H155" s="514">
        <f t="shared" si="7"/>
        <v>320.77994220720001</v>
      </c>
      <c r="I155" s="47"/>
      <c r="L155">
        <v>0.23400000000000001</v>
      </c>
      <c r="M155" s="528">
        <f t="shared" si="5"/>
        <v>8.6907600000000009</v>
      </c>
      <c r="N155" s="528">
        <f t="shared" si="6"/>
        <v>45.830759999999998</v>
      </c>
    </row>
    <row r="156" spans="1:14" ht="14.25" x14ac:dyDescent="0.2">
      <c r="A156" s="499" t="s">
        <v>275</v>
      </c>
      <c r="B156" s="69">
        <v>190795</v>
      </c>
      <c r="C156" s="523" t="s">
        <v>18</v>
      </c>
      <c r="D156" s="1" t="s">
        <v>6</v>
      </c>
      <c r="E156" s="519">
        <v>3</v>
      </c>
      <c r="F156" s="519">
        <v>91.94</v>
      </c>
      <c r="G156" s="519">
        <f>Comp!I1040</f>
        <v>113.44719274399999</v>
      </c>
      <c r="H156" s="514">
        <f t="shared" si="7"/>
        <v>340.34157823199996</v>
      </c>
      <c r="I156" s="47"/>
      <c r="L156">
        <v>0.23400000000000001</v>
      </c>
      <c r="M156" s="528">
        <f t="shared" si="5"/>
        <v>21.513960000000001</v>
      </c>
      <c r="N156" s="528">
        <f t="shared" si="6"/>
        <v>113.45396</v>
      </c>
    </row>
    <row r="157" spans="1:14" ht="14.25" x14ac:dyDescent="0.2">
      <c r="A157" s="499" t="s">
        <v>276</v>
      </c>
      <c r="B157" s="69">
        <v>190794</v>
      </c>
      <c r="C157" s="523" t="s">
        <v>19</v>
      </c>
      <c r="D157" s="1" t="s">
        <v>6</v>
      </c>
      <c r="E157" s="519">
        <v>3</v>
      </c>
      <c r="F157" s="519">
        <v>33.47</v>
      </c>
      <c r="G157" s="519">
        <f>Comp!I1050</f>
        <v>41.299655143999999</v>
      </c>
      <c r="H157" s="514">
        <f t="shared" si="7"/>
        <v>123.898965432</v>
      </c>
      <c r="I157" s="47"/>
      <c r="L157">
        <v>0.23400000000000001</v>
      </c>
      <c r="M157" s="528">
        <f t="shared" si="5"/>
        <v>7.8319800000000006</v>
      </c>
      <c r="N157" s="528">
        <f t="shared" si="6"/>
        <v>41.30198</v>
      </c>
    </row>
    <row r="158" spans="1:14" ht="14.25" x14ac:dyDescent="0.2">
      <c r="A158" s="585"/>
      <c r="B158" s="586"/>
      <c r="C158" s="586"/>
      <c r="D158" s="586"/>
      <c r="E158" s="586"/>
      <c r="F158" s="586"/>
      <c r="G158" s="586"/>
      <c r="H158" s="587"/>
      <c r="I158" s="47"/>
      <c r="L158">
        <v>0.23400000000000001</v>
      </c>
      <c r="M158" s="528">
        <f t="shared" si="5"/>
        <v>0</v>
      </c>
      <c r="N158" s="528">
        <f t="shared" si="6"/>
        <v>0</v>
      </c>
    </row>
    <row r="159" spans="1:14" ht="15" x14ac:dyDescent="0.2">
      <c r="A159" s="507">
        <v>21</v>
      </c>
      <c r="B159" s="510"/>
      <c r="C159" s="524" t="s">
        <v>1785</v>
      </c>
      <c r="D159" s="511"/>
      <c r="E159" s="520"/>
      <c r="F159" s="520"/>
      <c r="G159" s="521"/>
      <c r="H159" s="513">
        <f>H160</f>
        <v>2248.5956588640001</v>
      </c>
      <c r="I159" s="48">
        <f>SUM(H160)</f>
        <v>2248.5956588640001</v>
      </c>
      <c r="L159">
        <v>0.23400000000000001</v>
      </c>
      <c r="M159" s="528">
        <f t="shared" si="5"/>
        <v>0</v>
      </c>
      <c r="N159" s="528">
        <f t="shared" si="6"/>
        <v>0</v>
      </c>
    </row>
    <row r="160" spans="1:14" ht="14.25" x14ac:dyDescent="0.2">
      <c r="A160" s="499" t="s">
        <v>279</v>
      </c>
      <c r="B160" s="69">
        <v>240618</v>
      </c>
      <c r="C160" s="523" t="s">
        <v>9</v>
      </c>
      <c r="D160" s="1" t="s">
        <v>2</v>
      </c>
      <c r="E160" s="519">
        <v>6</v>
      </c>
      <c r="F160" s="519">
        <v>303.7</v>
      </c>
      <c r="G160" s="519">
        <f>Comp!I1060</f>
        <v>374.76594314400006</v>
      </c>
      <c r="H160" s="514">
        <f>G160*E160</f>
        <v>2248.5956588640001</v>
      </c>
      <c r="I160" s="47"/>
      <c r="L160">
        <v>0.23400000000000001</v>
      </c>
      <c r="M160" s="528">
        <f t="shared" si="5"/>
        <v>71.065799999999996</v>
      </c>
      <c r="N160" s="528">
        <f t="shared" si="6"/>
        <v>374.76580000000001</v>
      </c>
    </row>
    <row r="161" spans="1:14" ht="14.25" x14ac:dyDescent="0.2">
      <c r="A161" s="585"/>
      <c r="B161" s="586"/>
      <c r="C161" s="586"/>
      <c r="D161" s="586"/>
      <c r="E161" s="586"/>
      <c r="F161" s="586"/>
      <c r="G161" s="586"/>
      <c r="H161" s="587"/>
      <c r="I161" s="47"/>
      <c r="L161">
        <v>0.23400000000000001</v>
      </c>
      <c r="M161" s="528">
        <f t="shared" si="5"/>
        <v>0</v>
      </c>
      <c r="N161" s="528">
        <f t="shared" si="6"/>
        <v>0</v>
      </c>
    </row>
    <row r="162" spans="1:14" ht="15" x14ac:dyDescent="0.2">
      <c r="A162" s="507">
        <v>22</v>
      </c>
      <c r="B162" s="510"/>
      <c r="C162" s="524" t="s">
        <v>1786</v>
      </c>
      <c r="D162" s="511"/>
      <c r="E162" s="520"/>
      <c r="F162" s="520"/>
      <c r="G162" s="521"/>
      <c r="H162" s="513">
        <f>H163</f>
        <v>8629.729826968638</v>
      </c>
      <c r="I162" s="48">
        <f>SUM(H163)</f>
        <v>8629.729826968638</v>
      </c>
      <c r="L162">
        <v>0.23400000000000001</v>
      </c>
      <c r="M162" s="528">
        <f t="shared" si="5"/>
        <v>0</v>
      </c>
      <c r="N162" s="528">
        <f t="shared" si="6"/>
        <v>0</v>
      </c>
    </row>
    <row r="163" spans="1:14" ht="22.5" x14ac:dyDescent="0.2">
      <c r="A163" s="499" t="s">
        <v>280</v>
      </c>
      <c r="B163" s="69">
        <v>251520</v>
      </c>
      <c r="C163" s="523" t="s">
        <v>380</v>
      </c>
      <c r="D163" s="1" t="s">
        <v>1</v>
      </c>
      <c r="E163" s="519">
        <v>27.56</v>
      </c>
      <c r="F163" s="519">
        <v>253.75</v>
      </c>
      <c r="G163" s="519">
        <f>Comp!I1070</f>
        <v>313.12517514399997</v>
      </c>
      <c r="H163" s="516">
        <f>G163*E163</f>
        <v>8629.729826968638</v>
      </c>
      <c r="I163" s="47"/>
      <c r="L163">
        <v>0.23400000000000001</v>
      </c>
      <c r="M163" s="528">
        <f t="shared" si="5"/>
        <v>59.377500000000005</v>
      </c>
      <c r="N163" s="528">
        <f t="shared" si="6"/>
        <v>313.1275</v>
      </c>
    </row>
    <row r="164" spans="1:14" ht="14.25" x14ac:dyDescent="0.2">
      <c r="A164" s="585"/>
      <c r="B164" s="586"/>
      <c r="C164" s="586"/>
      <c r="D164" s="586"/>
      <c r="E164" s="586"/>
      <c r="F164" s="586"/>
      <c r="G164" s="586"/>
      <c r="H164" s="587"/>
      <c r="I164" s="47"/>
      <c r="L164">
        <v>0.23400000000000001</v>
      </c>
      <c r="M164" s="528">
        <f t="shared" si="5"/>
        <v>0</v>
      </c>
      <c r="N164" s="528">
        <f t="shared" si="6"/>
        <v>0</v>
      </c>
    </row>
    <row r="165" spans="1:14" ht="15" x14ac:dyDescent="0.2">
      <c r="A165" s="507">
        <v>23</v>
      </c>
      <c r="B165" s="510"/>
      <c r="C165" s="524" t="s">
        <v>360</v>
      </c>
      <c r="D165" s="511"/>
      <c r="E165" s="520"/>
      <c r="F165" s="520"/>
      <c r="G165" s="521"/>
      <c r="H165" s="513">
        <f>H166</f>
        <v>9161.8468602880002</v>
      </c>
      <c r="I165" s="48">
        <f>SUM(H166:H166)</f>
        <v>9161.8468602880002</v>
      </c>
      <c r="L165">
        <v>0.23400000000000001</v>
      </c>
      <c r="M165" s="528">
        <f t="shared" si="5"/>
        <v>0</v>
      </c>
      <c r="N165" s="528">
        <f t="shared" si="6"/>
        <v>0</v>
      </c>
    </row>
    <row r="166" spans="1:14" ht="14.25" x14ac:dyDescent="0.2">
      <c r="A166" s="499" t="s">
        <v>281</v>
      </c>
      <c r="B166" s="69">
        <v>250658</v>
      </c>
      <c r="C166" s="523" t="s">
        <v>8</v>
      </c>
      <c r="D166" s="1" t="s">
        <v>6</v>
      </c>
      <c r="E166" s="519">
        <v>1</v>
      </c>
      <c r="F166" s="519">
        <v>7424.51</v>
      </c>
      <c r="G166" s="519">
        <f>Comp!I1080</f>
        <v>9161.8468602880002</v>
      </c>
      <c r="H166" s="514">
        <f>G166*E166</f>
        <v>9161.8468602880002</v>
      </c>
      <c r="I166" s="47"/>
      <c r="L166">
        <v>0.23400000000000001</v>
      </c>
      <c r="M166" s="528">
        <f t="shared" si="5"/>
        <v>1737.3353400000001</v>
      </c>
      <c r="N166" s="528">
        <f t="shared" si="6"/>
        <v>9161.8453399999999</v>
      </c>
    </row>
    <row r="167" spans="1:14" ht="14.25" x14ac:dyDescent="0.2">
      <c r="A167" s="585"/>
      <c r="B167" s="586"/>
      <c r="C167" s="586"/>
      <c r="D167" s="586"/>
      <c r="E167" s="586"/>
      <c r="F167" s="586"/>
      <c r="G167" s="586"/>
      <c r="H167" s="587"/>
      <c r="I167" s="47"/>
      <c r="L167">
        <v>0.23400000000000001</v>
      </c>
      <c r="M167" s="528">
        <f t="shared" si="5"/>
        <v>0</v>
      </c>
      <c r="N167" s="528">
        <f t="shared" si="6"/>
        <v>0</v>
      </c>
    </row>
    <row r="168" spans="1:14" ht="15" x14ac:dyDescent="0.2">
      <c r="A168" s="507">
        <v>24</v>
      </c>
      <c r="B168" s="510"/>
      <c r="C168" s="524" t="s">
        <v>92</v>
      </c>
      <c r="D168" s="511"/>
      <c r="E168" s="520"/>
      <c r="F168" s="520"/>
      <c r="G168" s="521"/>
      <c r="H168" s="513">
        <f>H169</f>
        <v>5706.4439669951998</v>
      </c>
      <c r="I168" s="48">
        <f>SUM(H169)</f>
        <v>5706.4439669951998</v>
      </c>
      <c r="L168">
        <v>0.23400000000000001</v>
      </c>
      <c r="M168" s="528">
        <f t="shared" si="5"/>
        <v>0</v>
      </c>
      <c r="N168" s="528">
        <f t="shared" si="6"/>
        <v>0</v>
      </c>
    </row>
    <row r="169" spans="1:14" ht="14.25" x14ac:dyDescent="0.2">
      <c r="A169" s="499" t="s">
        <v>282</v>
      </c>
      <c r="B169" s="69">
        <v>250732</v>
      </c>
      <c r="C169" s="523" t="s">
        <v>7</v>
      </c>
      <c r="D169" s="1" t="s">
        <v>6</v>
      </c>
      <c r="E169" s="519">
        <v>26</v>
      </c>
      <c r="F169" s="519">
        <v>177.86</v>
      </c>
      <c r="G169" s="519">
        <f>Comp!I1090</f>
        <v>219.4786141152</v>
      </c>
      <c r="H169" s="514">
        <f>G169*E169</f>
        <v>5706.4439669951998</v>
      </c>
      <c r="I169" s="47"/>
      <c r="L169">
        <v>0.23400000000000001</v>
      </c>
      <c r="M169" s="528">
        <f t="shared" si="5"/>
        <v>41.619240000000005</v>
      </c>
      <c r="N169" s="528">
        <f t="shared" si="6"/>
        <v>219.47924</v>
      </c>
    </row>
    <row r="170" spans="1:14" ht="14.25" x14ac:dyDescent="0.2">
      <c r="A170" s="585"/>
      <c r="B170" s="586"/>
      <c r="C170" s="586"/>
      <c r="D170" s="586"/>
      <c r="E170" s="586"/>
      <c r="F170" s="586"/>
      <c r="G170" s="586"/>
      <c r="H170" s="587"/>
      <c r="I170" s="47"/>
      <c r="L170">
        <v>0.23400000000000001</v>
      </c>
      <c r="M170" s="528">
        <f t="shared" si="5"/>
        <v>0</v>
      </c>
      <c r="N170" s="528">
        <f t="shared" si="6"/>
        <v>0</v>
      </c>
    </row>
    <row r="171" spans="1:14" ht="15" x14ac:dyDescent="0.2">
      <c r="A171" s="507">
        <v>25</v>
      </c>
      <c r="B171" s="510"/>
      <c r="C171" s="524" t="s">
        <v>355</v>
      </c>
      <c r="D171" s="511"/>
      <c r="E171" s="520"/>
      <c r="F171" s="520"/>
      <c r="G171" s="521"/>
      <c r="H171" s="513">
        <f>SUM(H172:H173)</f>
        <v>26455.909756626534</v>
      </c>
      <c r="I171" s="48">
        <f>SUM(H172:H173)</f>
        <v>26455.909756626534</v>
      </c>
      <c r="L171">
        <v>0.23400000000000001</v>
      </c>
      <c r="M171" s="528">
        <f t="shared" si="5"/>
        <v>0</v>
      </c>
      <c r="N171" s="528">
        <f t="shared" si="6"/>
        <v>0</v>
      </c>
    </row>
    <row r="172" spans="1:14" ht="14.25" x14ac:dyDescent="0.2">
      <c r="A172" s="499" t="s">
        <v>283</v>
      </c>
      <c r="B172" s="69">
        <v>260728</v>
      </c>
      <c r="C172" s="523" t="s">
        <v>4</v>
      </c>
      <c r="D172" s="1" t="s">
        <v>1</v>
      </c>
      <c r="E172" s="519">
        <f>'Memoria de Calculo'!F289</f>
        <v>247.4444</v>
      </c>
      <c r="F172" s="519">
        <v>66.53</v>
      </c>
      <c r="G172" s="519">
        <f>Comp!I1100</f>
        <v>82.09569514399999</v>
      </c>
      <c r="H172" s="514">
        <f>G172*E172</f>
        <v>20314.120027489993</v>
      </c>
      <c r="I172" s="47"/>
      <c r="L172">
        <v>0.23400000000000001</v>
      </c>
      <c r="M172" s="528">
        <f t="shared" si="5"/>
        <v>15.568020000000001</v>
      </c>
      <c r="N172" s="528">
        <f t="shared" si="6"/>
        <v>82.098020000000005</v>
      </c>
    </row>
    <row r="173" spans="1:14" ht="14.25" x14ac:dyDescent="0.2">
      <c r="A173" s="499" t="s">
        <v>1767</v>
      </c>
      <c r="B173" s="69">
        <v>260168</v>
      </c>
      <c r="C173" s="523" t="s">
        <v>384</v>
      </c>
      <c r="D173" s="1" t="s">
        <v>1</v>
      </c>
      <c r="E173" s="519">
        <f>'Memoria de Calculo'!F293</f>
        <v>250.12</v>
      </c>
      <c r="F173" s="519">
        <v>19.899999999999999</v>
      </c>
      <c r="G173" s="519">
        <f>Comp!I1109</f>
        <v>24.555372337824</v>
      </c>
      <c r="H173" s="514">
        <f>G173*E173</f>
        <v>6141.7897291365389</v>
      </c>
      <c r="I173" s="47"/>
      <c r="L173">
        <v>0.23400000000000001</v>
      </c>
      <c r="M173" s="528">
        <f t="shared" si="5"/>
        <v>4.6566000000000001</v>
      </c>
      <c r="N173" s="528">
        <f t="shared" si="6"/>
        <v>24.5566</v>
      </c>
    </row>
    <row r="174" spans="1:14" ht="14.25" x14ac:dyDescent="0.2">
      <c r="A174" s="585"/>
      <c r="B174" s="586"/>
      <c r="C174" s="586"/>
      <c r="D174" s="586"/>
      <c r="E174" s="586"/>
      <c r="F174" s="586"/>
      <c r="G174" s="586"/>
      <c r="H174" s="587"/>
      <c r="I174" s="47"/>
      <c r="L174">
        <v>0.23400000000000001</v>
      </c>
      <c r="M174" s="528">
        <f t="shared" si="5"/>
        <v>0</v>
      </c>
      <c r="N174" s="528">
        <f t="shared" si="6"/>
        <v>0</v>
      </c>
    </row>
    <row r="175" spans="1:14" ht="15" x14ac:dyDescent="0.2">
      <c r="A175" s="507">
        <v>26</v>
      </c>
      <c r="B175" s="510"/>
      <c r="C175" s="524" t="s">
        <v>356</v>
      </c>
      <c r="D175" s="511"/>
      <c r="E175" s="520"/>
      <c r="F175" s="520"/>
      <c r="G175" s="521"/>
      <c r="H175" s="513">
        <f>H176</f>
        <v>5169.9139473093965</v>
      </c>
      <c r="I175" s="48">
        <f>SUM(H176)</f>
        <v>5169.9139473093965</v>
      </c>
      <c r="L175">
        <v>0.23400000000000001</v>
      </c>
      <c r="M175" s="528">
        <f t="shared" si="5"/>
        <v>0</v>
      </c>
      <c r="N175" s="528">
        <f t="shared" si="6"/>
        <v>0</v>
      </c>
    </row>
    <row r="176" spans="1:14" ht="14.25" x14ac:dyDescent="0.2">
      <c r="A176" s="499" t="s">
        <v>284</v>
      </c>
      <c r="B176" s="69">
        <v>270220</v>
      </c>
      <c r="C176" s="523" t="s">
        <v>3</v>
      </c>
      <c r="D176" s="1" t="s">
        <v>1</v>
      </c>
      <c r="E176" s="519">
        <f>'Memoria de Calculo'!F298</f>
        <v>1398.9023999999999</v>
      </c>
      <c r="F176" s="519">
        <v>3</v>
      </c>
      <c r="G176" s="519">
        <f>Comp!I1119</f>
        <v>3.6956931000400002</v>
      </c>
      <c r="H176" s="514">
        <f>G176*E176</f>
        <v>5169.9139473093965</v>
      </c>
      <c r="I176" s="47"/>
      <c r="L176">
        <v>0.23400000000000001</v>
      </c>
      <c r="M176" s="528">
        <f t="shared" si="5"/>
        <v>0.70200000000000007</v>
      </c>
      <c r="N176" s="528">
        <f t="shared" si="6"/>
        <v>3.702</v>
      </c>
    </row>
    <row r="177" spans="1:14" ht="14.25" x14ac:dyDescent="0.2">
      <c r="A177" s="585"/>
      <c r="B177" s="586"/>
      <c r="C177" s="586"/>
      <c r="D177" s="586"/>
      <c r="E177" s="586"/>
      <c r="F177" s="586"/>
      <c r="G177" s="586"/>
      <c r="H177" s="586"/>
      <c r="I177" s="47"/>
      <c r="L177">
        <v>0.23400000000000001</v>
      </c>
      <c r="M177" s="528">
        <f t="shared" si="5"/>
        <v>0</v>
      </c>
      <c r="N177" s="528">
        <f t="shared" si="6"/>
        <v>0</v>
      </c>
    </row>
    <row r="178" spans="1:14" ht="9" customHeight="1" x14ac:dyDescent="0.2">
      <c r="A178" s="589" t="s">
        <v>1750</v>
      </c>
      <c r="B178" s="590"/>
      <c r="C178" s="590"/>
      <c r="D178" s="590"/>
      <c r="E178" s="590"/>
      <c r="F178" s="590"/>
      <c r="G178" s="591"/>
      <c r="H178" s="595">
        <f>H17+H24+H37+H40+H44+H48+H51+H65+H69+H79+H82+H89+H95+H98+H105+H109+H119+H130+H142+H147+H159+H162+H165+H168+H171+H175</f>
        <v>622332.95633103081</v>
      </c>
    </row>
    <row r="179" spans="1:14" ht="6.75" customHeight="1" x14ac:dyDescent="0.2">
      <c r="A179" s="592"/>
      <c r="B179" s="593"/>
      <c r="C179" s="593"/>
      <c r="D179" s="593"/>
      <c r="E179" s="593"/>
      <c r="F179" s="593"/>
      <c r="G179" s="594"/>
      <c r="H179" s="596"/>
    </row>
    <row r="180" spans="1:14" ht="12.75" customHeight="1" x14ac:dyDescent="0.2">
      <c r="A180" s="505"/>
      <c r="B180" s="505"/>
      <c r="C180" s="527"/>
      <c r="D180" s="505"/>
      <c r="E180" s="505"/>
      <c r="F180" s="504"/>
      <c r="G180" s="504"/>
      <c r="H180" s="598"/>
      <c r="I180" s="599">
        <f>SUM(I17:I176)</f>
        <v>712601.51886170986</v>
      </c>
    </row>
    <row r="181" spans="1:14" ht="12.75" customHeight="1" x14ac:dyDescent="0.2">
      <c r="A181" s="505"/>
      <c r="B181" s="505"/>
      <c r="C181" s="527"/>
      <c r="D181" s="505"/>
      <c r="E181" s="505"/>
      <c r="F181" s="504"/>
      <c r="G181" s="504"/>
      <c r="H181" s="598"/>
      <c r="I181" s="599"/>
    </row>
  </sheetData>
  <mergeCells count="32">
    <mergeCell ref="A118:H118"/>
    <mergeCell ref="A108:H108"/>
    <mergeCell ref="A14:H15"/>
    <mergeCell ref="H180:H181"/>
    <mergeCell ref="I180:I181"/>
    <mergeCell ref="A104:H104"/>
    <mergeCell ref="A97:H97"/>
    <mergeCell ref="A94:H94"/>
    <mergeCell ref="A88:H88"/>
    <mergeCell ref="A81:H81"/>
    <mergeCell ref="A78:H78"/>
    <mergeCell ref="A68:H68"/>
    <mergeCell ref="A64:H64"/>
    <mergeCell ref="A50:H50"/>
    <mergeCell ref="A47:H47"/>
    <mergeCell ref="A43:H43"/>
    <mergeCell ref="A39:H39"/>
    <mergeCell ref="A36:H36"/>
    <mergeCell ref="A23:H23"/>
    <mergeCell ref="A1:H7"/>
    <mergeCell ref="A178:G179"/>
    <mergeCell ref="H178:H179"/>
    <mergeCell ref="A177:H177"/>
    <mergeCell ref="A174:H174"/>
    <mergeCell ref="A170:H170"/>
    <mergeCell ref="A167:H167"/>
    <mergeCell ref="A164:H164"/>
    <mergeCell ref="A161:H161"/>
    <mergeCell ref="A158:H158"/>
    <mergeCell ref="A146:H146"/>
    <mergeCell ref="A141:H141"/>
    <mergeCell ref="A129:H129"/>
  </mergeCells>
  <pageMargins left="0.59055118110236227" right="0.59055118110236227" top="0.74803149606299213" bottom="0.74803149606299213" header="0.31496062992125984" footer="0.31496062992125984"/>
  <pageSetup paperSize="9" scale="41" orientation="portrait" r:id="rId1"/>
  <rowBreaks count="1" manualBreakCount="1">
    <brk id="118" max="8" man="1"/>
  </rowBreaks>
  <ignoredErrors>
    <ignoredError sqref="H24 H37 H40 H48 H65 H79 H89 H95 H98 H105 H142 H147 H168 H171 H175 H165:H166 H162:H163 H159:H16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view="pageBreakPreview" zoomScale="60" zoomScaleNormal="100" workbookViewId="0">
      <selection activeCell="A6" sqref="A6:X23"/>
    </sheetView>
  </sheetViews>
  <sheetFormatPr defaultRowHeight="12.75" x14ac:dyDescent="0.2"/>
  <cols>
    <col min="1" max="1" width="6.33203125" style="373" customWidth="1"/>
    <col min="2" max="2" width="60.33203125" style="371" customWidth="1"/>
    <col min="3" max="3" width="19" style="373" bestFit="1" customWidth="1"/>
    <col min="4" max="4" width="9.33203125" style="373" customWidth="1"/>
    <col min="5" max="5" width="18.5" style="373" bestFit="1" customWidth="1"/>
    <col min="6" max="6" width="9.33203125" style="373" bestFit="1" customWidth="1"/>
    <col min="7" max="7" width="19.83203125" style="373" bestFit="1" customWidth="1"/>
    <col min="8" max="8" width="9.5" style="373" bestFit="1" customWidth="1"/>
    <col min="9" max="9" width="19.33203125" style="373" bestFit="1" customWidth="1"/>
    <col min="10" max="10" width="9.33203125" style="373" bestFit="1" customWidth="1"/>
    <col min="11" max="11" width="21.33203125" style="373" bestFit="1" customWidth="1"/>
    <col min="12" max="12" width="9.5" style="373" bestFit="1" customWidth="1"/>
    <col min="13" max="13" width="21.5" style="373" bestFit="1" customWidth="1"/>
    <col min="14" max="14" width="9.33203125" style="373" bestFit="1" customWidth="1"/>
    <col min="15" max="15" width="21.33203125" style="373" bestFit="1" customWidth="1"/>
    <col min="16" max="16" width="9.33203125" style="373" bestFit="1" customWidth="1"/>
    <col min="17" max="17" width="21.33203125" style="373" bestFit="1" customWidth="1"/>
    <col min="18" max="18" width="9.33203125" style="373" bestFit="1" customWidth="1"/>
    <col min="19" max="19" width="21.83203125" style="373" bestFit="1" customWidth="1"/>
    <col min="20" max="20" width="9.33203125" style="373" customWidth="1"/>
    <col min="21" max="21" width="21.33203125" style="373" bestFit="1" customWidth="1"/>
    <col min="22" max="22" width="10.1640625" style="373" bestFit="1" customWidth="1"/>
    <col min="23" max="23" width="21.33203125" style="373" bestFit="1" customWidth="1"/>
    <col min="24" max="24" width="14.33203125" style="373" bestFit="1" customWidth="1"/>
    <col min="25" max="30" width="14.83203125" style="373" customWidth="1"/>
    <col min="31" max="31" width="15.83203125" style="378" bestFit="1" customWidth="1"/>
    <col min="32" max="32" width="9.33203125" style="373"/>
    <col min="33" max="33" width="28.5" style="373" bestFit="1" customWidth="1"/>
    <col min="34" max="16384" width="9.33203125" style="373"/>
  </cols>
  <sheetData>
    <row r="1" spans="1:31" ht="23.25" customHeight="1" x14ac:dyDescent="0.2">
      <c r="A1" s="716" t="str">
        <f>orçamento!A1</f>
        <v>TERPLANC - TERRAPLENAGEM  PLANEJAMENTO CONSTRUÇÃO E SEVIÇOS  EIRELE - EPP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371"/>
      <c r="Z1" s="371"/>
      <c r="AA1" s="371"/>
      <c r="AB1" s="371"/>
      <c r="AC1" s="371"/>
      <c r="AD1" s="371"/>
      <c r="AE1" s="372"/>
    </row>
    <row r="2" spans="1:31" x14ac:dyDescent="0.2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371"/>
      <c r="Z2" s="371"/>
      <c r="AA2" s="371"/>
      <c r="AB2" s="371"/>
      <c r="AC2" s="371"/>
      <c r="AD2" s="371"/>
      <c r="AE2" s="372"/>
    </row>
    <row r="3" spans="1:31" ht="15" customHeight="1" x14ac:dyDescent="0.2">
      <c r="A3" s="716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374"/>
      <c r="Z3" s="374"/>
      <c r="AA3" s="374"/>
      <c r="AB3" s="374"/>
      <c r="AC3" s="374"/>
      <c r="AD3" s="374"/>
      <c r="AE3" s="374"/>
    </row>
    <row r="4" spans="1:31" ht="15" customHeight="1" x14ac:dyDescent="0.2">
      <c r="A4" s="716"/>
      <c r="B4" s="716"/>
      <c r="C4" s="716"/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6"/>
      <c r="O4" s="716"/>
      <c r="P4" s="716"/>
      <c r="Q4" s="716"/>
      <c r="R4" s="716"/>
      <c r="S4" s="716"/>
      <c r="T4" s="716"/>
      <c r="U4" s="716"/>
      <c r="V4" s="716"/>
      <c r="W4" s="716"/>
      <c r="X4" s="716"/>
      <c r="Y4" s="375"/>
      <c r="Z4" s="375"/>
      <c r="AA4" s="375"/>
      <c r="AB4" s="375"/>
      <c r="AC4" s="375"/>
      <c r="AD4" s="375"/>
      <c r="AE4" s="375"/>
    </row>
    <row r="5" spans="1:31" x14ac:dyDescent="0.2">
      <c r="A5" s="376" t="str">
        <f>orçamento!A5</f>
        <v>PREFEITURA MUNICIPAL DE BAIÃO</v>
      </c>
      <c r="B5" s="376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77"/>
    </row>
    <row r="6" spans="1:31" x14ac:dyDescent="0.2">
      <c r="A6" s="376" t="str">
        <f>orçamento!A6</f>
        <v>OBRA: ONSTRUÇÃO DE 01 (UMA) UNIDADE DE ENSINO INFANTIL PROINFÂNCIA – TIPO 1</v>
      </c>
      <c r="B6" s="376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</row>
    <row r="7" spans="1:31" x14ac:dyDescent="0.2">
      <c r="A7" s="379" t="str">
        <f>orçamento!A7</f>
        <v>LOCAL: BAIRRO MULTIRÃO  NA SEDE</v>
      </c>
      <c r="B7" s="379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</row>
    <row r="8" spans="1:31" x14ac:dyDescent="0.2">
      <c r="A8" s="717" t="str">
        <f>Comp!C9</f>
        <v>PRAZO DE EXECUÇÃO:  120 DIAS</v>
      </c>
      <c r="B8" s="717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</row>
    <row r="9" spans="1:31" ht="15" customHeight="1" x14ac:dyDescent="0.2">
      <c r="A9" s="718" t="s">
        <v>1578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  <c r="X9" s="718"/>
      <c r="Y9" s="375"/>
      <c r="Z9" s="375"/>
      <c r="AA9" s="375"/>
      <c r="AB9" s="375"/>
      <c r="AC9" s="375"/>
      <c r="AD9" s="375"/>
      <c r="AE9" s="375"/>
    </row>
    <row r="10" spans="1:31" ht="15" customHeight="1" x14ac:dyDescent="0.2">
      <c r="A10" s="381"/>
      <c r="B10" s="382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</row>
    <row r="11" spans="1:31" ht="10.5" customHeight="1" x14ac:dyDescent="0.2">
      <c r="A11" s="383"/>
      <c r="B11" s="384"/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3"/>
      <c r="AA11" s="383"/>
      <c r="AB11" s="383"/>
      <c r="AC11" s="383"/>
      <c r="AD11" s="383"/>
      <c r="AE11" s="383"/>
    </row>
    <row r="12" spans="1:31" ht="12.75" customHeight="1" x14ac:dyDescent="0.2"/>
    <row r="13" spans="1:31" ht="12.75" customHeight="1" x14ac:dyDescent="0.2">
      <c r="A13" s="719" t="s">
        <v>325</v>
      </c>
      <c r="B13" s="719" t="s">
        <v>647</v>
      </c>
      <c r="C13" s="720" t="s">
        <v>1579</v>
      </c>
      <c r="D13" s="720"/>
      <c r="E13" s="715" t="s">
        <v>1580</v>
      </c>
      <c r="F13" s="715"/>
      <c r="G13" s="715" t="s">
        <v>1581</v>
      </c>
      <c r="H13" s="715"/>
      <c r="I13" s="715" t="s">
        <v>1582</v>
      </c>
      <c r="J13" s="715"/>
      <c r="K13" s="715" t="s">
        <v>1583</v>
      </c>
      <c r="L13" s="715"/>
      <c r="M13" s="715" t="s">
        <v>1584</v>
      </c>
      <c r="N13" s="715"/>
      <c r="O13" s="715" t="s">
        <v>1585</v>
      </c>
      <c r="P13" s="715"/>
      <c r="Q13" s="715" t="s">
        <v>1586</v>
      </c>
      <c r="R13" s="715"/>
      <c r="S13" s="715" t="s">
        <v>1587</v>
      </c>
      <c r="T13" s="715"/>
      <c r="U13" s="715" t="s">
        <v>1588</v>
      </c>
      <c r="V13" s="715"/>
      <c r="W13" s="721" t="s">
        <v>106</v>
      </c>
      <c r="X13" s="722"/>
    </row>
    <row r="14" spans="1:31" ht="12.75" customHeight="1" x14ac:dyDescent="0.2">
      <c r="A14" s="719"/>
      <c r="B14" s="719"/>
      <c r="C14" s="385" t="s">
        <v>1589</v>
      </c>
      <c r="D14" s="386" t="s">
        <v>403</v>
      </c>
      <c r="E14" s="385" t="s">
        <v>1589</v>
      </c>
      <c r="F14" s="386" t="s">
        <v>403</v>
      </c>
      <c r="G14" s="385" t="s">
        <v>1589</v>
      </c>
      <c r="H14" s="386" t="s">
        <v>403</v>
      </c>
      <c r="I14" s="385" t="s">
        <v>1589</v>
      </c>
      <c r="J14" s="386" t="s">
        <v>403</v>
      </c>
      <c r="K14" s="385" t="s">
        <v>1589</v>
      </c>
      <c r="L14" s="386" t="s">
        <v>403</v>
      </c>
      <c r="M14" s="387"/>
      <c r="N14" s="386"/>
      <c r="O14" s="386"/>
      <c r="P14" s="386"/>
      <c r="Q14" s="386"/>
      <c r="R14" s="386"/>
      <c r="S14" s="386"/>
      <c r="T14" s="386"/>
      <c r="U14" s="386"/>
      <c r="V14" s="386"/>
      <c r="W14" s="388" t="s">
        <v>1590</v>
      </c>
      <c r="X14" s="389" t="s">
        <v>398</v>
      </c>
    </row>
    <row r="15" spans="1:31" x14ac:dyDescent="0.2">
      <c r="A15" s="390">
        <v>1</v>
      </c>
      <c r="B15" s="391" t="str">
        <f>'Resumo Geral'!B15</f>
        <v>SERVIÇOS PRELIMINARES</v>
      </c>
      <c r="C15" s="392">
        <f>D15*W15</f>
        <v>15310.926476552075</v>
      </c>
      <c r="D15" s="393">
        <v>1</v>
      </c>
      <c r="E15" s="394"/>
      <c r="F15" s="395"/>
      <c r="G15" s="394"/>
      <c r="H15" s="395"/>
      <c r="I15" s="394"/>
      <c r="J15" s="395"/>
      <c r="K15" s="394"/>
      <c r="L15" s="395"/>
      <c r="M15" s="396"/>
      <c r="N15" s="395"/>
      <c r="O15" s="395"/>
      <c r="P15" s="395"/>
      <c r="Q15" s="395"/>
      <c r="R15" s="395"/>
      <c r="S15" s="395"/>
      <c r="T15" s="395"/>
      <c r="U15" s="395"/>
      <c r="V15" s="395"/>
      <c r="W15" s="392">
        <f>'Resumo Geral'!C15</f>
        <v>15310.926476552075</v>
      </c>
      <c r="X15" s="395">
        <f>D15+F15+H15+J15+L15+N15+P15+R15+T15+V15</f>
        <v>1</v>
      </c>
    </row>
    <row r="16" spans="1:31" x14ac:dyDescent="0.2">
      <c r="A16" s="390">
        <v>2</v>
      </c>
      <c r="B16" s="391" t="str">
        <f>'Resumo Geral'!B16</f>
        <v>DEMOLIÇÕES E RETIRADAS</v>
      </c>
      <c r="C16" s="392">
        <f>D16*W16</f>
        <v>3962.3224142904273</v>
      </c>
      <c r="D16" s="393">
        <v>0.5</v>
      </c>
      <c r="E16" s="392">
        <f>F16*W16</f>
        <v>3962.3224142904273</v>
      </c>
      <c r="F16" s="393">
        <v>0.5</v>
      </c>
      <c r="G16" s="394"/>
      <c r="H16" s="395"/>
      <c r="I16" s="394"/>
      <c r="J16" s="395"/>
      <c r="K16" s="394"/>
      <c r="L16" s="395"/>
      <c r="M16" s="396"/>
      <c r="N16" s="395"/>
      <c r="O16" s="395"/>
      <c r="P16" s="395"/>
      <c r="Q16" s="395"/>
      <c r="R16" s="395"/>
      <c r="S16" s="395"/>
      <c r="T16" s="395"/>
      <c r="U16" s="395"/>
      <c r="V16" s="395"/>
      <c r="W16" s="392">
        <f>'Resumo Geral'!C16</f>
        <v>7924.6448285808547</v>
      </c>
      <c r="X16" s="395">
        <f t="shared" ref="X16:X38" si="0">D16+F16+H16+J16+L16+N16+P16+R16+T16+V16</f>
        <v>1</v>
      </c>
    </row>
    <row r="17" spans="1:31" x14ac:dyDescent="0.2">
      <c r="A17" s="390">
        <v>3</v>
      </c>
      <c r="B17" s="391" t="str">
        <f>'Resumo Geral'!B17</f>
        <v>MOVIMENTO DE TERRA</v>
      </c>
      <c r="C17" s="392">
        <f>D17*W17</f>
        <v>586.94727451552217</v>
      </c>
      <c r="D17" s="393">
        <v>0.5</v>
      </c>
      <c r="E17" s="392">
        <f>F17*W17</f>
        <v>586.94727451552217</v>
      </c>
      <c r="F17" s="393">
        <v>0.5</v>
      </c>
      <c r="G17" s="394"/>
      <c r="H17" s="393"/>
      <c r="I17" s="394"/>
      <c r="J17" s="393"/>
      <c r="K17" s="394"/>
      <c r="L17" s="393"/>
      <c r="M17" s="396"/>
      <c r="N17" s="393"/>
      <c r="O17" s="393"/>
      <c r="P17" s="393"/>
      <c r="Q17" s="393"/>
      <c r="R17" s="393"/>
      <c r="S17" s="393"/>
      <c r="T17" s="393"/>
      <c r="U17" s="393"/>
      <c r="V17" s="393"/>
      <c r="W17" s="392">
        <f>'Resumo Geral'!C17</f>
        <v>1173.8945490310443</v>
      </c>
      <c r="X17" s="395">
        <f t="shared" si="0"/>
        <v>1</v>
      </c>
    </row>
    <row r="18" spans="1:31" x14ac:dyDescent="0.2">
      <c r="A18" s="390">
        <v>4</v>
      </c>
      <c r="B18" s="391" t="str">
        <f>'Resumo Geral'!B18</f>
        <v>FUNDAÇÕES</v>
      </c>
      <c r="C18" s="392">
        <f>D18*W18</f>
        <v>12655.207538414299</v>
      </c>
      <c r="D18" s="393">
        <v>0.3</v>
      </c>
      <c r="E18" s="392">
        <f>F18*W18</f>
        <v>12655.207538414299</v>
      </c>
      <c r="F18" s="393">
        <v>0.3</v>
      </c>
      <c r="G18" s="392">
        <f>H18*W18</f>
        <v>16873.610051219068</v>
      </c>
      <c r="H18" s="395">
        <v>0.4</v>
      </c>
      <c r="I18" s="397"/>
      <c r="J18" s="395"/>
      <c r="K18" s="394"/>
      <c r="L18" s="395"/>
      <c r="M18" s="396"/>
      <c r="N18" s="395"/>
      <c r="O18" s="395"/>
      <c r="P18" s="395"/>
      <c r="Q18" s="395"/>
      <c r="R18" s="395"/>
      <c r="S18" s="395"/>
      <c r="T18" s="395"/>
      <c r="U18" s="395"/>
      <c r="V18" s="395"/>
      <c r="W18" s="392">
        <f>'Resumo Geral'!C18</f>
        <v>42184.025128047666</v>
      </c>
      <c r="X18" s="395">
        <f t="shared" si="0"/>
        <v>1</v>
      </c>
    </row>
    <row r="19" spans="1:31" x14ac:dyDescent="0.2">
      <c r="A19" s="390">
        <v>5</v>
      </c>
      <c r="B19" s="391" t="str">
        <f>'Resumo Geral'!B19</f>
        <v>ESTRUTURA</v>
      </c>
      <c r="C19" s="394"/>
      <c r="D19" s="393"/>
      <c r="E19" s="392">
        <f>F19*W19</f>
        <v>2764.5436995698365</v>
      </c>
      <c r="F19" s="393">
        <v>0.25</v>
      </c>
      <c r="G19" s="392">
        <f>H19*W19</f>
        <v>2764.5436995698365</v>
      </c>
      <c r="H19" s="395">
        <v>0.25</v>
      </c>
      <c r="I19" s="392">
        <f>J19*W19</f>
        <v>2764.5436995698365</v>
      </c>
      <c r="J19" s="395">
        <v>0.25</v>
      </c>
      <c r="K19" s="392">
        <f>L19*W19</f>
        <v>2764.5436995698365</v>
      </c>
      <c r="L19" s="395">
        <v>0.25</v>
      </c>
      <c r="M19" s="396"/>
      <c r="N19" s="395"/>
      <c r="O19" s="395"/>
      <c r="P19" s="395"/>
      <c r="Q19" s="395"/>
      <c r="R19" s="395"/>
      <c r="S19" s="395"/>
      <c r="T19" s="395"/>
      <c r="U19" s="395"/>
      <c r="V19" s="395"/>
      <c r="W19" s="392">
        <f>'Resumo Geral'!C19</f>
        <v>11058.174798279346</v>
      </c>
      <c r="X19" s="395">
        <f t="shared" si="0"/>
        <v>1</v>
      </c>
    </row>
    <row r="20" spans="1:31" x14ac:dyDescent="0.2">
      <c r="A20" s="390">
        <v>6</v>
      </c>
      <c r="B20" s="391" t="str">
        <f>'Resumo Geral'!B20</f>
        <v/>
      </c>
      <c r="C20" s="394"/>
      <c r="D20" s="393"/>
      <c r="E20" s="397"/>
      <c r="F20" s="393"/>
      <c r="G20" s="392">
        <f>H20*W20</f>
        <v>7542.8922188536144</v>
      </c>
      <c r="H20" s="395">
        <f>H19</f>
        <v>0.25</v>
      </c>
      <c r="I20" s="392">
        <f>J20*W20</f>
        <v>10560.049106395059</v>
      </c>
      <c r="J20" s="395">
        <v>0.35</v>
      </c>
      <c r="K20" s="392">
        <f>L20*W20</f>
        <v>12068.627550165784</v>
      </c>
      <c r="L20" s="395">
        <v>0.4</v>
      </c>
      <c r="M20" s="396"/>
      <c r="N20" s="395"/>
      <c r="O20" s="395"/>
      <c r="P20" s="395"/>
      <c r="Q20" s="395"/>
      <c r="R20" s="395"/>
      <c r="S20" s="395"/>
      <c r="T20" s="395"/>
      <c r="U20" s="395"/>
      <c r="V20" s="395"/>
      <c r="W20" s="392">
        <f>'Resumo Geral'!C20</f>
        <v>30171.568875414458</v>
      </c>
      <c r="X20" s="395">
        <f t="shared" si="0"/>
        <v>1</v>
      </c>
      <c r="Y20" s="398"/>
      <c r="Z20" s="398"/>
      <c r="AA20" s="398"/>
      <c r="AB20" s="398"/>
      <c r="AC20" s="398"/>
      <c r="AD20" s="398"/>
      <c r="AE20" s="398"/>
    </row>
    <row r="21" spans="1:31" x14ac:dyDescent="0.2">
      <c r="A21" s="390">
        <v>7</v>
      </c>
      <c r="B21" s="391" t="str">
        <f>'Resumo Geral'!B21</f>
        <v>COBERTURA</v>
      </c>
      <c r="C21" s="394"/>
      <c r="D21" s="393"/>
      <c r="E21" s="397"/>
      <c r="F21" s="393"/>
      <c r="G21" s="392">
        <f>H21*W21</f>
        <v>31025.751892522574</v>
      </c>
      <c r="H21" s="395">
        <v>0.3</v>
      </c>
      <c r="I21" s="392">
        <f>J21*W21</f>
        <v>31025.751892522574</v>
      </c>
      <c r="J21" s="395">
        <v>0.3</v>
      </c>
      <c r="K21" s="392">
        <f>L21*W21</f>
        <v>41367.669190030108</v>
      </c>
      <c r="L21" s="395">
        <v>0.4</v>
      </c>
      <c r="M21" s="399"/>
      <c r="N21" s="395"/>
      <c r="O21" s="395"/>
      <c r="P21" s="395"/>
      <c r="Q21" s="395"/>
      <c r="R21" s="395"/>
      <c r="S21" s="395"/>
      <c r="T21" s="395"/>
      <c r="U21" s="395"/>
      <c r="V21" s="395"/>
      <c r="W21" s="392">
        <f>'Resumo Geral'!C21</f>
        <v>103419.17297507526</v>
      </c>
      <c r="X21" s="395">
        <f t="shared" si="0"/>
        <v>1</v>
      </c>
      <c r="Y21" s="400"/>
      <c r="Z21" s="400"/>
      <c r="AA21" s="400"/>
      <c r="AB21" s="400"/>
      <c r="AC21" s="400"/>
      <c r="AD21" s="400"/>
      <c r="AE21" s="400"/>
    </row>
    <row r="22" spans="1:31" x14ac:dyDescent="0.2">
      <c r="A22" s="390">
        <v>8</v>
      </c>
      <c r="B22" s="391" t="str">
        <f>'Resumo Geral'!B22</f>
        <v>IMPERMEABILIZAÇÕES /TRATAMENTOS</v>
      </c>
      <c r="C22" s="394"/>
      <c r="D22" s="393"/>
      <c r="E22" s="392">
        <f>F22*W22</f>
        <v>2890.0768260706836</v>
      </c>
      <c r="F22" s="393">
        <v>0.5</v>
      </c>
      <c r="G22" s="392">
        <f>H22*W22</f>
        <v>2890.0768260706836</v>
      </c>
      <c r="H22" s="395">
        <v>0.5</v>
      </c>
      <c r="I22" s="397"/>
      <c r="J22" s="401"/>
      <c r="K22" s="397"/>
      <c r="L22" s="401"/>
      <c r="M22" s="399"/>
      <c r="N22" s="395"/>
      <c r="O22" s="395"/>
      <c r="P22" s="395"/>
      <c r="Q22" s="395"/>
      <c r="R22" s="395"/>
      <c r="S22" s="395"/>
      <c r="T22" s="395"/>
      <c r="U22" s="395"/>
      <c r="V22" s="395"/>
      <c r="W22" s="392">
        <f>'Resumo Geral'!C22</f>
        <v>5780.1536521413673</v>
      </c>
      <c r="X22" s="395">
        <f t="shared" si="0"/>
        <v>1</v>
      </c>
    </row>
    <row r="23" spans="1:31" x14ac:dyDescent="0.2">
      <c r="A23" s="390">
        <v>9</v>
      </c>
      <c r="B23" s="391" t="str">
        <f>'Resumo Geral'!B23</f>
        <v>ESQUADRIAS</v>
      </c>
      <c r="C23" s="394"/>
      <c r="D23" s="393"/>
      <c r="E23" s="394"/>
      <c r="F23" s="393"/>
      <c r="G23" s="397"/>
      <c r="H23" s="402"/>
      <c r="I23" s="397"/>
      <c r="J23" s="393"/>
      <c r="K23" s="392">
        <f>L23*W23</f>
        <v>14423.639907991585</v>
      </c>
      <c r="L23" s="393">
        <v>0.2</v>
      </c>
      <c r="M23" s="403">
        <f>N23*W23</f>
        <v>14423.639907991585</v>
      </c>
      <c r="N23" s="393">
        <v>0.2</v>
      </c>
      <c r="O23" s="403">
        <f>P23*W23</f>
        <v>14423.639907991585</v>
      </c>
      <c r="P23" s="393">
        <v>0.2</v>
      </c>
      <c r="Q23" s="403">
        <f t="shared" ref="Q23:Q28" si="1">R23*W23</f>
        <v>14423.639907991585</v>
      </c>
      <c r="R23" s="393">
        <v>0.2</v>
      </c>
      <c r="S23" s="403">
        <f>T23*W23</f>
        <v>14423.639907991585</v>
      </c>
      <c r="T23" s="393">
        <v>0.2</v>
      </c>
      <c r="U23" s="393"/>
      <c r="V23" s="393"/>
      <c r="W23" s="392">
        <f>'Resumo Geral'!C23</f>
        <v>72118.199539957917</v>
      </c>
      <c r="X23" s="395">
        <f t="shared" si="0"/>
        <v>1</v>
      </c>
    </row>
    <row r="24" spans="1:31" x14ac:dyDescent="0.2">
      <c r="A24" s="390">
        <v>10</v>
      </c>
      <c r="B24" s="391" t="str">
        <f>'Resumo Geral'!B24</f>
        <v>VIDROS</v>
      </c>
      <c r="C24" s="394"/>
      <c r="D24" s="393"/>
      <c r="E24" s="394"/>
      <c r="F24" s="393"/>
      <c r="G24" s="397"/>
      <c r="H24" s="402"/>
      <c r="I24" s="397"/>
      <c r="J24" s="393"/>
      <c r="K24" s="392">
        <f>L24*W24</f>
        <v>573.33911495273298</v>
      </c>
      <c r="L24" s="393">
        <v>0.2</v>
      </c>
      <c r="M24" s="403">
        <f>N24*W24</f>
        <v>573.33911495273298</v>
      </c>
      <c r="N24" s="393">
        <v>0.2</v>
      </c>
      <c r="O24" s="403">
        <f>P24*W24</f>
        <v>573.33911495273298</v>
      </c>
      <c r="P24" s="393">
        <v>0.2</v>
      </c>
      <c r="Q24" s="403">
        <f t="shared" si="1"/>
        <v>573.33911495273298</v>
      </c>
      <c r="R24" s="393">
        <v>0.2</v>
      </c>
      <c r="S24" s="403">
        <f>T24*W24</f>
        <v>573.33911495273298</v>
      </c>
      <c r="T24" s="393">
        <v>0.2</v>
      </c>
      <c r="U24" s="393"/>
      <c r="V24" s="393"/>
      <c r="W24" s="392">
        <f>'Resumo Geral'!C24</f>
        <v>2866.6955747636648</v>
      </c>
      <c r="X24" s="395">
        <f t="shared" si="0"/>
        <v>1</v>
      </c>
    </row>
    <row r="25" spans="1:31" x14ac:dyDescent="0.2">
      <c r="A25" s="390">
        <v>11</v>
      </c>
      <c r="B25" s="391" t="str">
        <f>'Resumo Geral'!B25</f>
        <v>FERRAGENS</v>
      </c>
      <c r="C25" s="394"/>
      <c r="D25" s="393"/>
      <c r="E25" s="394"/>
      <c r="F25" s="393"/>
      <c r="G25" s="394"/>
      <c r="H25" s="393"/>
      <c r="I25" s="394"/>
      <c r="J25" s="402"/>
      <c r="K25" s="397"/>
      <c r="L25" s="402"/>
      <c r="M25" s="399"/>
      <c r="N25" s="402"/>
      <c r="O25" s="399"/>
      <c r="P25" s="393"/>
      <c r="Q25" s="403">
        <f t="shared" si="1"/>
        <v>769.71058840583999</v>
      </c>
      <c r="R25" s="393">
        <v>0.3</v>
      </c>
      <c r="S25" s="403">
        <f>T25*W25</f>
        <v>769.71058840583999</v>
      </c>
      <c r="T25" s="393">
        <v>0.3</v>
      </c>
      <c r="U25" s="403">
        <f>V25*W25</f>
        <v>1026.2807845411201</v>
      </c>
      <c r="V25" s="393">
        <v>0.4</v>
      </c>
      <c r="W25" s="392">
        <f>'Resumo Geral'!C25</f>
        <v>2565.7019613528</v>
      </c>
      <c r="X25" s="395">
        <f t="shared" si="0"/>
        <v>1</v>
      </c>
    </row>
    <row r="26" spans="1:31" x14ac:dyDescent="0.2">
      <c r="A26" s="390">
        <v>12</v>
      </c>
      <c r="B26" s="391" t="str">
        <f>'Resumo Geral'!B26</f>
        <v>REVESTIMENTOS</v>
      </c>
      <c r="C26" s="397"/>
      <c r="D26" s="402"/>
      <c r="E26" s="397"/>
      <c r="F26" s="402"/>
      <c r="G26" s="397"/>
      <c r="H26" s="402"/>
      <c r="I26" s="397"/>
      <c r="J26" s="402"/>
      <c r="K26" s="397"/>
      <c r="L26" s="393"/>
      <c r="M26" s="403">
        <f>N26*W26</f>
        <v>12404.553250210716</v>
      </c>
      <c r="N26" s="393">
        <v>0.2</v>
      </c>
      <c r="O26" s="403">
        <f>P26*W26</f>
        <v>12404.553250210716</v>
      </c>
      <c r="P26" s="393">
        <v>0.2</v>
      </c>
      <c r="Q26" s="403">
        <f t="shared" si="1"/>
        <v>12404.553250210716</v>
      </c>
      <c r="R26" s="393">
        <v>0.2</v>
      </c>
      <c r="S26" s="403">
        <f>T26*W26</f>
        <v>12404.553250210716</v>
      </c>
      <c r="T26" s="393">
        <v>0.2</v>
      </c>
      <c r="U26" s="403">
        <f t="shared" ref="U26:U38" si="2">V26*W26</f>
        <v>12404.553250210716</v>
      </c>
      <c r="V26" s="393">
        <v>0.2</v>
      </c>
      <c r="W26" s="392">
        <f>'Resumo Geral'!C26</f>
        <v>62022.766251053581</v>
      </c>
      <c r="X26" s="395">
        <f t="shared" si="0"/>
        <v>1</v>
      </c>
    </row>
    <row r="27" spans="1:31" x14ac:dyDescent="0.2">
      <c r="A27" s="390">
        <v>13</v>
      </c>
      <c r="B27" s="391" t="str">
        <f>'Resumo Geral'!B27</f>
        <v>RODAPES, SOLEIRAS E PEITORIS</v>
      </c>
      <c r="C27" s="397"/>
      <c r="D27" s="402"/>
      <c r="E27" s="397"/>
      <c r="F27" s="402"/>
      <c r="G27" s="397"/>
      <c r="H27" s="402"/>
      <c r="I27" s="397"/>
      <c r="J27" s="402"/>
      <c r="K27" s="397"/>
      <c r="L27" s="393"/>
      <c r="M27" s="403">
        <f>N27*W27</f>
        <v>954.11313415498796</v>
      </c>
      <c r="N27" s="393">
        <v>0.2</v>
      </c>
      <c r="O27" s="403">
        <f>P27*W27</f>
        <v>954.11313415498796</v>
      </c>
      <c r="P27" s="393">
        <v>0.2</v>
      </c>
      <c r="Q27" s="403">
        <f t="shared" si="1"/>
        <v>954.11313415498796</v>
      </c>
      <c r="R27" s="393">
        <v>0.2</v>
      </c>
      <c r="S27" s="403">
        <f>T27*W27</f>
        <v>954.11313415498796</v>
      </c>
      <c r="T27" s="393">
        <v>0.2</v>
      </c>
      <c r="U27" s="403">
        <f t="shared" si="2"/>
        <v>954.11313415498796</v>
      </c>
      <c r="V27" s="393">
        <v>0.2</v>
      </c>
      <c r="W27" s="392">
        <f>'Resumo Geral'!C27</f>
        <v>4770.5656707749395</v>
      </c>
      <c r="X27" s="395">
        <f t="shared" si="0"/>
        <v>1</v>
      </c>
    </row>
    <row r="28" spans="1:31" x14ac:dyDescent="0.2">
      <c r="A28" s="390">
        <v>14</v>
      </c>
      <c r="B28" s="391" t="str">
        <f>'Resumo Geral'!B28</f>
        <v>PISOS</v>
      </c>
      <c r="C28" s="397"/>
      <c r="D28" s="402"/>
      <c r="E28" s="397"/>
      <c r="F28" s="402"/>
      <c r="G28" s="397"/>
      <c r="H28" s="402"/>
      <c r="I28" s="397"/>
      <c r="J28" s="402"/>
      <c r="K28" s="397"/>
      <c r="L28" s="393">
        <f>L27</f>
        <v>0</v>
      </c>
      <c r="M28" s="403">
        <f>N28*W28</f>
        <v>26310.858170797888</v>
      </c>
      <c r="N28" s="393">
        <v>0.3</v>
      </c>
      <c r="O28" s="403">
        <f>P28*W28</f>
        <v>26310.858170797888</v>
      </c>
      <c r="P28" s="393">
        <v>0.3</v>
      </c>
      <c r="Q28" s="403">
        <f t="shared" si="1"/>
        <v>35081.144227730518</v>
      </c>
      <c r="R28" s="393">
        <v>0.4</v>
      </c>
      <c r="S28" s="399"/>
      <c r="T28" s="402"/>
      <c r="U28" s="399"/>
      <c r="V28" s="393"/>
      <c r="W28" s="392">
        <f>'Resumo Geral'!C28</f>
        <v>87702.860569326294</v>
      </c>
      <c r="X28" s="395">
        <f t="shared" si="0"/>
        <v>1</v>
      </c>
    </row>
    <row r="29" spans="1:31" x14ac:dyDescent="0.2">
      <c r="A29" s="390">
        <v>15</v>
      </c>
      <c r="B29" s="391" t="str">
        <f>'Resumo Geral'!B29</f>
        <v>FORROS</v>
      </c>
      <c r="C29" s="397"/>
      <c r="D29" s="402"/>
      <c r="E29" s="397"/>
      <c r="F29" s="402"/>
      <c r="G29" s="397"/>
      <c r="H29" s="402"/>
      <c r="I29" s="397"/>
      <c r="J29" s="402"/>
      <c r="K29" s="397"/>
      <c r="L29" s="393"/>
      <c r="M29" s="399"/>
      <c r="N29" s="402"/>
      <c r="O29" s="399"/>
      <c r="P29" s="402"/>
      <c r="Q29" s="399"/>
      <c r="R29" s="402"/>
      <c r="S29" s="399"/>
      <c r="T29" s="393"/>
      <c r="U29" s="403">
        <f t="shared" si="2"/>
        <v>16534.248285865277</v>
      </c>
      <c r="V29" s="393">
        <v>1</v>
      </c>
      <c r="W29" s="392">
        <f>'Resumo Geral'!C29</f>
        <v>16534.248285865277</v>
      </c>
      <c r="X29" s="395">
        <f t="shared" si="0"/>
        <v>1</v>
      </c>
    </row>
    <row r="30" spans="1:31" x14ac:dyDescent="0.2">
      <c r="A30" s="390">
        <v>16</v>
      </c>
      <c r="B30" s="391" t="str">
        <f>'Resumo Geral'!B30</f>
        <v>PINTURAS</v>
      </c>
      <c r="C30" s="397"/>
      <c r="D30" s="402"/>
      <c r="E30" s="397"/>
      <c r="F30" s="402"/>
      <c r="G30" s="397"/>
      <c r="H30" s="402"/>
      <c r="I30" s="397"/>
      <c r="J30" s="402"/>
      <c r="K30" s="397"/>
      <c r="L30" s="393"/>
      <c r="M30" s="403">
        <f>N30*W30</f>
        <v>7746.5484481906478</v>
      </c>
      <c r="N30" s="393">
        <v>0.2</v>
      </c>
      <c r="O30" s="403">
        <f>P30*W30</f>
        <v>7746.5484481906478</v>
      </c>
      <c r="P30" s="393">
        <v>0.2</v>
      </c>
      <c r="Q30" s="403">
        <f t="shared" ref="Q30:Q37" si="3">R30*W30</f>
        <v>7746.5484481906478</v>
      </c>
      <c r="R30" s="393">
        <v>0.2</v>
      </c>
      <c r="S30" s="403">
        <f t="shared" ref="S30:S37" si="4">T30*W30</f>
        <v>7746.5484481906478</v>
      </c>
      <c r="T30" s="393">
        <v>0.2</v>
      </c>
      <c r="U30" s="403">
        <f t="shared" si="2"/>
        <v>7746.5484481906478</v>
      </c>
      <c r="V30" s="393">
        <v>0.2</v>
      </c>
      <c r="W30" s="392">
        <f>'Resumo Geral'!C30</f>
        <v>38732.742240953237</v>
      </c>
      <c r="X30" s="395">
        <f t="shared" si="0"/>
        <v>1</v>
      </c>
    </row>
    <row r="31" spans="1:31" x14ac:dyDescent="0.2">
      <c r="A31" s="390">
        <v>17</v>
      </c>
      <c r="B31" s="391" t="str">
        <f>'Resumo Geral'!B31</f>
        <v>INSTALAÇÕES ELÉTRICAS</v>
      </c>
      <c r="C31" s="397"/>
      <c r="D31" s="402"/>
      <c r="E31" s="397"/>
      <c r="F31" s="402"/>
      <c r="G31" s="397"/>
      <c r="H31" s="402"/>
      <c r="I31" s="397"/>
      <c r="J31" s="402"/>
      <c r="K31" s="397"/>
      <c r="L31" s="402"/>
      <c r="M31" s="399"/>
      <c r="N31" s="402"/>
      <c r="O31" s="399"/>
      <c r="P31" s="402"/>
      <c r="Q31" s="399"/>
      <c r="R31" s="393"/>
      <c r="S31" s="403">
        <f t="shared" si="4"/>
        <v>10922.437581276001</v>
      </c>
      <c r="T31" s="393">
        <v>0.5</v>
      </c>
      <c r="U31" s="403">
        <f t="shared" si="2"/>
        <v>10922.437581276001</v>
      </c>
      <c r="V31" s="393">
        <v>0.5</v>
      </c>
      <c r="W31" s="392">
        <f>'Resumo Geral'!C31</f>
        <v>21844.875162552002</v>
      </c>
      <c r="X31" s="395">
        <f t="shared" si="0"/>
        <v>1</v>
      </c>
    </row>
    <row r="32" spans="1:31" x14ac:dyDescent="0.2">
      <c r="A32" s="390">
        <v>18</v>
      </c>
      <c r="B32" s="391" t="str">
        <f>'Resumo Geral'!B32</f>
        <v>INSTALAÇÕES HIDR0SSANITÁRIAS</v>
      </c>
      <c r="C32" s="397"/>
      <c r="D32" s="402"/>
      <c r="E32" s="397"/>
      <c r="F32" s="402"/>
      <c r="G32" s="397"/>
      <c r="H32" s="402"/>
      <c r="I32" s="397"/>
      <c r="J32" s="402"/>
      <c r="K32" s="397"/>
      <c r="L32" s="393"/>
      <c r="M32" s="403">
        <f>N32*W32</f>
        <v>4486.9095732108008</v>
      </c>
      <c r="N32" s="393">
        <v>0.2</v>
      </c>
      <c r="O32" s="403">
        <f>P32*W32</f>
        <v>4486.9095732108008</v>
      </c>
      <c r="P32" s="393">
        <v>0.2</v>
      </c>
      <c r="Q32" s="403">
        <f t="shared" si="3"/>
        <v>4486.9095732108008</v>
      </c>
      <c r="R32" s="393">
        <v>0.2</v>
      </c>
      <c r="S32" s="403">
        <f t="shared" si="4"/>
        <v>4486.9095732108008</v>
      </c>
      <c r="T32" s="393">
        <v>0.2</v>
      </c>
      <c r="U32" s="403">
        <f t="shared" si="2"/>
        <v>4486.9095732108008</v>
      </c>
      <c r="V32" s="393">
        <v>0.2</v>
      </c>
      <c r="W32" s="392">
        <f>'Resumo Geral'!C32</f>
        <v>22434.547866054003</v>
      </c>
      <c r="X32" s="395">
        <f t="shared" si="0"/>
        <v>1</v>
      </c>
    </row>
    <row r="33" spans="1:24" x14ac:dyDescent="0.2">
      <c r="A33" s="390">
        <v>19</v>
      </c>
      <c r="B33" s="391" t="str">
        <f>'Resumo Geral'!B33</f>
        <v>INSTALAÇÕES DE PROTEÇÃO/COMBATE A INCÊNDIO</v>
      </c>
      <c r="C33" s="397"/>
      <c r="D33" s="402"/>
      <c r="E33" s="397"/>
      <c r="F33" s="402"/>
      <c r="G33" s="397"/>
      <c r="H33" s="402"/>
      <c r="I33" s="397"/>
      <c r="J33" s="402"/>
      <c r="K33" s="397"/>
      <c r="L33" s="393"/>
      <c r="M33" s="399"/>
      <c r="N33" s="402"/>
      <c r="O33" s="399"/>
      <c r="P33" s="402"/>
      <c r="Q33" s="403">
        <f t="shared" si="3"/>
        <v>1043.260179076992</v>
      </c>
      <c r="R33" s="393">
        <v>0.4</v>
      </c>
      <c r="S33" s="403">
        <f t="shared" si="4"/>
        <v>782.44513430774407</v>
      </c>
      <c r="T33" s="393">
        <v>0.3</v>
      </c>
      <c r="U33" s="403">
        <f t="shared" si="2"/>
        <v>782.44513430774407</v>
      </c>
      <c r="V33" s="393">
        <v>0.3</v>
      </c>
      <c r="W33" s="392">
        <f>'Resumo Geral'!C33</f>
        <v>2608.1504476924802</v>
      </c>
      <c r="X33" s="395">
        <f t="shared" si="0"/>
        <v>1</v>
      </c>
    </row>
    <row r="34" spans="1:24" x14ac:dyDescent="0.2">
      <c r="A34" s="390">
        <v>20</v>
      </c>
      <c r="B34" s="391" t="str">
        <f>'Resumo Geral'!B34</f>
        <v>APARELHOS, LOUÇAS, METAIS E ACESSÓRIOS SANITÁRIOS</v>
      </c>
      <c r="C34" s="397"/>
      <c r="D34" s="402"/>
      <c r="E34" s="397"/>
      <c r="F34" s="402"/>
      <c r="G34" s="397"/>
      <c r="H34" s="402"/>
      <c r="I34" s="397"/>
      <c r="J34" s="402"/>
      <c r="K34" s="397"/>
      <c r="L34" s="393"/>
      <c r="M34" s="399"/>
      <c r="N34" s="402"/>
      <c r="O34" s="399"/>
      <c r="P34" s="393"/>
      <c r="Q34" s="403">
        <f t="shared" si="3"/>
        <v>4120.9804381532404</v>
      </c>
      <c r="R34" s="393">
        <v>0.3</v>
      </c>
      <c r="S34" s="403">
        <f t="shared" si="4"/>
        <v>4120.9804381532404</v>
      </c>
      <c r="T34" s="393">
        <v>0.3</v>
      </c>
      <c r="U34" s="403">
        <f t="shared" si="2"/>
        <v>5494.6405842043205</v>
      </c>
      <c r="V34" s="393">
        <v>0.4</v>
      </c>
      <c r="W34" s="392">
        <f>'Resumo Geral'!C34</f>
        <v>13736.601460510801</v>
      </c>
      <c r="X34" s="395">
        <f t="shared" si="0"/>
        <v>1</v>
      </c>
    </row>
    <row r="35" spans="1:24" x14ac:dyDescent="0.2">
      <c r="A35" s="390">
        <v>21</v>
      </c>
      <c r="B35" s="391" t="str">
        <f>'Resumo Geral'!B35</f>
        <v>SERRALHERIA</v>
      </c>
      <c r="C35" s="397"/>
      <c r="D35" s="402"/>
      <c r="E35" s="397"/>
      <c r="F35" s="402"/>
      <c r="G35" s="397"/>
      <c r="H35" s="402"/>
      <c r="I35" s="397"/>
      <c r="J35" s="402"/>
      <c r="K35" s="397"/>
      <c r="L35" s="393"/>
      <c r="M35" s="399"/>
      <c r="N35" s="402"/>
      <c r="O35" s="399"/>
      <c r="P35" s="393"/>
      <c r="Q35" s="399"/>
      <c r="R35" s="393"/>
      <c r="S35" s="403">
        <f t="shared" si="4"/>
        <v>1124.2978294320001</v>
      </c>
      <c r="T35" s="393">
        <v>0.5</v>
      </c>
      <c r="U35" s="403">
        <f t="shared" si="2"/>
        <v>1124.2978294320001</v>
      </c>
      <c r="V35" s="393">
        <v>0.5</v>
      </c>
      <c r="W35" s="392">
        <f>'Resumo Geral'!C35</f>
        <v>2248.5956588640001</v>
      </c>
      <c r="X35" s="395">
        <f t="shared" si="0"/>
        <v>1</v>
      </c>
    </row>
    <row r="36" spans="1:24" x14ac:dyDescent="0.2">
      <c r="A36" s="390">
        <v>22</v>
      </c>
      <c r="B36" s="391" t="str">
        <f>'Resumo Geral'!B36</f>
        <v>ELEMENTOS DE ESCOLA</v>
      </c>
      <c r="C36" s="397"/>
      <c r="D36" s="402"/>
      <c r="E36" s="397"/>
      <c r="F36" s="402"/>
      <c r="G36" s="397"/>
      <c r="H36" s="402"/>
      <c r="I36" s="397"/>
      <c r="J36" s="402"/>
      <c r="K36" s="397"/>
      <c r="L36" s="393"/>
      <c r="M36" s="399"/>
      <c r="N36" s="402"/>
      <c r="O36" s="399"/>
      <c r="P36" s="393"/>
      <c r="Q36" s="403">
        <f t="shared" si="3"/>
        <v>3451.8919307874553</v>
      </c>
      <c r="R36" s="393">
        <v>0.4</v>
      </c>
      <c r="S36" s="403">
        <f t="shared" si="4"/>
        <v>2588.9189480905911</v>
      </c>
      <c r="T36" s="393">
        <v>0.3</v>
      </c>
      <c r="U36" s="403">
        <f t="shared" si="2"/>
        <v>2588.9189480905911</v>
      </c>
      <c r="V36" s="393">
        <v>0.3</v>
      </c>
      <c r="W36" s="392">
        <f>'Resumo Geral'!C36</f>
        <v>8629.729826968638</v>
      </c>
      <c r="X36" s="395">
        <f t="shared" si="0"/>
        <v>1</v>
      </c>
    </row>
    <row r="37" spans="1:24" x14ac:dyDescent="0.2">
      <c r="A37" s="390">
        <v>23</v>
      </c>
      <c r="B37" s="391" t="str">
        <f>'Resumo Geral'!B37</f>
        <v>PEQUENAS OBRAS</v>
      </c>
      <c r="C37" s="397"/>
      <c r="D37" s="402"/>
      <c r="E37" s="397"/>
      <c r="F37" s="402"/>
      <c r="G37" s="397"/>
      <c r="H37" s="402"/>
      <c r="I37" s="397"/>
      <c r="J37" s="402"/>
      <c r="K37" s="397"/>
      <c r="L37" s="393"/>
      <c r="M37" s="399"/>
      <c r="N37" s="393"/>
      <c r="O37" s="403">
        <f>P37*W37</f>
        <v>2748.5540580863999</v>
      </c>
      <c r="P37" s="393">
        <v>0.3</v>
      </c>
      <c r="Q37" s="403">
        <f t="shared" si="3"/>
        <v>2748.5540580863999</v>
      </c>
      <c r="R37" s="393">
        <v>0.3</v>
      </c>
      <c r="S37" s="403">
        <f t="shared" si="4"/>
        <v>3664.7387441152005</v>
      </c>
      <c r="T37" s="393">
        <v>0.4</v>
      </c>
      <c r="U37" s="393"/>
      <c r="V37" s="393"/>
      <c r="W37" s="392">
        <f>'Resumo Geral'!C37</f>
        <v>9161.8468602880002</v>
      </c>
      <c r="X37" s="395">
        <f t="shared" si="0"/>
        <v>1</v>
      </c>
    </row>
    <row r="38" spans="1:24" x14ac:dyDescent="0.2">
      <c r="A38" s="390">
        <v>24</v>
      </c>
      <c r="B38" s="391" t="str">
        <f>'Resumo Geral'!B40</f>
        <v>LIMPEZA FINAL</v>
      </c>
      <c r="C38" s="397"/>
      <c r="D38" s="402"/>
      <c r="E38" s="397"/>
      <c r="F38" s="402"/>
      <c r="G38" s="397"/>
      <c r="H38" s="402"/>
      <c r="I38" s="397"/>
      <c r="J38" s="402"/>
      <c r="K38" s="397"/>
      <c r="L38" s="393"/>
      <c r="M38" s="399"/>
      <c r="N38" s="393"/>
      <c r="O38" s="393"/>
      <c r="P38" s="393"/>
      <c r="Q38" s="393"/>
      <c r="R38" s="393"/>
      <c r="S38" s="393"/>
      <c r="T38" s="393"/>
      <c r="U38" s="403">
        <f t="shared" si="2"/>
        <v>5169.9139473093965</v>
      </c>
      <c r="V38" s="393">
        <v>1</v>
      </c>
      <c r="W38" s="392">
        <f>'Resumo Geral'!C40</f>
        <v>5169.9139473093965</v>
      </c>
      <c r="X38" s="395">
        <f t="shared" si="0"/>
        <v>1</v>
      </c>
    </row>
    <row r="39" spans="1:24" x14ac:dyDescent="0.2">
      <c r="A39" s="709" t="s">
        <v>1591</v>
      </c>
      <c r="B39" s="710"/>
      <c r="C39" s="404">
        <f>SUM(C15:C38)</f>
        <v>32515.403703772321</v>
      </c>
      <c r="D39" s="405"/>
      <c r="E39" s="404">
        <f>SUM(E15:E38)</f>
        <v>22859.097752860765</v>
      </c>
      <c r="F39" s="405"/>
      <c r="G39" s="404">
        <f>SUM(G15:G38)</f>
        <v>61096.874688235774</v>
      </c>
      <c r="H39" s="405"/>
      <c r="I39" s="404">
        <f>SUM(I15:I38)</f>
        <v>44350.344698487468</v>
      </c>
      <c r="J39" s="405"/>
      <c r="K39" s="404">
        <f>SUM(K15:K38)</f>
        <v>71197.819462710046</v>
      </c>
      <c r="L39" s="405"/>
      <c r="M39" s="404">
        <f>SUM(M15:M38)</f>
        <v>66899.961599509348</v>
      </c>
      <c r="N39" s="405"/>
      <c r="O39" s="404">
        <f>SUM(O15:O38)</f>
        <v>69648.515657595752</v>
      </c>
      <c r="P39" s="405"/>
      <c r="Q39" s="404">
        <f>SUM(Q15:Q38)</f>
        <v>87804.644850951925</v>
      </c>
      <c r="R39" s="405"/>
      <c r="S39" s="404">
        <f>SUM(S15:S38)</f>
        <v>64562.632692492094</v>
      </c>
      <c r="T39" s="405"/>
      <c r="U39" s="404">
        <f>SUM(U15:U38)</f>
        <v>69235.307500793599</v>
      </c>
      <c r="V39" s="405"/>
      <c r="W39" s="404">
        <f>SUM(W15:W38)</f>
        <v>590170.602607409</v>
      </c>
      <c r="X39" s="406"/>
    </row>
    <row r="40" spans="1:24" x14ac:dyDescent="0.2">
      <c r="A40" s="711" t="s">
        <v>1592</v>
      </c>
      <c r="B40" s="712"/>
      <c r="C40" s="407">
        <f>(SUM(C15:C38)/W39)</f>
        <v>5.5094922654766815E-2</v>
      </c>
      <c r="D40" s="407"/>
      <c r="E40" s="407">
        <f>E39/W39</f>
        <v>3.8733033553124983E-2</v>
      </c>
      <c r="F40" s="407"/>
      <c r="G40" s="407">
        <f>G39/W39</f>
        <v>0.10352409018393348</v>
      </c>
      <c r="H40" s="407"/>
      <c r="I40" s="407">
        <f>I39/W39</f>
        <v>7.5148346092714535E-2</v>
      </c>
      <c r="J40" s="407"/>
      <c r="K40" s="407">
        <f>K39/W39</f>
        <v>0.12063938655730025</v>
      </c>
      <c r="L40" s="407"/>
      <c r="M40" s="407">
        <f>M39/W39</f>
        <v>0.11335698746081441</v>
      </c>
      <c r="N40" s="407"/>
      <c r="O40" s="407">
        <f>O39/W39</f>
        <v>0.11801420699351077</v>
      </c>
      <c r="P40" s="407"/>
      <c r="Q40" s="407">
        <f>Q39/W39</f>
        <v>0.14877841163728886</v>
      </c>
      <c r="R40" s="407"/>
      <c r="S40" s="407">
        <f>S39/W39</f>
        <v>0.10939655822782518</v>
      </c>
      <c r="T40" s="407"/>
      <c r="U40" s="407">
        <f>U39/W39</f>
        <v>0.11731405663872085</v>
      </c>
      <c r="V40" s="407"/>
      <c r="W40" s="408"/>
      <c r="X40" s="409"/>
    </row>
    <row r="41" spans="1:24" x14ac:dyDescent="0.2">
      <c r="A41" s="709" t="s">
        <v>1593</v>
      </c>
      <c r="B41" s="710"/>
      <c r="C41" s="404">
        <f>C39</f>
        <v>32515.403703772321</v>
      </c>
      <c r="D41" s="405"/>
      <c r="E41" s="404">
        <f>C41+E39</f>
        <v>55374.501456633086</v>
      </c>
      <c r="F41" s="405"/>
      <c r="G41" s="404">
        <f>E41+G39</f>
        <v>116471.37614486886</v>
      </c>
      <c r="H41" s="405"/>
      <c r="I41" s="404">
        <f>G41+I39</f>
        <v>160821.72084335634</v>
      </c>
      <c r="J41" s="405"/>
      <c r="K41" s="404">
        <f>I41+K39</f>
        <v>232019.5403060664</v>
      </c>
      <c r="L41" s="405"/>
      <c r="M41" s="404">
        <f>K41+M39</f>
        <v>298919.50190557574</v>
      </c>
      <c r="N41" s="410"/>
      <c r="O41" s="404">
        <f>M41+O39</f>
        <v>368568.01756317151</v>
      </c>
      <c r="P41" s="410"/>
      <c r="Q41" s="404">
        <f>O41+Q39</f>
        <v>456372.66241412342</v>
      </c>
      <c r="R41" s="410"/>
      <c r="S41" s="404">
        <f>Q41+S39</f>
        <v>520935.29510661552</v>
      </c>
      <c r="T41" s="410"/>
      <c r="U41" s="404">
        <f>S41+U39</f>
        <v>590170.60260740912</v>
      </c>
      <c r="V41" s="410"/>
      <c r="W41" s="411"/>
      <c r="X41" s="406"/>
    </row>
    <row r="42" spans="1:24" x14ac:dyDescent="0.2">
      <c r="A42" s="713" t="s">
        <v>1594</v>
      </c>
      <c r="B42" s="714"/>
      <c r="C42" s="402">
        <f>C41/W39</f>
        <v>5.5094922654766815E-2</v>
      </c>
      <c r="D42" s="402"/>
      <c r="E42" s="402">
        <f>E41/W39</f>
        <v>9.3827956207891805E-2</v>
      </c>
      <c r="F42" s="401"/>
      <c r="G42" s="402">
        <f>G41/W39</f>
        <v>0.19735204639182527</v>
      </c>
      <c r="H42" s="401"/>
      <c r="I42" s="402">
        <f>I41/W39</f>
        <v>0.27250039248453983</v>
      </c>
      <c r="J42" s="401"/>
      <c r="K42" s="402">
        <f>K41/W39</f>
        <v>0.39313977904184011</v>
      </c>
      <c r="L42" s="401"/>
      <c r="M42" s="402">
        <f>M41/W39</f>
        <v>0.50649676650265452</v>
      </c>
      <c r="N42" s="401"/>
      <c r="O42" s="402">
        <f>O41/W39</f>
        <v>0.62451097349616536</v>
      </c>
      <c r="P42" s="401"/>
      <c r="Q42" s="402">
        <f>Q41/W39</f>
        <v>0.77328938513345413</v>
      </c>
      <c r="R42" s="401"/>
      <c r="S42" s="402">
        <f>S41/W39</f>
        <v>0.88268594336127937</v>
      </c>
      <c r="T42" s="401"/>
      <c r="U42" s="402">
        <f>U41/W39</f>
        <v>1.0000000000000002</v>
      </c>
      <c r="V42" s="401"/>
      <c r="W42" s="412"/>
      <c r="X42" s="412"/>
    </row>
  </sheetData>
  <mergeCells count="20">
    <mergeCell ref="A1:X4"/>
    <mergeCell ref="A8:B8"/>
    <mergeCell ref="A9:X9"/>
    <mergeCell ref="A13:A14"/>
    <mergeCell ref="B13:B14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A39:B39"/>
    <mergeCell ref="A40:B40"/>
    <mergeCell ref="A41:B41"/>
    <mergeCell ref="A42:B42"/>
    <mergeCell ref="M13:N13"/>
  </mergeCells>
  <pageMargins left="0.70866141732283472" right="0.39370078740157483" top="0.59055118110236227" bottom="0.78740157480314965" header="0.31496062992125984" footer="0.31496062992125984"/>
  <pageSetup paperSize="9" scale="3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2"/>
  <sheetViews>
    <sheetView topLeftCell="A22" zoomScaleNormal="100" workbookViewId="0">
      <selection activeCell="A6" sqref="A6:K23"/>
    </sheetView>
  </sheetViews>
  <sheetFormatPr defaultRowHeight="12.75" x14ac:dyDescent="0.2"/>
  <cols>
    <col min="1" max="1" width="9.5" style="436" customWidth="1"/>
    <col min="2" max="2" width="73.83203125" style="436" customWidth="1"/>
    <col min="3" max="3" width="17.6640625" style="436" customWidth="1"/>
    <col min="4" max="4" width="8.1640625" style="436" hidden="1" customWidth="1"/>
    <col min="5" max="5" width="55" style="436" hidden="1" customWidth="1"/>
    <col min="6" max="6" width="12" style="436" hidden="1" customWidth="1"/>
    <col min="7" max="7" width="10" style="436" hidden="1" customWidth="1"/>
    <col min="8" max="8" width="17.6640625" style="436" hidden="1" customWidth="1"/>
    <col min="9" max="9" width="0" style="86" hidden="1" customWidth="1"/>
    <col min="10" max="256" width="9.33203125" style="86"/>
    <col min="257" max="257" width="9.5" style="86" customWidth="1"/>
    <col min="258" max="258" width="73.83203125" style="86" customWidth="1"/>
    <col min="259" max="259" width="17.6640625" style="86" customWidth="1"/>
    <col min="260" max="265" width="0" style="86" hidden="1" customWidth="1"/>
    <col min="266" max="512" width="9.33203125" style="86"/>
    <col min="513" max="513" width="9.5" style="86" customWidth="1"/>
    <col min="514" max="514" width="73.83203125" style="86" customWidth="1"/>
    <col min="515" max="515" width="17.6640625" style="86" customWidth="1"/>
    <col min="516" max="521" width="0" style="86" hidden="1" customWidth="1"/>
    <col min="522" max="768" width="9.33203125" style="86"/>
    <col min="769" max="769" width="9.5" style="86" customWidth="1"/>
    <col min="770" max="770" width="73.83203125" style="86" customWidth="1"/>
    <col min="771" max="771" width="17.6640625" style="86" customWidth="1"/>
    <col min="772" max="777" width="0" style="86" hidden="1" customWidth="1"/>
    <col min="778" max="1024" width="9.33203125" style="86"/>
    <col min="1025" max="1025" width="9.5" style="86" customWidth="1"/>
    <col min="1026" max="1026" width="73.83203125" style="86" customWidth="1"/>
    <col min="1027" max="1027" width="17.6640625" style="86" customWidth="1"/>
    <col min="1028" max="1033" width="0" style="86" hidden="1" customWidth="1"/>
    <col min="1034" max="1280" width="9.33203125" style="86"/>
    <col min="1281" max="1281" width="9.5" style="86" customWidth="1"/>
    <col min="1282" max="1282" width="73.83203125" style="86" customWidth="1"/>
    <col min="1283" max="1283" width="17.6640625" style="86" customWidth="1"/>
    <col min="1284" max="1289" width="0" style="86" hidden="1" customWidth="1"/>
    <col min="1290" max="1536" width="9.33203125" style="86"/>
    <col min="1537" max="1537" width="9.5" style="86" customWidth="1"/>
    <col min="1538" max="1538" width="73.83203125" style="86" customWidth="1"/>
    <col min="1539" max="1539" width="17.6640625" style="86" customWidth="1"/>
    <col min="1540" max="1545" width="0" style="86" hidden="1" customWidth="1"/>
    <col min="1546" max="1792" width="9.33203125" style="86"/>
    <col min="1793" max="1793" width="9.5" style="86" customWidth="1"/>
    <col min="1794" max="1794" width="73.83203125" style="86" customWidth="1"/>
    <col min="1795" max="1795" width="17.6640625" style="86" customWidth="1"/>
    <col min="1796" max="1801" width="0" style="86" hidden="1" customWidth="1"/>
    <col min="1802" max="2048" width="9.33203125" style="86"/>
    <col min="2049" max="2049" width="9.5" style="86" customWidth="1"/>
    <col min="2050" max="2050" width="73.83203125" style="86" customWidth="1"/>
    <col min="2051" max="2051" width="17.6640625" style="86" customWidth="1"/>
    <col min="2052" max="2057" width="0" style="86" hidden="1" customWidth="1"/>
    <col min="2058" max="2304" width="9.33203125" style="86"/>
    <col min="2305" max="2305" width="9.5" style="86" customWidth="1"/>
    <col min="2306" max="2306" width="73.83203125" style="86" customWidth="1"/>
    <col min="2307" max="2307" width="17.6640625" style="86" customWidth="1"/>
    <col min="2308" max="2313" width="0" style="86" hidden="1" customWidth="1"/>
    <col min="2314" max="2560" width="9.33203125" style="86"/>
    <col min="2561" max="2561" width="9.5" style="86" customWidth="1"/>
    <col min="2562" max="2562" width="73.83203125" style="86" customWidth="1"/>
    <col min="2563" max="2563" width="17.6640625" style="86" customWidth="1"/>
    <col min="2564" max="2569" width="0" style="86" hidden="1" customWidth="1"/>
    <col min="2570" max="2816" width="9.33203125" style="86"/>
    <col min="2817" max="2817" width="9.5" style="86" customWidth="1"/>
    <col min="2818" max="2818" width="73.83203125" style="86" customWidth="1"/>
    <col min="2819" max="2819" width="17.6640625" style="86" customWidth="1"/>
    <col min="2820" max="2825" width="0" style="86" hidden="1" customWidth="1"/>
    <col min="2826" max="3072" width="9.33203125" style="86"/>
    <col min="3073" max="3073" width="9.5" style="86" customWidth="1"/>
    <col min="3074" max="3074" width="73.83203125" style="86" customWidth="1"/>
    <col min="3075" max="3075" width="17.6640625" style="86" customWidth="1"/>
    <col min="3076" max="3081" width="0" style="86" hidden="1" customWidth="1"/>
    <col min="3082" max="3328" width="9.33203125" style="86"/>
    <col min="3329" max="3329" width="9.5" style="86" customWidth="1"/>
    <col min="3330" max="3330" width="73.83203125" style="86" customWidth="1"/>
    <col min="3331" max="3331" width="17.6640625" style="86" customWidth="1"/>
    <col min="3332" max="3337" width="0" style="86" hidden="1" customWidth="1"/>
    <col min="3338" max="3584" width="9.33203125" style="86"/>
    <col min="3585" max="3585" width="9.5" style="86" customWidth="1"/>
    <col min="3586" max="3586" width="73.83203125" style="86" customWidth="1"/>
    <col min="3587" max="3587" width="17.6640625" style="86" customWidth="1"/>
    <col min="3588" max="3593" width="0" style="86" hidden="1" customWidth="1"/>
    <col min="3594" max="3840" width="9.33203125" style="86"/>
    <col min="3841" max="3841" width="9.5" style="86" customWidth="1"/>
    <col min="3842" max="3842" width="73.83203125" style="86" customWidth="1"/>
    <col min="3843" max="3843" width="17.6640625" style="86" customWidth="1"/>
    <col min="3844" max="3849" width="0" style="86" hidden="1" customWidth="1"/>
    <col min="3850" max="4096" width="9.33203125" style="86"/>
    <col min="4097" max="4097" width="9.5" style="86" customWidth="1"/>
    <col min="4098" max="4098" width="73.83203125" style="86" customWidth="1"/>
    <col min="4099" max="4099" width="17.6640625" style="86" customWidth="1"/>
    <col min="4100" max="4105" width="0" style="86" hidden="1" customWidth="1"/>
    <col min="4106" max="4352" width="9.33203125" style="86"/>
    <col min="4353" max="4353" width="9.5" style="86" customWidth="1"/>
    <col min="4354" max="4354" width="73.83203125" style="86" customWidth="1"/>
    <col min="4355" max="4355" width="17.6640625" style="86" customWidth="1"/>
    <col min="4356" max="4361" width="0" style="86" hidden="1" customWidth="1"/>
    <col min="4362" max="4608" width="9.33203125" style="86"/>
    <col min="4609" max="4609" width="9.5" style="86" customWidth="1"/>
    <col min="4610" max="4610" width="73.83203125" style="86" customWidth="1"/>
    <col min="4611" max="4611" width="17.6640625" style="86" customWidth="1"/>
    <col min="4612" max="4617" width="0" style="86" hidden="1" customWidth="1"/>
    <col min="4618" max="4864" width="9.33203125" style="86"/>
    <col min="4865" max="4865" width="9.5" style="86" customWidth="1"/>
    <col min="4866" max="4866" width="73.83203125" style="86" customWidth="1"/>
    <col min="4867" max="4867" width="17.6640625" style="86" customWidth="1"/>
    <col min="4868" max="4873" width="0" style="86" hidden="1" customWidth="1"/>
    <col min="4874" max="5120" width="9.33203125" style="86"/>
    <col min="5121" max="5121" width="9.5" style="86" customWidth="1"/>
    <col min="5122" max="5122" width="73.83203125" style="86" customWidth="1"/>
    <col min="5123" max="5123" width="17.6640625" style="86" customWidth="1"/>
    <col min="5124" max="5129" width="0" style="86" hidden="1" customWidth="1"/>
    <col min="5130" max="5376" width="9.33203125" style="86"/>
    <col min="5377" max="5377" width="9.5" style="86" customWidth="1"/>
    <col min="5378" max="5378" width="73.83203125" style="86" customWidth="1"/>
    <col min="5379" max="5379" width="17.6640625" style="86" customWidth="1"/>
    <col min="5380" max="5385" width="0" style="86" hidden="1" customWidth="1"/>
    <col min="5386" max="5632" width="9.33203125" style="86"/>
    <col min="5633" max="5633" width="9.5" style="86" customWidth="1"/>
    <col min="5634" max="5634" width="73.83203125" style="86" customWidth="1"/>
    <col min="5635" max="5635" width="17.6640625" style="86" customWidth="1"/>
    <col min="5636" max="5641" width="0" style="86" hidden="1" customWidth="1"/>
    <col min="5642" max="5888" width="9.33203125" style="86"/>
    <col min="5889" max="5889" width="9.5" style="86" customWidth="1"/>
    <col min="5890" max="5890" width="73.83203125" style="86" customWidth="1"/>
    <col min="5891" max="5891" width="17.6640625" style="86" customWidth="1"/>
    <col min="5892" max="5897" width="0" style="86" hidden="1" customWidth="1"/>
    <col min="5898" max="6144" width="9.33203125" style="86"/>
    <col min="6145" max="6145" width="9.5" style="86" customWidth="1"/>
    <col min="6146" max="6146" width="73.83203125" style="86" customWidth="1"/>
    <col min="6147" max="6147" width="17.6640625" style="86" customWidth="1"/>
    <col min="6148" max="6153" width="0" style="86" hidden="1" customWidth="1"/>
    <col min="6154" max="6400" width="9.33203125" style="86"/>
    <col min="6401" max="6401" width="9.5" style="86" customWidth="1"/>
    <col min="6402" max="6402" width="73.83203125" style="86" customWidth="1"/>
    <col min="6403" max="6403" width="17.6640625" style="86" customWidth="1"/>
    <col min="6404" max="6409" width="0" style="86" hidden="1" customWidth="1"/>
    <col min="6410" max="6656" width="9.33203125" style="86"/>
    <col min="6657" max="6657" width="9.5" style="86" customWidth="1"/>
    <col min="6658" max="6658" width="73.83203125" style="86" customWidth="1"/>
    <col min="6659" max="6659" width="17.6640625" style="86" customWidth="1"/>
    <col min="6660" max="6665" width="0" style="86" hidden="1" customWidth="1"/>
    <col min="6666" max="6912" width="9.33203125" style="86"/>
    <col min="6913" max="6913" width="9.5" style="86" customWidth="1"/>
    <col min="6914" max="6914" width="73.83203125" style="86" customWidth="1"/>
    <col min="6915" max="6915" width="17.6640625" style="86" customWidth="1"/>
    <col min="6916" max="6921" width="0" style="86" hidden="1" customWidth="1"/>
    <col min="6922" max="7168" width="9.33203125" style="86"/>
    <col min="7169" max="7169" width="9.5" style="86" customWidth="1"/>
    <col min="7170" max="7170" width="73.83203125" style="86" customWidth="1"/>
    <col min="7171" max="7171" width="17.6640625" style="86" customWidth="1"/>
    <col min="7172" max="7177" width="0" style="86" hidden="1" customWidth="1"/>
    <col min="7178" max="7424" width="9.33203125" style="86"/>
    <col min="7425" max="7425" width="9.5" style="86" customWidth="1"/>
    <col min="7426" max="7426" width="73.83203125" style="86" customWidth="1"/>
    <col min="7427" max="7427" width="17.6640625" style="86" customWidth="1"/>
    <col min="7428" max="7433" width="0" style="86" hidden="1" customWidth="1"/>
    <col min="7434" max="7680" width="9.33203125" style="86"/>
    <col min="7681" max="7681" width="9.5" style="86" customWidth="1"/>
    <col min="7682" max="7682" width="73.83203125" style="86" customWidth="1"/>
    <col min="7683" max="7683" width="17.6640625" style="86" customWidth="1"/>
    <col min="7684" max="7689" width="0" style="86" hidden="1" customWidth="1"/>
    <col min="7690" max="7936" width="9.33203125" style="86"/>
    <col min="7937" max="7937" width="9.5" style="86" customWidth="1"/>
    <col min="7938" max="7938" width="73.83203125" style="86" customWidth="1"/>
    <col min="7939" max="7939" width="17.6640625" style="86" customWidth="1"/>
    <col min="7940" max="7945" width="0" style="86" hidden="1" customWidth="1"/>
    <col min="7946" max="8192" width="9.33203125" style="86"/>
    <col min="8193" max="8193" width="9.5" style="86" customWidth="1"/>
    <col min="8194" max="8194" width="73.83203125" style="86" customWidth="1"/>
    <col min="8195" max="8195" width="17.6640625" style="86" customWidth="1"/>
    <col min="8196" max="8201" width="0" style="86" hidden="1" customWidth="1"/>
    <col min="8202" max="8448" width="9.33203125" style="86"/>
    <col min="8449" max="8449" width="9.5" style="86" customWidth="1"/>
    <col min="8450" max="8450" width="73.83203125" style="86" customWidth="1"/>
    <col min="8451" max="8451" width="17.6640625" style="86" customWidth="1"/>
    <col min="8452" max="8457" width="0" style="86" hidden="1" customWidth="1"/>
    <col min="8458" max="8704" width="9.33203125" style="86"/>
    <col min="8705" max="8705" width="9.5" style="86" customWidth="1"/>
    <col min="8706" max="8706" width="73.83203125" style="86" customWidth="1"/>
    <col min="8707" max="8707" width="17.6640625" style="86" customWidth="1"/>
    <col min="8708" max="8713" width="0" style="86" hidden="1" customWidth="1"/>
    <col min="8714" max="8960" width="9.33203125" style="86"/>
    <col min="8961" max="8961" width="9.5" style="86" customWidth="1"/>
    <col min="8962" max="8962" width="73.83203125" style="86" customWidth="1"/>
    <col min="8963" max="8963" width="17.6640625" style="86" customWidth="1"/>
    <col min="8964" max="8969" width="0" style="86" hidden="1" customWidth="1"/>
    <col min="8970" max="9216" width="9.33203125" style="86"/>
    <col min="9217" max="9217" width="9.5" style="86" customWidth="1"/>
    <col min="9218" max="9218" width="73.83203125" style="86" customWidth="1"/>
    <col min="9219" max="9219" width="17.6640625" style="86" customWidth="1"/>
    <col min="9220" max="9225" width="0" style="86" hidden="1" customWidth="1"/>
    <col min="9226" max="9472" width="9.33203125" style="86"/>
    <col min="9473" max="9473" width="9.5" style="86" customWidth="1"/>
    <col min="9474" max="9474" width="73.83203125" style="86" customWidth="1"/>
    <col min="9475" max="9475" width="17.6640625" style="86" customWidth="1"/>
    <col min="9476" max="9481" width="0" style="86" hidden="1" customWidth="1"/>
    <col min="9482" max="9728" width="9.33203125" style="86"/>
    <col min="9729" max="9729" width="9.5" style="86" customWidth="1"/>
    <col min="9730" max="9730" width="73.83203125" style="86" customWidth="1"/>
    <col min="9731" max="9731" width="17.6640625" style="86" customWidth="1"/>
    <col min="9732" max="9737" width="0" style="86" hidden="1" customWidth="1"/>
    <col min="9738" max="9984" width="9.33203125" style="86"/>
    <col min="9985" max="9985" width="9.5" style="86" customWidth="1"/>
    <col min="9986" max="9986" width="73.83203125" style="86" customWidth="1"/>
    <col min="9987" max="9987" width="17.6640625" style="86" customWidth="1"/>
    <col min="9988" max="9993" width="0" style="86" hidden="1" customWidth="1"/>
    <col min="9994" max="10240" width="9.33203125" style="86"/>
    <col min="10241" max="10241" width="9.5" style="86" customWidth="1"/>
    <col min="10242" max="10242" width="73.83203125" style="86" customWidth="1"/>
    <col min="10243" max="10243" width="17.6640625" style="86" customWidth="1"/>
    <col min="10244" max="10249" width="0" style="86" hidden="1" customWidth="1"/>
    <col min="10250" max="10496" width="9.33203125" style="86"/>
    <col min="10497" max="10497" width="9.5" style="86" customWidth="1"/>
    <col min="10498" max="10498" width="73.83203125" style="86" customWidth="1"/>
    <col min="10499" max="10499" width="17.6640625" style="86" customWidth="1"/>
    <col min="10500" max="10505" width="0" style="86" hidden="1" customWidth="1"/>
    <col min="10506" max="10752" width="9.33203125" style="86"/>
    <col min="10753" max="10753" width="9.5" style="86" customWidth="1"/>
    <col min="10754" max="10754" width="73.83203125" style="86" customWidth="1"/>
    <col min="10755" max="10755" width="17.6640625" style="86" customWidth="1"/>
    <col min="10756" max="10761" width="0" style="86" hidden="1" customWidth="1"/>
    <col min="10762" max="11008" width="9.33203125" style="86"/>
    <col min="11009" max="11009" width="9.5" style="86" customWidth="1"/>
    <col min="11010" max="11010" width="73.83203125" style="86" customWidth="1"/>
    <col min="11011" max="11011" width="17.6640625" style="86" customWidth="1"/>
    <col min="11012" max="11017" width="0" style="86" hidden="1" customWidth="1"/>
    <col min="11018" max="11264" width="9.33203125" style="86"/>
    <col min="11265" max="11265" width="9.5" style="86" customWidth="1"/>
    <col min="11266" max="11266" width="73.83203125" style="86" customWidth="1"/>
    <col min="11267" max="11267" width="17.6640625" style="86" customWidth="1"/>
    <col min="11268" max="11273" width="0" style="86" hidden="1" customWidth="1"/>
    <col min="11274" max="11520" width="9.33203125" style="86"/>
    <col min="11521" max="11521" width="9.5" style="86" customWidth="1"/>
    <col min="11522" max="11522" width="73.83203125" style="86" customWidth="1"/>
    <col min="11523" max="11523" width="17.6640625" style="86" customWidth="1"/>
    <col min="11524" max="11529" width="0" style="86" hidden="1" customWidth="1"/>
    <col min="11530" max="11776" width="9.33203125" style="86"/>
    <col min="11777" max="11777" width="9.5" style="86" customWidth="1"/>
    <col min="11778" max="11778" width="73.83203125" style="86" customWidth="1"/>
    <col min="11779" max="11779" width="17.6640625" style="86" customWidth="1"/>
    <col min="11780" max="11785" width="0" style="86" hidden="1" customWidth="1"/>
    <col min="11786" max="12032" width="9.33203125" style="86"/>
    <col min="12033" max="12033" width="9.5" style="86" customWidth="1"/>
    <col min="12034" max="12034" width="73.83203125" style="86" customWidth="1"/>
    <col min="12035" max="12035" width="17.6640625" style="86" customWidth="1"/>
    <col min="12036" max="12041" width="0" style="86" hidden="1" customWidth="1"/>
    <col min="12042" max="12288" width="9.33203125" style="86"/>
    <col min="12289" max="12289" width="9.5" style="86" customWidth="1"/>
    <col min="12290" max="12290" width="73.83203125" style="86" customWidth="1"/>
    <col min="12291" max="12291" width="17.6640625" style="86" customWidth="1"/>
    <col min="12292" max="12297" width="0" style="86" hidden="1" customWidth="1"/>
    <col min="12298" max="12544" width="9.33203125" style="86"/>
    <col min="12545" max="12545" width="9.5" style="86" customWidth="1"/>
    <col min="12546" max="12546" width="73.83203125" style="86" customWidth="1"/>
    <col min="12547" max="12547" width="17.6640625" style="86" customWidth="1"/>
    <col min="12548" max="12553" width="0" style="86" hidden="1" customWidth="1"/>
    <col min="12554" max="12800" width="9.33203125" style="86"/>
    <col min="12801" max="12801" width="9.5" style="86" customWidth="1"/>
    <col min="12802" max="12802" width="73.83203125" style="86" customWidth="1"/>
    <col min="12803" max="12803" width="17.6640625" style="86" customWidth="1"/>
    <col min="12804" max="12809" width="0" style="86" hidden="1" customWidth="1"/>
    <col min="12810" max="13056" width="9.33203125" style="86"/>
    <col min="13057" max="13057" width="9.5" style="86" customWidth="1"/>
    <col min="13058" max="13058" width="73.83203125" style="86" customWidth="1"/>
    <col min="13059" max="13059" width="17.6640625" style="86" customWidth="1"/>
    <col min="13060" max="13065" width="0" style="86" hidden="1" customWidth="1"/>
    <col min="13066" max="13312" width="9.33203125" style="86"/>
    <col min="13313" max="13313" width="9.5" style="86" customWidth="1"/>
    <col min="13314" max="13314" width="73.83203125" style="86" customWidth="1"/>
    <col min="13315" max="13315" width="17.6640625" style="86" customWidth="1"/>
    <col min="13316" max="13321" width="0" style="86" hidden="1" customWidth="1"/>
    <col min="13322" max="13568" width="9.33203125" style="86"/>
    <col min="13569" max="13569" width="9.5" style="86" customWidth="1"/>
    <col min="13570" max="13570" width="73.83203125" style="86" customWidth="1"/>
    <col min="13571" max="13571" width="17.6640625" style="86" customWidth="1"/>
    <col min="13572" max="13577" width="0" style="86" hidden="1" customWidth="1"/>
    <col min="13578" max="13824" width="9.33203125" style="86"/>
    <col min="13825" max="13825" width="9.5" style="86" customWidth="1"/>
    <col min="13826" max="13826" width="73.83203125" style="86" customWidth="1"/>
    <col min="13827" max="13827" width="17.6640625" style="86" customWidth="1"/>
    <col min="13828" max="13833" width="0" style="86" hidden="1" customWidth="1"/>
    <col min="13834" max="14080" width="9.33203125" style="86"/>
    <col min="14081" max="14081" width="9.5" style="86" customWidth="1"/>
    <col min="14082" max="14082" width="73.83203125" style="86" customWidth="1"/>
    <col min="14083" max="14083" width="17.6640625" style="86" customWidth="1"/>
    <col min="14084" max="14089" width="0" style="86" hidden="1" customWidth="1"/>
    <col min="14090" max="14336" width="9.33203125" style="86"/>
    <col min="14337" max="14337" width="9.5" style="86" customWidth="1"/>
    <col min="14338" max="14338" width="73.83203125" style="86" customWidth="1"/>
    <col min="14339" max="14339" width="17.6640625" style="86" customWidth="1"/>
    <col min="14340" max="14345" width="0" style="86" hidden="1" customWidth="1"/>
    <col min="14346" max="14592" width="9.33203125" style="86"/>
    <col min="14593" max="14593" width="9.5" style="86" customWidth="1"/>
    <col min="14594" max="14594" width="73.83203125" style="86" customWidth="1"/>
    <col min="14595" max="14595" width="17.6640625" style="86" customWidth="1"/>
    <col min="14596" max="14601" width="0" style="86" hidden="1" customWidth="1"/>
    <col min="14602" max="14848" width="9.33203125" style="86"/>
    <col min="14849" max="14849" width="9.5" style="86" customWidth="1"/>
    <col min="14850" max="14850" width="73.83203125" style="86" customWidth="1"/>
    <col min="14851" max="14851" width="17.6640625" style="86" customWidth="1"/>
    <col min="14852" max="14857" width="0" style="86" hidden="1" customWidth="1"/>
    <col min="14858" max="15104" width="9.33203125" style="86"/>
    <col min="15105" max="15105" width="9.5" style="86" customWidth="1"/>
    <col min="15106" max="15106" width="73.83203125" style="86" customWidth="1"/>
    <col min="15107" max="15107" width="17.6640625" style="86" customWidth="1"/>
    <col min="15108" max="15113" width="0" style="86" hidden="1" customWidth="1"/>
    <col min="15114" max="15360" width="9.33203125" style="86"/>
    <col min="15361" max="15361" width="9.5" style="86" customWidth="1"/>
    <col min="15362" max="15362" width="73.83203125" style="86" customWidth="1"/>
    <col min="15363" max="15363" width="17.6640625" style="86" customWidth="1"/>
    <col min="15364" max="15369" width="0" style="86" hidden="1" customWidth="1"/>
    <col min="15370" max="15616" width="9.33203125" style="86"/>
    <col min="15617" max="15617" width="9.5" style="86" customWidth="1"/>
    <col min="15618" max="15618" width="73.83203125" style="86" customWidth="1"/>
    <col min="15619" max="15619" width="17.6640625" style="86" customWidth="1"/>
    <col min="15620" max="15625" width="0" style="86" hidden="1" customWidth="1"/>
    <col min="15626" max="15872" width="9.33203125" style="86"/>
    <col min="15873" max="15873" width="9.5" style="86" customWidth="1"/>
    <col min="15874" max="15874" width="73.83203125" style="86" customWidth="1"/>
    <col min="15875" max="15875" width="17.6640625" style="86" customWidth="1"/>
    <col min="15876" max="15881" width="0" style="86" hidden="1" customWidth="1"/>
    <col min="15882" max="16128" width="9.33203125" style="86"/>
    <col min="16129" max="16129" width="9.5" style="86" customWidth="1"/>
    <col min="16130" max="16130" width="73.83203125" style="86" customWidth="1"/>
    <col min="16131" max="16131" width="17.6640625" style="86" customWidth="1"/>
    <col min="16132" max="16137" width="0" style="86" hidden="1" customWidth="1"/>
    <col min="16138" max="16384" width="9.33203125" style="86"/>
  </cols>
  <sheetData>
    <row r="1" spans="1:8" x14ac:dyDescent="0.2">
      <c r="A1" s="635" t="s">
        <v>1620</v>
      </c>
      <c r="B1" s="635"/>
      <c r="C1" s="635"/>
      <c r="D1" s="635"/>
      <c r="E1" s="434" t="s">
        <v>1621</v>
      </c>
      <c r="F1" s="86"/>
      <c r="G1" s="86"/>
      <c r="H1" s="86"/>
    </row>
    <row r="2" spans="1:8" x14ac:dyDescent="0.2">
      <c r="A2" s="635"/>
      <c r="B2" s="635"/>
      <c r="C2" s="635"/>
      <c r="D2" s="635"/>
      <c r="E2" s="434"/>
      <c r="F2" s="86"/>
      <c r="G2" s="86"/>
      <c r="H2" s="86"/>
    </row>
    <row r="3" spans="1:8" x14ac:dyDescent="0.2">
      <c r="A3" s="635"/>
      <c r="B3" s="635"/>
      <c r="C3" s="635"/>
      <c r="D3" s="635"/>
      <c r="E3" s="434"/>
      <c r="F3" s="86"/>
      <c r="G3" s="86"/>
      <c r="H3" s="86"/>
    </row>
    <row r="4" spans="1:8" x14ac:dyDescent="0.2">
      <c r="A4" s="635"/>
      <c r="B4" s="635"/>
      <c r="C4" s="635"/>
      <c r="D4" s="635"/>
      <c r="E4" s="436" t="s">
        <v>1622</v>
      </c>
      <c r="F4" s="437">
        <f>220</f>
        <v>220</v>
      </c>
      <c r="G4" s="438"/>
      <c r="H4" s="436" t="s">
        <v>1623</v>
      </c>
    </row>
    <row r="5" spans="1:8" x14ac:dyDescent="0.2">
      <c r="A5" s="77"/>
      <c r="B5" s="77"/>
      <c r="C5" s="77"/>
      <c r="E5" s="436" t="s">
        <v>1624</v>
      </c>
      <c r="F5" s="437">
        <v>30</v>
      </c>
      <c r="G5" s="438">
        <f>F4/F5</f>
        <v>7.333333333333333</v>
      </c>
      <c r="H5" s="436" t="s">
        <v>1625</v>
      </c>
    </row>
    <row r="6" spans="1:8" ht="15.75" x14ac:dyDescent="0.2">
      <c r="A6" s="723" t="s">
        <v>1742</v>
      </c>
      <c r="B6" s="723"/>
      <c r="C6" s="723"/>
      <c r="D6" s="433"/>
      <c r="E6" s="441" t="s">
        <v>1628</v>
      </c>
      <c r="F6" s="442">
        <v>52</v>
      </c>
      <c r="G6" s="443">
        <f>((((F70/F16)*F15)-F5)/7)*(F16/F70)*G5</f>
        <v>361.98956022878372</v>
      </c>
      <c r="H6" s="436" t="s">
        <v>1629</v>
      </c>
    </row>
    <row r="7" spans="1:8" ht="15" x14ac:dyDescent="0.2">
      <c r="A7" s="724" t="s">
        <v>1743</v>
      </c>
      <c r="B7" s="724"/>
      <c r="C7" s="724"/>
      <c r="D7" s="435"/>
      <c r="E7" s="446" t="s">
        <v>1631</v>
      </c>
      <c r="F7" s="447" t="s">
        <v>1632</v>
      </c>
      <c r="G7" s="448">
        <f>(((F70/F16)*F7)*((F70-1)/F70)*(F16/F70))*G5</f>
        <v>86.646768111162686</v>
      </c>
      <c r="H7" s="436" t="s">
        <v>1629</v>
      </c>
    </row>
    <row r="8" spans="1:8" hidden="1" x14ac:dyDescent="0.2">
      <c r="E8" s="446" t="s">
        <v>1635</v>
      </c>
      <c r="F8" s="453">
        <v>15</v>
      </c>
      <c r="G8" s="448">
        <f>((F8*3.4%)+2)*G5</f>
        <v>18.406666666666663</v>
      </c>
      <c r="H8" s="436" t="s">
        <v>1629</v>
      </c>
    </row>
    <row r="9" spans="1:8" x14ac:dyDescent="0.2">
      <c r="E9" s="446" t="s">
        <v>1638</v>
      </c>
      <c r="F9" s="453">
        <v>5</v>
      </c>
      <c r="G9" s="448">
        <f>F9*(92.36%*85.64%*5.93%)*G5</f>
        <v>1.7198346979733334</v>
      </c>
      <c r="H9" s="436" t="s">
        <v>1629</v>
      </c>
    </row>
    <row r="10" spans="1:8" ht="15.75" x14ac:dyDescent="0.2">
      <c r="A10" s="683" t="s">
        <v>1744</v>
      </c>
      <c r="B10" s="683"/>
      <c r="C10" s="683"/>
      <c r="D10" s="440"/>
      <c r="E10" s="454" t="s">
        <v>1641</v>
      </c>
      <c r="F10" s="436">
        <v>120</v>
      </c>
      <c r="G10" s="438">
        <f>(4.33%*7.64%*82.4%*(F10/F15)*(F5+F14))*G5</f>
        <v>0.45972588147296367</v>
      </c>
      <c r="H10" s="436" t="s">
        <v>1629</v>
      </c>
    </row>
    <row r="11" spans="1:8" x14ac:dyDescent="0.2">
      <c r="A11" s="684" t="s">
        <v>1630</v>
      </c>
      <c r="B11" s="684"/>
      <c r="C11" s="444" t="s">
        <v>403</v>
      </c>
      <c r="D11" s="445"/>
      <c r="E11" s="455" t="s">
        <v>1644</v>
      </c>
      <c r="F11" s="442">
        <v>2</v>
      </c>
      <c r="G11" s="456">
        <f>F11*G5</f>
        <v>14.666666666666666</v>
      </c>
      <c r="H11" s="436" t="s">
        <v>1629</v>
      </c>
    </row>
    <row r="12" spans="1:8" x14ac:dyDescent="0.2">
      <c r="A12" s="449" t="s">
        <v>1633</v>
      </c>
      <c r="B12" s="450" t="s">
        <v>1634</v>
      </c>
      <c r="C12" s="451">
        <v>20</v>
      </c>
      <c r="D12" s="452"/>
      <c r="E12" s="457" t="s">
        <v>1647</v>
      </c>
      <c r="F12" s="442">
        <v>190</v>
      </c>
      <c r="G12" s="456">
        <f>(F12*((F15-107.42)/F15)*20%*20%)*G5</f>
        <v>39.342163814738754</v>
      </c>
      <c r="H12" s="436" t="s">
        <v>1629</v>
      </c>
    </row>
    <row r="13" spans="1:8" x14ac:dyDescent="0.2">
      <c r="A13" s="449" t="s">
        <v>1636</v>
      </c>
      <c r="B13" s="450" t="s">
        <v>1637</v>
      </c>
      <c r="C13" s="451">
        <v>8</v>
      </c>
      <c r="D13" s="452"/>
      <c r="E13" s="457" t="s">
        <v>1650</v>
      </c>
      <c r="F13" s="442">
        <v>15</v>
      </c>
      <c r="G13" s="456">
        <f>(F13*3.5%)*G5</f>
        <v>3.85</v>
      </c>
      <c r="H13" s="436" t="s">
        <v>1629</v>
      </c>
    </row>
    <row r="14" spans="1:8" x14ac:dyDescent="0.2">
      <c r="A14" s="449" t="s">
        <v>1639</v>
      </c>
      <c r="B14" s="450" t="s">
        <v>1640</v>
      </c>
      <c r="C14" s="451">
        <v>2.5</v>
      </c>
      <c r="D14" s="452"/>
      <c r="E14" s="455" t="s">
        <v>1653</v>
      </c>
      <c r="F14" s="459">
        <v>40</v>
      </c>
      <c r="G14" s="460">
        <f>F14*(F16/F70)*G5</f>
        <v>192.76410453135199</v>
      </c>
      <c r="H14" s="454" t="s">
        <v>1629</v>
      </c>
    </row>
    <row r="15" spans="1:8" x14ac:dyDescent="0.2">
      <c r="A15" s="449" t="s">
        <v>1642</v>
      </c>
      <c r="B15" s="450" t="s">
        <v>1643</v>
      </c>
      <c r="C15" s="451">
        <v>1.5</v>
      </c>
      <c r="D15" s="452"/>
      <c r="E15" s="439" t="s">
        <v>1656</v>
      </c>
      <c r="F15" s="461">
        <f>365.25</f>
        <v>365.25</v>
      </c>
      <c r="G15" s="462">
        <f>F15*G5</f>
        <v>2678.5</v>
      </c>
      <c r="H15" s="454" t="s">
        <v>1629</v>
      </c>
    </row>
    <row r="16" spans="1:8" x14ac:dyDescent="0.2">
      <c r="A16" s="449" t="s">
        <v>1645</v>
      </c>
      <c r="B16" s="450" t="s">
        <v>1646</v>
      </c>
      <c r="C16" s="451">
        <v>1</v>
      </c>
      <c r="D16" s="452"/>
      <c r="E16" s="439" t="s">
        <v>1659</v>
      </c>
      <c r="F16" s="447" t="s">
        <v>1660</v>
      </c>
      <c r="G16" s="462">
        <f>G15-SUM(G6:G14)</f>
        <v>1958.6545094011831</v>
      </c>
      <c r="H16" s="454" t="s">
        <v>1629</v>
      </c>
    </row>
    <row r="17" spans="1:8" x14ac:dyDescent="0.2">
      <c r="A17" s="449" t="s">
        <v>1648</v>
      </c>
      <c r="B17" s="450" t="s">
        <v>1649</v>
      </c>
      <c r="C17" s="451">
        <v>0.6</v>
      </c>
      <c r="D17" s="452"/>
      <c r="E17" s="455" t="s">
        <v>1662</v>
      </c>
      <c r="F17" s="459">
        <v>30</v>
      </c>
      <c r="G17" s="460">
        <f>F17*G5</f>
        <v>220</v>
      </c>
      <c r="H17" s="454" t="s">
        <v>1629</v>
      </c>
    </row>
    <row r="18" spans="1:8" x14ac:dyDescent="0.2">
      <c r="A18" s="449" t="s">
        <v>1651</v>
      </c>
      <c r="B18" s="450" t="s">
        <v>1652</v>
      </c>
      <c r="C18" s="451">
        <v>0.2</v>
      </c>
      <c r="D18" s="458"/>
      <c r="E18" s="467" t="s">
        <v>1664</v>
      </c>
      <c r="F18" s="468">
        <v>33</v>
      </c>
      <c r="G18" s="469">
        <f>(F18*F67*F71*90%)*G5</f>
        <v>121.76466312665308</v>
      </c>
      <c r="H18" s="454" t="s">
        <v>1629</v>
      </c>
    </row>
    <row r="19" spans="1:8" x14ac:dyDescent="0.2">
      <c r="A19" s="449" t="s">
        <v>1654</v>
      </c>
      <c r="B19" s="450" t="s">
        <v>1655</v>
      </c>
      <c r="C19" s="451">
        <v>3</v>
      </c>
      <c r="D19" s="452"/>
      <c r="E19" s="467" t="s">
        <v>1667</v>
      </c>
      <c r="F19" s="468">
        <v>7</v>
      </c>
      <c r="G19" s="471">
        <f>((F19*F67*F71*10%)+(F19*F68*20%*50%))*G5</f>
        <v>6.6346537718642953</v>
      </c>
      <c r="H19" s="454" t="s">
        <v>1629</v>
      </c>
    </row>
    <row r="20" spans="1:8" x14ac:dyDescent="0.2">
      <c r="A20" s="449" t="s">
        <v>1657</v>
      </c>
      <c r="B20" s="450" t="s">
        <v>1658</v>
      </c>
      <c r="C20" s="463">
        <v>0</v>
      </c>
      <c r="D20" s="452"/>
      <c r="E20" s="472" t="s">
        <v>1670</v>
      </c>
      <c r="F20" s="468">
        <v>6</v>
      </c>
      <c r="G20" s="471">
        <f>(F14*(F20/F70)*F71)*G5</f>
        <v>81.996406145894326</v>
      </c>
      <c r="H20" s="454" t="s">
        <v>1629</v>
      </c>
    </row>
    <row r="21" spans="1:8" x14ac:dyDescent="0.2">
      <c r="A21" s="678" t="s">
        <v>1661</v>
      </c>
      <c r="B21" s="678"/>
      <c r="C21" s="464">
        <f>SUM(C12:C20)</f>
        <v>36.800000000000004</v>
      </c>
      <c r="D21" s="465"/>
      <c r="E21" s="472" t="s">
        <v>1673</v>
      </c>
      <c r="F21" s="468"/>
      <c r="G21" s="471">
        <f>((F15+F14)*(F70/F16)*(F67*C13%*50%*F71))*G5</f>
        <v>101.13071770922944</v>
      </c>
      <c r="H21" s="454" t="s">
        <v>1629</v>
      </c>
    </row>
    <row r="22" spans="1:8" x14ac:dyDescent="0.2">
      <c r="A22" s="677" t="s">
        <v>1663</v>
      </c>
      <c r="B22" s="677"/>
      <c r="C22" s="677"/>
      <c r="D22" s="466"/>
      <c r="E22" s="472" t="s">
        <v>1676</v>
      </c>
      <c r="F22" s="469">
        <v>8.3333333333333304</v>
      </c>
      <c r="G22" s="471">
        <f>(F22%*F5*F67*F71)*G5</f>
        <v>10.249550768236785</v>
      </c>
      <c r="H22" s="454" t="s">
        <v>1629</v>
      </c>
    </row>
    <row r="23" spans="1:8" x14ac:dyDescent="0.2">
      <c r="A23" s="449" t="s">
        <v>1665</v>
      </c>
      <c r="B23" s="470" t="s">
        <v>1745</v>
      </c>
      <c r="C23" s="463">
        <f>(G17/G16)*100</f>
        <v>11.232200418401524</v>
      </c>
      <c r="D23" s="466"/>
    </row>
    <row r="24" spans="1:8" x14ac:dyDescent="0.2">
      <c r="A24" s="678" t="s">
        <v>1679</v>
      </c>
      <c r="B24" s="678"/>
      <c r="C24" s="464">
        <f>SUM(C23)</f>
        <v>11.232200418401524</v>
      </c>
      <c r="D24" s="466"/>
      <c r="E24" s="86"/>
      <c r="F24" s="86"/>
      <c r="G24" s="475"/>
      <c r="H24" s="466"/>
    </row>
    <row r="25" spans="1:8" x14ac:dyDescent="0.2">
      <c r="A25" s="677" t="s">
        <v>1681</v>
      </c>
      <c r="B25" s="677"/>
      <c r="C25" s="677"/>
      <c r="D25" s="466"/>
      <c r="E25" s="86"/>
      <c r="F25" s="86"/>
      <c r="G25" s="475"/>
      <c r="H25" s="466"/>
    </row>
    <row r="26" spans="1:8" ht="25.5" x14ac:dyDescent="0.2">
      <c r="A26" s="449" t="s">
        <v>1682</v>
      </c>
      <c r="B26" s="476" t="s">
        <v>1683</v>
      </c>
      <c r="C26" s="463">
        <f>50%*(C13+(C13*C24%))</f>
        <v>4.4492880167360607</v>
      </c>
      <c r="D26" s="466"/>
      <c r="E26" s="86"/>
      <c r="F26" s="86"/>
      <c r="G26" s="478"/>
      <c r="H26" s="86"/>
    </row>
    <row r="27" spans="1:8" ht="38.25" hidden="1" x14ac:dyDescent="0.2">
      <c r="A27" s="449" t="s">
        <v>1686</v>
      </c>
      <c r="B27" s="473" t="s">
        <v>1678</v>
      </c>
      <c r="C27" s="474">
        <f>SUM(G11:G13)/G16</f>
        <v>2.954008999733931E-2</v>
      </c>
      <c r="D27" s="466"/>
      <c r="E27" s="493" t="s">
        <v>1680</v>
      </c>
      <c r="F27" s="493"/>
      <c r="G27" s="478"/>
      <c r="H27" s="86"/>
    </row>
    <row r="28" spans="1:8" x14ac:dyDescent="0.2">
      <c r="A28" s="449" t="s">
        <v>1686</v>
      </c>
      <c r="B28" s="479" t="s">
        <v>1687</v>
      </c>
      <c r="C28" s="463">
        <f>(G20/G16)*100</f>
        <v>4.1863639428151611</v>
      </c>
      <c r="D28" s="466"/>
      <c r="E28" s="454"/>
      <c r="F28" s="454"/>
      <c r="G28" s="466"/>
      <c r="H28" s="86"/>
    </row>
    <row r="29" spans="1:8" x14ac:dyDescent="0.2">
      <c r="A29" s="449" t="s">
        <v>1689</v>
      </c>
      <c r="B29" s="450" t="s">
        <v>1690</v>
      </c>
      <c r="C29" s="463">
        <f>(G18/G16)*100</f>
        <v>6.2167504550805148</v>
      </c>
      <c r="D29" s="466"/>
      <c r="E29" s="477" t="s">
        <v>1684</v>
      </c>
      <c r="F29" s="477" t="s">
        <v>1685</v>
      </c>
      <c r="G29" s="466"/>
      <c r="H29" s="86"/>
    </row>
    <row r="30" spans="1:8" x14ac:dyDescent="0.2">
      <c r="A30" s="678" t="s">
        <v>1692</v>
      </c>
      <c r="B30" s="678"/>
      <c r="C30" s="463">
        <f>SUM(C26:C29)</f>
        <v>14.881942504629077</v>
      </c>
      <c r="D30" s="466"/>
      <c r="E30" s="477" t="s">
        <v>1688</v>
      </c>
      <c r="F30" s="480">
        <v>6.25</v>
      </c>
      <c r="G30" s="466"/>
      <c r="H30" s="86"/>
    </row>
    <row r="31" spans="1:8" x14ac:dyDescent="0.2">
      <c r="A31" s="677" t="s">
        <v>1694</v>
      </c>
      <c r="B31" s="677"/>
      <c r="C31" s="677"/>
      <c r="D31" s="466"/>
      <c r="E31" s="477" t="s">
        <v>1691</v>
      </c>
      <c r="F31" s="482">
        <v>96</v>
      </c>
      <c r="G31" s="466"/>
      <c r="H31" s="86"/>
    </row>
    <row r="32" spans="1:8" x14ac:dyDescent="0.2">
      <c r="A32" s="449" t="s">
        <v>1696</v>
      </c>
      <c r="B32" s="479" t="s">
        <v>1697</v>
      </c>
      <c r="C32" s="463">
        <f>C21*C24%</f>
        <v>4.1334497539717612</v>
      </c>
      <c r="D32" s="466"/>
      <c r="E32" s="477" t="s">
        <v>1693</v>
      </c>
      <c r="F32" s="480">
        <v>1.502</v>
      </c>
      <c r="G32" s="466"/>
      <c r="H32" s="86"/>
    </row>
    <row r="33" spans="1:10" ht="12.75" customHeight="1" x14ac:dyDescent="0.2">
      <c r="A33" s="449" t="s">
        <v>1699</v>
      </c>
      <c r="B33" s="479" t="s">
        <v>1746</v>
      </c>
      <c r="C33" s="463">
        <f>C13*C29%</f>
        <v>0.4973400364064412</v>
      </c>
      <c r="D33" s="466"/>
      <c r="E33" s="477" t="s">
        <v>1695</v>
      </c>
      <c r="F33" s="480">
        <v>3</v>
      </c>
      <c r="G33" s="466"/>
      <c r="H33" s="86"/>
    </row>
    <row r="34" spans="1:10" x14ac:dyDescent="0.2">
      <c r="A34" s="678" t="s">
        <v>1701</v>
      </c>
      <c r="B34" s="678"/>
      <c r="C34" s="463">
        <f>SUM(C32:C33)</f>
        <v>4.630789790378202</v>
      </c>
      <c r="D34" s="466"/>
      <c r="E34" s="477" t="s">
        <v>1695</v>
      </c>
      <c r="F34" s="480">
        <v>7.5</v>
      </c>
      <c r="G34" s="452"/>
      <c r="H34" s="86"/>
    </row>
    <row r="35" spans="1:10" x14ac:dyDescent="0.2">
      <c r="A35" s="677" t="s">
        <v>1703</v>
      </c>
      <c r="B35" s="677"/>
      <c r="C35" s="463">
        <f>(C21+C30+C24+C34)</f>
        <v>67.544932713408798</v>
      </c>
      <c r="D35" s="452"/>
      <c r="E35" s="477" t="s">
        <v>1698</v>
      </c>
      <c r="F35" s="482">
        <v>24</v>
      </c>
      <c r="G35" s="466"/>
      <c r="H35" s="86"/>
    </row>
    <row r="36" spans="1:10" ht="12.75" hidden="1" customHeight="1" x14ac:dyDescent="0.2">
      <c r="A36" s="494"/>
      <c r="B36" s="494"/>
      <c r="C36" s="494"/>
      <c r="D36" s="452"/>
      <c r="E36" s="477"/>
      <c r="F36" s="480"/>
      <c r="G36" s="452"/>
      <c r="H36" s="86"/>
    </row>
    <row r="37" spans="1:10" x14ac:dyDescent="0.2">
      <c r="A37" s="680" t="s">
        <v>1705</v>
      </c>
      <c r="B37" s="680"/>
      <c r="C37" s="680"/>
      <c r="E37" s="477" t="s">
        <v>1702</v>
      </c>
      <c r="F37" s="480">
        <v>19.5</v>
      </c>
      <c r="G37" s="452"/>
      <c r="H37" s="86"/>
    </row>
    <row r="38" spans="1:10" x14ac:dyDescent="0.2">
      <c r="A38" s="483" t="s">
        <v>1707</v>
      </c>
      <c r="B38" s="484" t="s">
        <v>1708</v>
      </c>
      <c r="C38" s="474">
        <f>((F30*F31*6%)/F39)*100</f>
        <v>6</v>
      </c>
      <c r="E38" s="477" t="s">
        <v>1704</v>
      </c>
      <c r="F38" s="480">
        <v>28.8</v>
      </c>
      <c r="G38" s="452"/>
      <c r="H38" s="86"/>
    </row>
    <row r="39" spans="1:10" x14ac:dyDescent="0.2">
      <c r="A39" s="483" t="s">
        <v>1710</v>
      </c>
      <c r="B39" s="484" t="s">
        <v>1711</v>
      </c>
      <c r="C39" s="474">
        <f>((F32*F35-F39/30*F35*1%)/F39)*100</f>
        <v>5.2080000000000002</v>
      </c>
      <c r="E39" s="477" t="s">
        <v>1706</v>
      </c>
      <c r="F39" s="480">
        <v>600</v>
      </c>
      <c r="G39" s="485"/>
      <c r="H39" s="86"/>
    </row>
    <row r="40" spans="1:10" x14ac:dyDescent="0.2">
      <c r="A40" s="449" t="s">
        <v>1712</v>
      </c>
      <c r="B40" s="470" t="s">
        <v>1713</v>
      </c>
      <c r="C40" s="474">
        <f>((F34*F35*0.95)/F39)*100</f>
        <v>28.499999999999996</v>
      </c>
      <c r="E40" s="482" t="s">
        <v>1709</v>
      </c>
      <c r="F40" s="482">
        <v>12</v>
      </c>
      <c r="H40" s="86"/>
    </row>
    <row r="41" spans="1:10" ht="12.75" customHeight="1" x14ac:dyDescent="0.2">
      <c r="A41" s="449" t="s">
        <v>1714</v>
      </c>
      <c r="B41" s="470" t="s">
        <v>1715</v>
      </c>
      <c r="C41" s="474">
        <f>(F37/F39)*100</f>
        <v>3.25</v>
      </c>
      <c r="E41" s="86"/>
      <c r="F41" s="86"/>
      <c r="H41" s="86"/>
    </row>
    <row r="42" spans="1:10" s="436" customFormat="1" ht="12.75" customHeight="1" x14ac:dyDescent="0.2">
      <c r="A42" s="449" t="s">
        <v>1716</v>
      </c>
      <c r="B42" s="470" t="s">
        <v>1717</v>
      </c>
      <c r="C42" s="474">
        <f>(F38/F39)*100</f>
        <v>4.8</v>
      </c>
      <c r="E42" s="486" t="s">
        <v>1719</v>
      </c>
      <c r="F42" s="486"/>
      <c r="I42" s="86"/>
      <c r="J42" s="86"/>
    </row>
    <row r="43" spans="1:10" s="436" customFormat="1" ht="12.75" customHeight="1" x14ac:dyDescent="0.2">
      <c r="A43" s="449" t="s">
        <v>1718</v>
      </c>
      <c r="B43" s="470" t="s">
        <v>1709</v>
      </c>
      <c r="C43" s="474">
        <f>(F40/F39)*100</f>
        <v>2</v>
      </c>
      <c r="E43" s="486"/>
      <c r="F43" s="486"/>
      <c r="I43" s="86"/>
      <c r="J43" s="86"/>
    </row>
    <row r="44" spans="1:10" x14ac:dyDescent="0.2">
      <c r="A44" s="677" t="s">
        <v>1720</v>
      </c>
      <c r="B44" s="677"/>
      <c r="C44" s="474">
        <f>SUM(C38:C42)</f>
        <v>47.757999999999996</v>
      </c>
      <c r="E44" s="487"/>
      <c r="F44" s="487"/>
    </row>
    <row r="45" spans="1:10" x14ac:dyDescent="0.2">
      <c r="A45" s="677" t="s">
        <v>1721</v>
      </c>
      <c r="B45" s="677"/>
      <c r="C45" s="464">
        <f>C44+C35</f>
        <v>115.30293271340879</v>
      </c>
      <c r="E45" s="470" t="s">
        <v>1722</v>
      </c>
      <c r="F45" s="488">
        <f>SUM(F46:F59)</f>
        <v>72807</v>
      </c>
    </row>
    <row r="46" spans="1:10" x14ac:dyDescent="0.2">
      <c r="A46" s="676"/>
      <c r="B46" s="676"/>
      <c r="C46" s="676"/>
      <c r="E46" s="470" t="s">
        <v>1723</v>
      </c>
      <c r="F46" s="488">
        <v>882</v>
      </c>
    </row>
    <row r="47" spans="1:10" s="498" customFormat="1" x14ac:dyDescent="0.2">
      <c r="A47" s="487"/>
      <c r="B47" s="487"/>
      <c r="C47" s="487"/>
      <c r="D47" s="495"/>
      <c r="E47" s="496"/>
      <c r="F47" s="497"/>
      <c r="G47" s="495"/>
      <c r="H47" s="495"/>
    </row>
    <row r="48" spans="1:10" s="498" customFormat="1" x14ac:dyDescent="0.2">
      <c r="A48" s="487"/>
      <c r="B48" s="487"/>
      <c r="C48" s="487"/>
      <c r="D48" s="495"/>
      <c r="E48" s="496"/>
      <c r="F48" s="497"/>
      <c r="G48" s="495"/>
      <c r="H48" s="495"/>
    </row>
    <row r="49" spans="1:10" s="498" customFormat="1" x14ac:dyDescent="0.2">
      <c r="A49" s="487"/>
      <c r="B49" s="487"/>
      <c r="C49" s="487"/>
      <c r="D49" s="495"/>
      <c r="E49" s="496"/>
      <c r="F49" s="497"/>
      <c r="G49" s="495"/>
      <c r="H49" s="495"/>
    </row>
    <row r="50" spans="1:10" s="498" customFormat="1" x14ac:dyDescent="0.2">
      <c r="A50" s="487"/>
      <c r="B50" s="487"/>
      <c r="C50" s="487"/>
      <c r="D50" s="495"/>
      <c r="E50" s="496"/>
      <c r="F50" s="497"/>
      <c r="G50" s="495"/>
      <c r="H50" s="495"/>
    </row>
    <row r="51" spans="1:10" s="498" customFormat="1" x14ac:dyDescent="0.2">
      <c r="A51" s="487"/>
      <c r="B51" s="487"/>
      <c r="C51" s="487"/>
      <c r="D51" s="495"/>
      <c r="E51" s="496"/>
      <c r="F51" s="497"/>
      <c r="G51" s="495"/>
      <c r="H51" s="495"/>
    </row>
    <row r="52" spans="1:10" s="498" customFormat="1" x14ac:dyDescent="0.2">
      <c r="A52" s="487"/>
      <c r="B52" s="487"/>
      <c r="C52" s="487"/>
      <c r="D52" s="495"/>
      <c r="E52" s="496"/>
      <c r="F52" s="497"/>
      <c r="G52" s="495"/>
      <c r="H52" s="495"/>
    </row>
    <row r="53" spans="1:10" x14ac:dyDescent="0.2">
      <c r="E53" s="470" t="s">
        <v>1724</v>
      </c>
      <c r="F53" s="488">
        <v>55380</v>
      </c>
    </row>
    <row r="54" spans="1:10" s="436" customFormat="1" ht="12.75" customHeight="1" x14ac:dyDescent="0.2">
      <c r="E54" s="470" t="s">
        <v>1725</v>
      </c>
      <c r="F54" s="488">
        <v>7553</v>
      </c>
      <c r="I54" s="86"/>
      <c r="J54" s="86"/>
    </row>
    <row r="55" spans="1:10" s="436" customFormat="1" x14ac:dyDescent="0.2">
      <c r="E55" s="470" t="s">
        <v>1726</v>
      </c>
      <c r="F55" s="488">
        <v>2241</v>
      </c>
      <c r="I55" s="86"/>
      <c r="J55" s="86"/>
    </row>
    <row r="56" spans="1:10" s="436" customFormat="1" x14ac:dyDescent="0.2">
      <c r="E56" s="470" t="s">
        <v>1727</v>
      </c>
      <c r="F56" s="488">
        <v>6593</v>
      </c>
      <c r="I56" s="86"/>
      <c r="J56" s="86"/>
    </row>
    <row r="57" spans="1:10" s="436" customFormat="1" x14ac:dyDescent="0.2">
      <c r="E57" s="470" t="s">
        <v>1728</v>
      </c>
      <c r="F57" s="488">
        <v>10</v>
      </c>
      <c r="I57" s="86"/>
      <c r="J57" s="86"/>
    </row>
    <row r="58" spans="1:10" s="436" customFormat="1" x14ac:dyDescent="0.2">
      <c r="E58" s="470" t="s">
        <v>1729</v>
      </c>
      <c r="F58" s="488">
        <v>148</v>
      </c>
      <c r="I58" s="86"/>
      <c r="J58" s="86"/>
    </row>
    <row r="59" spans="1:10" s="436" customFormat="1" x14ac:dyDescent="0.2">
      <c r="E59" s="470" t="s">
        <v>1730</v>
      </c>
      <c r="F59" s="488">
        <v>0</v>
      </c>
      <c r="I59" s="86"/>
      <c r="J59" s="86"/>
    </row>
    <row r="60" spans="1:10" s="436" customFormat="1" x14ac:dyDescent="0.2">
      <c r="E60" s="470" t="s">
        <v>1731</v>
      </c>
      <c r="F60" s="488"/>
      <c r="I60" s="86"/>
      <c r="J60" s="86"/>
    </row>
    <row r="61" spans="1:10" s="436" customFormat="1" x14ac:dyDescent="0.2">
      <c r="E61" s="470" t="s">
        <v>1732</v>
      </c>
      <c r="F61" s="488">
        <v>95230</v>
      </c>
      <c r="I61" s="86"/>
      <c r="J61" s="86"/>
    </row>
    <row r="62" spans="1:10" s="436" customFormat="1" x14ac:dyDescent="0.2">
      <c r="E62" s="470" t="s">
        <v>1733</v>
      </c>
      <c r="F62" s="488">
        <v>102886</v>
      </c>
      <c r="I62" s="86"/>
      <c r="J62" s="86"/>
    </row>
    <row r="63" spans="1:10" s="436" customFormat="1" x14ac:dyDescent="0.2">
      <c r="E63" s="470" t="s">
        <v>1734</v>
      </c>
      <c r="F63" s="488">
        <f>SUM(F61:F62)/COUNT(F61:F62)</f>
        <v>99058</v>
      </c>
      <c r="I63" s="86"/>
      <c r="J63" s="86"/>
    </row>
    <row r="64" spans="1:10" s="436" customFormat="1" ht="38.25" x14ac:dyDescent="0.2">
      <c r="E64" s="473" t="s">
        <v>1735</v>
      </c>
      <c r="F64" s="488">
        <f>F45-(F54+F57+F58+F59)</f>
        <v>65096</v>
      </c>
      <c r="I64" s="86"/>
      <c r="J64" s="86"/>
    </row>
    <row r="65" spans="5:10" s="436" customFormat="1" ht="25.5" x14ac:dyDescent="0.2">
      <c r="E65" s="473" t="s">
        <v>1736</v>
      </c>
      <c r="F65" s="488">
        <f>F45-(F57+F58+F59)</f>
        <v>72649</v>
      </c>
      <c r="I65" s="86"/>
      <c r="J65" s="86"/>
    </row>
    <row r="67" spans="5:10" s="436" customFormat="1" ht="25.5" x14ac:dyDescent="0.2">
      <c r="E67" s="473" t="s">
        <v>1737</v>
      </c>
      <c r="F67" s="490">
        <f>(F64/F63)*1</f>
        <v>0.65715035635688179</v>
      </c>
      <c r="I67" s="86"/>
      <c r="J67" s="86"/>
    </row>
    <row r="68" spans="5:10" s="436" customFormat="1" x14ac:dyDescent="0.2">
      <c r="E68" s="473" t="s">
        <v>1738</v>
      </c>
      <c r="F68" s="490">
        <f>(F65/F63)*1</f>
        <v>0.73339861495285585</v>
      </c>
      <c r="I68" s="86"/>
      <c r="J68" s="86"/>
    </row>
    <row r="69" spans="5:10" s="436" customFormat="1" x14ac:dyDescent="0.2">
      <c r="E69" s="473" t="s">
        <v>1739</v>
      </c>
      <c r="F69" s="490">
        <f>(F54/F45)*1</f>
        <v>0.10374002499759638</v>
      </c>
      <c r="I69" s="86"/>
      <c r="J69" s="86"/>
    </row>
    <row r="70" spans="5:10" s="436" customFormat="1" x14ac:dyDescent="0.2">
      <c r="E70" s="473" t="s">
        <v>1740</v>
      </c>
      <c r="F70" s="491">
        <f>12/F67</f>
        <v>18.260661177338086</v>
      </c>
      <c r="I70" s="86"/>
      <c r="J70" s="86"/>
    </row>
    <row r="71" spans="5:10" s="436" customFormat="1" x14ac:dyDescent="0.2">
      <c r="E71" s="470" t="s">
        <v>1741</v>
      </c>
      <c r="F71" s="490">
        <f>(F53/F64)*1</f>
        <v>0.85074351726680597</v>
      </c>
      <c r="I71" s="86"/>
      <c r="J71" s="86"/>
    </row>
    <row r="72" spans="5:10" s="436" customFormat="1" x14ac:dyDescent="0.2">
      <c r="E72" s="492"/>
      <c r="F72" s="492"/>
      <c r="I72" s="86"/>
      <c r="J72" s="86"/>
    </row>
  </sheetData>
  <mergeCells count="17">
    <mergeCell ref="A34:B34"/>
    <mergeCell ref="A1:D4"/>
    <mergeCell ref="A6:C6"/>
    <mergeCell ref="A7:C7"/>
    <mergeCell ref="A10:C10"/>
    <mergeCell ref="A11:B11"/>
    <mergeCell ref="A21:B21"/>
    <mergeCell ref="A22:C22"/>
    <mergeCell ref="A24:B24"/>
    <mergeCell ref="A25:C25"/>
    <mergeCell ref="A30:B30"/>
    <mergeCell ref="A31:C31"/>
    <mergeCell ref="A35:B35"/>
    <mergeCell ref="A37:C37"/>
    <mergeCell ref="A44:B44"/>
    <mergeCell ref="A45:B45"/>
    <mergeCell ref="A46:C46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6"/>
  <sheetViews>
    <sheetView showGridLines="0" view="pageBreakPreview" topLeftCell="C1" zoomScaleNormal="100" zoomScaleSheetLayoutView="100" zoomScalePageLayoutView="90" workbookViewId="0">
      <selection activeCell="D11" sqref="D11:D12"/>
    </sheetView>
  </sheetViews>
  <sheetFormatPr defaultRowHeight="15" x14ac:dyDescent="0.25"/>
  <cols>
    <col min="1" max="1" width="10.6640625" style="363" hidden="1" customWidth="1"/>
    <col min="2" max="2" width="13.33203125" style="364" hidden="1" customWidth="1"/>
    <col min="3" max="3" width="9.1640625" style="365" bestFit="1" customWidth="1"/>
    <col min="4" max="4" width="54.6640625" style="366" customWidth="1"/>
    <col min="5" max="5" width="7" style="365" customWidth="1"/>
    <col min="6" max="6" width="9.6640625" style="367" customWidth="1"/>
    <col min="7" max="7" width="11.5" style="368" bestFit="1" customWidth="1"/>
    <col min="8" max="8" width="11.5" style="369" hidden="1" customWidth="1"/>
    <col min="9" max="9" width="18.83203125" style="363" hidden="1" customWidth="1"/>
    <col min="10" max="10" width="19.5" style="363" customWidth="1"/>
    <col min="11" max="11" width="3" style="195" customWidth="1"/>
    <col min="12" max="12" width="9.33203125" style="370"/>
    <col min="13" max="13" width="18.5" style="195" bestFit="1" customWidth="1"/>
    <col min="14" max="14" width="12.33203125" style="195" bestFit="1" customWidth="1"/>
    <col min="15" max="15" width="15.5" style="195" bestFit="1" customWidth="1"/>
    <col min="16" max="16384" width="9.33203125" style="195"/>
  </cols>
  <sheetData>
    <row r="1" spans="1:14" s="243" customFormat="1" ht="26.25" customHeight="1" x14ac:dyDescent="0.2">
      <c r="A1" s="741" t="str">
        <f>'Resumo Geral'!A1:D4</f>
        <v>TERPLANC - TERRAPLENAGEM  PLANEJAMENTO CONSTRUÇÃO E SEVIÇOS  EIRELE - EPP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242"/>
    </row>
    <row r="2" spans="1:14" s="243" customFormat="1" ht="15.75" customHeight="1" x14ac:dyDescent="0.2">
      <c r="A2" s="741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242"/>
    </row>
    <row r="3" spans="1:14" s="243" customFormat="1" ht="15.75" customHeight="1" x14ac:dyDescent="0.2">
      <c r="A3" s="741"/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242"/>
    </row>
    <row r="4" spans="1:14" s="243" customFormat="1" ht="15" customHeight="1" x14ac:dyDescent="0.2">
      <c r="A4" s="741"/>
      <c r="B4" s="741"/>
      <c r="C4" s="741"/>
      <c r="D4" s="741"/>
      <c r="E4" s="741"/>
      <c r="F4" s="741"/>
      <c r="G4" s="741"/>
      <c r="H4" s="741"/>
      <c r="I4" s="741"/>
      <c r="J4" s="741"/>
      <c r="K4" s="741"/>
      <c r="L4" s="242"/>
    </row>
    <row r="5" spans="1:14" s="243" customFormat="1" ht="26.25" customHeight="1" x14ac:dyDescent="0.2">
      <c r="A5" s="742" t="s">
        <v>641</v>
      </c>
      <c r="B5" s="742"/>
      <c r="C5" s="742"/>
      <c r="D5" s="742"/>
      <c r="E5" s="214"/>
      <c r="F5" s="743"/>
      <c r="G5" s="743"/>
      <c r="H5" s="743"/>
      <c r="I5" s="743"/>
      <c r="J5" s="244"/>
      <c r="L5" s="242"/>
    </row>
    <row r="6" spans="1:14" s="243" customFormat="1" x14ac:dyDescent="0.2">
      <c r="A6" s="740" t="s">
        <v>642</v>
      </c>
      <c r="B6" s="740"/>
      <c r="C6" s="740"/>
      <c r="D6" s="740"/>
      <c r="E6" s="740"/>
      <c r="F6" s="740"/>
      <c r="G6" s="245"/>
      <c r="H6" s="245"/>
      <c r="I6" s="246"/>
      <c r="J6" s="246"/>
      <c r="K6" s="247"/>
      <c r="L6" s="242"/>
    </row>
    <row r="7" spans="1:14" s="243" customFormat="1" x14ac:dyDescent="0.2">
      <c r="A7" s="740" t="s">
        <v>643</v>
      </c>
      <c r="B7" s="740"/>
      <c r="C7" s="740"/>
      <c r="D7" s="740"/>
      <c r="E7" s="248"/>
      <c r="F7" s="249"/>
      <c r="G7" s="245"/>
      <c r="H7" s="245"/>
      <c r="I7" s="250"/>
      <c r="J7" s="250"/>
      <c r="L7" s="242"/>
    </row>
    <row r="8" spans="1:14" s="243" customFormat="1" ht="17.25" customHeight="1" x14ac:dyDescent="0.2">
      <c r="A8" s="740" t="s">
        <v>644</v>
      </c>
      <c r="B8" s="740"/>
      <c r="C8" s="740"/>
      <c r="D8" s="740"/>
      <c r="E8" s="740"/>
      <c r="F8" s="740"/>
      <c r="G8" s="245"/>
      <c r="H8" s="245"/>
      <c r="I8" s="251"/>
      <c r="J8" s="251"/>
      <c r="L8" s="242"/>
    </row>
    <row r="9" spans="1:14" s="243" customFormat="1" x14ac:dyDescent="0.2">
      <c r="A9" s="729" t="s">
        <v>645</v>
      </c>
      <c r="B9" s="729"/>
      <c r="C9" s="729"/>
      <c r="D9" s="729"/>
      <c r="E9" s="729"/>
      <c r="F9" s="729"/>
      <c r="G9" s="729"/>
      <c r="H9" s="729"/>
      <c r="I9" s="729"/>
      <c r="J9" s="252"/>
      <c r="L9" s="242"/>
    </row>
    <row r="10" spans="1:14" s="243" customFormat="1" x14ac:dyDescent="0.2">
      <c r="A10" s="253"/>
      <c r="B10" s="254"/>
      <c r="C10" s="254"/>
      <c r="D10" s="255"/>
      <c r="E10" s="248"/>
      <c r="F10" s="249"/>
      <c r="G10" s="245"/>
      <c r="H10" s="245"/>
      <c r="I10" s="250"/>
      <c r="J10" s="250"/>
      <c r="L10" s="242"/>
    </row>
    <row r="11" spans="1:14" s="243" customFormat="1" x14ac:dyDescent="0.2">
      <c r="A11" s="730"/>
      <c r="B11" s="732" t="s">
        <v>646</v>
      </c>
      <c r="C11" s="734" t="s">
        <v>325</v>
      </c>
      <c r="D11" s="734" t="s">
        <v>647</v>
      </c>
      <c r="E11" s="735" t="s">
        <v>407</v>
      </c>
      <c r="F11" s="736" t="s">
        <v>648</v>
      </c>
      <c r="G11" s="737" t="s">
        <v>649</v>
      </c>
      <c r="H11" s="738" t="s">
        <v>650</v>
      </c>
      <c r="I11" s="739" t="s">
        <v>396</v>
      </c>
      <c r="J11" s="256"/>
      <c r="L11" s="725"/>
      <c r="M11" s="257"/>
    </row>
    <row r="12" spans="1:14" s="243" customFormat="1" x14ac:dyDescent="0.2">
      <c r="A12" s="731"/>
      <c r="B12" s="733"/>
      <c r="C12" s="734"/>
      <c r="D12" s="734"/>
      <c r="E12" s="735"/>
      <c r="F12" s="736"/>
      <c r="G12" s="737"/>
      <c r="H12" s="738"/>
      <c r="I12" s="739"/>
      <c r="J12" s="256"/>
      <c r="L12" s="726"/>
      <c r="M12" s="258"/>
    </row>
    <row r="13" spans="1:14" s="243" customFormat="1" x14ac:dyDescent="0.2">
      <c r="A13" s="259"/>
      <c r="B13" s="260"/>
      <c r="C13" s="261">
        <v>1</v>
      </c>
      <c r="D13" s="262" t="s">
        <v>651</v>
      </c>
      <c r="E13" s="263"/>
      <c r="F13" s="264"/>
      <c r="G13" s="265"/>
      <c r="H13" s="266"/>
      <c r="I13" s="267">
        <f>SUM(I14:I21)</f>
        <v>26769.350100000003</v>
      </c>
      <c r="J13" s="267">
        <f>SUM(J14:J21)</f>
        <v>28524.405204515908</v>
      </c>
      <c r="K13" s="268"/>
      <c r="L13" s="242"/>
    </row>
    <row r="14" spans="1:14" s="243" customFormat="1" x14ac:dyDescent="0.2">
      <c r="A14" s="269"/>
      <c r="B14" s="270" t="s">
        <v>652</v>
      </c>
      <c r="C14" s="271" t="s">
        <v>185</v>
      </c>
      <c r="D14" s="272" t="s">
        <v>653</v>
      </c>
      <c r="E14" s="273" t="s">
        <v>421</v>
      </c>
      <c r="F14" s="274">
        <v>6</v>
      </c>
      <c r="G14" s="275">
        <f>Comp!I88</f>
        <v>285.54601369053199</v>
      </c>
      <c r="H14" s="275">
        <v>375.79</v>
      </c>
      <c r="I14" s="276">
        <f>F14*H14</f>
        <v>2254.7400000000002</v>
      </c>
      <c r="J14" s="276">
        <f>F14*G14</f>
        <v>1713.2760821431921</v>
      </c>
      <c r="L14" s="277"/>
      <c r="M14" s="277"/>
      <c r="N14" s="278"/>
    </row>
    <row r="15" spans="1:14" s="243" customFormat="1" x14ac:dyDescent="0.2">
      <c r="A15" s="269"/>
      <c r="B15" s="270" t="s">
        <v>654</v>
      </c>
      <c r="C15" s="271" t="s">
        <v>655</v>
      </c>
      <c r="D15" s="272" t="s">
        <v>656</v>
      </c>
      <c r="E15" s="273" t="s">
        <v>421</v>
      </c>
      <c r="F15" s="274">
        <v>1</v>
      </c>
      <c r="G15" s="275">
        <f>Comp!I100</f>
        <v>313.03631899959998</v>
      </c>
      <c r="H15" s="275">
        <v>627.63</v>
      </c>
      <c r="I15" s="276">
        <f t="shared" ref="I15:I25" si="0">F15*H15</f>
        <v>627.63</v>
      </c>
      <c r="J15" s="276">
        <f t="shared" ref="J15:J21" si="1">F15*G15</f>
        <v>313.03631899959998</v>
      </c>
      <c r="L15" s="277"/>
      <c r="M15" s="277"/>
      <c r="N15" s="278"/>
    </row>
    <row r="16" spans="1:14" s="279" customFormat="1" ht="24" x14ac:dyDescent="0.2">
      <c r="A16" s="269"/>
      <c r="B16" s="270" t="s">
        <v>657</v>
      </c>
      <c r="C16" s="271" t="s">
        <v>658</v>
      </c>
      <c r="D16" s="272" t="s">
        <v>659</v>
      </c>
      <c r="E16" s="273" t="s">
        <v>526</v>
      </c>
      <c r="F16" s="274">
        <v>1</v>
      </c>
      <c r="G16" s="275">
        <f>Comp!I111</f>
        <v>937.75344230400015</v>
      </c>
      <c r="H16" s="275">
        <v>1072.43</v>
      </c>
      <c r="I16" s="276">
        <f>F16*H16</f>
        <v>1072.43</v>
      </c>
      <c r="J16" s="276">
        <f t="shared" si="1"/>
        <v>937.75344230400015</v>
      </c>
      <c r="L16" s="280"/>
      <c r="M16" s="280"/>
      <c r="N16" s="281"/>
    </row>
    <row r="17" spans="1:14" s="279" customFormat="1" x14ac:dyDescent="0.2">
      <c r="A17" s="269"/>
      <c r="B17" s="270" t="s">
        <v>660</v>
      </c>
      <c r="C17" s="271" t="s">
        <v>186</v>
      </c>
      <c r="D17" s="272" t="s">
        <v>440</v>
      </c>
      <c r="E17" s="273" t="s">
        <v>421</v>
      </c>
      <c r="F17" s="274">
        <v>1</v>
      </c>
      <c r="G17" s="275">
        <f>Comp!I123</f>
        <v>550.92388312535991</v>
      </c>
      <c r="H17" s="275">
        <v>472.67</v>
      </c>
      <c r="I17" s="276">
        <f t="shared" si="0"/>
        <v>472.67</v>
      </c>
      <c r="J17" s="276">
        <f t="shared" si="1"/>
        <v>550.92388312535991</v>
      </c>
      <c r="L17" s="280"/>
      <c r="M17" s="280"/>
      <c r="N17" s="281"/>
    </row>
    <row r="18" spans="1:14" s="279" customFormat="1" ht="24" x14ac:dyDescent="0.2">
      <c r="A18" s="269"/>
      <c r="B18" s="270" t="s">
        <v>661</v>
      </c>
      <c r="C18" s="271" t="s">
        <v>187</v>
      </c>
      <c r="D18" s="272" t="s">
        <v>662</v>
      </c>
      <c r="E18" s="273" t="s">
        <v>421</v>
      </c>
      <c r="F18" s="274">
        <v>40</v>
      </c>
      <c r="G18" s="275">
        <f>Comp!I162</f>
        <v>243.86101391133201</v>
      </c>
      <c r="H18" s="275">
        <v>264.63</v>
      </c>
      <c r="I18" s="276">
        <f t="shared" si="0"/>
        <v>10585.2</v>
      </c>
      <c r="J18" s="276">
        <f t="shared" si="1"/>
        <v>9754.4405564532808</v>
      </c>
      <c r="L18" s="280"/>
      <c r="M18" s="280"/>
      <c r="N18" s="281"/>
    </row>
    <row r="19" spans="1:14" s="279" customFormat="1" x14ac:dyDescent="0.2">
      <c r="A19" s="269"/>
      <c r="B19" s="270" t="s">
        <v>663</v>
      </c>
      <c r="C19" s="271" t="s">
        <v>188</v>
      </c>
      <c r="D19" s="272" t="s">
        <v>664</v>
      </c>
      <c r="E19" s="273" t="s">
        <v>421</v>
      </c>
      <c r="F19" s="274">
        <v>1510.23</v>
      </c>
      <c r="G19" s="275">
        <f>Comp!I175</f>
        <v>3.3632813144</v>
      </c>
      <c r="H19" s="275">
        <v>2.87</v>
      </c>
      <c r="I19" s="276">
        <f t="shared" si="0"/>
        <v>4334.3600999999999</v>
      </c>
      <c r="J19" s="276">
        <f t="shared" si="1"/>
        <v>5079.3283394463124</v>
      </c>
      <c r="L19" s="280"/>
      <c r="M19" s="280"/>
      <c r="N19" s="281"/>
    </row>
    <row r="20" spans="1:14" s="279" customFormat="1" x14ac:dyDescent="0.2">
      <c r="A20" s="269"/>
      <c r="B20" s="270" t="s">
        <v>665</v>
      </c>
      <c r="C20" s="271" t="s">
        <v>378</v>
      </c>
      <c r="D20" s="272" t="s">
        <v>666</v>
      </c>
      <c r="E20" s="273" t="s">
        <v>418</v>
      </c>
      <c r="F20" s="274">
        <v>56</v>
      </c>
      <c r="G20" s="275">
        <f>Comp!I183</f>
        <v>86.935300000000012</v>
      </c>
      <c r="H20" s="275">
        <v>75.069999999999993</v>
      </c>
      <c r="I20" s="276">
        <f t="shared" si="0"/>
        <v>4203.92</v>
      </c>
      <c r="J20" s="276">
        <f t="shared" si="1"/>
        <v>4868.3768000000009</v>
      </c>
      <c r="L20" s="280"/>
      <c r="M20" s="280"/>
      <c r="N20" s="281"/>
    </row>
    <row r="21" spans="1:14" s="279" customFormat="1" ht="24" x14ac:dyDescent="0.2">
      <c r="A21" s="269"/>
      <c r="B21" s="270" t="s">
        <v>667</v>
      </c>
      <c r="C21" s="271" t="s">
        <v>668</v>
      </c>
      <c r="D21" s="272" t="s">
        <v>669</v>
      </c>
      <c r="E21" s="273" t="s">
        <v>421</v>
      </c>
      <c r="F21" s="274">
        <v>80</v>
      </c>
      <c r="G21" s="275">
        <f>Comp!I198</f>
        <v>66.340872275552002</v>
      </c>
      <c r="H21" s="275">
        <v>40.229999999999997</v>
      </c>
      <c r="I21" s="276">
        <f t="shared" si="0"/>
        <v>3218.3999999999996</v>
      </c>
      <c r="J21" s="276">
        <f t="shared" si="1"/>
        <v>5307.2697820441599</v>
      </c>
      <c r="L21" s="280"/>
      <c r="M21" s="280"/>
      <c r="N21" s="281"/>
    </row>
    <row r="22" spans="1:14" s="279" customFormat="1" x14ac:dyDescent="0.2">
      <c r="A22" s="269"/>
      <c r="B22" s="260"/>
      <c r="C22" s="261">
        <v>2</v>
      </c>
      <c r="D22" s="262" t="s">
        <v>670</v>
      </c>
      <c r="E22" s="263"/>
      <c r="F22" s="264"/>
      <c r="G22" s="265"/>
      <c r="H22" s="266"/>
      <c r="I22" s="267">
        <f>SUM(I23:I34)</f>
        <v>13304.603900000004</v>
      </c>
      <c r="J22" s="267">
        <f>SUM(J23:J34)</f>
        <v>9680.0651010722941</v>
      </c>
      <c r="K22" s="268"/>
      <c r="L22" s="282"/>
      <c r="M22" s="280"/>
      <c r="N22" s="281"/>
    </row>
    <row r="23" spans="1:14" s="279" customFormat="1" ht="24" x14ac:dyDescent="0.2">
      <c r="A23" s="269"/>
      <c r="B23" s="270">
        <v>79488</v>
      </c>
      <c r="C23" s="271" t="s">
        <v>671</v>
      </c>
      <c r="D23" s="272" t="s">
        <v>672</v>
      </c>
      <c r="E23" s="273" t="s">
        <v>416</v>
      </c>
      <c r="F23" s="274">
        <v>298.47000000000003</v>
      </c>
      <c r="G23" s="275">
        <f>Comp!I207</f>
        <v>7.1777012900048005</v>
      </c>
      <c r="H23" s="275">
        <v>23.53</v>
      </c>
      <c r="I23" s="276">
        <f>F23*H23</f>
        <v>7022.9991000000009</v>
      </c>
      <c r="J23" s="276">
        <f>F23*G23</f>
        <v>2142.3285040277328</v>
      </c>
      <c r="L23" s="280"/>
      <c r="M23" s="280"/>
      <c r="N23" s="281"/>
    </row>
    <row r="24" spans="1:14" s="279" customFormat="1" ht="24" x14ac:dyDescent="0.2">
      <c r="A24" s="269"/>
      <c r="B24" s="270" t="s">
        <v>673</v>
      </c>
      <c r="C24" s="271" t="s">
        <v>189</v>
      </c>
      <c r="D24" s="272" t="s">
        <v>674</v>
      </c>
      <c r="E24" s="273" t="s">
        <v>416</v>
      </c>
      <c r="F24" s="274">
        <v>146.87</v>
      </c>
      <c r="G24" s="275">
        <f>Comp!I216</f>
        <v>31.599838638944</v>
      </c>
      <c r="H24" s="275">
        <v>19.690000000000001</v>
      </c>
      <c r="I24" s="276">
        <f t="shared" si="0"/>
        <v>2891.8703000000005</v>
      </c>
      <c r="J24" s="276">
        <f t="shared" ref="J24:J34" si="2">F24*G24</f>
        <v>4641.0683009017057</v>
      </c>
      <c r="L24" s="280"/>
      <c r="M24" s="280"/>
      <c r="N24" s="281"/>
    </row>
    <row r="25" spans="1:14" s="279" customFormat="1" x14ac:dyDescent="0.2">
      <c r="A25" s="283"/>
      <c r="B25" s="270" t="s">
        <v>675</v>
      </c>
      <c r="C25" s="271" t="s">
        <v>190</v>
      </c>
      <c r="D25" s="284" t="s">
        <v>676</v>
      </c>
      <c r="E25" s="270" t="s">
        <v>421</v>
      </c>
      <c r="F25" s="274">
        <v>298.47000000000003</v>
      </c>
      <c r="G25" s="275">
        <f>Comp!I225</f>
        <v>3.1268986412120001</v>
      </c>
      <c r="H25" s="275">
        <v>8.83</v>
      </c>
      <c r="I25" s="285">
        <f t="shared" si="0"/>
        <v>2635.4901000000004</v>
      </c>
      <c r="J25" s="276">
        <f t="shared" si="2"/>
        <v>933.2854374425458</v>
      </c>
      <c r="L25" s="217"/>
    </row>
    <row r="26" spans="1:14" s="279" customFormat="1" x14ac:dyDescent="0.2">
      <c r="A26" s="269"/>
      <c r="B26" s="270">
        <v>79490</v>
      </c>
      <c r="C26" s="271" t="s">
        <v>191</v>
      </c>
      <c r="D26" s="272" t="s">
        <v>677</v>
      </c>
      <c r="E26" s="273" t="s">
        <v>416</v>
      </c>
      <c r="F26" s="274">
        <v>98.77</v>
      </c>
      <c r="G26" s="275">
        <f>Comp!I234</f>
        <v>12.511069666799999</v>
      </c>
      <c r="H26" s="275">
        <v>1.39</v>
      </c>
      <c r="I26" s="276">
        <f>F26*H26</f>
        <v>137.29029999999997</v>
      </c>
      <c r="J26" s="276">
        <f t="shared" si="2"/>
        <v>1235.7183509898359</v>
      </c>
      <c r="L26" s="280"/>
      <c r="M26" s="280"/>
      <c r="N26" s="281"/>
    </row>
    <row r="27" spans="1:14" s="279" customFormat="1" x14ac:dyDescent="0.2">
      <c r="A27" s="269"/>
      <c r="B27" s="270"/>
      <c r="C27" s="271"/>
      <c r="D27" s="286" t="s">
        <v>678</v>
      </c>
      <c r="E27" s="273"/>
      <c r="F27" s="274"/>
      <c r="G27" s="275"/>
      <c r="H27" s="275"/>
      <c r="I27" s="276"/>
      <c r="J27" s="276"/>
      <c r="L27" s="280"/>
      <c r="M27" s="280"/>
      <c r="N27" s="281"/>
    </row>
    <row r="28" spans="1:14" s="279" customFormat="1" ht="24" x14ac:dyDescent="0.2">
      <c r="A28" s="269"/>
      <c r="B28" s="270" t="s">
        <v>673</v>
      </c>
      <c r="C28" s="271" t="s">
        <v>192</v>
      </c>
      <c r="D28" s="272" t="s">
        <v>674</v>
      </c>
      <c r="E28" s="273" t="s">
        <v>416</v>
      </c>
      <c r="F28" s="274">
        <v>11.26</v>
      </c>
      <c r="G28" s="275">
        <f>G24</f>
        <v>31.599838638944</v>
      </c>
      <c r="H28" s="275">
        <f>H24</f>
        <v>19.690000000000001</v>
      </c>
      <c r="I28" s="276">
        <f>F28*H28</f>
        <v>221.70940000000002</v>
      </c>
      <c r="J28" s="276">
        <f t="shared" si="2"/>
        <v>355.81418307450946</v>
      </c>
      <c r="L28" s="280"/>
      <c r="M28" s="280"/>
      <c r="N28" s="281"/>
    </row>
    <row r="29" spans="1:14" s="279" customFormat="1" x14ac:dyDescent="0.2">
      <c r="A29" s="283"/>
      <c r="B29" s="270" t="s">
        <v>675</v>
      </c>
      <c r="C29" s="270" t="s">
        <v>193</v>
      </c>
      <c r="D29" s="284" t="s">
        <v>676</v>
      </c>
      <c r="E29" s="270" t="str">
        <f>E25</f>
        <v>m²</v>
      </c>
      <c r="F29" s="274">
        <v>17.739999999999998</v>
      </c>
      <c r="G29" s="285">
        <f>G25</f>
        <v>3.1268986412120001</v>
      </c>
      <c r="H29" s="275">
        <v>8.83</v>
      </c>
      <c r="I29" s="287">
        <f>F29*H29</f>
        <v>156.64419999999998</v>
      </c>
      <c r="J29" s="276">
        <f t="shared" si="2"/>
        <v>55.471181895100877</v>
      </c>
      <c r="L29" s="217"/>
    </row>
    <row r="30" spans="1:14" s="279" customFormat="1" x14ac:dyDescent="0.2">
      <c r="A30" s="269"/>
      <c r="B30" s="270">
        <v>79490</v>
      </c>
      <c r="C30" s="270" t="s">
        <v>194</v>
      </c>
      <c r="D30" s="272" t="s">
        <v>677</v>
      </c>
      <c r="E30" s="273" t="s">
        <v>416</v>
      </c>
      <c r="F30" s="274">
        <v>6.39</v>
      </c>
      <c r="G30" s="275">
        <f>G26</f>
        <v>12.511069666799999</v>
      </c>
      <c r="H30" s="275">
        <v>1.39</v>
      </c>
      <c r="I30" s="276">
        <f>F30*H30</f>
        <v>8.8820999999999994</v>
      </c>
      <c r="J30" s="276">
        <f t="shared" si="2"/>
        <v>79.945735170851989</v>
      </c>
      <c r="L30" s="280"/>
      <c r="M30" s="280"/>
      <c r="N30" s="281"/>
    </row>
    <row r="31" spans="1:14" s="279" customFormat="1" x14ac:dyDescent="0.2">
      <c r="A31" s="269"/>
      <c r="B31" s="270"/>
      <c r="C31" s="271"/>
      <c r="D31" s="286" t="s">
        <v>679</v>
      </c>
      <c r="E31" s="273"/>
      <c r="F31" s="274"/>
      <c r="G31" s="275"/>
      <c r="H31" s="275"/>
      <c r="I31" s="276"/>
      <c r="J31" s="276"/>
      <c r="L31" s="280"/>
      <c r="M31" s="280"/>
      <c r="N31" s="281"/>
    </row>
    <row r="32" spans="1:14" s="279" customFormat="1" ht="24" x14ac:dyDescent="0.2">
      <c r="A32" s="269"/>
      <c r="B32" s="270" t="s">
        <v>673</v>
      </c>
      <c r="C32" s="271" t="s">
        <v>195</v>
      </c>
      <c r="D32" s="272" t="s">
        <v>674</v>
      </c>
      <c r="E32" s="273" t="s">
        <v>416</v>
      </c>
      <c r="F32" s="274">
        <v>5.78</v>
      </c>
      <c r="G32" s="275">
        <f>G24</f>
        <v>31.599838638944</v>
      </c>
      <c r="H32" s="275">
        <f>H28</f>
        <v>19.690000000000001</v>
      </c>
      <c r="I32" s="276">
        <f>F32*H32</f>
        <v>113.80820000000001</v>
      </c>
      <c r="J32" s="276">
        <f t="shared" si="2"/>
        <v>182.64706733309632</v>
      </c>
      <c r="L32" s="280"/>
      <c r="M32" s="280"/>
      <c r="N32" s="281"/>
    </row>
    <row r="33" spans="1:15" s="279" customFormat="1" x14ac:dyDescent="0.2">
      <c r="A33" s="283"/>
      <c r="B33" s="270" t="s">
        <v>675</v>
      </c>
      <c r="C33" s="270" t="s">
        <v>196</v>
      </c>
      <c r="D33" s="284" t="s">
        <v>676</v>
      </c>
      <c r="E33" s="270" t="str">
        <f>E29</f>
        <v>m²</v>
      </c>
      <c r="F33" s="274">
        <v>12.96</v>
      </c>
      <c r="G33" s="275">
        <f>G25</f>
        <v>3.1268986412120001</v>
      </c>
      <c r="H33" s="275">
        <f>H25</f>
        <v>8.83</v>
      </c>
      <c r="I33" s="276">
        <f>F33*H33</f>
        <v>114.43680000000001</v>
      </c>
      <c r="J33" s="276">
        <f t="shared" si="2"/>
        <v>40.524606390107522</v>
      </c>
      <c r="L33" s="217"/>
    </row>
    <row r="34" spans="1:15" s="279" customFormat="1" x14ac:dyDescent="0.2">
      <c r="A34" s="269"/>
      <c r="B34" s="270">
        <v>79490</v>
      </c>
      <c r="C34" s="270" t="s">
        <v>197</v>
      </c>
      <c r="D34" s="272" t="s">
        <v>677</v>
      </c>
      <c r="E34" s="273" t="s">
        <v>416</v>
      </c>
      <c r="F34" s="274">
        <v>1.06</v>
      </c>
      <c r="G34" s="275">
        <f>G26</f>
        <v>12.511069666799999</v>
      </c>
      <c r="H34" s="275">
        <f>H30</f>
        <v>1.39</v>
      </c>
      <c r="I34" s="276">
        <f>F34*H34</f>
        <v>1.4734</v>
      </c>
      <c r="J34" s="276">
        <f t="shared" si="2"/>
        <v>13.261733846807999</v>
      </c>
      <c r="L34" s="280"/>
      <c r="M34" s="280"/>
      <c r="N34" s="281"/>
    </row>
    <row r="35" spans="1:15" s="279" customFormat="1" x14ac:dyDescent="0.2">
      <c r="A35" s="269"/>
      <c r="B35" s="260" t="s">
        <v>680</v>
      </c>
      <c r="C35" s="261">
        <v>3</v>
      </c>
      <c r="D35" s="262" t="s">
        <v>681</v>
      </c>
      <c r="E35" s="288"/>
      <c r="F35" s="264"/>
      <c r="G35" s="265"/>
      <c r="H35" s="266"/>
      <c r="I35" s="267">
        <f>SUM(I36:I65)</f>
        <v>130136.50659999999</v>
      </c>
      <c r="J35" s="267" t="e">
        <f>SUM(J36:J65)</f>
        <v>#REF!</v>
      </c>
      <c r="K35" s="268"/>
      <c r="L35" s="282"/>
      <c r="M35" s="280"/>
      <c r="N35" s="281"/>
    </row>
    <row r="36" spans="1:15" s="279" customFormat="1" x14ac:dyDescent="0.2">
      <c r="A36" s="269"/>
      <c r="B36" s="270"/>
      <c r="C36" s="289"/>
      <c r="D36" s="286" t="s">
        <v>682</v>
      </c>
      <c r="E36" s="273"/>
      <c r="F36" s="274"/>
      <c r="G36" s="275"/>
      <c r="H36" s="275"/>
      <c r="I36" s="290"/>
      <c r="J36" s="290"/>
      <c r="K36" s="268"/>
      <c r="L36" s="282"/>
      <c r="M36" s="280"/>
      <c r="N36" s="281"/>
    </row>
    <row r="37" spans="1:15" s="279" customFormat="1" x14ac:dyDescent="0.2">
      <c r="A37" s="269"/>
      <c r="B37" s="270" t="s">
        <v>683</v>
      </c>
      <c r="C37" s="271" t="s">
        <v>684</v>
      </c>
      <c r="D37" s="272" t="s">
        <v>685</v>
      </c>
      <c r="E37" s="273" t="s">
        <v>421</v>
      </c>
      <c r="F37" s="274">
        <v>108.97</v>
      </c>
      <c r="G37" s="275" t="e">
        <f>Comp!#REF!</f>
        <v>#REF!</v>
      </c>
      <c r="H37" s="275">
        <v>20.49</v>
      </c>
      <c r="I37" s="276">
        <f t="shared" ref="I37:I65" si="3">F37*H37</f>
        <v>2232.7952999999998</v>
      </c>
      <c r="J37" s="276" t="e">
        <f>F37*G37</f>
        <v>#REF!</v>
      </c>
      <c r="K37" s="268"/>
      <c r="L37" s="282"/>
      <c r="M37" s="280"/>
      <c r="N37" s="281"/>
    </row>
    <row r="38" spans="1:15" s="279" customFormat="1" ht="24" x14ac:dyDescent="0.2">
      <c r="A38" s="269"/>
      <c r="B38" s="270" t="s">
        <v>686</v>
      </c>
      <c r="C38" s="271" t="s">
        <v>198</v>
      </c>
      <c r="D38" s="272" t="s">
        <v>687</v>
      </c>
      <c r="E38" s="273" t="s">
        <v>421</v>
      </c>
      <c r="F38" s="274">
        <v>193.58</v>
      </c>
      <c r="G38" s="275" t="e">
        <f>Comp!#REF!</f>
        <v>#REF!</v>
      </c>
      <c r="H38" s="275">
        <v>17.38</v>
      </c>
      <c r="I38" s="276">
        <f t="shared" si="3"/>
        <v>3364.4204</v>
      </c>
      <c r="J38" s="276" t="e">
        <f t="shared" ref="J38:J65" si="4">F38*G38</f>
        <v>#REF!</v>
      </c>
      <c r="K38" s="268"/>
      <c r="L38" s="282"/>
      <c r="M38" s="280"/>
      <c r="N38" s="281"/>
    </row>
    <row r="39" spans="1:15" s="279" customFormat="1" ht="24" x14ac:dyDescent="0.2">
      <c r="A39" s="269"/>
      <c r="B39" s="270" t="s">
        <v>688</v>
      </c>
      <c r="C39" s="271" t="s">
        <v>689</v>
      </c>
      <c r="D39" s="272" t="s">
        <v>690</v>
      </c>
      <c r="E39" s="273" t="s">
        <v>423</v>
      </c>
      <c r="F39" s="274">
        <v>1302.0899999999999</v>
      </c>
      <c r="G39" s="275" t="e">
        <f>Comp!#REF!</f>
        <v>#REF!</v>
      </c>
      <c r="H39" s="275">
        <v>6.19</v>
      </c>
      <c r="I39" s="276">
        <f t="shared" si="3"/>
        <v>8059.9371000000001</v>
      </c>
      <c r="J39" s="276" t="e">
        <f t="shared" si="4"/>
        <v>#REF!</v>
      </c>
      <c r="K39" s="268"/>
      <c r="L39" s="282"/>
      <c r="M39" s="280"/>
      <c r="N39" s="281"/>
    </row>
    <row r="40" spans="1:15" s="279" customFormat="1" ht="24" x14ac:dyDescent="0.2">
      <c r="A40" s="269"/>
      <c r="B40" s="270" t="s">
        <v>691</v>
      </c>
      <c r="C40" s="271" t="s">
        <v>692</v>
      </c>
      <c r="D40" s="272" t="s">
        <v>693</v>
      </c>
      <c r="E40" s="273" t="s">
        <v>423</v>
      </c>
      <c r="F40" s="274">
        <v>151.63999999999999</v>
      </c>
      <c r="G40" s="275" t="e">
        <f>Comp!#REF!</f>
        <v>#REF!</v>
      </c>
      <c r="H40" s="275">
        <v>6.57</v>
      </c>
      <c r="I40" s="276">
        <f t="shared" si="3"/>
        <v>996.27479999999991</v>
      </c>
      <c r="J40" s="276" t="e">
        <f t="shared" si="4"/>
        <v>#REF!</v>
      </c>
      <c r="K40" s="268"/>
      <c r="L40" s="282"/>
      <c r="M40" s="280"/>
      <c r="N40" s="281"/>
    </row>
    <row r="41" spans="1:15" s="279" customFormat="1" ht="24" x14ac:dyDescent="0.2">
      <c r="A41" s="269"/>
      <c r="B41" s="270" t="s">
        <v>694</v>
      </c>
      <c r="C41" s="271" t="s">
        <v>695</v>
      </c>
      <c r="D41" s="272" t="s">
        <v>696</v>
      </c>
      <c r="E41" s="273" t="s">
        <v>416</v>
      </c>
      <c r="F41" s="274">
        <v>25.36</v>
      </c>
      <c r="G41" s="275" t="e">
        <f>Comp!#REF!</f>
        <v>#REF!</v>
      </c>
      <c r="H41" s="275">
        <v>1072.8800000000001</v>
      </c>
      <c r="I41" s="276">
        <f t="shared" si="3"/>
        <v>27208.236800000002</v>
      </c>
      <c r="J41" s="276" t="e">
        <f t="shared" si="4"/>
        <v>#REF!</v>
      </c>
      <c r="K41" s="268"/>
      <c r="L41" s="282"/>
      <c r="M41" s="291">
        <f>H41-K41</f>
        <v>1072.8800000000001</v>
      </c>
      <c r="N41" s="281" t="e">
        <f>J41-M41</f>
        <v>#REF!</v>
      </c>
      <c r="O41" s="281" t="e">
        <f>N41/F41</f>
        <v>#REF!</v>
      </c>
    </row>
    <row r="42" spans="1:15" s="279" customFormat="1" x14ac:dyDescent="0.2">
      <c r="A42" s="269"/>
      <c r="B42" s="270"/>
      <c r="C42" s="271"/>
      <c r="D42" s="286" t="s">
        <v>697</v>
      </c>
      <c r="E42" s="273"/>
      <c r="F42" s="274"/>
      <c r="G42" s="285"/>
      <c r="H42" s="275"/>
      <c r="I42" s="276"/>
      <c r="J42" s="290"/>
      <c r="K42" s="268"/>
      <c r="L42" s="282"/>
      <c r="M42" s="280"/>
      <c r="N42" s="281"/>
    </row>
    <row r="43" spans="1:15" s="279" customFormat="1" ht="24" x14ac:dyDescent="0.2">
      <c r="A43" s="269"/>
      <c r="B43" s="270" t="str">
        <f>B38</f>
        <v>74007/1</v>
      </c>
      <c r="C43" s="270" t="s">
        <v>698</v>
      </c>
      <c r="D43" s="292" t="str">
        <f t="shared" ref="D43:E46" si="5">D38</f>
        <v>Forma de madeira comum para Fundações - reaproveitamento 10X</v>
      </c>
      <c r="E43" s="273" t="str">
        <f>E38</f>
        <v>m²</v>
      </c>
      <c r="F43" s="274">
        <v>707.67</v>
      </c>
      <c r="G43" s="285" t="e">
        <f t="shared" ref="G43:H46" si="6">G38</f>
        <v>#REF!</v>
      </c>
      <c r="H43" s="275">
        <f t="shared" si="6"/>
        <v>17.38</v>
      </c>
      <c r="I43" s="276">
        <f t="shared" si="3"/>
        <v>12299.304599999999</v>
      </c>
      <c r="J43" s="276" t="e">
        <f t="shared" si="4"/>
        <v>#REF!</v>
      </c>
      <c r="K43" s="268"/>
      <c r="L43" s="282"/>
      <c r="M43" s="280"/>
      <c r="N43" s="281"/>
    </row>
    <row r="44" spans="1:15" s="279" customFormat="1" ht="24" x14ac:dyDescent="0.2">
      <c r="A44" s="269"/>
      <c r="B44" s="270" t="str">
        <f>B39</f>
        <v>74254/2</v>
      </c>
      <c r="C44" s="270" t="s">
        <v>699</v>
      </c>
      <c r="D44" s="292" t="str">
        <f t="shared" si="5"/>
        <v>Armação aço CA-50, Diam. 6,3 (1/4) á 12,5mm(1/2) - Fornecimento / corte perda de 10%) / dobra / colocação.</v>
      </c>
      <c r="E44" s="273" t="str">
        <f t="shared" si="5"/>
        <v>kg</v>
      </c>
      <c r="F44" s="274">
        <v>1248.55</v>
      </c>
      <c r="G44" s="285" t="e">
        <f t="shared" si="6"/>
        <v>#REF!</v>
      </c>
      <c r="H44" s="275">
        <f t="shared" si="6"/>
        <v>6.19</v>
      </c>
      <c r="I44" s="276">
        <f t="shared" si="3"/>
        <v>7728.5245000000004</v>
      </c>
      <c r="J44" s="276" t="e">
        <f t="shared" si="4"/>
        <v>#REF!</v>
      </c>
      <c r="K44" s="268"/>
      <c r="L44" s="282"/>
      <c r="M44" s="280"/>
      <c r="N44" s="281"/>
    </row>
    <row r="45" spans="1:15" s="279" customFormat="1" ht="24" x14ac:dyDescent="0.2">
      <c r="A45" s="269"/>
      <c r="B45" s="270" t="str">
        <f>B40</f>
        <v>73942/2</v>
      </c>
      <c r="C45" s="270" t="s">
        <v>700</v>
      </c>
      <c r="D45" s="292" t="str">
        <f t="shared" si="5"/>
        <v>Armação de aço CA-60 Diam. 3,4 a 6,0mm-Fornecimento/corte perda de 10%) / dobra / colocação.</v>
      </c>
      <c r="E45" s="273" t="str">
        <f t="shared" si="5"/>
        <v>kg</v>
      </c>
      <c r="F45" s="274">
        <v>645.82000000000005</v>
      </c>
      <c r="G45" s="285" t="e">
        <f t="shared" si="6"/>
        <v>#REF!</v>
      </c>
      <c r="H45" s="275">
        <f t="shared" si="6"/>
        <v>6.57</v>
      </c>
      <c r="I45" s="276">
        <f t="shared" si="3"/>
        <v>4243.0374000000002</v>
      </c>
      <c r="J45" s="276" t="e">
        <f t="shared" si="4"/>
        <v>#REF!</v>
      </c>
      <c r="K45" s="268"/>
      <c r="L45" s="282"/>
      <c r="M45" s="280"/>
      <c r="N45" s="281"/>
    </row>
    <row r="46" spans="1:15" s="279" customFormat="1" ht="24" x14ac:dyDescent="0.2">
      <c r="A46" s="269"/>
      <c r="B46" s="270" t="str">
        <f>B41</f>
        <v>74138/3</v>
      </c>
      <c r="C46" s="270" t="s">
        <v>701</v>
      </c>
      <c r="D46" s="292" t="str">
        <f t="shared" si="5"/>
        <v>Concreto para Fundação fck=25MPa, incluindo preparo, lançamento, adensamento.</v>
      </c>
      <c r="E46" s="273" t="str">
        <f>E41</f>
        <v>m³</v>
      </c>
      <c r="F46" s="293">
        <v>40.93</v>
      </c>
      <c r="G46" s="285" t="e">
        <f t="shared" si="6"/>
        <v>#REF!</v>
      </c>
      <c r="H46" s="294">
        <f t="shared" si="6"/>
        <v>1072.8800000000001</v>
      </c>
      <c r="I46" s="276">
        <f t="shared" si="3"/>
        <v>43912.978400000007</v>
      </c>
      <c r="J46" s="276" t="e">
        <f t="shared" si="4"/>
        <v>#REF!</v>
      </c>
      <c r="K46" s="268"/>
      <c r="L46" s="282"/>
      <c r="M46" s="280"/>
      <c r="N46" s="281"/>
    </row>
    <row r="47" spans="1:15" s="279" customFormat="1" x14ac:dyDescent="0.2">
      <c r="A47" s="269"/>
      <c r="B47" s="270"/>
      <c r="C47" s="271"/>
      <c r="D47" s="286" t="s">
        <v>702</v>
      </c>
      <c r="E47" s="273"/>
      <c r="F47" s="274"/>
      <c r="G47" s="285"/>
      <c r="H47" s="275"/>
      <c r="I47" s="276"/>
      <c r="J47" s="290"/>
      <c r="K47" s="268"/>
      <c r="L47" s="282"/>
      <c r="M47" s="280"/>
      <c r="N47" s="281"/>
    </row>
    <row r="48" spans="1:15" s="279" customFormat="1" ht="24" x14ac:dyDescent="0.2">
      <c r="A48" s="269"/>
      <c r="B48" s="270" t="s">
        <v>703</v>
      </c>
      <c r="C48" s="271" t="s">
        <v>704</v>
      </c>
      <c r="D48" s="272" t="s">
        <v>705</v>
      </c>
      <c r="E48" s="273" t="str">
        <f>E46</f>
        <v>m³</v>
      </c>
      <c r="F48" s="274">
        <v>56</v>
      </c>
      <c r="G48" s="285" t="e">
        <f>Comp!#REF!</f>
        <v>#REF!</v>
      </c>
      <c r="H48" s="275">
        <v>43.56</v>
      </c>
      <c r="I48" s="276">
        <f t="shared" si="3"/>
        <v>2439.36</v>
      </c>
      <c r="J48" s="276" t="e">
        <f t="shared" si="4"/>
        <v>#REF!</v>
      </c>
      <c r="K48" s="268"/>
      <c r="L48" s="282"/>
      <c r="M48" s="280"/>
      <c r="N48" s="281"/>
    </row>
    <row r="49" spans="1:14" s="279" customFormat="1" x14ac:dyDescent="0.2">
      <c r="A49" s="269"/>
      <c r="B49" s="270">
        <v>72820</v>
      </c>
      <c r="C49" s="271" t="s">
        <v>706</v>
      </c>
      <c r="D49" s="272" t="s">
        <v>707</v>
      </c>
      <c r="E49" s="273" t="s">
        <v>526</v>
      </c>
      <c r="F49" s="274">
        <v>12</v>
      </c>
      <c r="G49" s="285" t="e">
        <f>Comp!#REF!</f>
        <v>#REF!</v>
      </c>
      <c r="H49" s="275">
        <v>5.86</v>
      </c>
      <c r="I49" s="276">
        <f t="shared" si="3"/>
        <v>70.320000000000007</v>
      </c>
      <c r="J49" s="276" t="e">
        <f t="shared" si="4"/>
        <v>#REF!</v>
      </c>
      <c r="K49" s="268"/>
      <c r="L49" s="282"/>
      <c r="M49" s="280"/>
      <c r="N49" s="281"/>
    </row>
    <row r="50" spans="1:14" s="279" customFormat="1" x14ac:dyDescent="0.2">
      <c r="A50" s="269"/>
      <c r="B50" s="270" t="str">
        <f>B37</f>
        <v>73907/6</v>
      </c>
      <c r="C50" s="271" t="s">
        <v>708</v>
      </c>
      <c r="D50" s="272" t="s">
        <v>709</v>
      </c>
      <c r="E50" s="273" t="str">
        <f>E37</f>
        <v>m²</v>
      </c>
      <c r="F50" s="274">
        <v>12.96</v>
      </c>
      <c r="G50" s="285" t="e">
        <f>G37</f>
        <v>#REF!</v>
      </c>
      <c r="H50" s="275">
        <v>20.49</v>
      </c>
      <c r="I50" s="276">
        <f t="shared" si="3"/>
        <v>265.55040000000002</v>
      </c>
      <c r="J50" s="276" t="e">
        <f t="shared" si="4"/>
        <v>#REF!</v>
      </c>
      <c r="K50" s="268"/>
      <c r="L50" s="282"/>
      <c r="M50" s="280"/>
      <c r="N50" s="281"/>
    </row>
    <row r="51" spans="1:14" s="279" customFormat="1" ht="24" x14ac:dyDescent="0.2">
      <c r="A51" s="269"/>
      <c r="B51" s="270" t="str">
        <f>B43</f>
        <v>74007/1</v>
      </c>
      <c r="C51" s="271" t="s">
        <v>710</v>
      </c>
      <c r="D51" s="292" t="str">
        <f>D43</f>
        <v>Forma de madeira comum para Fundações - reaproveitamento 10X</v>
      </c>
      <c r="E51" s="273" t="str">
        <f>E43</f>
        <v>m²</v>
      </c>
      <c r="F51" s="274">
        <v>7.2</v>
      </c>
      <c r="G51" s="285" t="e">
        <f>G38</f>
        <v>#REF!</v>
      </c>
      <c r="H51" s="275">
        <f>H43</f>
        <v>17.38</v>
      </c>
      <c r="I51" s="276">
        <f t="shared" si="3"/>
        <v>125.136</v>
      </c>
      <c r="J51" s="276" t="e">
        <f t="shared" si="4"/>
        <v>#REF!</v>
      </c>
      <c r="K51" s="268"/>
      <c r="L51" s="282"/>
      <c r="M51" s="280"/>
      <c r="N51" s="281"/>
    </row>
    <row r="52" spans="1:14" s="279" customFormat="1" x14ac:dyDescent="0.2">
      <c r="A52" s="269"/>
      <c r="B52" s="270" t="s">
        <v>711</v>
      </c>
      <c r="C52" s="271" t="s">
        <v>712</v>
      </c>
      <c r="D52" s="272" t="s">
        <v>713</v>
      </c>
      <c r="E52" s="273" t="s">
        <v>526</v>
      </c>
      <c r="F52" s="274">
        <v>6.48</v>
      </c>
      <c r="G52" s="285" t="e">
        <f>Comp!#REF!</f>
        <v>#REF!</v>
      </c>
      <c r="H52" s="275">
        <v>473.38</v>
      </c>
      <c r="I52" s="276">
        <f t="shared" si="3"/>
        <v>3067.5024000000003</v>
      </c>
      <c r="J52" s="276" t="e">
        <f t="shared" si="4"/>
        <v>#REF!</v>
      </c>
      <c r="K52" s="268"/>
      <c r="L52" s="282"/>
      <c r="M52" s="280"/>
      <c r="N52" s="281"/>
    </row>
    <row r="53" spans="1:14" s="279" customFormat="1" ht="24" x14ac:dyDescent="0.2">
      <c r="A53" s="269"/>
      <c r="B53" s="270" t="str">
        <f>B46</f>
        <v>74138/3</v>
      </c>
      <c r="C53" s="271" t="s">
        <v>714</v>
      </c>
      <c r="D53" s="292" t="str">
        <f>D46</f>
        <v>Concreto para Fundação fck=25MPa, incluindo preparo, lançamento, adensamento.</v>
      </c>
      <c r="E53" s="273" t="s">
        <v>416</v>
      </c>
      <c r="F53" s="274">
        <v>4.71</v>
      </c>
      <c r="G53" s="285" t="e">
        <f>G41</f>
        <v>#REF!</v>
      </c>
      <c r="H53" s="275">
        <v>1072.8800000000001</v>
      </c>
      <c r="I53" s="276">
        <f t="shared" si="3"/>
        <v>5053.2648000000008</v>
      </c>
      <c r="J53" s="276" t="e">
        <f t="shared" si="4"/>
        <v>#REF!</v>
      </c>
      <c r="K53" s="268"/>
      <c r="L53" s="282"/>
      <c r="M53" s="280"/>
      <c r="N53" s="281"/>
    </row>
    <row r="54" spans="1:14" s="279" customFormat="1" x14ac:dyDescent="0.2">
      <c r="A54" s="269"/>
      <c r="B54" s="270"/>
      <c r="C54" s="271"/>
      <c r="D54" s="286" t="s">
        <v>715</v>
      </c>
      <c r="E54" s="273"/>
      <c r="F54" s="274"/>
      <c r="G54" s="285"/>
      <c r="H54" s="275"/>
      <c r="I54" s="276"/>
      <c r="J54" s="276"/>
      <c r="K54" s="268"/>
      <c r="L54" s="282"/>
      <c r="M54" s="280"/>
      <c r="N54" s="281"/>
    </row>
    <row r="55" spans="1:14" s="279" customFormat="1" ht="24" x14ac:dyDescent="0.2">
      <c r="A55" s="269"/>
      <c r="B55" s="270" t="str">
        <f>B48</f>
        <v>74156/2</v>
      </c>
      <c r="C55" s="271" t="s">
        <v>716</v>
      </c>
      <c r="D55" s="292" t="str">
        <f t="shared" ref="D55:D60" si="7">D48</f>
        <v>Estaca a trado (broca) d=30 cm com concreto fck=15 Mpa (sem armação) - 7 m</v>
      </c>
      <c r="E55" s="273" t="s">
        <v>418</v>
      </c>
      <c r="F55" s="274">
        <v>52.5</v>
      </c>
      <c r="G55" s="285" t="e">
        <f t="shared" ref="G55:G60" si="8">G48</f>
        <v>#REF!</v>
      </c>
      <c r="H55" s="275">
        <v>43.56</v>
      </c>
      <c r="I55" s="276">
        <f t="shared" si="3"/>
        <v>2286.9</v>
      </c>
      <c r="J55" s="276" t="e">
        <f t="shared" si="4"/>
        <v>#REF!</v>
      </c>
      <c r="K55" s="268"/>
      <c r="L55" s="282"/>
      <c r="M55" s="280"/>
      <c r="N55" s="281"/>
    </row>
    <row r="56" spans="1:14" s="279" customFormat="1" x14ac:dyDescent="0.2">
      <c r="A56" s="269"/>
      <c r="B56" s="270" t="str">
        <f>B37</f>
        <v>73907/6</v>
      </c>
      <c r="C56" s="271" t="s">
        <v>717</v>
      </c>
      <c r="D56" s="292" t="str">
        <f t="shared" si="7"/>
        <v>Corte e reparo em cabeça de estaca</v>
      </c>
      <c r="E56" s="273" t="s">
        <v>421</v>
      </c>
      <c r="F56" s="274">
        <v>27.97</v>
      </c>
      <c r="G56" s="285" t="e">
        <f t="shared" si="8"/>
        <v>#REF!</v>
      </c>
      <c r="H56" s="275">
        <v>20.49</v>
      </c>
      <c r="I56" s="276">
        <f t="shared" si="3"/>
        <v>573.10529999999994</v>
      </c>
      <c r="J56" s="276" t="e">
        <f t="shared" si="4"/>
        <v>#REF!</v>
      </c>
      <c r="K56" s="268"/>
      <c r="L56" s="282"/>
      <c r="M56" s="280"/>
      <c r="N56" s="281"/>
    </row>
    <row r="57" spans="1:14" s="279" customFormat="1" x14ac:dyDescent="0.2">
      <c r="A57" s="269"/>
      <c r="B57" s="270">
        <v>5651</v>
      </c>
      <c r="C57" s="271" t="s">
        <v>718</v>
      </c>
      <c r="D57" s="272" t="str">
        <f t="shared" si="7"/>
        <v>Lastro de concreto magro, e=3,0 cm-reparo mecânico</v>
      </c>
      <c r="E57" s="273" t="s">
        <v>421</v>
      </c>
      <c r="F57" s="274">
        <v>21.39</v>
      </c>
      <c r="G57" s="285" t="e">
        <f t="shared" si="8"/>
        <v>#REF!</v>
      </c>
      <c r="H57" s="275">
        <v>23.52</v>
      </c>
      <c r="I57" s="276">
        <f t="shared" si="3"/>
        <v>503.09280000000001</v>
      </c>
      <c r="J57" s="276" t="e">
        <f t="shared" si="4"/>
        <v>#REF!</v>
      </c>
      <c r="K57" s="268"/>
      <c r="L57" s="282"/>
      <c r="M57" s="280"/>
      <c r="N57" s="281"/>
    </row>
    <row r="58" spans="1:14" s="279" customFormat="1" ht="24" x14ac:dyDescent="0.2">
      <c r="A58" s="269"/>
      <c r="B58" s="270" t="str">
        <f>B44</f>
        <v>74254/2</v>
      </c>
      <c r="C58" s="271" t="s">
        <v>719</v>
      </c>
      <c r="D58" s="292" t="str">
        <f t="shared" si="7"/>
        <v>Forma de madeira comum para Fundações - reaproveitamento 10X</v>
      </c>
      <c r="E58" s="273" t="s">
        <v>423</v>
      </c>
      <c r="F58" s="274">
        <v>34.36</v>
      </c>
      <c r="G58" s="285" t="e">
        <f t="shared" si="8"/>
        <v>#REF!</v>
      </c>
      <c r="H58" s="285">
        <f>H39</f>
        <v>6.19</v>
      </c>
      <c r="I58" s="276">
        <f t="shared" si="3"/>
        <v>212.6884</v>
      </c>
      <c r="J58" s="276" t="e">
        <f t="shared" si="4"/>
        <v>#REF!</v>
      </c>
      <c r="K58" s="268"/>
      <c r="L58" s="282"/>
      <c r="M58" s="280"/>
      <c r="N58" s="281"/>
    </row>
    <row r="59" spans="1:14" s="279" customFormat="1" x14ac:dyDescent="0.2">
      <c r="A59" s="269"/>
      <c r="B59" s="295" t="str">
        <f>B45</f>
        <v>73942/2</v>
      </c>
      <c r="C59" s="271" t="s">
        <v>720</v>
      </c>
      <c r="D59" s="272" t="str">
        <f t="shared" si="7"/>
        <v>Armação aço CA-50, para 1,0 m³ de concreto</v>
      </c>
      <c r="E59" s="296" t="s">
        <v>423</v>
      </c>
      <c r="F59" s="293">
        <v>37.909999999999997</v>
      </c>
      <c r="G59" s="285" t="e">
        <f t="shared" si="8"/>
        <v>#REF!</v>
      </c>
      <c r="H59" s="285">
        <f>H40</f>
        <v>6.57</v>
      </c>
      <c r="I59" s="276">
        <f t="shared" si="3"/>
        <v>249.06869999999998</v>
      </c>
      <c r="J59" s="276" t="e">
        <f t="shared" si="4"/>
        <v>#REF!</v>
      </c>
      <c r="K59" s="268"/>
      <c r="L59" s="282"/>
      <c r="M59" s="280"/>
      <c r="N59" s="281"/>
    </row>
    <row r="60" spans="1:14" s="279" customFormat="1" ht="24" x14ac:dyDescent="0.2">
      <c r="A60" s="269"/>
      <c r="B60" s="270" t="str">
        <f>B53</f>
        <v>74138/3</v>
      </c>
      <c r="C60" s="271" t="s">
        <v>721</v>
      </c>
      <c r="D60" s="292" t="str">
        <f t="shared" si="7"/>
        <v>Concreto para Fundação fck=25MPa, incluindo preparo, lançamento, adensamento.</v>
      </c>
      <c r="E60" s="273" t="s">
        <v>416</v>
      </c>
      <c r="F60" s="274">
        <v>2.38</v>
      </c>
      <c r="G60" s="285" t="e">
        <f t="shared" si="8"/>
        <v>#REF!</v>
      </c>
      <c r="H60" s="285">
        <f>H41</f>
        <v>1072.8800000000001</v>
      </c>
      <c r="I60" s="276">
        <f t="shared" si="3"/>
        <v>2553.4544000000001</v>
      </c>
      <c r="J60" s="276" t="e">
        <f t="shared" si="4"/>
        <v>#REF!</v>
      </c>
      <c r="K60" s="268"/>
      <c r="L60" s="282"/>
      <c r="M60" s="280"/>
      <c r="N60" s="281"/>
    </row>
    <row r="61" spans="1:14" s="279" customFormat="1" x14ac:dyDescent="0.2">
      <c r="A61" s="269"/>
      <c r="B61" s="270"/>
      <c r="C61" s="271"/>
      <c r="D61" s="286" t="s">
        <v>722</v>
      </c>
      <c r="E61" s="273"/>
      <c r="F61" s="274"/>
      <c r="G61" s="285"/>
      <c r="H61" s="275"/>
      <c r="I61" s="276">
        <f t="shared" si="3"/>
        <v>0</v>
      </c>
      <c r="J61" s="276"/>
      <c r="K61" s="268"/>
      <c r="L61" s="282"/>
      <c r="M61" s="280"/>
      <c r="N61" s="281"/>
    </row>
    <row r="62" spans="1:14" s="279" customFormat="1" ht="24" x14ac:dyDescent="0.2">
      <c r="A62" s="269"/>
      <c r="B62" s="270" t="str">
        <f>B43</f>
        <v>74007/1</v>
      </c>
      <c r="C62" s="271" t="s">
        <v>723</v>
      </c>
      <c r="D62" s="297" t="str">
        <f>D38</f>
        <v>Forma de madeira comum para Fundações - reaproveitamento 10X</v>
      </c>
      <c r="E62" s="273" t="s">
        <v>421</v>
      </c>
      <c r="F62" s="274">
        <v>28.49</v>
      </c>
      <c r="G62" s="285" t="e">
        <f t="shared" ref="G62:H65" si="9">G38</f>
        <v>#REF!</v>
      </c>
      <c r="H62" s="285">
        <f t="shared" si="9"/>
        <v>17.38</v>
      </c>
      <c r="I62" s="276">
        <f t="shared" si="3"/>
        <v>495.15619999999996</v>
      </c>
      <c r="J62" s="276" t="e">
        <f t="shared" si="4"/>
        <v>#REF!</v>
      </c>
      <c r="K62" s="268"/>
      <c r="L62" s="282"/>
      <c r="M62" s="280"/>
      <c r="N62" s="281"/>
    </row>
    <row r="63" spans="1:14" s="279" customFormat="1" ht="24" x14ac:dyDescent="0.2">
      <c r="A63" s="269"/>
      <c r="B63" s="270" t="str">
        <f>B44</f>
        <v>74254/2</v>
      </c>
      <c r="C63" s="271" t="s">
        <v>724</v>
      </c>
      <c r="D63" s="292" t="str">
        <f t="shared" ref="D63:E65" si="10">D44</f>
        <v>Armação aço CA-50, Diam. 6,3 (1/4) á 12,5mm(1/2) - Fornecimento / corte perda de 10%) / dobra / colocação.</v>
      </c>
      <c r="E63" s="296" t="str">
        <f t="shared" si="10"/>
        <v>kg</v>
      </c>
      <c r="F63" s="293">
        <v>62.91</v>
      </c>
      <c r="G63" s="285" t="e">
        <f t="shared" si="9"/>
        <v>#REF!</v>
      </c>
      <c r="H63" s="285">
        <f t="shared" si="9"/>
        <v>6.19</v>
      </c>
      <c r="I63" s="276">
        <f t="shared" si="3"/>
        <v>389.41289999999998</v>
      </c>
      <c r="J63" s="276" t="e">
        <f t="shared" si="4"/>
        <v>#REF!</v>
      </c>
      <c r="K63" s="268"/>
      <c r="L63" s="282"/>
      <c r="M63" s="280"/>
      <c r="N63" s="281"/>
    </row>
    <row r="64" spans="1:14" s="279" customFormat="1" ht="24" x14ac:dyDescent="0.2">
      <c r="A64" s="269"/>
      <c r="B64" s="270" t="str">
        <f>B45</f>
        <v>73942/2</v>
      </c>
      <c r="C64" s="271" t="s">
        <v>725</v>
      </c>
      <c r="D64" s="292" t="str">
        <f t="shared" si="10"/>
        <v>Armação de aço CA-60 Diam. 3,4 a 6,0mm-Fornecimento/corte perda de 10%) / dobra / colocação.</v>
      </c>
      <c r="E64" s="296" t="str">
        <f t="shared" si="10"/>
        <v>kg</v>
      </c>
      <c r="F64" s="293">
        <v>26.82</v>
      </c>
      <c r="G64" s="285" t="e">
        <f t="shared" si="9"/>
        <v>#REF!</v>
      </c>
      <c r="H64" s="285">
        <f t="shared" si="9"/>
        <v>6.57</v>
      </c>
      <c r="I64" s="276">
        <f t="shared" si="3"/>
        <v>176.20740000000001</v>
      </c>
      <c r="J64" s="276" t="e">
        <f t="shared" si="4"/>
        <v>#REF!</v>
      </c>
      <c r="K64" s="268"/>
      <c r="L64" s="282"/>
      <c r="M64" s="280"/>
      <c r="N64" s="281"/>
    </row>
    <row r="65" spans="1:14" s="279" customFormat="1" ht="24" x14ac:dyDescent="0.2">
      <c r="A65" s="269"/>
      <c r="B65" s="270" t="str">
        <f>B46</f>
        <v>74138/3</v>
      </c>
      <c r="C65" s="271" t="s">
        <v>726</v>
      </c>
      <c r="D65" s="292" t="str">
        <f t="shared" si="10"/>
        <v>Concreto para Fundação fck=25MPa, incluindo preparo, lançamento, adensamento.</v>
      </c>
      <c r="E65" s="296" t="str">
        <f t="shared" si="10"/>
        <v>m³</v>
      </c>
      <c r="F65" s="293">
        <v>1.52</v>
      </c>
      <c r="G65" s="285" t="e">
        <f t="shared" si="9"/>
        <v>#REF!</v>
      </c>
      <c r="H65" s="285">
        <f t="shared" si="9"/>
        <v>1072.8800000000001</v>
      </c>
      <c r="I65" s="276">
        <f t="shared" si="3"/>
        <v>1630.7776000000001</v>
      </c>
      <c r="J65" s="276" t="e">
        <f t="shared" si="4"/>
        <v>#REF!</v>
      </c>
      <c r="K65" s="268"/>
      <c r="L65" s="282"/>
      <c r="M65" s="280"/>
      <c r="N65" s="281"/>
    </row>
    <row r="66" spans="1:14" s="279" customFormat="1" x14ac:dyDescent="0.2">
      <c r="A66" s="269"/>
      <c r="B66" s="260" t="s">
        <v>680</v>
      </c>
      <c r="C66" s="261">
        <v>4</v>
      </c>
      <c r="D66" s="262" t="s">
        <v>727</v>
      </c>
      <c r="E66" s="263"/>
      <c r="F66" s="264"/>
      <c r="G66" s="265"/>
      <c r="H66" s="266"/>
      <c r="I66" s="267">
        <f>SUM(I68:I83)</f>
        <v>121339.27790000002</v>
      </c>
      <c r="J66" s="267" t="e">
        <f>SUM(J68:J83)</f>
        <v>#REF!</v>
      </c>
      <c r="K66" s="268"/>
      <c r="L66" s="282"/>
      <c r="M66" s="280"/>
      <c r="N66" s="281"/>
    </row>
    <row r="67" spans="1:14" s="279" customFormat="1" x14ac:dyDescent="0.2">
      <c r="A67" s="269"/>
      <c r="B67" s="270"/>
      <c r="C67" s="289"/>
      <c r="D67" s="286" t="s">
        <v>728</v>
      </c>
      <c r="E67" s="298"/>
      <c r="F67" s="274"/>
      <c r="G67" s="285"/>
      <c r="H67" s="275"/>
      <c r="I67" s="290"/>
      <c r="J67" s="290"/>
      <c r="K67" s="268"/>
      <c r="L67" s="282"/>
      <c r="M67" s="280"/>
      <c r="N67" s="281"/>
    </row>
    <row r="68" spans="1:14" s="279" customFormat="1" ht="24" x14ac:dyDescent="0.2">
      <c r="A68" s="269"/>
      <c r="B68" s="270">
        <v>84220</v>
      </c>
      <c r="C68" s="271" t="s">
        <v>199</v>
      </c>
      <c r="D68" s="272" t="s">
        <v>492</v>
      </c>
      <c r="E68" s="273" t="str">
        <f>E57</f>
        <v>m²</v>
      </c>
      <c r="F68" s="274">
        <v>193.58</v>
      </c>
      <c r="G68" s="285" t="e">
        <f>Comp!#REF!</f>
        <v>#REF!</v>
      </c>
      <c r="H68" s="275">
        <v>21.9</v>
      </c>
      <c r="I68" s="276">
        <f t="shared" ref="I68:I83" si="11">F68*H68</f>
        <v>4239.402</v>
      </c>
      <c r="J68" s="276" t="e">
        <f>F68*G68</f>
        <v>#REF!</v>
      </c>
      <c r="L68" s="280"/>
      <c r="M68" s="280"/>
      <c r="N68" s="281"/>
    </row>
    <row r="69" spans="1:14" s="279" customFormat="1" ht="24" x14ac:dyDescent="0.2">
      <c r="A69" s="269"/>
      <c r="B69" s="270" t="str">
        <f>B63</f>
        <v>74254/2</v>
      </c>
      <c r="C69" s="271" t="s">
        <v>200</v>
      </c>
      <c r="D69" s="292" t="str">
        <f>D63</f>
        <v>Armação aço CA-50, Diam. 6,3 (1/4) á 12,5mm(1/2) - Fornecimento / corte perda de 10%) / dobra / colocação.</v>
      </c>
      <c r="E69" s="273" t="s">
        <v>423</v>
      </c>
      <c r="F69" s="274">
        <v>1730.55</v>
      </c>
      <c r="G69" s="275" t="e">
        <f>G39</f>
        <v>#REF!</v>
      </c>
      <c r="H69" s="275">
        <f>H39</f>
        <v>6.19</v>
      </c>
      <c r="I69" s="276">
        <f t="shared" si="11"/>
        <v>10712.104500000001</v>
      </c>
      <c r="J69" s="276" t="e">
        <f>F69*G69</f>
        <v>#REF!</v>
      </c>
      <c r="L69" s="280"/>
      <c r="M69" s="280"/>
      <c r="N69" s="281"/>
    </row>
    <row r="70" spans="1:14" s="279" customFormat="1" ht="24" x14ac:dyDescent="0.2">
      <c r="A70" s="269"/>
      <c r="B70" s="270" t="str">
        <f>B64</f>
        <v>73942/2</v>
      </c>
      <c r="C70" s="271" t="s">
        <v>729</v>
      </c>
      <c r="D70" s="292" t="str">
        <f>D64</f>
        <v>Armação de aço CA-60 Diam. 3,4 a 6,0mm-Fornecimento/corte perda de 10%) / dobra / colocação.</v>
      </c>
      <c r="E70" s="273" t="s">
        <v>423</v>
      </c>
      <c r="F70" s="274">
        <v>628.91</v>
      </c>
      <c r="G70" s="275" t="e">
        <f>G40</f>
        <v>#REF!</v>
      </c>
      <c r="H70" s="275">
        <f>H40</f>
        <v>6.57</v>
      </c>
      <c r="I70" s="276">
        <f t="shared" si="11"/>
        <v>4131.9386999999997</v>
      </c>
      <c r="J70" s="276" t="e">
        <f>F70*G70</f>
        <v>#REF!</v>
      </c>
      <c r="L70" s="280"/>
      <c r="M70" s="280"/>
      <c r="N70" s="281"/>
    </row>
    <row r="71" spans="1:14" s="279" customFormat="1" ht="24" x14ac:dyDescent="0.2">
      <c r="A71" s="269"/>
      <c r="B71" s="270" t="str">
        <f>B65</f>
        <v>74138/3</v>
      </c>
      <c r="C71" s="271" t="s">
        <v>730</v>
      </c>
      <c r="D71" s="272" t="s">
        <v>731</v>
      </c>
      <c r="E71" s="273" t="str">
        <f>E65</f>
        <v>m³</v>
      </c>
      <c r="F71" s="274">
        <v>25.19</v>
      </c>
      <c r="G71" s="275" t="e">
        <f>Comp!#REF!</f>
        <v>#REF!</v>
      </c>
      <c r="H71" s="275">
        <f>H41</f>
        <v>1072.8800000000001</v>
      </c>
      <c r="I71" s="276">
        <f t="shared" si="11"/>
        <v>27025.847200000004</v>
      </c>
      <c r="J71" s="276" t="e">
        <f>F71*G71</f>
        <v>#REF!</v>
      </c>
      <c r="L71" s="280"/>
      <c r="M71" s="280"/>
      <c r="N71" s="281"/>
    </row>
    <row r="72" spans="1:14" s="279" customFormat="1" x14ac:dyDescent="0.2">
      <c r="A72" s="269"/>
      <c r="B72" s="270"/>
      <c r="C72" s="289"/>
      <c r="D72" s="286" t="s">
        <v>732</v>
      </c>
      <c r="E72" s="298"/>
      <c r="F72" s="274"/>
      <c r="G72" s="285"/>
      <c r="H72" s="275"/>
      <c r="I72" s="276">
        <f t="shared" si="11"/>
        <v>0</v>
      </c>
      <c r="J72" s="276"/>
      <c r="K72" s="268"/>
      <c r="L72" s="282"/>
      <c r="M72" s="280"/>
      <c r="N72" s="281"/>
    </row>
    <row r="73" spans="1:14" s="279" customFormat="1" ht="24" x14ac:dyDescent="0.2">
      <c r="A73" s="269"/>
      <c r="B73" s="270">
        <f>B68</f>
        <v>84220</v>
      </c>
      <c r="C73" s="271" t="s">
        <v>733</v>
      </c>
      <c r="D73" s="272" t="s">
        <v>734</v>
      </c>
      <c r="E73" s="273" t="str">
        <f>E68</f>
        <v>m²</v>
      </c>
      <c r="F73" s="274">
        <v>714.44</v>
      </c>
      <c r="G73" s="275" t="e">
        <f>Comp!#REF!</f>
        <v>#REF!</v>
      </c>
      <c r="H73" s="275">
        <f>H68</f>
        <v>21.9</v>
      </c>
      <c r="I73" s="276">
        <f t="shared" si="11"/>
        <v>15646.236000000001</v>
      </c>
      <c r="J73" s="276" t="e">
        <f>F73*G73</f>
        <v>#REF!</v>
      </c>
      <c r="L73" s="280"/>
      <c r="M73" s="280"/>
      <c r="N73" s="281"/>
    </row>
    <row r="74" spans="1:14" s="279" customFormat="1" ht="24" x14ac:dyDescent="0.2">
      <c r="A74" s="269"/>
      <c r="B74" s="270" t="str">
        <f>B69</f>
        <v>74254/2</v>
      </c>
      <c r="C74" s="271" t="s">
        <v>735</v>
      </c>
      <c r="D74" s="292" t="s">
        <v>736</v>
      </c>
      <c r="E74" s="273" t="str">
        <f>E69</f>
        <v>kg</v>
      </c>
      <c r="F74" s="274">
        <v>1152.73</v>
      </c>
      <c r="G74" s="275" t="e">
        <f>G39</f>
        <v>#REF!</v>
      </c>
      <c r="H74" s="275">
        <f>H39</f>
        <v>6.19</v>
      </c>
      <c r="I74" s="276">
        <f t="shared" si="11"/>
        <v>7135.3987000000006</v>
      </c>
      <c r="J74" s="276" t="e">
        <f>F74*G74</f>
        <v>#REF!</v>
      </c>
      <c r="L74" s="280"/>
      <c r="M74" s="280"/>
      <c r="N74" s="281"/>
    </row>
    <row r="75" spans="1:14" s="279" customFormat="1" ht="24" x14ac:dyDescent="0.2">
      <c r="A75" s="269"/>
      <c r="B75" s="270" t="str">
        <f>B70</f>
        <v>73942/2</v>
      </c>
      <c r="C75" s="271" t="s">
        <v>737</v>
      </c>
      <c r="D75" s="292" t="str">
        <f>D70</f>
        <v>Armação de aço CA-60 Diam. 3,4 a 6,0mm-Fornecimento/corte perda de 10%) / dobra / colocação.</v>
      </c>
      <c r="E75" s="273" t="str">
        <f>E70</f>
        <v>kg</v>
      </c>
      <c r="F75" s="274">
        <v>581.17999999999995</v>
      </c>
      <c r="G75" s="275" t="e">
        <f>G40</f>
        <v>#REF!</v>
      </c>
      <c r="H75" s="275">
        <f>H40</f>
        <v>6.57</v>
      </c>
      <c r="I75" s="276">
        <f t="shared" si="11"/>
        <v>3818.3525999999997</v>
      </c>
      <c r="J75" s="276" t="e">
        <f>F75*G75</f>
        <v>#REF!</v>
      </c>
      <c r="L75" s="280"/>
      <c r="M75" s="280"/>
      <c r="N75" s="281"/>
    </row>
    <row r="76" spans="1:14" s="279" customFormat="1" ht="24" x14ac:dyDescent="0.2">
      <c r="A76" s="269"/>
      <c r="B76" s="270" t="str">
        <f>B71</f>
        <v>74138/3</v>
      </c>
      <c r="C76" s="271" t="s">
        <v>738</v>
      </c>
      <c r="D76" s="292" t="str">
        <f>D71</f>
        <v>Concreto Bombeado fck=25MPa, incluindo preparo, lançamento e adensamento.</v>
      </c>
      <c r="E76" s="273" t="str">
        <f>E71</f>
        <v>m³</v>
      </c>
      <c r="F76" s="274">
        <v>41.19</v>
      </c>
      <c r="G76" s="275" t="e">
        <f>Comp!#REF!</f>
        <v>#REF!</v>
      </c>
      <c r="H76" s="275">
        <f>H41</f>
        <v>1072.8800000000001</v>
      </c>
      <c r="I76" s="276">
        <f t="shared" si="11"/>
        <v>44191.927200000006</v>
      </c>
      <c r="J76" s="276" t="e">
        <f>F76*G76</f>
        <v>#REF!</v>
      </c>
      <c r="L76" s="280"/>
      <c r="M76" s="280"/>
      <c r="N76" s="281"/>
    </row>
    <row r="77" spans="1:14" s="279" customFormat="1" x14ac:dyDescent="0.2">
      <c r="A77" s="269"/>
      <c r="B77" s="270"/>
      <c r="C77" s="289"/>
      <c r="D77" s="286" t="s">
        <v>739</v>
      </c>
      <c r="E77" s="298"/>
      <c r="F77" s="274"/>
      <c r="G77" s="285"/>
      <c r="H77" s="275"/>
      <c r="I77" s="276">
        <f t="shared" si="11"/>
        <v>0</v>
      </c>
      <c r="J77" s="276"/>
      <c r="K77" s="268"/>
      <c r="L77" s="282"/>
      <c r="M77" s="280"/>
      <c r="N77" s="281"/>
    </row>
    <row r="78" spans="1:14" s="279" customFormat="1" ht="24" x14ac:dyDescent="0.2">
      <c r="A78" s="269"/>
      <c r="B78" s="270">
        <v>83901</v>
      </c>
      <c r="C78" s="271" t="s">
        <v>493</v>
      </c>
      <c r="D78" s="272" t="s">
        <v>740</v>
      </c>
      <c r="E78" s="273" t="s">
        <v>418</v>
      </c>
      <c r="F78" s="274">
        <v>262.10000000000002</v>
      </c>
      <c r="G78" s="285" t="e">
        <f>Comp!#REF!</f>
        <v>#REF!</v>
      </c>
      <c r="H78" s="275">
        <v>10.55</v>
      </c>
      <c r="I78" s="276">
        <f t="shared" si="11"/>
        <v>2765.1550000000002</v>
      </c>
      <c r="J78" s="276" t="e">
        <f>F78*G78</f>
        <v>#REF!</v>
      </c>
      <c r="L78" s="280"/>
      <c r="M78" s="280"/>
      <c r="N78" s="281"/>
    </row>
    <row r="79" spans="1:14" s="279" customFormat="1" x14ac:dyDescent="0.2">
      <c r="A79" s="269"/>
      <c r="B79" s="270"/>
      <c r="C79" s="289"/>
      <c r="D79" s="286" t="s">
        <v>741</v>
      </c>
      <c r="E79" s="298"/>
      <c r="F79" s="274"/>
      <c r="G79" s="285"/>
      <c r="H79" s="275"/>
      <c r="I79" s="276">
        <f t="shared" si="11"/>
        <v>0</v>
      </c>
      <c r="J79" s="276"/>
      <c r="K79" s="268"/>
      <c r="L79" s="282"/>
      <c r="M79" s="280"/>
      <c r="N79" s="281"/>
    </row>
    <row r="80" spans="1:14" s="279" customFormat="1" ht="24" x14ac:dyDescent="0.2">
      <c r="A80" s="269"/>
      <c r="B80" s="270">
        <f>B73</f>
        <v>84220</v>
      </c>
      <c r="C80" s="271" t="s">
        <v>742</v>
      </c>
      <c r="D80" s="272" t="s">
        <v>743</v>
      </c>
      <c r="E80" s="273" t="str">
        <f>E73</f>
        <v>m²</v>
      </c>
      <c r="F80" s="274">
        <v>17.29</v>
      </c>
      <c r="G80" s="285" t="e">
        <f>Comp!#REF!</f>
        <v>#REF!</v>
      </c>
      <c r="H80" s="285">
        <f>H68</f>
        <v>21.9</v>
      </c>
      <c r="I80" s="276">
        <f t="shared" si="11"/>
        <v>378.65099999999995</v>
      </c>
      <c r="J80" s="276" t="e">
        <f>F80*G80</f>
        <v>#REF!</v>
      </c>
      <c r="K80" s="268"/>
      <c r="L80" s="282"/>
      <c r="M80" s="280"/>
      <c r="N80" s="281"/>
    </row>
    <row r="81" spans="1:14" s="279" customFormat="1" ht="24" x14ac:dyDescent="0.2">
      <c r="A81" s="269"/>
      <c r="B81" s="270" t="s">
        <v>688</v>
      </c>
      <c r="C81" s="271" t="s">
        <v>744</v>
      </c>
      <c r="D81" s="272" t="s">
        <v>690</v>
      </c>
      <c r="E81" s="273" t="str">
        <f>E74</f>
        <v>kg</v>
      </c>
      <c r="F81" s="274">
        <v>48.82</v>
      </c>
      <c r="G81" s="285" t="e">
        <f t="shared" ref="G81:H83" si="12">G39</f>
        <v>#REF!</v>
      </c>
      <c r="H81" s="285">
        <f t="shared" si="12"/>
        <v>6.19</v>
      </c>
      <c r="I81" s="276">
        <f t="shared" si="11"/>
        <v>302.19580000000002</v>
      </c>
      <c r="J81" s="276" t="e">
        <f>F81*G81</f>
        <v>#REF!</v>
      </c>
      <c r="K81" s="268"/>
      <c r="L81" s="282"/>
      <c r="M81" s="280"/>
      <c r="N81" s="281"/>
    </row>
    <row r="82" spans="1:14" s="279" customFormat="1" ht="24" x14ac:dyDescent="0.2">
      <c r="A82" s="269"/>
      <c r="B82" s="270" t="s">
        <v>691</v>
      </c>
      <c r="C82" s="271" t="s">
        <v>745</v>
      </c>
      <c r="D82" s="272" t="s">
        <v>693</v>
      </c>
      <c r="E82" s="273" t="str">
        <f>E75</f>
        <v>kg</v>
      </c>
      <c r="F82" s="274">
        <v>20.36</v>
      </c>
      <c r="G82" s="285" t="e">
        <f t="shared" si="12"/>
        <v>#REF!</v>
      </c>
      <c r="H82" s="285">
        <f t="shared" si="12"/>
        <v>6.57</v>
      </c>
      <c r="I82" s="276">
        <f t="shared" si="11"/>
        <v>133.76519999999999</v>
      </c>
      <c r="J82" s="276" t="e">
        <f>F82*G82</f>
        <v>#REF!</v>
      </c>
      <c r="K82" s="268"/>
      <c r="L82" s="282"/>
      <c r="M82" s="280"/>
      <c r="N82" s="281"/>
    </row>
    <row r="83" spans="1:14" s="279" customFormat="1" ht="24" x14ac:dyDescent="0.2">
      <c r="A83" s="269"/>
      <c r="B83" s="270" t="s">
        <v>694</v>
      </c>
      <c r="C83" s="271" t="s">
        <v>746</v>
      </c>
      <c r="D83" s="272" t="s">
        <v>696</v>
      </c>
      <c r="E83" s="273" t="str">
        <f>E76</f>
        <v>m³</v>
      </c>
      <c r="F83" s="274">
        <v>0.8</v>
      </c>
      <c r="G83" s="285" t="e">
        <f>Comp!#REF!</f>
        <v>#REF!</v>
      </c>
      <c r="H83" s="285">
        <f t="shared" si="12"/>
        <v>1072.8800000000001</v>
      </c>
      <c r="I83" s="276">
        <f t="shared" si="11"/>
        <v>858.30400000000009</v>
      </c>
      <c r="J83" s="276" t="e">
        <f>F83*G83</f>
        <v>#REF!</v>
      </c>
      <c r="K83" s="268"/>
      <c r="L83" s="282"/>
      <c r="M83" s="280"/>
      <c r="N83" s="281"/>
    </row>
    <row r="84" spans="1:14" s="279" customFormat="1" ht="24" x14ac:dyDescent="0.2">
      <c r="A84" s="269"/>
      <c r="B84" s="260"/>
      <c r="C84" s="261">
        <v>5</v>
      </c>
      <c r="D84" s="262" t="s">
        <v>747</v>
      </c>
      <c r="E84" s="263"/>
      <c r="F84" s="264"/>
      <c r="G84" s="265"/>
      <c r="H84" s="266"/>
      <c r="I84" s="267">
        <f>SUM(I86:I94)</f>
        <v>76786.143299999996</v>
      </c>
      <c r="J84" s="267" t="e">
        <f>SUM(J86:J94)</f>
        <v>#REF!</v>
      </c>
      <c r="K84" s="268"/>
      <c r="L84" s="282"/>
      <c r="M84" s="280"/>
      <c r="N84" s="281"/>
    </row>
    <row r="85" spans="1:14" s="279" customFormat="1" x14ac:dyDescent="0.2">
      <c r="A85" s="269"/>
      <c r="B85" s="270"/>
      <c r="C85" s="289"/>
      <c r="D85" s="286" t="s">
        <v>748</v>
      </c>
      <c r="E85" s="298"/>
      <c r="F85" s="274"/>
      <c r="G85" s="285"/>
      <c r="H85" s="275"/>
      <c r="I85" s="290"/>
      <c r="J85" s="290"/>
      <c r="K85" s="268"/>
      <c r="L85" s="282"/>
      <c r="M85" s="280"/>
      <c r="N85" s="281"/>
    </row>
    <row r="86" spans="1:14" s="279" customFormat="1" ht="24" x14ac:dyDescent="0.2">
      <c r="A86" s="269"/>
      <c r="B86" s="270" t="s">
        <v>749</v>
      </c>
      <c r="C86" s="271" t="s">
        <v>201</v>
      </c>
      <c r="D86" s="272" t="s">
        <v>750</v>
      </c>
      <c r="E86" s="273" t="s">
        <v>421</v>
      </c>
      <c r="F86" s="274">
        <v>5.14</v>
      </c>
      <c r="G86" s="285" t="e">
        <f>Comp!#REF!</f>
        <v>#REF!</v>
      </c>
      <c r="H86" s="275">
        <v>104.87</v>
      </c>
      <c r="I86" s="276">
        <f t="shared" ref="I86:I94" si="13">F86*H86</f>
        <v>539.03179999999998</v>
      </c>
      <c r="J86" s="276" t="e">
        <f>F86*G86</f>
        <v>#REF!</v>
      </c>
      <c r="K86" s="268"/>
      <c r="L86" s="282"/>
      <c r="M86" s="280"/>
      <c r="N86" s="281"/>
    </row>
    <row r="87" spans="1:14" s="279" customFormat="1" x14ac:dyDescent="0.2">
      <c r="A87" s="269"/>
      <c r="B87" s="270"/>
      <c r="C87" s="289"/>
      <c r="D87" s="286" t="s">
        <v>751</v>
      </c>
      <c r="E87" s="298"/>
      <c r="F87" s="274"/>
      <c r="G87" s="285"/>
      <c r="H87" s="275"/>
      <c r="I87" s="276">
        <f t="shared" si="13"/>
        <v>0</v>
      </c>
      <c r="J87" s="276"/>
      <c r="L87" s="282"/>
      <c r="M87" s="280"/>
      <c r="N87" s="281"/>
    </row>
    <row r="88" spans="1:14" s="279" customFormat="1" ht="36" x14ac:dyDescent="0.2">
      <c r="A88" s="269"/>
      <c r="B88" s="270">
        <v>87504</v>
      </c>
      <c r="C88" s="271" t="s">
        <v>752</v>
      </c>
      <c r="D88" s="272" t="s">
        <v>753</v>
      </c>
      <c r="E88" s="273" t="s">
        <v>421</v>
      </c>
      <c r="F88" s="274">
        <v>942.96</v>
      </c>
      <c r="G88" s="285" t="e">
        <f>Comp!#REF!</f>
        <v>#REF!</v>
      </c>
      <c r="H88" s="275">
        <v>44.45</v>
      </c>
      <c r="I88" s="276">
        <f t="shared" si="13"/>
        <v>41914.572000000007</v>
      </c>
      <c r="J88" s="276" t="e">
        <f t="shared" ref="J88:J94" si="14">F88*G88</f>
        <v>#REF!</v>
      </c>
      <c r="L88" s="280"/>
      <c r="M88" s="280"/>
      <c r="N88" s="281"/>
    </row>
    <row r="89" spans="1:14" s="279" customFormat="1" ht="36" x14ac:dyDescent="0.2">
      <c r="A89" s="269"/>
      <c r="B89" s="270" t="s">
        <v>754</v>
      </c>
      <c r="C89" s="271" t="s">
        <v>495</v>
      </c>
      <c r="D89" s="272" t="s">
        <v>755</v>
      </c>
      <c r="E89" s="273" t="s">
        <v>421</v>
      </c>
      <c r="F89" s="274">
        <v>17.07</v>
      </c>
      <c r="G89" s="285" t="e">
        <f>Comp!#REF!</f>
        <v>#REF!</v>
      </c>
      <c r="H89" s="275">
        <v>56.89</v>
      </c>
      <c r="I89" s="276">
        <f t="shared" si="13"/>
        <v>971.1123</v>
      </c>
      <c r="J89" s="276" t="e">
        <f t="shared" si="14"/>
        <v>#REF!</v>
      </c>
      <c r="L89" s="280"/>
      <c r="M89" s="280"/>
      <c r="N89" s="281"/>
    </row>
    <row r="90" spans="1:14" s="279" customFormat="1" ht="36" x14ac:dyDescent="0.2">
      <c r="A90" s="269"/>
      <c r="B90" s="270">
        <v>87508</v>
      </c>
      <c r="C90" s="271" t="s">
        <v>496</v>
      </c>
      <c r="D90" s="272" t="s">
        <v>756</v>
      </c>
      <c r="E90" s="273" t="str">
        <f>E89</f>
        <v>m²</v>
      </c>
      <c r="F90" s="274">
        <v>478.93</v>
      </c>
      <c r="G90" s="285" t="e">
        <f>Comp!#REF!</f>
        <v>#REF!</v>
      </c>
      <c r="H90" s="275">
        <v>62.32</v>
      </c>
      <c r="I90" s="276">
        <f t="shared" si="13"/>
        <v>29846.917600000001</v>
      </c>
      <c r="J90" s="276" t="e">
        <f t="shared" si="14"/>
        <v>#REF!</v>
      </c>
      <c r="L90" s="280"/>
      <c r="M90" s="280"/>
      <c r="N90" s="281"/>
    </row>
    <row r="91" spans="1:14" s="279" customFormat="1" ht="36" x14ac:dyDescent="0.2">
      <c r="A91" s="269"/>
      <c r="B91" s="270" t="s">
        <v>757</v>
      </c>
      <c r="C91" s="271" t="s">
        <v>497</v>
      </c>
      <c r="D91" s="272" t="s">
        <v>758</v>
      </c>
      <c r="E91" s="273" t="s">
        <v>418</v>
      </c>
      <c r="F91" s="274">
        <v>50.56</v>
      </c>
      <c r="G91" s="285" t="e">
        <f>Comp!#REF!</f>
        <v>#REF!</v>
      </c>
      <c r="H91" s="275">
        <v>11.92</v>
      </c>
      <c r="I91" s="276">
        <f t="shared" si="13"/>
        <v>602.67520000000002</v>
      </c>
      <c r="J91" s="276" t="e">
        <f t="shared" si="14"/>
        <v>#REF!</v>
      </c>
      <c r="L91" s="280"/>
      <c r="M91" s="280"/>
      <c r="N91" s="281"/>
    </row>
    <row r="92" spans="1:14" s="279" customFormat="1" ht="36" x14ac:dyDescent="0.2">
      <c r="A92" s="283"/>
      <c r="B92" s="270">
        <v>79627</v>
      </c>
      <c r="C92" s="271" t="s">
        <v>498</v>
      </c>
      <c r="D92" s="292" t="s">
        <v>759</v>
      </c>
      <c r="E92" s="270" t="s">
        <v>421</v>
      </c>
      <c r="F92" s="274">
        <v>22.63</v>
      </c>
      <c r="G92" s="285" t="e">
        <f>Comp!#REF!</f>
        <v>#REF!</v>
      </c>
      <c r="H92" s="275">
        <v>93.08</v>
      </c>
      <c r="I92" s="276">
        <f t="shared" si="13"/>
        <v>2106.4004</v>
      </c>
      <c r="J92" s="276" t="e">
        <f t="shared" si="14"/>
        <v>#REF!</v>
      </c>
      <c r="L92" s="217"/>
    </row>
    <row r="93" spans="1:14" s="279" customFormat="1" x14ac:dyDescent="0.2">
      <c r="A93" s="269"/>
      <c r="B93" s="270"/>
      <c r="C93" s="289"/>
      <c r="D93" s="286" t="s">
        <v>760</v>
      </c>
      <c r="E93" s="298"/>
      <c r="F93" s="274"/>
      <c r="G93" s="285"/>
      <c r="H93" s="275"/>
      <c r="I93" s="276">
        <f t="shared" si="13"/>
        <v>0</v>
      </c>
      <c r="J93" s="276"/>
      <c r="L93" s="282"/>
      <c r="M93" s="280"/>
      <c r="N93" s="281"/>
    </row>
    <row r="94" spans="1:14" s="279" customFormat="1" ht="36" x14ac:dyDescent="0.2">
      <c r="A94" s="269"/>
      <c r="B94" s="270">
        <v>87504</v>
      </c>
      <c r="C94" s="271" t="s">
        <v>761</v>
      </c>
      <c r="D94" s="272" t="s">
        <v>753</v>
      </c>
      <c r="E94" s="273" t="s">
        <v>421</v>
      </c>
      <c r="F94" s="274">
        <v>18.12</v>
      </c>
      <c r="G94" s="275" t="e">
        <f>G88</f>
        <v>#REF!</v>
      </c>
      <c r="H94" s="275">
        <v>44.45</v>
      </c>
      <c r="I94" s="276">
        <f t="shared" si="13"/>
        <v>805.43400000000008</v>
      </c>
      <c r="J94" s="276" t="e">
        <f t="shared" si="14"/>
        <v>#REF!</v>
      </c>
      <c r="L94" s="280"/>
      <c r="M94" s="280"/>
      <c r="N94" s="281"/>
    </row>
    <row r="95" spans="1:14" s="279" customFormat="1" x14ac:dyDescent="0.2">
      <c r="A95" s="269"/>
      <c r="B95" s="260"/>
      <c r="C95" s="261">
        <v>6</v>
      </c>
      <c r="D95" s="262" t="s">
        <v>344</v>
      </c>
      <c r="E95" s="288"/>
      <c r="F95" s="264"/>
      <c r="G95" s="265"/>
      <c r="H95" s="266"/>
      <c r="I95" s="267">
        <f>SUM(I97:I134)</f>
        <v>235398.55360000004</v>
      </c>
      <c r="J95" s="267" t="e">
        <f>SUM(J97:J141)</f>
        <v>#REF!</v>
      </c>
      <c r="K95" s="268"/>
      <c r="L95" s="280"/>
      <c r="M95" s="280">
        <v>147265.372789769</v>
      </c>
      <c r="N95" s="281" t="e">
        <f>J95-M95</f>
        <v>#REF!</v>
      </c>
    </row>
    <row r="96" spans="1:14" s="279" customFormat="1" x14ac:dyDescent="0.2">
      <c r="A96" s="269"/>
      <c r="B96" s="270"/>
      <c r="C96" s="289"/>
      <c r="D96" s="286" t="s">
        <v>762</v>
      </c>
      <c r="E96" s="273"/>
      <c r="F96" s="274"/>
      <c r="G96" s="285"/>
      <c r="H96" s="275"/>
      <c r="I96" s="290"/>
      <c r="J96" s="290"/>
      <c r="L96" s="280"/>
      <c r="M96" s="280"/>
      <c r="N96" s="281"/>
    </row>
    <row r="97" spans="1:14" s="279" customFormat="1" ht="36" x14ac:dyDescent="0.2">
      <c r="A97" s="269"/>
      <c r="B97" s="270" t="s">
        <v>763</v>
      </c>
      <c r="C97" s="271" t="s">
        <v>203</v>
      </c>
      <c r="D97" s="272" t="s">
        <v>499</v>
      </c>
      <c r="E97" s="273" t="s">
        <v>526</v>
      </c>
      <c r="F97" s="274">
        <v>10</v>
      </c>
      <c r="G97" s="275">
        <f>Comp!I503</f>
        <v>464.96572227399997</v>
      </c>
      <c r="H97" s="275">
        <v>382.36</v>
      </c>
      <c r="I97" s="276">
        <f t="shared" ref="I97:I141" si="15">F97*H97</f>
        <v>3823.6000000000004</v>
      </c>
      <c r="J97" s="276">
        <f>F97*G97</f>
        <v>4649.6572227399993</v>
      </c>
      <c r="L97" s="280"/>
      <c r="M97" s="280"/>
      <c r="N97" s="281"/>
    </row>
    <row r="98" spans="1:14" s="279" customFormat="1" ht="24" x14ac:dyDescent="0.2">
      <c r="A98" s="269"/>
      <c r="B98" s="270" t="s">
        <v>764</v>
      </c>
      <c r="C98" s="271" t="s">
        <v>500</v>
      </c>
      <c r="D98" s="272" t="s">
        <v>501</v>
      </c>
      <c r="E98" s="273" t="s">
        <v>526</v>
      </c>
      <c r="F98" s="274">
        <v>5</v>
      </c>
      <c r="G98" s="275">
        <f>Comp!I514</f>
        <v>275.60254473200001</v>
      </c>
      <c r="H98" s="275">
        <v>773.51</v>
      </c>
      <c r="I98" s="276">
        <f t="shared" si="15"/>
        <v>3867.55</v>
      </c>
      <c r="J98" s="276">
        <f t="shared" ref="J98:J141" si="16">F98*G98</f>
        <v>1378.0127236600001</v>
      </c>
      <c r="L98" s="280"/>
      <c r="M98" s="280"/>
      <c r="N98" s="281"/>
    </row>
    <row r="99" spans="1:14" s="279" customFormat="1" ht="24" x14ac:dyDescent="0.2">
      <c r="A99" s="269"/>
      <c r="B99" s="270" t="s">
        <v>765</v>
      </c>
      <c r="C99" s="271" t="s">
        <v>502</v>
      </c>
      <c r="D99" s="272" t="s">
        <v>503</v>
      </c>
      <c r="E99" s="273" t="s">
        <v>526</v>
      </c>
      <c r="F99" s="274">
        <v>4</v>
      </c>
      <c r="G99" s="275">
        <f>Comp!I525</f>
        <v>368.44870473199995</v>
      </c>
      <c r="H99" s="275">
        <v>417.03</v>
      </c>
      <c r="I99" s="276">
        <f t="shared" si="15"/>
        <v>1668.12</v>
      </c>
      <c r="J99" s="276">
        <f t="shared" si="16"/>
        <v>1473.7948189279998</v>
      </c>
      <c r="L99" s="280"/>
      <c r="M99" s="280"/>
      <c r="N99" s="281"/>
    </row>
    <row r="100" spans="1:14" s="279" customFormat="1" ht="36" x14ac:dyDescent="0.2">
      <c r="A100" s="269"/>
      <c r="B100" s="270" t="s">
        <v>765</v>
      </c>
      <c r="C100" s="271" t="s">
        <v>504</v>
      </c>
      <c r="D100" s="272" t="s">
        <v>505</v>
      </c>
      <c r="E100" s="273" t="s">
        <v>526</v>
      </c>
      <c r="F100" s="274">
        <v>6</v>
      </c>
      <c r="G100" s="275">
        <f>Comp!I536</f>
        <v>309.60541473200004</v>
      </c>
      <c r="H100" s="275">
        <v>395.71</v>
      </c>
      <c r="I100" s="276">
        <f t="shared" si="15"/>
        <v>2374.2599999999998</v>
      </c>
      <c r="J100" s="276">
        <f t="shared" si="16"/>
        <v>1857.6324883920001</v>
      </c>
      <c r="L100" s="280"/>
      <c r="M100" s="280"/>
      <c r="N100" s="281"/>
    </row>
    <row r="101" spans="1:14" s="279" customFormat="1" ht="36" x14ac:dyDescent="0.2">
      <c r="A101" s="269"/>
      <c r="B101" s="270" t="s">
        <v>765</v>
      </c>
      <c r="C101" s="271" t="s">
        <v>506</v>
      </c>
      <c r="D101" s="272" t="s">
        <v>507</v>
      </c>
      <c r="E101" s="273" t="s">
        <v>526</v>
      </c>
      <c r="F101" s="274">
        <v>10</v>
      </c>
      <c r="G101" s="275">
        <f>Comp!I547</f>
        <v>480.34782473199994</v>
      </c>
      <c r="H101" s="275">
        <v>448.99</v>
      </c>
      <c r="I101" s="276">
        <f t="shared" si="15"/>
        <v>4489.8999999999996</v>
      </c>
      <c r="J101" s="276">
        <f t="shared" si="16"/>
        <v>4803.4782473199994</v>
      </c>
      <c r="L101" s="280"/>
      <c r="M101" s="280"/>
      <c r="N101" s="281"/>
    </row>
    <row r="102" spans="1:14" s="279" customFormat="1" ht="36" x14ac:dyDescent="0.2">
      <c r="A102" s="269"/>
      <c r="B102" s="299" t="s">
        <v>766</v>
      </c>
      <c r="C102" s="300" t="s">
        <v>508</v>
      </c>
      <c r="D102" s="301" t="s">
        <v>509</v>
      </c>
      <c r="E102" s="302" t="s">
        <v>526</v>
      </c>
      <c r="F102" s="303">
        <v>16</v>
      </c>
      <c r="G102" s="304">
        <f>Comp!I557</f>
        <v>252.79502422960002</v>
      </c>
      <c r="H102" s="275">
        <v>267.45999999999998</v>
      </c>
      <c r="I102" s="276">
        <f t="shared" si="15"/>
        <v>4279.3599999999997</v>
      </c>
      <c r="J102" s="276">
        <f t="shared" si="16"/>
        <v>4044.7203876736003</v>
      </c>
      <c r="L102" s="280"/>
      <c r="M102" s="280"/>
      <c r="N102" s="281"/>
    </row>
    <row r="103" spans="1:14" s="279" customFormat="1" ht="24" x14ac:dyDescent="0.2">
      <c r="A103" s="283"/>
      <c r="B103" s="299" t="s">
        <v>766</v>
      </c>
      <c r="C103" s="300" t="s">
        <v>510</v>
      </c>
      <c r="D103" s="305" t="s">
        <v>767</v>
      </c>
      <c r="E103" s="299" t="s">
        <v>421</v>
      </c>
      <c r="F103" s="303">
        <v>11.2</v>
      </c>
      <c r="G103" s="306">
        <f>Comp!I568</f>
        <v>67.988052337599996</v>
      </c>
      <c r="H103" s="275">
        <v>395.64</v>
      </c>
      <c r="I103" s="276">
        <f t="shared" si="15"/>
        <v>4431.1679999999997</v>
      </c>
      <c r="J103" s="276">
        <f t="shared" si="16"/>
        <v>761.46618618111995</v>
      </c>
      <c r="L103" s="217"/>
    </row>
    <row r="104" spans="1:14" s="279" customFormat="1" x14ac:dyDescent="0.2">
      <c r="A104" s="269"/>
      <c r="B104" s="270"/>
      <c r="C104" s="289"/>
      <c r="D104" s="286" t="s">
        <v>768</v>
      </c>
      <c r="E104" s="273"/>
      <c r="F104" s="274"/>
      <c r="G104" s="285"/>
      <c r="H104" s="275"/>
      <c r="I104" s="276">
        <f t="shared" si="15"/>
        <v>0</v>
      </c>
      <c r="J104" s="276"/>
      <c r="L104" s="280"/>
      <c r="M104" s="280"/>
      <c r="N104" s="281"/>
    </row>
    <row r="105" spans="1:14" s="279" customFormat="1" x14ac:dyDescent="0.2">
      <c r="A105" s="269"/>
      <c r="B105" s="270" t="s">
        <v>769</v>
      </c>
      <c r="C105" s="271" t="s">
        <v>511</v>
      </c>
      <c r="D105" s="272" t="s">
        <v>770</v>
      </c>
      <c r="E105" s="273" t="s">
        <v>526</v>
      </c>
      <c r="F105" s="274">
        <v>51</v>
      </c>
      <c r="G105" s="275">
        <f>Comp!I578</f>
        <v>69.595275144000013</v>
      </c>
      <c r="H105" s="275">
        <v>101.44</v>
      </c>
      <c r="I105" s="276">
        <f t="shared" si="15"/>
        <v>5173.4399999999996</v>
      </c>
      <c r="J105" s="276">
        <f t="shared" si="16"/>
        <v>3549.3590323440008</v>
      </c>
      <c r="L105" s="280"/>
      <c r="M105" s="280"/>
      <c r="N105" s="281"/>
    </row>
    <row r="106" spans="1:14" s="279" customFormat="1" x14ac:dyDescent="0.2">
      <c r="A106" s="269"/>
      <c r="B106" s="270"/>
      <c r="C106" s="289"/>
      <c r="D106" s="286" t="s">
        <v>771</v>
      </c>
      <c r="E106" s="273"/>
      <c r="F106" s="274"/>
      <c r="G106" s="285"/>
      <c r="H106" s="275"/>
      <c r="I106" s="276">
        <f t="shared" si="15"/>
        <v>0</v>
      </c>
      <c r="J106" s="276"/>
      <c r="L106" s="280"/>
      <c r="M106" s="280"/>
      <c r="N106" s="281"/>
    </row>
    <row r="107" spans="1:14" s="279" customFormat="1" ht="36" x14ac:dyDescent="0.2">
      <c r="A107" s="269"/>
      <c r="B107" s="270" t="s">
        <v>772</v>
      </c>
      <c r="C107" s="271" t="s">
        <v>773</v>
      </c>
      <c r="D107" s="272" t="s">
        <v>774</v>
      </c>
      <c r="E107" s="273" t="s">
        <v>421</v>
      </c>
      <c r="F107" s="274">
        <v>2.31</v>
      </c>
      <c r="G107" s="275">
        <f>Comp!I589</f>
        <v>127.89107068759998</v>
      </c>
      <c r="H107" s="275">
        <v>472.37</v>
      </c>
      <c r="I107" s="276">
        <f t="shared" si="15"/>
        <v>1091.1747</v>
      </c>
      <c r="J107" s="276">
        <f t="shared" si="16"/>
        <v>295.42837328835594</v>
      </c>
      <c r="L107" s="280"/>
      <c r="M107" s="280"/>
      <c r="N107" s="281"/>
    </row>
    <row r="108" spans="1:14" s="279" customFormat="1" ht="36" x14ac:dyDescent="0.2">
      <c r="A108" s="269"/>
      <c r="B108" s="270" t="s">
        <v>772</v>
      </c>
      <c r="C108" s="271" t="s">
        <v>775</v>
      </c>
      <c r="D108" s="272" t="s">
        <v>776</v>
      </c>
      <c r="E108" s="273" t="str">
        <f>E107</f>
        <v>m²</v>
      </c>
      <c r="F108" s="274">
        <v>1.68</v>
      </c>
      <c r="G108" s="275">
        <f>G107</f>
        <v>127.89107068759998</v>
      </c>
      <c r="H108" s="275">
        <f>H107</f>
        <v>472.37</v>
      </c>
      <c r="I108" s="276">
        <f t="shared" si="15"/>
        <v>793.58159999999998</v>
      </c>
      <c r="J108" s="276">
        <f t="shared" si="16"/>
        <v>214.85699875516795</v>
      </c>
      <c r="L108" s="280"/>
      <c r="M108" s="280"/>
      <c r="N108" s="281"/>
    </row>
    <row r="109" spans="1:14" s="279" customFormat="1" ht="36" x14ac:dyDescent="0.2">
      <c r="A109" s="269"/>
      <c r="B109" s="270" t="s">
        <v>772</v>
      </c>
      <c r="C109" s="271" t="s">
        <v>777</v>
      </c>
      <c r="D109" s="272" t="s">
        <v>778</v>
      </c>
      <c r="E109" s="273" t="s">
        <v>421</v>
      </c>
      <c r="F109" s="274">
        <v>6.72</v>
      </c>
      <c r="G109" s="275">
        <f>G108</f>
        <v>127.89107068759998</v>
      </c>
      <c r="H109" s="275">
        <f>H108</f>
        <v>472.37</v>
      </c>
      <c r="I109" s="276">
        <f t="shared" si="15"/>
        <v>3174.3263999999999</v>
      </c>
      <c r="J109" s="276">
        <f t="shared" si="16"/>
        <v>859.4279950206718</v>
      </c>
      <c r="L109" s="280"/>
      <c r="M109" s="280"/>
      <c r="N109" s="281"/>
    </row>
    <row r="110" spans="1:14" s="279" customFormat="1" ht="24" x14ac:dyDescent="0.2">
      <c r="A110" s="269"/>
      <c r="B110" s="270" t="s">
        <v>779</v>
      </c>
      <c r="C110" s="271" t="s">
        <v>780</v>
      </c>
      <c r="D110" s="272" t="s">
        <v>781</v>
      </c>
      <c r="E110" s="273" t="str">
        <f>E109</f>
        <v>m²</v>
      </c>
      <c r="F110" s="274">
        <v>113.4</v>
      </c>
      <c r="G110" s="275" t="e">
        <f>Comp!#REF!</f>
        <v>#REF!</v>
      </c>
      <c r="H110" s="275">
        <v>1444.99</v>
      </c>
      <c r="I110" s="276">
        <f t="shared" si="15"/>
        <v>163861.86600000001</v>
      </c>
      <c r="J110" s="276" t="e">
        <f t="shared" si="16"/>
        <v>#REF!</v>
      </c>
      <c r="L110" s="280"/>
      <c r="M110" s="280"/>
      <c r="N110" s="281"/>
    </row>
    <row r="111" spans="1:14" s="279" customFormat="1" ht="24" x14ac:dyDescent="0.2">
      <c r="A111" s="269"/>
      <c r="B111" s="270"/>
      <c r="C111" s="271" t="s">
        <v>782</v>
      </c>
      <c r="D111" s="272" t="s">
        <v>783</v>
      </c>
      <c r="E111" s="273" t="s">
        <v>421</v>
      </c>
      <c r="F111" s="274">
        <v>5.04</v>
      </c>
      <c r="G111" s="275" t="e">
        <f>Comp!#REF!</f>
        <v>#REF!</v>
      </c>
      <c r="H111" s="275"/>
      <c r="I111" s="276"/>
      <c r="J111" s="276" t="e">
        <f t="shared" si="16"/>
        <v>#REF!</v>
      </c>
      <c r="L111" s="280"/>
      <c r="M111" s="280"/>
      <c r="N111" s="281"/>
    </row>
    <row r="112" spans="1:14" s="279" customFormat="1" ht="24" x14ac:dyDescent="0.2">
      <c r="A112" s="269"/>
      <c r="B112" s="270" t="s">
        <v>784</v>
      </c>
      <c r="C112" s="271" t="s">
        <v>785</v>
      </c>
      <c r="D112" s="272" t="s">
        <v>786</v>
      </c>
      <c r="E112" s="273" t="str">
        <f>E110</f>
        <v>m²</v>
      </c>
      <c r="F112" s="274">
        <v>4.4400000000000004</v>
      </c>
      <c r="G112" s="275">
        <f>Comp!I600</f>
        <v>129.4952706876</v>
      </c>
      <c r="H112" s="275">
        <v>458.1</v>
      </c>
      <c r="I112" s="276">
        <f t="shared" si="15"/>
        <v>2033.9640000000002</v>
      </c>
      <c r="J112" s="276">
        <f t="shared" si="16"/>
        <v>574.95900185294408</v>
      </c>
      <c r="L112" s="280"/>
      <c r="M112" s="280"/>
      <c r="N112" s="281"/>
    </row>
    <row r="113" spans="1:14" s="279" customFormat="1" ht="24" x14ac:dyDescent="0.2">
      <c r="A113" s="269"/>
      <c r="B113" s="270"/>
      <c r="C113" s="271" t="s">
        <v>787</v>
      </c>
      <c r="D113" s="272" t="s">
        <v>788</v>
      </c>
      <c r="E113" s="273" t="s">
        <v>421</v>
      </c>
      <c r="F113" s="274">
        <v>5.25</v>
      </c>
      <c r="G113" s="275">
        <f>Comp!I600</f>
        <v>129.4952706876</v>
      </c>
      <c r="H113" s="275"/>
      <c r="I113" s="276"/>
      <c r="J113" s="276">
        <f t="shared" si="16"/>
        <v>679.85017110989997</v>
      </c>
      <c r="L113" s="280"/>
      <c r="M113" s="280"/>
      <c r="N113" s="281"/>
    </row>
    <row r="114" spans="1:14" s="279" customFormat="1" x14ac:dyDescent="0.2">
      <c r="A114" s="269"/>
      <c r="B114" s="270"/>
      <c r="C114" s="289"/>
      <c r="D114" s="286" t="s">
        <v>789</v>
      </c>
      <c r="E114" s="273"/>
      <c r="F114" s="274"/>
      <c r="G114" s="285"/>
      <c r="H114" s="275"/>
      <c r="I114" s="276">
        <f t="shared" si="15"/>
        <v>0</v>
      </c>
      <c r="J114" s="276"/>
      <c r="L114" s="280"/>
      <c r="M114" s="280"/>
      <c r="N114" s="281"/>
    </row>
    <row r="115" spans="1:14" s="279" customFormat="1" ht="24" x14ac:dyDescent="0.2">
      <c r="A115" s="269"/>
      <c r="B115" s="270" t="s">
        <v>779</v>
      </c>
      <c r="C115" s="271" t="s">
        <v>514</v>
      </c>
      <c r="D115" s="272" t="s">
        <v>515</v>
      </c>
      <c r="E115" s="273" t="s">
        <v>526</v>
      </c>
      <c r="F115" s="274">
        <v>1</v>
      </c>
      <c r="G115" s="275" t="e">
        <f>Comp!#REF!</f>
        <v>#REF!</v>
      </c>
      <c r="H115" s="275">
        <v>2215.6999999999998</v>
      </c>
      <c r="I115" s="276">
        <f t="shared" si="15"/>
        <v>2215.6999999999998</v>
      </c>
      <c r="J115" s="276" t="e">
        <f t="shared" si="16"/>
        <v>#REF!</v>
      </c>
      <c r="L115" s="280"/>
      <c r="M115" s="280"/>
      <c r="N115" s="281"/>
    </row>
    <row r="116" spans="1:14" s="279" customFormat="1" ht="24" x14ac:dyDescent="0.2">
      <c r="A116" s="269"/>
      <c r="B116" s="270"/>
      <c r="C116" s="271" t="s">
        <v>790</v>
      </c>
      <c r="D116" s="272" t="s">
        <v>791</v>
      </c>
      <c r="E116" s="273" t="s">
        <v>526</v>
      </c>
      <c r="F116" s="274">
        <v>1</v>
      </c>
      <c r="G116" s="275" t="e">
        <f>Comp!#REF!</f>
        <v>#REF!</v>
      </c>
      <c r="H116" s="275"/>
      <c r="I116" s="276"/>
      <c r="J116" s="276" t="e">
        <f t="shared" si="16"/>
        <v>#REF!</v>
      </c>
      <c r="L116" s="280"/>
      <c r="M116" s="280"/>
      <c r="N116" s="281"/>
    </row>
    <row r="117" spans="1:14" s="279" customFormat="1" ht="24" x14ac:dyDescent="0.2">
      <c r="A117" s="269"/>
      <c r="B117" s="270"/>
      <c r="C117" s="271" t="s">
        <v>516</v>
      </c>
      <c r="D117" s="272" t="s">
        <v>792</v>
      </c>
      <c r="E117" s="273" t="s">
        <v>421</v>
      </c>
      <c r="F117" s="274">
        <v>0.61</v>
      </c>
      <c r="G117" s="275" t="e">
        <f>Comp!#REF!</f>
        <v>#REF!</v>
      </c>
      <c r="H117" s="275"/>
      <c r="I117" s="276"/>
      <c r="J117" s="276" t="e">
        <f t="shared" si="16"/>
        <v>#REF!</v>
      </c>
      <c r="L117" s="280"/>
      <c r="M117" s="280"/>
      <c r="N117" s="281"/>
    </row>
    <row r="118" spans="1:14" s="279" customFormat="1" x14ac:dyDescent="0.2">
      <c r="A118" s="269"/>
      <c r="B118" s="270"/>
      <c r="C118" s="289"/>
      <c r="D118" s="286" t="s">
        <v>793</v>
      </c>
      <c r="E118" s="273"/>
      <c r="F118" s="274"/>
      <c r="G118" s="285"/>
      <c r="H118" s="275"/>
      <c r="I118" s="276">
        <f t="shared" si="15"/>
        <v>0</v>
      </c>
      <c r="J118" s="276"/>
      <c r="L118" s="280"/>
      <c r="M118" s="280"/>
      <c r="N118" s="281"/>
    </row>
    <row r="119" spans="1:14" s="279" customFormat="1" ht="24" x14ac:dyDescent="0.2">
      <c r="A119" s="269"/>
      <c r="B119" s="270">
        <v>68052</v>
      </c>
      <c r="C119" s="271" t="s">
        <v>794</v>
      </c>
      <c r="D119" s="272" t="s">
        <v>795</v>
      </c>
      <c r="E119" s="273" t="s">
        <v>421</v>
      </c>
      <c r="F119" s="274">
        <v>1.75</v>
      </c>
      <c r="G119" s="275" t="e">
        <f>Comp!#REF!</f>
        <v>#REF!</v>
      </c>
      <c r="H119" s="275">
        <v>368.3</v>
      </c>
      <c r="I119" s="276">
        <f t="shared" si="15"/>
        <v>644.52499999999998</v>
      </c>
      <c r="J119" s="276" t="e">
        <f t="shared" si="16"/>
        <v>#REF!</v>
      </c>
      <c r="L119" s="280"/>
      <c r="M119" s="280"/>
      <c r="N119" s="281"/>
    </row>
    <row r="120" spans="1:14" s="279" customFormat="1" ht="24" x14ac:dyDescent="0.2">
      <c r="A120" s="269"/>
      <c r="B120" s="270">
        <v>68052</v>
      </c>
      <c r="C120" s="271" t="s">
        <v>796</v>
      </c>
      <c r="D120" s="272" t="s">
        <v>797</v>
      </c>
      <c r="E120" s="273" t="str">
        <f>E119</f>
        <v>m²</v>
      </c>
      <c r="F120" s="274">
        <v>1.6</v>
      </c>
      <c r="G120" s="275" t="e">
        <f>Comp!#REF!</f>
        <v>#REF!</v>
      </c>
      <c r="H120" s="275">
        <f>H119</f>
        <v>368.3</v>
      </c>
      <c r="I120" s="276">
        <f t="shared" si="15"/>
        <v>589.28000000000009</v>
      </c>
      <c r="J120" s="276" t="e">
        <f t="shared" si="16"/>
        <v>#REF!</v>
      </c>
      <c r="L120" s="280"/>
      <c r="M120" s="280"/>
      <c r="N120" s="281"/>
    </row>
    <row r="121" spans="1:14" s="279" customFormat="1" ht="24" x14ac:dyDescent="0.2">
      <c r="A121" s="269"/>
      <c r="B121" s="270">
        <v>85010</v>
      </c>
      <c r="C121" s="271" t="s">
        <v>798</v>
      </c>
      <c r="D121" s="272" t="s">
        <v>799</v>
      </c>
      <c r="E121" s="273" t="s">
        <v>421</v>
      </c>
      <c r="F121" s="274">
        <v>3.22</v>
      </c>
      <c r="G121" s="275" t="e">
        <f>Comp!#REF!</f>
        <v>#REF!</v>
      </c>
      <c r="H121" s="275">
        <v>347.12</v>
      </c>
      <c r="I121" s="276">
        <f t="shared" si="15"/>
        <v>1117.7264</v>
      </c>
      <c r="J121" s="276" t="e">
        <f t="shared" si="16"/>
        <v>#REF!</v>
      </c>
      <c r="L121" s="280"/>
      <c r="M121" s="280"/>
      <c r="N121" s="281"/>
    </row>
    <row r="122" spans="1:14" s="315" customFormat="1" ht="24" x14ac:dyDescent="0.2">
      <c r="A122" s="307"/>
      <c r="B122" s="308">
        <f>B120</f>
        <v>68052</v>
      </c>
      <c r="C122" s="309" t="s">
        <v>800</v>
      </c>
      <c r="D122" s="310" t="s">
        <v>801</v>
      </c>
      <c r="E122" s="311" t="str">
        <f>E121</f>
        <v>m²</v>
      </c>
      <c r="F122" s="312">
        <v>2.0299999999999998</v>
      </c>
      <c r="G122" s="313" t="e">
        <f>Comp!#REF!</f>
        <v>#REF!</v>
      </c>
      <c r="H122" s="313">
        <v>368.3</v>
      </c>
      <c r="I122" s="314">
        <f t="shared" si="15"/>
        <v>747.649</v>
      </c>
      <c r="J122" s="314" t="e">
        <f t="shared" si="16"/>
        <v>#REF!</v>
      </c>
      <c r="L122" s="316"/>
      <c r="M122" s="316"/>
      <c r="N122" s="317"/>
    </row>
    <row r="123" spans="1:14" s="315" customFormat="1" ht="24" x14ac:dyDescent="0.2">
      <c r="A123" s="307"/>
      <c r="B123" s="308"/>
      <c r="C123" s="309" t="s">
        <v>517</v>
      </c>
      <c r="D123" s="310" t="s">
        <v>802</v>
      </c>
      <c r="E123" s="311" t="str">
        <f>E122</f>
        <v>m²</v>
      </c>
      <c r="F123" s="312">
        <v>2.1</v>
      </c>
      <c r="G123" s="313" t="e">
        <f>Comp!#REF!</f>
        <v>#REF!</v>
      </c>
      <c r="H123" s="313"/>
      <c r="I123" s="314"/>
      <c r="J123" s="314" t="e">
        <f t="shared" si="16"/>
        <v>#REF!</v>
      </c>
      <c r="L123" s="316"/>
      <c r="M123" s="316"/>
      <c r="N123" s="317"/>
    </row>
    <row r="124" spans="1:14" s="279" customFormat="1" ht="36" x14ac:dyDescent="0.2">
      <c r="A124" s="269"/>
      <c r="B124" s="270" t="s">
        <v>803</v>
      </c>
      <c r="C124" s="271" t="s">
        <v>804</v>
      </c>
      <c r="D124" s="272" t="s">
        <v>805</v>
      </c>
      <c r="E124" s="273" t="str">
        <f>E122</f>
        <v>m²</v>
      </c>
      <c r="F124" s="274">
        <v>2.1</v>
      </c>
      <c r="G124" s="275" t="e">
        <f>Comp!#REF!</f>
        <v>#REF!</v>
      </c>
      <c r="H124" s="275">
        <v>381.77</v>
      </c>
      <c r="I124" s="276">
        <f t="shared" si="15"/>
        <v>801.71699999999998</v>
      </c>
      <c r="J124" s="276" t="e">
        <f t="shared" si="16"/>
        <v>#REF!</v>
      </c>
      <c r="L124" s="280"/>
      <c r="M124" s="280"/>
      <c r="N124" s="281"/>
    </row>
    <row r="125" spans="1:14" s="279" customFormat="1" ht="36" x14ac:dyDescent="0.2">
      <c r="A125" s="269"/>
      <c r="B125" s="270" t="s">
        <v>803</v>
      </c>
      <c r="C125" s="271" t="s">
        <v>806</v>
      </c>
      <c r="D125" s="272" t="s">
        <v>807</v>
      </c>
      <c r="E125" s="273" t="s">
        <v>421</v>
      </c>
      <c r="F125" s="274">
        <v>12.6</v>
      </c>
      <c r="G125" s="275" t="e">
        <f>G124</f>
        <v>#REF!</v>
      </c>
      <c r="H125" s="275">
        <f>H124</f>
        <v>381.77</v>
      </c>
      <c r="I125" s="276">
        <f t="shared" si="15"/>
        <v>4810.3019999999997</v>
      </c>
      <c r="J125" s="276" t="e">
        <f t="shared" si="16"/>
        <v>#REF!</v>
      </c>
      <c r="L125" s="280"/>
      <c r="M125" s="280"/>
      <c r="N125" s="281"/>
    </row>
    <row r="126" spans="1:14" s="279" customFormat="1" ht="36" x14ac:dyDescent="0.2">
      <c r="A126" s="269"/>
      <c r="B126" s="270" t="s">
        <v>803</v>
      </c>
      <c r="C126" s="271">
        <v>6.26</v>
      </c>
      <c r="D126" s="272" t="s">
        <v>808</v>
      </c>
      <c r="E126" s="273" t="s">
        <v>421</v>
      </c>
      <c r="F126" s="274">
        <v>6.3</v>
      </c>
      <c r="G126" s="275" t="e">
        <f>G124</f>
        <v>#REF!</v>
      </c>
      <c r="H126" s="275">
        <f>H124</f>
        <v>381.77</v>
      </c>
      <c r="I126" s="276">
        <f t="shared" si="15"/>
        <v>2405.1509999999998</v>
      </c>
      <c r="J126" s="276" t="e">
        <f t="shared" si="16"/>
        <v>#REF!</v>
      </c>
      <c r="L126" s="280"/>
      <c r="M126" s="280"/>
      <c r="N126" s="281"/>
    </row>
    <row r="127" spans="1:14" s="279" customFormat="1" ht="36" x14ac:dyDescent="0.2">
      <c r="A127" s="269"/>
      <c r="B127" s="270" t="s">
        <v>803</v>
      </c>
      <c r="C127" s="271" t="s">
        <v>809</v>
      </c>
      <c r="D127" s="272" t="s">
        <v>810</v>
      </c>
      <c r="E127" s="273" t="s">
        <v>421</v>
      </c>
      <c r="F127" s="274">
        <v>18.899999999999999</v>
      </c>
      <c r="G127" s="275" t="e">
        <f>G124</f>
        <v>#REF!</v>
      </c>
      <c r="H127" s="275">
        <f>H124</f>
        <v>381.77</v>
      </c>
      <c r="I127" s="276">
        <f t="shared" si="15"/>
        <v>7215.4529999999995</v>
      </c>
      <c r="J127" s="276" t="e">
        <f t="shared" si="16"/>
        <v>#REF!</v>
      </c>
      <c r="L127" s="280"/>
      <c r="M127" s="280"/>
      <c r="N127" s="281"/>
    </row>
    <row r="128" spans="1:14" s="279" customFormat="1" ht="36" x14ac:dyDescent="0.2">
      <c r="A128" s="269"/>
      <c r="B128" s="270" t="s">
        <v>803</v>
      </c>
      <c r="C128" s="271" t="s">
        <v>811</v>
      </c>
      <c r="D128" s="272" t="s">
        <v>812</v>
      </c>
      <c r="E128" s="273" t="s">
        <v>421</v>
      </c>
      <c r="F128" s="274">
        <v>2.1</v>
      </c>
      <c r="G128" s="275" t="e">
        <f>G124</f>
        <v>#REF!</v>
      </c>
      <c r="H128" s="275">
        <f>H124</f>
        <v>381.77</v>
      </c>
      <c r="I128" s="276">
        <f t="shared" si="15"/>
        <v>801.71699999999998</v>
      </c>
      <c r="J128" s="276" t="e">
        <f t="shared" si="16"/>
        <v>#REF!</v>
      </c>
      <c r="L128" s="280"/>
      <c r="M128" s="280"/>
      <c r="N128" s="281"/>
    </row>
    <row r="129" spans="1:14" s="279" customFormat="1" ht="36" x14ac:dyDescent="0.2">
      <c r="A129" s="269"/>
      <c r="B129" s="270" t="s">
        <v>803</v>
      </c>
      <c r="C129" s="271" t="s">
        <v>813</v>
      </c>
      <c r="D129" s="272" t="s">
        <v>814</v>
      </c>
      <c r="E129" s="273" t="s">
        <v>421</v>
      </c>
      <c r="F129" s="274">
        <v>6.3</v>
      </c>
      <c r="G129" s="275" t="e">
        <f>G124</f>
        <v>#REF!</v>
      </c>
      <c r="H129" s="275">
        <f>H124</f>
        <v>381.77</v>
      </c>
      <c r="I129" s="276">
        <f t="shared" si="15"/>
        <v>2405.1509999999998</v>
      </c>
      <c r="J129" s="276" t="e">
        <f t="shared" si="16"/>
        <v>#REF!</v>
      </c>
      <c r="L129" s="280"/>
      <c r="M129" s="280"/>
      <c r="N129" s="281"/>
    </row>
    <row r="130" spans="1:14" s="279" customFormat="1" ht="36" x14ac:dyDescent="0.2">
      <c r="A130" s="269"/>
      <c r="B130" s="270" t="s">
        <v>803</v>
      </c>
      <c r="C130" s="271" t="s">
        <v>815</v>
      </c>
      <c r="D130" s="272" t="s">
        <v>816</v>
      </c>
      <c r="E130" s="273" t="s">
        <v>421</v>
      </c>
      <c r="F130" s="274">
        <v>8.4</v>
      </c>
      <c r="G130" s="275" t="e">
        <f>G124</f>
        <v>#REF!</v>
      </c>
      <c r="H130" s="275">
        <f>H124</f>
        <v>381.77</v>
      </c>
      <c r="I130" s="276">
        <f t="shared" si="15"/>
        <v>3206.8679999999999</v>
      </c>
      <c r="J130" s="276" t="e">
        <f t="shared" si="16"/>
        <v>#REF!</v>
      </c>
      <c r="L130" s="280"/>
      <c r="M130" s="280"/>
      <c r="N130" s="281"/>
    </row>
    <row r="131" spans="1:14" s="279" customFormat="1" ht="36" x14ac:dyDescent="0.2">
      <c r="A131" s="269"/>
      <c r="B131" s="270"/>
      <c r="C131" s="271" t="s">
        <v>817</v>
      </c>
      <c r="D131" s="272" t="s">
        <v>818</v>
      </c>
      <c r="E131" s="273" t="s">
        <v>421</v>
      </c>
      <c r="F131" s="274">
        <v>12.6</v>
      </c>
      <c r="G131" s="275" t="e">
        <f>Comp!#REF!</f>
        <v>#REF!</v>
      </c>
      <c r="H131" s="275"/>
      <c r="I131" s="276"/>
      <c r="J131" s="276" t="e">
        <f t="shared" si="16"/>
        <v>#REF!</v>
      </c>
      <c r="L131" s="280"/>
      <c r="M131" s="280"/>
      <c r="N131" s="281"/>
    </row>
    <row r="132" spans="1:14" s="279" customFormat="1" ht="36" x14ac:dyDescent="0.2">
      <c r="A132" s="269"/>
      <c r="B132" s="270"/>
      <c r="C132" s="271" t="s">
        <v>819</v>
      </c>
      <c r="D132" s="272" t="s">
        <v>820</v>
      </c>
      <c r="E132" s="273" t="s">
        <v>421</v>
      </c>
      <c r="F132" s="274">
        <v>33.6</v>
      </c>
      <c r="G132" s="275" t="e">
        <f>Comp!#REF!</f>
        <v>#REF!</v>
      </c>
      <c r="H132" s="275"/>
      <c r="I132" s="276"/>
      <c r="J132" s="276" t="e">
        <f t="shared" si="16"/>
        <v>#REF!</v>
      </c>
      <c r="L132" s="280"/>
      <c r="M132" s="280"/>
      <c r="N132" s="281"/>
    </row>
    <row r="133" spans="1:14" s="279" customFormat="1" ht="36" x14ac:dyDescent="0.2">
      <c r="A133" s="269"/>
      <c r="B133" s="270" t="s">
        <v>803</v>
      </c>
      <c r="C133" s="271" t="s">
        <v>821</v>
      </c>
      <c r="D133" s="272" t="s">
        <v>822</v>
      </c>
      <c r="E133" s="273" t="s">
        <v>421</v>
      </c>
      <c r="F133" s="274">
        <v>16.8</v>
      </c>
      <c r="G133" s="275" t="e">
        <f>G124</f>
        <v>#REF!</v>
      </c>
      <c r="H133" s="275">
        <f>H124</f>
        <v>381.77</v>
      </c>
      <c r="I133" s="276">
        <f t="shared" si="15"/>
        <v>6413.7359999999999</v>
      </c>
      <c r="J133" s="276" t="e">
        <f t="shared" si="16"/>
        <v>#REF!</v>
      </c>
      <c r="L133" s="280"/>
      <c r="M133" s="280"/>
      <c r="N133" s="281"/>
    </row>
    <row r="134" spans="1:14" s="279" customFormat="1" x14ac:dyDescent="0.2">
      <c r="A134" s="269"/>
      <c r="B134" s="270" t="s">
        <v>766</v>
      </c>
      <c r="C134" s="271" t="s">
        <v>519</v>
      </c>
      <c r="D134" s="272" t="s">
        <v>520</v>
      </c>
      <c r="E134" s="273" t="s">
        <v>421</v>
      </c>
      <c r="F134" s="274">
        <v>20.25</v>
      </c>
      <c r="G134" s="275" t="e">
        <f>Comp!#REF!</f>
        <v>#REF!</v>
      </c>
      <c r="H134" s="275">
        <v>47.47</v>
      </c>
      <c r="I134" s="276">
        <f t="shared" si="15"/>
        <v>961.26749999999993</v>
      </c>
      <c r="J134" s="276" t="e">
        <f t="shared" si="16"/>
        <v>#REF!</v>
      </c>
      <c r="L134" s="280"/>
      <c r="M134" s="280"/>
      <c r="N134" s="281"/>
    </row>
    <row r="135" spans="1:14" s="279" customFormat="1" x14ac:dyDescent="0.2">
      <c r="A135" s="269"/>
      <c r="B135" s="270"/>
      <c r="C135" s="289"/>
      <c r="D135" s="286" t="s">
        <v>87</v>
      </c>
      <c r="E135" s="273"/>
      <c r="F135" s="274"/>
      <c r="G135" s="285"/>
      <c r="H135" s="275"/>
      <c r="I135" s="276">
        <f t="shared" si="15"/>
        <v>0</v>
      </c>
      <c r="J135" s="276"/>
      <c r="L135" s="280"/>
      <c r="M135" s="280"/>
      <c r="N135" s="281"/>
    </row>
    <row r="136" spans="1:14" s="279" customFormat="1" ht="24" x14ac:dyDescent="0.2">
      <c r="A136" s="269"/>
      <c r="B136" s="270">
        <v>72118</v>
      </c>
      <c r="C136" s="271" t="s">
        <v>522</v>
      </c>
      <c r="D136" s="272" t="s">
        <v>523</v>
      </c>
      <c r="E136" s="273" t="s">
        <v>421</v>
      </c>
      <c r="F136" s="274">
        <v>10.7</v>
      </c>
      <c r="G136" s="275" t="e">
        <f>Comp!#REF!</f>
        <v>#REF!</v>
      </c>
      <c r="H136" s="275">
        <v>170.25</v>
      </c>
      <c r="I136" s="276">
        <f t="shared" si="15"/>
        <v>1821.675</v>
      </c>
      <c r="J136" s="276" t="e">
        <f t="shared" si="16"/>
        <v>#REF!</v>
      </c>
      <c r="L136" s="318">
        <v>0</v>
      </c>
      <c r="M136" s="280"/>
      <c r="N136" s="281"/>
    </row>
    <row r="137" spans="1:14" s="279" customFormat="1" ht="24" x14ac:dyDescent="0.2">
      <c r="A137" s="269"/>
      <c r="B137" s="270"/>
      <c r="C137" s="271" t="s">
        <v>524</v>
      </c>
      <c r="D137" s="272" t="s">
        <v>525</v>
      </c>
      <c r="E137" s="273" t="s">
        <v>421</v>
      </c>
      <c r="F137" s="274">
        <v>11.4</v>
      </c>
      <c r="G137" s="275" t="e">
        <f>Comp!#REF!</f>
        <v>#REF!</v>
      </c>
      <c r="H137" s="275"/>
      <c r="I137" s="276"/>
      <c r="J137" s="276" t="e">
        <f t="shared" si="16"/>
        <v>#REF!</v>
      </c>
      <c r="L137" s="318"/>
      <c r="M137" s="280"/>
      <c r="N137" s="281"/>
    </row>
    <row r="138" spans="1:14" s="279" customFormat="1" x14ac:dyDescent="0.2">
      <c r="A138" s="269"/>
      <c r="B138" s="270">
        <v>85005</v>
      </c>
      <c r="C138" s="271" t="s">
        <v>823</v>
      </c>
      <c r="D138" s="272" t="s">
        <v>824</v>
      </c>
      <c r="E138" s="273" t="s">
        <v>421</v>
      </c>
      <c r="F138" s="274">
        <v>21.28</v>
      </c>
      <c r="G138" s="275" t="e">
        <f>Comp!#REF!</f>
        <v>#REF!</v>
      </c>
      <c r="H138" s="275">
        <v>287.89999999999998</v>
      </c>
      <c r="I138" s="276">
        <f t="shared" si="15"/>
        <v>6126.5119999999997</v>
      </c>
      <c r="J138" s="276" t="e">
        <f t="shared" si="16"/>
        <v>#REF!</v>
      </c>
      <c r="L138" s="318">
        <v>0</v>
      </c>
      <c r="M138" s="280"/>
      <c r="N138" s="281"/>
    </row>
    <row r="139" spans="1:14" s="279" customFormat="1" x14ac:dyDescent="0.2">
      <c r="A139" s="269"/>
      <c r="B139" s="270"/>
      <c r="C139" s="289"/>
      <c r="D139" s="286" t="s">
        <v>825</v>
      </c>
      <c r="E139" s="273"/>
      <c r="F139" s="274"/>
      <c r="G139" s="285"/>
      <c r="H139" s="275"/>
      <c r="I139" s="276">
        <f t="shared" si="15"/>
        <v>0</v>
      </c>
      <c r="J139" s="276"/>
      <c r="L139" s="318">
        <v>0</v>
      </c>
      <c r="M139" s="280"/>
      <c r="N139" s="281"/>
    </row>
    <row r="140" spans="1:14" s="279" customFormat="1" ht="24" x14ac:dyDescent="0.2">
      <c r="A140" s="269"/>
      <c r="B140" s="270" t="s">
        <v>766</v>
      </c>
      <c r="C140" s="271" t="s">
        <v>826</v>
      </c>
      <c r="D140" s="272" t="s">
        <v>527</v>
      </c>
      <c r="E140" s="273" t="s">
        <v>421</v>
      </c>
      <c r="F140" s="274">
        <v>145.19999999999999</v>
      </c>
      <c r="G140" s="275" t="e">
        <f>Comp!#REF!</f>
        <v>#REF!</v>
      </c>
      <c r="H140" s="275">
        <v>256.95999999999998</v>
      </c>
      <c r="I140" s="276">
        <f t="shared" si="15"/>
        <v>37310.591999999997</v>
      </c>
      <c r="J140" s="276" t="e">
        <f t="shared" si="16"/>
        <v>#REF!</v>
      </c>
      <c r="L140" s="318">
        <v>0</v>
      </c>
      <c r="M140" s="280"/>
      <c r="N140" s="281"/>
    </row>
    <row r="141" spans="1:14" s="279" customFormat="1" ht="36" x14ac:dyDescent="0.2">
      <c r="A141" s="269"/>
      <c r="B141" s="270" t="s">
        <v>766</v>
      </c>
      <c r="C141" s="271" t="s">
        <v>827</v>
      </c>
      <c r="D141" s="272" t="s">
        <v>828</v>
      </c>
      <c r="E141" s="273" t="s">
        <v>421</v>
      </c>
      <c r="F141" s="274">
        <v>11.03</v>
      </c>
      <c r="G141" s="275" t="e">
        <f>Comp!#REF!</f>
        <v>#REF!</v>
      </c>
      <c r="H141" s="275">
        <v>340.17</v>
      </c>
      <c r="I141" s="276">
        <f t="shared" si="15"/>
        <v>3752.0751</v>
      </c>
      <c r="J141" s="276" t="e">
        <f t="shared" si="16"/>
        <v>#REF!</v>
      </c>
      <c r="L141" s="318">
        <v>0</v>
      </c>
      <c r="M141" s="280"/>
      <c r="N141" s="281"/>
    </row>
    <row r="142" spans="1:14" s="279" customFormat="1" x14ac:dyDescent="0.2">
      <c r="A142" s="259"/>
      <c r="B142" s="260"/>
      <c r="C142" s="261">
        <v>7</v>
      </c>
      <c r="D142" s="262" t="s">
        <v>829</v>
      </c>
      <c r="E142" s="288"/>
      <c r="F142" s="264"/>
      <c r="G142" s="265"/>
      <c r="H142" s="266"/>
      <c r="I142" s="267">
        <f>SUM(I143:I148)</f>
        <v>264206.8664</v>
      </c>
      <c r="J142" s="267" t="e">
        <f>SUM(J143:J148)</f>
        <v>#REF!</v>
      </c>
      <c r="K142" s="268"/>
      <c r="L142" s="280"/>
      <c r="M142" s="280"/>
      <c r="N142" s="281"/>
    </row>
    <row r="143" spans="1:14" s="279" customFormat="1" x14ac:dyDescent="0.2">
      <c r="A143" s="269"/>
      <c r="B143" s="270" t="s">
        <v>766</v>
      </c>
      <c r="C143" s="271" t="s">
        <v>204</v>
      </c>
      <c r="D143" s="272" t="s">
        <v>830</v>
      </c>
      <c r="E143" s="273" t="s">
        <v>421</v>
      </c>
      <c r="F143" s="274">
        <v>1426.85</v>
      </c>
      <c r="G143" s="275" t="e">
        <f>Comp!#REF!</f>
        <v>#REF!</v>
      </c>
      <c r="H143" s="275">
        <v>117.59</v>
      </c>
      <c r="I143" s="276">
        <f t="shared" ref="I143:I148" si="17">F143*H143</f>
        <v>167783.29149999999</v>
      </c>
      <c r="J143" s="276" t="e">
        <f t="shared" ref="J143:J148" si="18">F143*G143</f>
        <v>#REF!</v>
      </c>
      <c r="L143" s="280"/>
      <c r="M143" s="280"/>
      <c r="N143" s="281"/>
    </row>
    <row r="144" spans="1:14" s="279" customFormat="1" x14ac:dyDescent="0.2">
      <c r="A144" s="269"/>
      <c r="B144" s="270" t="s">
        <v>766</v>
      </c>
      <c r="C144" s="271" t="s">
        <v>209</v>
      </c>
      <c r="D144" s="301" t="s">
        <v>831</v>
      </c>
      <c r="E144" s="273" t="s">
        <v>421</v>
      </c>
      <c r="F144" s="274">
        <v>1373.16</v>
      </c>
      <c r="G144" s="275" t="e">
        <f>Comp!#REF!</f>
        <v>#REF!</v>
      </c>
      <c r="H144" s="275">
        <v>53.14</v>
      </c>
      <c r="I144" s="276">
        <f t="shared" si="17"/>
        <v>72969.722399999999</v>
      </c>
      <c r="J144" s="276" t="e">
        <f t="shared" si="18"/>
        <v>#REF!</v>
      </c>
      <c r="L144" s="280"/>
      <c r="M144" s="280"/>
      <c r="N144" s="281"/>
    </row>
    <row r="145" spans="1:15" s="279" customFormat="1" x14ac:dyDescent="0.2">
      <c r="A145" s="259"/>
      <c r="B145" s="270" t="s">
        <v>832</v>
      </c>
      <c r="C145" s="271" t="s">
        <v>211</v>
      </c>
      <c r="D145" s="272" t="s">
        <v>833</v>
      </c>
      <c r="E145" s="273" t="s">
        <v>418</v>
      </c>
      <c r="F145" s="274">
        <v>83.25</v>
      </c>
      <c r="G145" s="275" t="e">
        <f>Comp!#REF!</f>
        <v>#REF!</v>
      </c>
      <c r="H145" s="275">
        <v>27.73</v>
      </c>
      <c r="I145" s="276">
        <f t="shared" si="17"/>
        <v>2308.5225</v>
      </c>
      <c r="J145" s="276" t="e">
        <f t="shared" si="18"/>
        <v>#REF!</v>
      </c>
      <c r="L145" s="280"/>
      <c r="M145" s="280"/>
      <c r="N145" s="281"/>
    </row>
    <row r="146" spans="1:15" s="279" customFormat="1" ht="24" x14ac:dyDescent="0.2">
      <c r="A146" s="269"/>
      <c r="B146" s="270">
        <v>72105</v>
      </c>
      <c r="C146" s="271" t="s">
        <v>834</v>
      </c>
      <c r="D146" s="272" t="s">
        <v>835</v>
      </c>
      <c r="E146" s="273" t="s">
        <v>421</v>
      </c>
      <c r="F146" s="274">
        <v>186.15</v>
      </c>
      <c r="G146" s="275" t="e">
        <f>Comp!#REF!</f>
        <v>#REF!</v>
      </c>
      <c r="H146" s="275">
        <v>42.3</v>
      </c>
      <c r="I146" s="276">
        <f t="shared" si="17"/>
        <v>7874.1449999999995</v>
      </c>
      <c r="J146" s="276" t="e">
        <f t="shared" si="18"/>
        <v>#REF!</v>
      </c>
      <c r="L146" s="280"/>
      <c r="M146" s="280"/>
      <c r="N146" s="281"/>
    </row>
    <row r="147" spans="1:15" s="279" customFormat="1" ht="24" x14ac:dyDescent="0.2">
      <c r="A147" s="269"/>
      <c r="B147" s="270">
        <v>72107</v>
      </c>
      <c r="C147" s="271" t="s">
        <v>836</v>
      </c>
      <c r="D147" s="272" t="s">
        <v>837</v>
      </c>
      <c r="E147" s="273" t="s">
        <v>418</v>
      </c>
      <c r="F147" s="274">
        <v>258.89999999999998</v>
      </c>
      <c r="G147" s="275" t="e">
        <f>Comp!#REF!</f>
        <v>#REF!</v>
      </c>
      <c r="H147" s="275">
        <v>21.71</v>
      </c>
      <c r="I147" s="276">
        <f t="shared" si="17"/>
        <v>5620.7190000000001</v>
      </c>
      <c r="J147" s="276" t="e">
        <f t="shared" si="18"/>
        <v>#REF!</v>
      </c>
      <c r="L147" s="280"/>
      <c r="M147" s="280"/>
      <c r="N147" s="281"/>
    </row>
    <row r="148" spans="1:15" s="279" customFormat="1" x14ac:dyDescent="0.2">
      <c r="A148" s="269"/>
      <c r="B148" s="270">
        <v>71623</v>
      </c>
      <c r="C148" s="271" t="s">
        <v>838</v>
      </c>
      <c r="D148" s="272" t="s">
        <v>839</v>
      </c>
      <c r="E148" s="273" t="s">
        <v>418</v>
      </c>
      <c r="F148" s="274">
        <v>258.2</v>
      </c>
      <c r="G148" s="275" t="e">
        <f>Comp!#REF!</f>
        <v>#REF!</v>
      </c>
      <c r="H148" s="275">
        <v>29.63</v>
      </c>
      <c r="I148" s="276">
        <f t="shared" si="17"/>
        <v>7650.4659999999994</v>
      </c>
      <c r="J148" s="276" t="e">
        <f t="shared" si="18"/>
        <v>#REF!</v>
      </c>
      <c r="L148" s="280"/>
      <c r="M148" s="280"/>
      <c r="N148" s="281"/>
    </row>
    <row r="149" spans="1:15" s="279" customFormat="1" x14ac:dyDescent="0.2">
      <c r="A149" s="269"/>
      <c r="B149" s="260"/>
      <c r="C149" s="261">
        <v>8</v>
      </c>
      <c r="D149" s="262" t="s">
        <v>343</v>
      </c>
      <c r="E149" s="263"/>
      <c r="F149" s="264"/>
      <c r="G149" s="265"/>
      <c r="H149" s="266"/>
      <c r="I149" s="267">
        <f>I150</f>
        <v>4146.9462000000003</v>
      </c>
      <c r="J149" s="267" t="e">
        <f>J150</f>
        <v>#REF!</v>
      </c>
      <c r="K149" s="268"/>
      <c r="L149" s="282"/>
      <c r="M149" s="280"/>
      <c r="N149" s="281"/>
    </row>
    <row r="150" spans="1:15" s="279" customFormat="1" ht="24" x14ac:dyDescent="0.2">
      <c r="A150" s="269"/>
      <c r="B150" s="270" t="s">
        <v>840</v>
      </c>
      <c r="C150" s="271" t="s">
        <v>215</v>
      </c>
      <c r="D150" s="272" t="s">
        <v>841</v>
      </c>
      <c r="E150" s="273" t="s">
        <v>421</v>
      </c>
      <c r="F150" s="274">
        <v>707.67</v>
      </c>
      <c r="G150" s="275" t="e">
        <f>Comp!#REF!</f>
        <v>#REF!</v>
      </c>
      <c r="H150" s="275">
        <v>5.86</v>
      </c>
      <c r="I150" s="276">
        <f>F150*H150</f>
        <v>4146.9462000000003</v>
      </c>
      <c r="J150" s="276" t="e">
        <f>F150*G150</f>
        <v>#REF!</v>
      </c>
      <c r="K150" s="268"/>
      <c r="L150" s="280"/>
      <c r="M150" s="280"/>
      <c r="N150" s="281"/>
    </row>
    <row r="151" spans="1:15" s="279" customFormat="1" x14ac:dyDescent="0.2">
      <c r="A151" s="269"/>
      <c r="B151" s="260"/>
      <c r="C151" s="261">
        <v>9</v>
      </c>
      <c r="D151" s="262" t="s">
        <v>842</v>
      </c>
      <c r="E151" s="263"/>
      <c r="F151" s="264"/>
      <c r="G151" s="265"/>
      <c r="H151" s="266"/>
      <c r="I151" s="267">
        <f>SUM(I152:I163)</f>
        <v>253801.66229999997</v>
      </c>
      <c r="J151" s="267" t="e">
        <f>SUM(J152:J163)</f>
        <v>#REF!</v>
      </c>
      <c r="K151" s="268"/>
      <c r="L151" s="282"/>
      <c r="M151" s="280"/>
      <c r="N151" s="281"/>
    </row>
    <row r="152" spans="1:15" s="279" customFormat="1" ht="24" x14ac:dyDescent="0.2">
      <c r="A152" s="269"/>
      <c r="B152" s="270">
        <v>87878</v>
      </c>
      <c r="C152" s="271" t="s">
        <v>217</v>
      </c>
      <c r="D152" s="272" t="s">
        <v>843</v>
      </c>
      <c r="E152" s="273" t="s">
        <v>421</v>
      </c>
      <c r="F152" s="274">
        <v>3513.3</v>
      </c>
      <c r="G152" s="275" t="e">
        <f>Comp!#REF!</f>
        <v>#REF!</v>
      </c>
      <c r="H152" s="275">
        <v>2.7</v>
      </c>
      <c r="I152" s="276">
        <f t="shared" ref="I152:I163" si="19">F152*H152</f>
        <v>9485.9100000000017</v>
      </c>
      <c r="J152" s="276" t="e">
        <f>F152*G152</f>
        <v>#REF!</v>
      </c>
      <c r="L152" s="280"/>
      <c r="M152" s="280"/>
      <c r="N152" s="281"/>
      <c r="O152" s="279">
        <f>N152*1.9882</f>
        <v>0</v>
      </c>
    </row>
    <row r="153" spans="1:15" s="279" customFormat="1" ht="24" x14ac:dyDescent="0.2">
      <c r="A153" s="269"/>
      <c r="B153" s="270">
        <v>87535</v>
      </c>
      <c r="C153" s="271" t="s">
        <v>219</v>
      </c>
      <c r="D153" s="272" t="s">
        <v>844</v>
      </c>
      <c r="E153" s="273" t="s">
        <v>421</v>
      </c>
      <c r="F153" s="274">
        <v>2826.43</v>
      </c>
      <c r="G153" s="275" t="e">
        <f>Comp!#REF!</f>
        <v>#REF!</v>
      </c>
      <c r="H153" s="275">
        <v>19.62</v>
      </c>
      <c r="I153" s="276">
        <f t="shared" si="19"/>
        <v>55454.556599999996</v>
      </c>
      <c r="J153" s="276" t="e">
        <f t="shared" ref="J153:J162" si="20">F153*G153</f>
        <v>#REF!</v>
      </c>
      <c r="L153" s="280"/>
      <c r="M153" s="280"/>
      <c r="N153" s="281"/>
    </row>
    <row r="154" spans="1:15" s="279" customFormat="1" ht="24" x14ac:dyDescent="0.2">
      <c r="A154" s="269"/>
      <c r="B154" s="270"/>
      <c r="C154" s="271" t="s">
        <v>223</v>
      </c>
      <c r="D154" s="272" t="s">
        <v>845</v>
      </c>
      <c r="E154" s="273" t="s">
        <v>421</v>
      </c>
      <c r="F154" s="274">
        <v>686.87</v>
      </c>
      <c r="G154" s="275" t="e">
        <f>Comp!#REF!</f>
        <v>#REF!</v>
      </c>
      <c r="H154" s="275"/>
      <c r="I154" s="276"/>
      <c r="J154" s="276" t="e">
        <f t="shared" si="20"/>
        <v>#REF!</v>
      </c>
      <c r="L154" s="280"/>
      <c r="M154" s="280"/>
      <c r="N154" s="281"/>
    </row>
    <row r="155" spans="1:15" s="279" customFormat="1" ht="24" x14ac:dyDescent="0.2">
      <c r="A155" s="269"/>
      <c r="B155" s="270">
        <v>75481</v>
      </c>
      <c r="C155" s="271" t="s">
        <v>846</v>
      </c>
      <c r="D155" s="272" t="s">
        <v>847</v>
      </c>
      <c r="E155" s="273" t="str">
        <f>E153</f>
        <v>m²</v>
      </c>
      <c r="F155" s="274">
        <v>2028.45</v>
      </c>
      <c r="G155" s="275" t="e">
        <f>Comp!#REF!</f>
        <v>#REF!</v>
      </c>
      <c r="H155" s="275">
        <v>11.62</v>
      </c>
      <c r="I155" s="276">
        <f t="shared" si="19"/>
        <v>23570.589</v>
      </c>
      <c r="J155" s="276" t="e">
        <f t="shared" si="20"/>
        <v>#REF!</v>
      </c>
      <c r="L155" s="280"/>
      <c r="M155" s="280"/>
      <c r="N155" s="281"/>
    </row>
    <row r="156" spans="1:15" s="279" customFormat="1" ht="24" x14ac:dyDescent="0.2">
      <c r="A156" s="269"/>
      <c r="B156" s="270">
        <v>87272</v>
      </c>
      <c r="C156" s="271" t="s">
        <v>848</v>
      </c>
      <c r="D156" s="272" t="s">
        <v>849</v>
      </c>
      <c r="E156" s="273" t="s">
        <v>421</v>
      </c>
      <c r="F156" s="274">
        <v>629.61</v>
      </c>
      <c r="G156" s="275">
        <f>Comp!I613</f>
        <v>64.187009403008418</v>
      </c>
      <c r="H156" s="275">
        <v>49.22</v>
      </c>
      <c r="I156" s="276">
        <f t="shared" si="19"/>
        <v>30989.404200000001</v>
      </c>
      <c r="J156" s="276">
        <f t="shared" si="20"/>
        <v>40412.78299022813</v>
      </c>
      <c r="L156" s="280"/>
      <c r="M156" s="280"/>
      <c r="N156" s="281"/>
    </row>
    <row r="157" spans="1:15" s="279" customFormat="1" ht="24" x14ac:dyDescent="0.2">
      <c r="A157" s="269"/>
      <c r="B157" s="270">
        <v>87267</v>
      </c>
      <c r="C157" s="271" t="s">
        <v>850</v>
      </c>
      <c r="D157" s="272" t="s">
        <v>851</v>
      </c>
      <c r="E157" s="273" t="str">
        <f t="shared" ref="E157:E163" si="21">E155</f>
        <v>m²</v>
      </c>
      <c r="F157" s="274">
        <v>9.2100000000000009</v>
      </c>
      <c r="G157" s="275">
        <f>Comp!I623</f>
        <v>6.5978653629600004</v>
      </c>
      <c r="H157" s="275">
        <v>40.51</v>
      </c>
      <c r="I157" s="276">
        <f t="shared" si="19"/>
        <v>373.09710000000001</v>
      </c>
      <c r="J157" s="276">
        <f t="shared" si="20"/>
        <v>60.76633999286161</v>
      </c>
      <c r="L157" s="280"/>
      <c r="M157" s="280"/>
      <c r="N157" s="281"/>
    </row>
    <row r="158" spans="1:15" s="279" customFormat="1" ht="24" x14ac:dyDescent="0.2">
      <c r="A158" s="269"/>
      <c r="B158" s="270">
        <v>87267</v>
      </c>
      <c r="C158" s="271" t="s">
        <v>852</v>
      </c>
      <c r="D158" s="272" t="s">
        <v>853</v>
      </c>
      <c r="E158" s="273" t="str">
        <f t="shared" si="21"/>
        <v>m²</v>
      </c>
      <c r="F158" s="274">
        <v>7.49</v>
      </c>
      <c r="G158" s="275">
        <f t="shared" ref="G158:H160" si="22">G157</f>
        <v>6.5978653629600004</v>
      </c>
      <c r="H158" s="275">
        <f t="shared" si="22"/>
        <v>40.51</v>
      </c>
      <c r="I158" s="276">
        <f t="shared" si="19"/>
        <v>303.41989999999998</v>
      </c>
      <c r="J158" s="276">
        <f t="shared" si="20"/>
        <v>49.418011568570407</v>
      </c>
      <c r="L158" s="280"/>
      <c r="M158" s="280"/>
      <c r="N158" s="281"/>
    </row>
    <row r="159" spans="1:15" s="279" customFormat="1" ht="24" x14ac:dyDescent="0.2">
      <c r="A159" s="269"/>
      <c r="B159" s="270">
        <v>87267</v>
      </c>
      <c r="C159" s="271" t="s">
        <v>854</v>
      </c>
      <c r="D159" s="272" t="s">
        <v>855</v>
      </c>
      <c r="E159" s="273" t="str">
        <f t="shared" si="21"/>
        <v>m²</v>
      </c>
      <c r="F159" s="274">
        <v>15.17</v>
      </c>
      <c r="G159" s="275">
        <f t="shared" si="22"/>
        <v>6.5978653629600004</v>
      </c>
      <c r="H159" s="275">
        <f t="shared" si="22"/>
        <v>40.51</v>
      </c>
      <c r="I159" s="276">
        <f t="shared" si="19"/>
        <v>614.5367</v>
      </c>
      <c r="J159" s="276">
        <f t="shared" si="20"/>
        <v>100.08961755610321</v>
      </c>
      <c r="L159" s="280"/>
      <c r="M159" s="280"/>
      <c r="N159" s="281"/>
    </row>
    <row r="160" spans="1:15" s="279" customFormat="1" ht="24" x14ac:dyDescent="0.2">
      <c r="A160" s="269"/>
      <c r="B160" s="270">
        <v>87267</v>
      </c>
      <c r="C160" s="271" t="s">
        <v>856</v>
      </c>
      <c r="D160" s="272" t="s">
        <v>857</v>
      </c>
      <c r="E160" s="273" t="str">
        <f t="shared" si="21"/>
        <v>m²</v>
      </c>
      <c r="F160" s="274">
        <v>136.5</v>
      </c>
      <c r="G160" s="275">
        <f t="shared" si="22"/>
        <v>6.5978653629600004</v>
      </c>
      <c r="H160" s="275">
        <f t="shared" si="22"/>
        <v>40.51</v>
      </c>
      <c r="I160" s="276">
        <f t="shared" si="19"/>
        <v>5529.6149999999998</v>
      </c>
      <c r="J160" s="276">
        <f t="shared" si="20"/>
        <v>900.60862204404009</v>
      </c>
      <c r="L160" s="280"/>
      <c r="M160" s="280"/>
      <c r="N160" s="281"/>
    </row>
    <row r="161" spans="1:14" s="279" customFormat="1" x14ac:dyDescent="0.2">
      <c r="A161" s="269"/>
      <c r="B161" s="270" t="s">
        <v>858</v>
      </c>
      <c r="C161" s="271" t="s">
        <v>859</v>
      </c>
      <c r="D161" s="272" t="s">
        <v>535</v>
      </c>
      <c r="E161" s="273" t="s">
        <v>418</v>
      </c>
      <c r="F161" s="274">
        <v>191.3</v>
      </c>
      <c r="G161" s="275">
        <f>Comp!I633</f>
        <v>23.2495615144</v>
      </c>
      <c r="H161" s="275">
        <v>26.8</v>
      </c>
      <c r="I161" s="276">
        <f t="shared" si="19"/>
        <v>5126.84</v>
      </c>
      <c r="J161" s="276">
        <f t="shared" si="20"/>
        <v>4447.6411177047203</v>
      </c>
      <c r="L161" s="280"/>
      <c r="M161" s="280"/>
      <c r="N161" s="281"/>
    </row>
    <row r="162" spans="1:14" s="279" customFormat="1" ht="24" x14ac:dyDescent="0.2">
      <c r="A162" s="269"/>
      <c r="B162" s="270" t="s">
        <v>860</v>
      </c>
      <c r="C162" s="271" t="s">
        <v>861</v>
      </c>
      <c r="D162" s="272" t="s">
        <v>862</v>
      </c>
      <c r="E162" s="273" t="str">
        <f t="shared" si="21"/>
        <v>m²</v>
      </c>
      <c r="F162" s="274">
        <v>498.03</v>
      </c>
      <c r="G162" s="275">
        <f>Comp!I643</f>
        <v>26.9965936296</v>
      </c>
      <c r="H162" s="275">
        <v>78.7</v>
      </c>
      <c r="I162" s="276">
        <f t="shared" si="19"/>
        <v>39194.960999999996</v>
      </c>
      <c r="J162" s="276">
        <f t="shared" si="20"/>
        <v>13445.113525349687</v>
      </c>
      <c r="L162" s="280"/>
      <c r="M162" s="280"/>
      <c r="N162" s="281"/>
    </row>
    <row r="163" spans="1:14" s="279" customFormat="1" x14ac:dyDescent="0.2">
      <c r="A163" s="269"/>
      <c r="B163" s="270" t="s">
        <v>766</v>
      </c>
      <c r="C163" s="271" t="s">
        <v>863</v>
      </c>
      <c r="D163" s="272" t="s">
        <v>536</v>
      </c>
      <c r="E163" s="273" t="str">
        <f t="shared" si="21"/>
        <v>m</v>
      </c>
      <c r="F163" s="274">
        <v>738.27</v>
      </c>
      <c r="G163" s="275">
        <f>Comp!I653</f>
        <v>11.299838151439999</v>
      </c>
      <c r="H163" s="275">
        <v>112.64</v>
      </c>
      <c r="I163" s="276">
        <f t="shared" si="19"/>
        <v>83158.732799999998</v>
      </c>
      <c r="J163" s="276">
        <f>F163*G163</f>
        <v>8342.3315120636089</v>
      </c>
      <c r="L163" s="280"/>
      <c r="M163" s="280"/>
      <c r="N163" s="281"/>
    </row>
    <row r="164" spans="1:14" s="279" customFormat="1" ht="24" x14ac:dyDescent="0.2">
      <c r="A164" s="269"/>
      <c r="B164" s="260"/>
      <c r="C164" s="261">
        <v>10</v>
      </c>
      <c r="D164" s="262" t="s">
        <v>864</v>
      </c>
      <c r="E164" s="263"/>
      <c r="F164" s="264"/>
      <c r="G164" s="265"/>
      <c r="H164" s="266"/>
      <c r="I164" s="267">
        <f>SUM(I165:I184)</f>
        <v>161149.62760000001</v>
      </c>
      <c r="J164" s="267" t="e">
        <f>SUM(J165:J184)</f>
        <v>#REF!</v>
      </c>
      <c r="K164" s="268"/>
      <c r="L164" s="282"/>
      <c r="M164" s="280"/>
      <c r="N164" s="281"/>
    </row>
    <row r="165" spans="1:14" s="279" customFormat="1" x14ac:dyDescent="0.2">
      <c r="A165" s="269"/>
      <c r="B165" s="270" t="s">
        <v>865</v>
      </c>
      <c r="C165" s="271" t="s">
        <v>225</v>
      </c>
      <c r="D165" s="272" t="s">
        <v>866</v>
      </c>
      <c r="E165" s="273" t="s">
        <v>421</v>
      </c>
      <c r="F165" s="274">
        <v>1159.7</v>
      </c>
      <c r="G165" s="275">
        <f>Comp!I663</f>
        <v>80.220015144000001</v>
      </c>
      <c r="H165" s="275">
        <v>12.63</v>
      </c>
      <c r="I165" s="276">
        <f t="shared" ref="I165:I184" si="23">F165*H165</f>
        <v>14647.011000000002</v>
      </c>
      <c r="J165" s="276">
        <f t="shared" ref="J165:J184" si="24">F165*G165</f>
        <v>93031.151562496801</v>
      </c>
      <c r="L165" s="280"/>
      <c r="M165" s="280"/>
      <c r="N165" s="281"/>
    </row>
    <row r="166" spans="1:14" s="279" customFormat="1" x14ac:dyDescent="0.2">
      <c r="A166" s="269"/>
      <c r="B166" s="270">
        <v>87650</v>
      </c>
      <c r="C166" s="271" t="s">
        <v>867</v>
      </c>
      <c r="D166" s="272" t="s">
        <v>868</v>
      </c>
      <c r="E166" s="273" t="s">
        <v>421</v>
      </c>
      <c r="F166" s="274">
        <v>1159.7</v>
      </c>
      <c r="G166" s="275">
        <f>Comp!I685</f>
        <v>22.615014774800002</v>
      </c>
      <c r="H166" s="275">
        <v>25.22</v>
      </c>
      <c r="I166" s="276">
        <f t="shared" si="23"/>
        <v>29247.633999999998</v>
      </c>
      <c r="J166" s="276">
        <f t="shared" si="24"/>
        <v>26226.632634335565</v>
      </c>
      <c r="L166" s="280"/>
      <c r="M166" s="280"/>
      <c r="N166" s="281"/>
    </row>
    <row r="167" spans="1:14" s="279" customFormat="1" ht="24" x14ac:dyDescent="0.2">
      <c r="A167" s="269"/>
      <c r="B167" s="270" t="s">
        <v>869</v>
      </c>
      <c r="C167" s="271" t="s">
        <v>870</v>
      </c>
      <c r="D167" s="272" t="s">
        <v>871</v>
      </c>
      <c r="E167" s="273" t="s">
        <v>421</v>
      </c>
      <c r="F167" s="274">
        <v>386.12</v>
      </c>
      <c r="G167" s="275">
        <f>Comp!I695</f>
        <v>64.017595143999998</v>
      </c>
      <c r="H167" s="275">
        <v>30.74</v>
      </c>
      <c r="I167" s="276">
        <f t="shared" si="23"/>
        <v>11869.328799999999</v>
      </c>
      <c r="J167" s="276">
        <f t="shared" si="24"/>
        <v>24718.473837001278</v>
      </c>
      <c r="L167" s="280"/>
      <c r="M167" s="280"/>
      <c r="N167" s="281"/>
    </row>
    <row r="168" spans="1:14" s="279" customFormat="1" x14ac:dyDescent="0.2">
      <c r="A168" s="269"/>
      <c r="B168" s="270">
        <v>72815</v>
      </c>
      <c r="C168" s="271" t="s">
        <v>872</v>
      </c>
      <c r="D168" s="272" t="s">
        <v>873</v>
      </c>
      <c r="E168" s="273" t="s">
        <v>421</v>
      </c>
      <c r="F168" s="274">
        <v>23.72</v>
      </c>
      <c r="G168" s="275">
        <f>Comp!I755</f>
        <v>9.1206192485319999</v>
      </c>
      <c r="H168" s="275">
        <v>26.17</v>
      </c>
      <c r="I168" s="276">
        <f t="shared" si="23"/>
        <v>620.75239999999997</v>
      </c>
      <c r="J168" s="276">
        <f t="shared" si="24"/>
        <v>216.34108857517901</v>
      </c>
      <c r="L168" s="280"/>
      <c r="M168" s="280"/>
      <c r="N168" s="281"/>
    </row>
    <row r="169" spans="1:14" s="279" customFormat="1" ht="24" x14ac:dyDescent="0.2">
      <c r="A169" s="269"/>
      <c r="B169" s="270">
        <v>87251</v>
      </c>
      <c r="C169" s="271" t="s">
        <v>874</v>
      </c>
      <c r="D169" s="272" t="s">
        <v>875</v>
      </c>
      <c r="E169" s="273" t="s">
        <v>421</v>
      </c>
      <c r="F169" s="274">
        <v>226.97</v>
      </c>
      <c r="G169" s="275">
        <f>Comp!I765</f>
        <v>28.519666895935998</v>
      </c>
      <c r="H169" s="275">
        <v>36.01</v>
      </c>
      <c r="I169" s="276">
        <f t="shared" si="23"/>
        <v>8173.1896999999999</v>
      </c>
      <c r="J169" s="276">
        <f t="shared" si="24"/>
        <v>6473.1087953705937</v>
      </c>
      <c r="L169" s="280"/>
      <c r="M169" s="280"/>
      <c r="N169" s="281"/>
    </row>
    <row r="170" spans="1:14" s="279" customFormat="1" ht="24" x14ac:dyDescent="0.2">
      <c r="A170" s="269"/>
      <c r="B170" s="270">
        <v>87257</v>
      </c>
      <c r="C170" s="271" t="s">
        <v>876</v>
      </c>
      <c r="D170" s="272" t="s">
        <v>877</v>
      </c>
      <c r="E170" s="273" t="s">
        <v>421</v>
      </c>
      <c r="F170" s="274">
        <v>355.53</v>
      </c>
      <c r="G170" s="275">
        <f>Comp!I775</f>
        <v>11.847102597644</v>
      </c>
      <c r="H170" s="275">
        <v>61.55</v>
      </c>
      <c r="I170" s="276">
        <f t="shared" si="23"/>
        <v>21882.871499999997</v>
      </c>
      <c r="J170" s="276">
        <f t="shared" si="24"/>
        <v>4212.0003865403705</v>
      </c>
      <c r="L170" s="280"/>
      <c r="M170" s="280"/>
      <c r="N170" s="281"/>
    </row>
    <row r="171" spans="1:14" s="279" customFormat="1" x14ac:dyDescent="0.2">
      <c r="A171" s="269"/>
      <c r="B171" s="270">
        <v>72185</v>
      </c>
      <c r="C171" s="271" t="s">
        <v>878</v>
      </c>
      <c r="D171" s="272" t="s">
        <v>879</v>
      </c>
      <c r="E171" s="273" t="s">
        <v>421</v>
      </c>
      <c r="F171" s="274">
        <v>394.33</v>
      </c>
      <c r="G171" s="275">
        <f>Comp!I785</f>
        <v>410.23078230400006</v>
      </c>
      <c r="H171" s="275">
        <v>87.24</v>
      </c>
      <c r="I171" s="276">
        <f t="shared" si="23"/>
        <v>34401.349199999997</v>
      </c>
      <c r="J171" s="276">
        <f t="shared" si="24"/>
        <v>161766.30438593632</v>
      </c>
      <c r="L171" s="280"/>
      <c r="M171" s="280"/>
      <c r="N171" s="281"/>
    </row>
    <row r="172" spans="1:14" s="279" customFormat="1" ht="36" x14ac:dyDescent="0.2">
      <c r="A172" s="269"/>
      <c r="B172" s="270" t="s">
        <v>880</v>
      </c>
      <c r="C172" s="271" t="s">
        <v>881</v>
      </c>
      <c r="D172" s="272" t="s">
        <v>882</v>
      </c>
      <c r="E172" s="273" t="s">
        <v>421</v>
      </c>
      <c r="F172" s="274">
        <v>27.9</v>
      </c>
      <c r="G172" s="275">
        <f>Comp!I795</f>
        <v>532.08112510399997</v>
      </c>
      <c r="H172" s="275">
        <v>109.47</v>
      </c>
      <c r="I172" s="276">
        <f t="shared" si="23"/>
        <v>3054.2129999999997</v>
      </c>
      <c r="J172" s="276">
        <f t="shared" si="24"/>
        <v>14845.063390401598</v>
      </c>
      <c r="L172" s="280"/>
      <c r="M172" s="280"/>
      <c r="N172" s="281"/>
    </row>
    <row r="173" spans="1:14" s="279" customFormat="1" ht="36" x14ac:dyDescent="0.2">
      <c r="A173" s="269"/>
      <c r="B173" s="270" t="s">
        <v>880</v>
      </c>
      <c r="C173" s="271" t="s">
        <v>883</v>
      </c>
      <c r="D173" s="272" t="s">
        <v>884</v>
      </c>
      <c r="E173" s="273" t="s">
        <v>421</v>
      </c>
      <c r="F173" s="274">
        <v>22.68</v>
      </c>
      <c r="G173" s="275">
        <f>G172</f>
        <v>532.08112510399997</v>
      </c>
      <c r="H173" s="275">
        <v>109.47</v>
      </c>
      <c r="I173" s="276">
        <f t="shared" si="23"/>
        <v>2482.7795999999998</v>
      </c>
      <c r="J173" s="276">
        <f t="shared" si="24"/>
        <v>12067.599917358719</v>
      </c>
      <c r="L173" s="280"/>
      <c r="M173" s="280"/>
      <c r="N173" s="281"/>
    </row>
    <row r="174" spans="1:14" s="279" customFormat="1" x14ac:dyDescent="0.2">
      <c r="A174" s="269"/>
      <c r="B174" s="270" t="s">
        <v>885</v>
      </c>
      <c r="C174" s="271" t="s">
        <v>886</v>
      </c>
      <c r="D174" s="272" t="s">
        <v>887</v>
      </c>
      <c r="E174" s="273" t="s">
        <v>418</v>
      </c>
      <c r="F174" s="274">
        <v>90</v>
      </c>
      <c r="G174" s="275">
        <f>Comp!I805</f>
        <v>275.38604930399998</v>
      </c>
      <c r="H174" s="275">
        <v>95.16</v>
      </c>
      <c r="I174" s="276">
        <f t="shared" si="23"/>
        <v>8564.4</v>
      </c>
      <c r="J174" s="276">
        <f t="shared" si="24"/>
        <v>24784.744437359997</v>
      </c>
      <c r="L174" s="280"/>
      <c r="M174" s="280"/>
      <c r="N174" s="281"/>
    </row>
    <row r="175" spans="1:14" s="279" customFormat="1" x14ac:dyDescent="0.2">
      <c r="A175" s="269"/>
      <c r="B175" s="270" t="s">
        <v>888</v>
      </c>
      <c r="C175" s="271" t="s">
        <v>889</v>
      </c>
      <c r="D175" s="272" t="s">
        <v>890</v>
      </c>
      <c r="E175" s="273" t="s">
        <v>418</v>
      </c>
      <c r="F175" s="274">
        <v>1.77</v>
      </c>
      <c r="G175" s="275">
        <f>Comp!I815</f>
        <v>132.47991514399999</v>
      </c>
      <c r="H175" s="275">
        <v>172</v>
      </c>
      <c r="I175" s="276">
        <f t="shared" si="23"/>
        <v>304.44</v>
      </c>
      <c r="J175" s="276">
        <f t="shared" si="24"/>
        <v>234.48944980488</v>
      </c>
      <c r="L175" s="280"/>
      <c r="M175" s="280"/>
      <c r="N175" s="281"/>
    </row>
    <row r="176" spans="1:14" s="279" customFormat="1" x14ac:dyDescent="0.2">
      <c r="A176" s="269"/>
      <c r="B176" s="270"/>
      <c r="C176" s="289"/>
      <c r="D176" s="286" t="s">
        <v>891</v>
      </c>
      <c r="E176" s="298"/>
      <c r="F176" s="274"/>
      <c r="G176" s="285"/>
      <c r="H176" s="275"/>
      <c r="I176" s="276">
        <f t="shared" si="23"/>
        <v>0</v>
      </c>
      <c r="J176" s="276">
        <f t="shared" si="24"/>
        <v>0</v>
      </c>
      <c r="L176" s="282"/>
      <c r="M176" s="280"/>
      <c r="N176" s="281"/>
    </row>
    <row r="177" spans="1:14" s="279" customFormat="1" ht="24" x14ac:dyDescent="0.2">
      <c r="A177" s="269"/>
      <c r="B177" s="270" t="s">
        <v>892</v>
      </c>
      <c r="C177" s="271" t="s">
        <v>893</v>
      </c>
      <c r="D177" s="272" t="s">
        <v>539</v>
      </c>
      <c r="E177" s="273" t="s">
        <v>421</v>
      </c>
      <c r="F177" s="274">
        <v>345.98</v>
      </c>
      <c r="G177" s="275">
        <f>Comp!I825</f>
        <v>65.608601215999997</v>
      </c>
      <c r="H177" s="275">
        <v>46.73</v>
      </c>
      <c r="I177" s="276">
        <f t="shared" si="23"/>
        <v>16167.645399999999</v>
      </c>
      <c r="J177" s="276">
        <f t="shared" si="24"/>
        <v>22699.263848711678</v>
      </c>
      <c r="L177" s="280"/>
      <c r="M177" s="280"/>
      <c r="N177" s="281"/>
    </row>
    <row r="178" spans="1:14" s="279" customFormat="1" x14ac:dyDescent="0.2">
      <c r="A178" s="269"/>
      <c r="B178" s="270" t="s">
        <v>865</v>
      </c>
      <c r="C178" s="271" t="s">
        <v>894</v>
      </c>
      <c r="D178" s="272" t="s">
        <v>540</v>
      </c>
      <c r="E178" s="273" t="s">
        <v>421</v>
      </c>
      <c r="F178" s="274">
        <v>28.22</v>
      </c>
      <c r="G178" s="275">
        <f>Comp!I835</f>
        <v>78.937177372800008</v>
      </c>
      <c r="H178" s="275">
        <v>31.26</v>
      </c>
      <c r="I178" s="276">
        <f t="shared" si="23"/>
        <v>882.15719999999999</v>
      </c>
      <c r="J178" s="276">
        <f t="shared" si="24"/>
        <v>2227.6071454604162</v>
      </c>
      <c r="L178" s="280"/>
      <c r="M178" s="280"/>
      <c r="N178" s="281"/>
    </row>
    <row r="179" spans="1:14" s="279" customFormat="1" ht="24" x14ac:dyDescent="0.2">
      <c r="A179" s="269"/>
      <c r="B179" s="270" t="s">
        <v>895</v>
      </c>
      <c r="C179" s="271" t="s">
        <v>896</v>
      </c>
      <c r="D179" s="272" t="s">
        <v>897</v>
      </c>
      <c r="E179" s="273" t="s">
        <v>421</v>
      </c>
      <c r="F179" s="274">
        <v>67.22</v>
      </c>
      <c r="G179" s="275" t="e">
        <f>Comp!#REF!</f>
        <v>#REF!</v>
      </c>
      <c r="H179" s="275">
        <v>42.5</v>
      </c>
      <c r="I179" s="276">
        <f t="shared" si="23"/>
        <v>2856.85</v>
      </c>
      <c r="J179" s="276" t="e">
        <f t="shared" si="24"/>
        <v>#REF!</v>
      </c>
      <c r="L179" s="280"/>
      <c r="M179" s="280"/>
      <c r="N179" s="281"/>
    </row>
    <row r="180" spans="1:14" s="279" customFormat="1" x14ac:dyDescent="0.2">
      <c r="A180" s="269"/>
      <c r="B180" s="270" t="s">
        <v>898</v>
      </c>
      <c r="C180" s="271" t="s">
        <v>899</v>
      </c>
      <c r="D180" s="272" t="s">
        <v>900</v>
      </c>
      <c r="E180" s="273" t="s">
        <v>421</v>
      </c>
      <c r="F180" s="274">
        <v>4.8600000000000003</v>
      </c>
      <c r="G180" s="275" t="e">
        <f>Comp!#REF!</f>
        <v>#REF!</v>
      </c>
      <c r="H180" s="275">
        <v>43.56</v>
      </c>
      <c r="I180" s="276">
        <f t="shared" si="23"/>
        <v>211.70160000000001</v>
      </c>
      <c r="J180" s="276" t="e">
        <f t="shared" si="24"/>
        <v>#REF!</v>
      </c>
      <c r="L180" s="280"/>
      <c r="M180" s="280"/>
      <c r="N180" s="281"/>
    </row>
    <row r="181" spans="1:14" s="279" customFormat="1" x14ac:dyDescent="0.2">
      <c r="A181" s="269"/>
      <c r="B181" s="270" t="s">
        <v>898</v>
      </c>
      <c r="C181" s="271" t="s">
        <v>901</v>
      </c>
      <c r="D181" s="272" t="s">
        <v>902</v>
      </c>
      <c r="E181" s="273" t="s">
        <v>421</v>
      </c>
      <c r="F181" s="274">
        <v>8.64</v>
      </c>
      <c r="G181" s="275" t="e">
        <f>G180</f>
        <v>#REF!</v>
      </c>
      <c r="H181" s="275">
        <v>43.56</v>
      </c>
      <c r="I181" s="276">
        <f t="shared" si="23"/>
        <v>376.35840000000002</v>
      </c>
      <c r="J181" s="276" t="e">
        <f t="shared" si="24"/>
        <v>#REF!</v>
      </c>
      <c r="L181" s="280"/>
      <c r="M181" s="280"/>
      <c r="N181" s="281"/>
    </row>
    <row r="182" spans="1:14" s="279" customFormat="1" ht="24" x14ac:dyDescent="0.2">
      <c r="A182" s="269"/>
      <c r="B182" s="270" t="s">
        <v>903</v>
      </c>
      <c r="C182" s="271" t="s">
        <v>904</v>
      </c>
      <c r="D182" s="272" t="s">
        <v>905</v>
      </c>
      <c r="E182" s="273" t="s">
        <v>418</v>
      </c>
      <c r="F182" s="274">
        <v>23.1</v>
      </c>
      <c r="G182" s="275" t="e">
        <f>Comp!#REF!</f>
        <v>#REF!</v>
      </c>
      <c r="H182" s="275">
        <v>36.99</v>
      </c>
      <c r="I182" s="276">
        <f t="shared" si="23"/>
        <v>854.46900000000005</v>
      </c>
      <c r="J182" s="276" t="e">
        <f t="shared" si="24"/>
        <v>#REF!</v>
      </c>
      <c r="L182" s="280"/>
      <c r="M182" s="280"/>
      <c r="N182" s="281"/>
    </row>
    <row r="183" spans="1:14" s="279" customFormat="1" x14ac:dyDescent="0.2">
      <c r="A183" s="269"/>
      <c r="B183" s="270">
        <v>73692</v>
      </c>
      <c r="C183" s="271" t="s">
        <v>906</v>
      </c>
      <c r="D183" s="272" t="s">
        <v>907</v>
      </c>
      <c r="E183" s="273" t="s">
        <v>416</v>
      </c>
      <c r="F183" s="274">
        <v>7.6</v>
      </c>
      <c r="G183" s="275" t="e">
        <f>Comp!#REF!</f>
        <v>#REF!</v>
      </c>
      <c r="H183" s="275">
        <v>93.21</v>
      </c>
      <c r="I183" s="276">
        <f t="shared" si="23"/>
        <v>708.39599999999996</v>
      </c>
      <c r="J183" s="276" t="e">
        <f t="shared" si="24"/>
        <v>#REF!</v>
      </c>
      <c r="L183" s="280"/>
      <c r="M183" s="280"/>
      <c r="N183" s="281"/>
    </row>
    <row r="184" spans="1:14" s="279" customFormat="1" x14ac:dyDescent="0.2">
      <c r="A184" s="269"/>
      <c r="B184" s="270" t="s">
        <v>908</v>
      </c>
      <c r="C184" s="271" t="s">
        <v>909</v>
      </c>
      <c r="D184" s="272" t="s">
        <v>910</v>
      </c>
      <c r="E184" s="273" t="s">
        <v>421</v>
      </c>
      <c r="F184" s="274">
        <v>368.56</v>
      </c>
      <c r="G184" s="275" t="e">
        <f>Comp!#REF!</f>
        <v>#REF!</v>
      </c>
      <c r="H184" s="275">
        <v>10.43</v>
      </c>
      <c r="I184" s="276">
        <f t="shared" si="23"/>
        <v>3844.0807999999997</v>
      </c>
      <c r="J184" s="276" t="e">
        <f t="shared" si="24"/>
        <v>#REF!</v>
      </c>
      <c r="L184" s="280"/>
      <c r="M184" s="280"/>
      <c r="N184" s="281"/>
    </row>
    <row r="185" spans="1:14" s="279" customFormat="1" x14ac:dyDescent="0.2">
      <c r="A185" s="259"/>
      <c r="B185" s="260"/>
      <c r="C185" s="261">
        <v>11</v>
      </c>
      <c r="D185" s="262" t="s">
        <v>911</v>
      </c>
      <c r="E185" s="288"/>
      <c r="F185" s="264"/>
      <c r="G185" s="265"/>
      <c r="H185" s="266"/>
      <c r="I185" s="267">
        <f>SUM(I186:I196)</f>
        <v>62509.935800000007</v>
      </c>
      <c r="J185" s="267" t="e">
        <f>SUM(J186:J196)</f>
        <v>#REF!</v>
      </c>
      <c r="K185" s="268"/>
      <c r="L185" s="280"/>
      <c r="M185" s="280"/>
      <c r="N185" s="281"/>
    </row>
    <row r="186" spans="1:14" s="279" customFormat="1" ht="24" x14ac:dyDescent="0.2">
      <c r="A186" s="269"/>
      <c r="B186" s="270" t="s">
        <v>912</v>
      </c>
      <c r="C186" s="271" t="s">
        <v>226</v>
      </c>
      <c r="D186" s="272" t="s">
        <v>913</v>
      </c>
      <c r="E186" s="273" t="s">
        <v>421</v>
      </c>
      <c r="F186" s="274">
        <v>2028.45</v>
      </c>
      <c r="G186" s="275" t="e">
        <f>Comp!#REF!</f>
        <v>#REF!</v>
      </c>
      <c r="H186" s="275">
        <v>11.4</v>
      </c>
      <c r="I186" s="276">
        <f t="shared" ref="I186:I196" si="25">F186*H186</f>
        <v>23124.33</v>
      </c>
      <c r="J186" s="276" t="e">
        <f t="shared" ref="J186:J191" si="26">F186*G186</f>
        <v>#REF!</v>
      </c>
      <c r="L186" s="280"/>
      <c r="M186" s="280"/>
      <c r="N186" s="281"/>
    </row>
    <row r="187" spans="1:14" s="279" customFormat="1" ht="24" x14ac:dyDescent="0.2">
      <c r="A187" s="269"/>
      <c r="B187" s="270">
        <v>88489</v>
      </c>
      <c r="C187" s="271" t="s">
        <v>914</v>
      </c>
      <c r="D187" s="272" t="s">
        <v>915</v>
      </c>
      <c r="E187" s="273" t="s">
        <v>421</v>
      </c>
      <c r="F187" s="274">
        <v>2715.32</v>
      </c>
      <c r="G187" s="275" t="e">
        <f>Comp!#REF!</f>
        <v>#REF!</v>
      </c>
      <c r="H187" s="275">
        <v>9.2799999999999994</v>
      </c>
      <c r="I187" s="276">
        <f t="shared" si="25"/>
        <v>25198.169600000001</v>
      </c>
      <c r="J187" s="276" t="e">
        <f t="shared" si="26"/>
        <v>#REF!</v>
      </c>
      <c r="L187" s="280"/>
      <c r="M187" s="280"/>
      <c r="N187" s="281"/>
    </row>
    <row r="188" spans="1:14" s="279" customFormat="1" x14ac:dyDescent="0.2">
      <c r="A188" s="269"/>
      <c r="B188" s="270">
        <v>88486</v>
      </c>
      <c r="C188" s="271" t="s">
        <v>916</v>
      </c>
      <c r="D188" s="272" t="s">
        <v>917</v>
      </c>
      <c r="E188" s="273" t="s">
        <v>421</v>
      </c>
      <c r="F188" s="274">
        <v>498.03</v>
      </c>
      <c r="G188" s="275" t="e">
        <f>Comp!#REF!</f>
        <v>#REF!</v>
      </c>
      <c r="H188" s="275">
        <v>13.65</v>
      </c>
      <c r="I188" s="276">
        <f t="shared" si="25"/>
        <v>6798.1094999999996</v>
      </c>
      <c r="J188" s="276" t="e">
        <f t="shared" si="26"/>
        <v>#REF!</v>
      </c>
      <c r="L188" s="280"/>
      <c r="M188" s="280"/>
      <c r="N188" s="281"/>
    </row>
    <row r="189" spans="1:14" s="279" customFormat="1" ht="24" x14ac:dyDescent="0.2">
      <c r="A189" s="269"/>
      <c r="B189" s="270" t="s">
        <v>918</v>
      </c>
      <c r="C189" s="271" t="s">
        <v>919</v>
      </c>
      <c r="D189" s="272" t="s">
        <v>920</v>
      </c>
      <c r="E189" s="273" t="s">
        <v>421</v>
      </c>
      <c r="F189" s="274">
        <v>107.1</v>
      </c>
      <c r="G189" s="275" t="e">
        <f>Comp!#REF!</f>
        <v>#REF!</v>
      </c>
      <c r="H189" s="275">
        <v>16.34</v>
      </c>
      <c r="I189" s="276">
        <f t="shared" si="25"/>
        <v>1750.0139999999999</v>
      </c>
      <c r="J189" s="276" t="e">
        <f t="shared" si="26"/>
        <v>#REF!</v>
      </c>
      <c r="L189" s="280"/>
      <c r="M189" s="280"/>
      <c r="N189" s="281"/>
    </row>
    <row r="190" spans="1:14" s="279" customFormat="1" ht="24" x14ac:dyDescent="0.2">
      <c r="A190" s="259"/>
      <c r="B190" s="270" t="s">
        <v>921</v>
      </c>
      <c r="C190" s="271" t="s">
        <v>922</v>
      </c>
      <c r="D190" s="272" t="s">
        <v>923</v>
      </c>
      <c r="E190" s="273" t="s">
        <v>421</v>
      </c>
      <c r="F190" s="274">
        <v>19.13</v>
      </c>
      <c r="G190" s="275" t="e">
        <f>Comp!#REF!</f>
        <v>#REF!</v>
      </c>
      <c r="H190" s="275">
        <v>16.41</v>
      </c>
      <c r="I190" s="276">
        <f t="shared" si="25"/>
        <v>313.92329999999998</v>
      </c>
      <c r="J190" s="276" t="e">
        <f t="shared" si="26"/>
        <v>#REF!</v>
      </c>
      <c r="L190" s="280"/>
      <c r="M190" s="280"/>
      <c r="N190" s="281"/>
    </row>
    <row r="191" spans="1:14" s="279" customFormat="1" x14ac:dyDescent="0.2">
      <c r="A191" s="269"/>
      <c r="B191" s="270">
        <v>79460</v>
      </c>
      <c r="C191" s="271" t="s">
        <v>924</v>
      </c>
      <c r="D191" s="272" t="s">
        <v>925</v>
      </c>
      <c r="E191" s="273" t="s">
        <v>421</v>
      </c>
      <c r="F191" s="274">
        <v>172.17</v>
      </c>
      <c r="G191" s="275" t="e">
        <f>Comp!#REF!</f>
        <v>#REF!</v>
      </c>
      <c r="H191" s="275">
        <v>20.04</v>
      </c>
      <c r="I191" s="276">
        <f t="shared" si="25"/>
        <v>3450.2867999999994</v>
      </c>
      <c r="J191" s="276" t="e">
        <f t="shared" si="26"/>
        <v>#REF!</v>
      </c>
      <c r="L191" s="280"/>
      <c r="M191" s="280"/>
      <c r="N191" s="281"/>
    </row>
    <row r="192" spans="1:14" s="279" customFormat="1" x14ac:dyDescent="0.2">
      <c r="A192" s="259"/>
      <c r="B192" s="270"/>
      <c r="C192" s="289"/>
      <c r="D192" s="286" t="s">
        <v>926</v>
      </c>
      <c r="E192" s="273"/>
      <c r="F192" s="274"/>
      <c r="G192" s="285"/>
      <c r="H192" s="275"/>
      <c r="I192" s="276">
        <f t="shared" si="25"/>
        <v>0</v>
      </c>
      <c r="J192" s="290"/>
      <c r="L192" s="280"/>
      <c r="M192" s="280"/>
      <c r="N192" s="281"/>
    </row>
    <row r="193" spans="1:14" s="279" customFormat="1" ht="24" x14ac:dyDescent="0.2">
      <c r="A193" s="269"/>
      <c r="B193" s="270" t="s">
        <v>927</v>
      </c>
      <c r="C193" s="271" t="s">
        <v>928</v>
      </c>
      <c r="D193" s="272" t="s">
        <v>929</v>
      </c>
      <c r="E193" s="273" t="s">
        <v>421</v>
      </c>
      <c r="F193" s="274">
        <v>39.72</v>
      </c>
      <c r="G193" s="275" t="e">
        <f>Comp!#REF!</f>
        <v>#REF!</v>
      </c>
      <c r="H193" s="275">
        <v>8.4</v>
      </c>
      <c r="I193" s="276">
        <f t="shared" si="25"/>
        <v>333.64800000000002</v>
      </c>
      <c r="J193" s="276" t="e">
        <f>F193*G193</f>
        <v>#REF!</v>
      </c>
      <c r="L193" s="280"/>
      <c r="M193" s="280"/>
      <c r="N193" s="281"/>
    </row>
    <row r="194" spans="1:14" s="279" customFormat="1" ht="24" x14ac:dyDescent="0.2">
      <c r="A194" s="269"/>
      <c r="B194" s="270" t="s">
        <v>930</v>
      </c>
      <c r="C194" s="271" t="s">
        <v>931</v>
      </c>
      <c r="D194" s="272" t="s">
        <v>932</v>
      </c>
      <c r="E194" s="273" t="s">
        <v>421</v>
      </c>
      <c r="F194" s="274">
        <v>2.86</v>
      </c>
      <c r="G194" s="275" t="e">
        <f>Comp!#REF!</f>
        <v>#REF!</v>
      </c>
      <c r="H194" s="275">
        <v>25.11</v>
      </c>
      <c r="I194" s="276">
        <f t="shared" si="25"/>
        <v>71.814599999999999</v>
      </c>
      <c r="J194" s="276" t="e">
        <f>F194*G194</f>
        <v>#REF!</v>
      </c>
      <c r="L194" s="280"/>
      <c r="M194" s="280"/>
      <c r="N194" s="281"/>
    </row>
    <row r="195" spans="1:14" s="279" customFormat="1" ht="24" x14ac:dyDescent="0.2">
      <c r="A195" s="269"/>
      <c r="B195" s="270">
        <v>79460</v>
      </c>
      <c r="C195" s="271" t="s">
        <v>933</v>
      </c>
      <c r="D195" s="272" t="s">
        <v>934</v>
      </c>
      <c r="E195" s="273" t="s">
        <v>421</v>
      </c>
      <c r="F195" s="274">
        <v>39.72</v>
      </c>
      <c r="G195" s="275" t="e">
        <f>Comp!#REF!</f>
        <v>#REF!</v>
      </c>
      <c r="H195" s="275">
        <v>18.5</v>
      </c>
      <c r="I195" s="276">
        <f t="shared" si="25"/>
        <v>734.81999999999994</v>
      </c>
      <c r="J195" s="276" t="e">
        <f>F195*G195</f>
        <v>#REF!</v>
      </c>
      <c r="L195" s="280"/>
      <c r="M195" s="280"/>
      <c r="N195" s="281"/>
    </row>
    <row r="196" spans="1:14" s="279" customFormat="1" ht="24" x14ac:dyDescent="0.2">
      <c r="A196" s="269"/>
      <c r="B196" s="270" t="s">
        <v>935</v>
      </c>
      <c r="C196" s="271" t="s">
        <v>936</v>
      </c>
      <c r="D196" s="272" t="s">
        <v>937</v>
      </c>
      <c r="E196" s="273" t="s">
        <v>421</v>
      </c>
      <c r="F196" s="274">
        <v>39.72</v>
      </c>
      <c r="G196" s="275" t="e">
        <f>Comp!#REF!</f>
        <v>#REF!</v>
      </c>
      <c r="H196" s="275">
        <f>H195</f>
        <v>18.5</v>
      </c>
      <c r="I196" s="276">
        <f t="shared" si="25"/>
        <v>734.81999999999994</v>
      </c>
      <c r="J196" s="276" t="e">
        <f>F196*G196</f>
        <v>#REF!</v>
      </c>
      <c r="L196" s="280"/>
      <c r="M196" s="280"/>
      <c r="N196" s="281"/>
    </row>
    <row r="197" spans="1:14" s="279" customFormat="1" x14ac:dyDescent="0.2">
      <c r="A197" s="269"/>
      <c r="B197" s="260" t="s">
        <v>680</v>
      </c>
      <c r="C197" s="261">
        <v>12</v>
      </c>
      <c r="D197" s="262" t="s">
        <v>938</v>
      </c>
      <c r="E197" s="288"/>
      <c r="F197" s="264"/>
      <c r="G197" s="265"/>
      <c r="H197" s="266"/>
      <c r="I197" s="267">
        <f>SUM(I199:I281)</f>
        <v>18136.261999999999</v>
      </c>
      <c r="J197" s="267" t="e">
        <f>SUM(J199:J281)</f>
        <v>#REF!</v>
      </c>
      <c r="K197" s="268"/>
      <c r="L197" s="280"/>
      <c r="M197" s="280"/>
      <c r="N197" s="281"/>
    </row>
    <row r="198" spans="1:14" s="279" customFormat="1" x14ac:dyDescent="0.2">
      <c r="A198" s="269"/>
      <c r="B198" s="270" t="s">
        <v>680</v>
      </c>
      <c r="C198" s="289"/>
      <c r="D198" s="286" t="s">
        <v>939</v>
      </c>
      <c r="E198" s="273"/>
      <c r="F198" s="274"/>
      <c r="G198" s="285"/>
      <c r="H198" s="275"/>
      <c r="I198" s="290"/>
      <c r="J198" s="290"/>
      <c r="L198" s="280"/>
      <c r="M198" s="280"/>
      <c r="N198" s="281"/>
    </row>
    <row r="199" spans="1:14" s="279" customFormat="1" x14ac:dyDescent="0.2">
      <c r="A199" s="269"/>
      <c r="B199" s="270"/>
      <c r="C199" s="271" t="s">
        <v>230</v>
      </c>
      <c r="D199" s="272" t="s">
        <v>940</v>
      </c>
      <c r="E199" s="273" t="s">
        <v>526</v>
      </c>
      <c r="F199" s="274">
        <v>26</v>
      </c>
      <c r="G199" s="275">
        <f>Comp!I845</f>
        <v>223.60343952599999</v>
      </c>
      <c r="H199" s="275">
        <v>4.72</v>
      </c>
      <c r="I199" s="276">
        <f t="shared" ref="I199:I281" si="27">F199*H199</f>
        <v>122.72</v>
      </c>
      <c r="J199" s="276">
        <f t="shared" ref="J199:J281" si="28">F199*G199</f>
        <v>5813.6894276759995</v>
      </c>
      <c r="L199" s="280"/>
      <c r="M199" s="280"/>
      <c r="N199" s="281"/>
    </row>
    <row r="200" spans="1:14" s="279" customFormat="1" x14ac:dyDescent="0.2">
      <c r="A200" s="269"/>
      <c r="B200" s="270">
        <v>86884</v>
      </c>
      <c r="C200" s="271" t="s">
        <v>231</v>
      </c>
      <c r="D200" s="272" t="s">
        <v>941</v>
      </c>
      <c r="E200" s="273" t="s">
        <v>526</v>
      </c>
      <c r="F200" s="274">
        <v>45</v>
      </c>
      <c r="G200" s="275">
        <f>Comp!I855</f>
        <v>1634.486027448</v>
      </c>
      <c r="H200" s="275">
        <v>7.87</v>
      </c>
      <c r="I200" s="276">
        <f t="shared" si="27"/>
        <v>354.15</v>
      </c>
      <c r="J200" s="276">
        <f t="shared" si="28"/>
        <v>73551.871235159997</v>
      </c>
      <c r="L200" s="280"/>
      <c r="M200" s="280"/>
      <c r="N200" s="281"/>
    </row>
    <row r="201" spans="1:14" s="319" customFormat="1" x14ac:dyDescent="0.2">
      <c r="A201" s="269"/>
      <c r="B201" s="270"/>
      <c r="C201" s="271" t="s">
        <v>232</v>
      </c>
      <c r="D201" s="272" t="s">
        <v>541</v>
      </c>
      <c r="E201" s="273" t="s">
        <v>526</v>
      </c>
      <c r="F201" s="274">
        <v>26</v>
      </c>
      <c r="G201" s="275">
        <f>Comp!I866</f>
        <v>0</v>
      </c>
      <c r="H201" s="275">
        <v>7.99</v>
      </c>
      <c r="I201" s="276">
        <f t="shared" si="27"/>
        <v>207.74</v>
      </c>
      <c r="J201" s="276">
        <f t="shared" si="28"/>
        <v>0</v>
      </c>
      <c r="L201" s="320"/>
      <c r="M201" s="320"/>
      <c r="N201" s="321"/>
    </row>
    <row r="202" spans="1:14" s="279" customFormat="1" ht="24" x14ac:dyDescent="0.2">
      <c r="A202" s="269"/>
      <c r="B202" s="270"/>
      <c r="C202" s="271" t="s">
        <v>233</v>
      </c>
      <c r="D202" s="272" t="s">
        <v>542</v>
      </c>
      <c r="E202" s="273" t="s">
        <v>526</v>
      </c>
      <c r="F202" s="274">
        <v>26</v>
      </c>
      <c r="G202" s="275" t="e">
        <f>Comp!#REF!</f>
        <v>#REF!</v>
      </c>
      <c r="H202" s="275">
        <v>32.450000000000003</v>
      </c>
      <c r="I202" s="276">
        <f t="shared" si="27"/>
        <v>843.7</v>
      </c>
      <c r="J202" s="276" t="e">
        <f t="shared" si="28"/>
        <v>#REF!</v>
      </c>
      <c r="L202" s="280"/>
      <c r="M202" s="280"/>
      <c r="N202" s="281"/>
    </row>
    <row r="203" spans="1:14" s="279" customFormat="1" x14ac:dyDescent="0.2">
      <c r="A203" s="269"/>
      <c r="B203" s="270">
        <v>89424</v>
      </c>
      <c r="C203" s="271" t="s">
        <v>942</v>
      </c>
      <c r="D203" s="272" t="s">
        <v>943</v>
      </c>
      <c r="E203" s="273" t="s">
        <v>526</v>
      </c>
      <c r="F203" s="274">
        <v>15</v>
      </c>
      <c r="G203" s="275">
        <f>Comp!I879</f>
        <v>228.22375838640002</v>
      </c>
      <c r="H203" s="275">
        <v>3.67</v>
      </c>
      <c r="I203" s="276">
        <f t="shared" si="27"/>
        <v>55.05</v>
      </c>
      <c r="J203" s="276">
        <f t="shared" si="28"/>
        <v>3423.3563757960005</v>
      </c>
      <c r="L203" s="280"/>
      <c r="M203" s="280"/>
      <c r="N203" s="281"/>
    </row>
    <row r="204" spans="1:14" s="279" customFormat="1" x14ac:dyDescent="0.2">
      <c r="A204" s="269"/>
      <c r="B204" s="270"/>
      <c r="C204" s="271" t="s">
        <v>944</v>
      </c>
      <c r="D204" s="322" t="s">
        <v>945</v>
      </c>
      <c r="E204" s="273" t="s">
        <v>526</v>
      </c>
      <c r="F204" s="274">
        <v>1</v>
      </c>
      <c r="G204" s="275">
        <f>Comp!I891</f>
        <v>4631.806392947592</v>
      </c>
      <c r="H204" s="275">
        <v>2.57</v>
      </c>
      <c r="I204" s="276">
        <f t="shared" si="27"/>
        <v>2.57</v>
      </c>
      <c r="J204" s="276">
        <f t="shared" si="28"/>
        <v>4631.806392947592</v>
      </c>
      <c r="L204" s="280"/>
      <c r="M204" s="280"/>
      <c r="N204" s="281"/>
    </row>
    <row r="205" spans="1:14" s="315" customFormat="1" ht="24" x14ac:dyDescent="0.2">
      <c r="A205" s="307"/>
      <c r="B205" s="308">
        <v>72794</v>
      </c>
      <c r="C205" s="309" t="s">
        <v>946</v>
      </c>
      <c r="D205" s="310" t="s">
        <v>947</v>
      </c>
      <c r="E205" s="311" t="s">
        <v>526</v>
      </c>
      <c r="F205" s="312">
        <v>4</v>
      </c>
      <c r="G205" s="313">
        <f>Comp!I901</f>
        <v>23.782102980735999</v>
      </c>
      <c r="H205" s="313">
        <v>117.43</v>
      </c>
      <c r="I205" s="314">
        <f t="shared" si="27"/>
        <v>469.72</v>
      </c>
      <c r="J205" s="314">
        <f t="shared" si="28"/>
        <v>95.128411922943997</v>
      </c>
      <c r="L205" s="316"/>
      <c r="M205" s="316"/>
      <c r="N205" s="317"/>
    </row>
    <row r="206" spans="1:14" s="315" customFormat="1" ht="24" x14ac:dyDescent="0.2">
      <c r="A206" s="307"/>
      <c r="B206" s="308">
        <v>72789</v>
      </c>
      <c r="C206" s="309" t="s">
        <v>948</v>
      </c>
      <c r="D206" s="310" t="s">
        <v>949</v>
      </c>
      <c r="E206" s="311" t="s">
        <v>526</v>
      </c>
      <c r="F206" s="312">
        <v>4</v>
      </c>
      <c r="G206" s="313">
        <f>Comp!I911</f>
        <v>17.740211490367997</v>
      </c>
      <c r="H206" s="313">
        <v>10.47</v>
      </c>
      <c r="I206" s="314">
        <f t="shared" si="27"/>
        <v>41.88</v>
      </c>
      <c r="J206" s="314">
        <f t="shared" si="28"/>
        <v>70.960845961471989</v>
      </c>
      <c r="L206" s="316"/>
      <c r="M206" s="316"/>
      <c r="N206" s="317"/>
    </row>
    <row r="207" spans="1:14" s="315" customFormat="1" ht="24" x14ac:dyDescent="0.2">
      <c r="A207" s="307"/>
      <c r="B207" s="308"/>
      <c r="C207" s="309" t="s">
        <v>950</v>
      </c>
      <c r="D207" s="310" t="s">
        <v>951</v>
      </c>
      <c r="E207" s="311" t="s">
        <v>526</v>
      </c>
      <c r="F207" s="312">
        <v>1</v>
      </c>
      <c r="G207" s="313">
        <f>Comp!I921</f>
        <v>418.24241081439999</v>
      </c>
      <c r="H207" s="313"/>
      <c r="I207" s="314"/>
      <c r="J207" s="314">
        <f t="shared" si="28"/>
        <v>418.24241081439999</v>
      </c>
      <c r="L207" s="316"/>
      <c r="M207" s="316"/>
      <c r="N207" s="317"/>
    </row>
    <row r="208" spans="1:14" s="315" customFormat="1" ht="24" x14ac:dyDescent="0.2">
      <c r="A208" s="307"/>
      <c r="B208" s="308"/>
      <c r="C208" s="309" t="s">
        <v>952</v>
      </c>
      <c r="D208" s="310" t="s">
        <v>953</v>
      </c>
      <c r="E208" s="311" t="s">
        <v>526</v>
      </c>
      <c r="F208" s="312">
        <v>4</v>
      </c>
      <c r="G208" s="313">
        <f>Comp!I931</f>
        <v>381.21712702384002</v>
      </c>
      <c r="H208" s="313"/>
      <c r="I208" s="314"/>
      <c r="J208" s="314">
        <f t="shared" si="28"/>
        <v>1524.8685080953601</v>
      </c>
      <c r="L208" s="316"/>
      <c r="M208" s="316"/>
      <c r="N208" s="317"/>
    </row>
    <row r="209" spans="1:14" s="315" customFormat="1" ht="30.75" customHeight="1" x14ac:dyDescent="0.2">
      <c r="A209" s="323"/>
      <c r="B209" s="308">
        <v>89376</v>
      </c>
      <c r="C209" s="309" t="s">
        <v>954</v>
      </c>
      <c r="D209" s="324" t="s">
        <v>955</v>
      </c>
      <c r="E209" s="311" t="s">
        <v>526</v>
      </c>
      <c r="F209" s="312">
        <v>3</v>
      </c>
      <c r="G209" s="313">
        <f>Comp!I941</f>
        <v>504.61568600800007</v>
      </c>
      <c r="H209" s="313">
        <v>20.98</v>
      </c>
      <c r="I209" s="314">
        <f t="shared" si="27"/>
        <v>62.94</v>
      </c>
      <c r="J209" s="314">
        <f t="shared" si="28"/>
        <v>1513.8470580240003</v>
      </c>
      <c r="L209" s="316"/>
      <c r="M209" s="316"/>
      <c r="N209" s="317"/>
    </row>
    <row r="210" spans="1:14" s="315" customFormat="1" ht="23.25" customHeight="1" x14ac:dyDescent="0.2">
      <c r="A210" s="307"/>
      <c r="B210" s="308">
        <v>89538</v>
      </c>
      <c r="C210" s="309" t="s">
        <v>956</v>
      </c>
      <c r="D210" s="310" t="s">
        <v>957</v>
      </c>
      <c r="E210" s="311" t="s">
        <v>526</v>
      </c>
      <c r="F210" s="312">
        <v>77</v>
      </c>
      <c r="G210" s="313">
        <f>Comp!I952</f>
        <v>867.10661257920003</v>
      </c>
      <c r="H210" s="313">
        <v>1.88</v>
      </c>
      <c r="I210" s="314">
        <f t="shared" si="27"/>
        <v>144.76</v>
      </c>
      <c r="J210" s="314">
        <f t="shared" si="28"/>
        <v>66767.209168598405</v>
      </c>
      <c r="L210" s="316"/>
      <c r="M210" s="316"/>
      <c r="N210" s="317"/>
    </row>
    <row r="211" spans="1:14" s="315" customFormat="1" ht="23.25" customHeight="1" x14ac:dyDescent="0.2">
      <c r="A211" s="307"/>
      <c r="B211" s="308"/>
      <c r="C211" s="309" t="s">
        <v>958</v>
      </c>
      <c r="D211" s="310" t="s">
        <v>959</v>
      </c>
      <c r="E211" s="311" t="s">
        <v>960</v>
      </c>
      <c r="F211" s="312">
        <v>2</v>
      </c>
      <c r="G211" s="313">
        <f>Comp!I963</f>
        <v>465.55457646159994</v>
      </c>
      <c r="H211" s="313"/>
      <c r="I211" s="314"/>
      <c r="J211" s="314">
        <f t="shared" si="28"/>
        <v>931.10915292319987</v>
      </c>
      <c r="L211" s="316"/>
      <c r="M211" s="316"/>
      <c r="N211" s="317"/>
    </row>
    <row r="212" spans="1:14" s="315" customFormat="1" ht="24" x14ac:dyDescent="0.2">
      <c r="A212" s="307"/>
      <c r="B212" s="308">
        <v>89596</v>
      </c>
      <c r="C212" s="309" t="s">
        <v>961</v>
      </c>
      <c r="D212" s="310" t="s">
        <v>962</v>
      </c>
      <c r="E212" s="311" t="s">
        <v>526</v>
      </c>
      <c r="F212" s="312">
        <v>36</v>
      </c>
      <c r="G212" s="313">
        <f>Comp!I974</f>
        <v>248.02525834399998</v>
      </c>
      <c r="H212" s="313">
        <v>5.32</v>
      </c>
      <c r="I212" s="314">
        <f t="shared" si="27"/>
        <v>191.52</v>
      </c>
      <c r="J212" s="314">
        <f t="shared" si="28"/>
        <v>8928.9093003839989</v>
      </c>
      <c r="L212" s="316"/>
      <c r="M212" s="316"/>
      <c r="N212" s="317"/>
    </row>
    <row r="213" spans="1:14" s="315" customFormat="1" ht="24" x14ac:dyDescent="0.2">
      <c r="A213" s="307"/>
      <c r="B213" s="308">
        <v>89610</v>
      </c>
      <c r="C213" s="309" t="s">
        <v>963</v>
      </c>
      <c r="D213" s="310" t="s">
        <v>964</v>
      </c>
      <c r="E213" s="311" t="s">
        <v>526</v>
      </c>
      <c r="F213" s="312">
        <v>16</v>
      </c>
      <c r="G213" s="313">
        <f>Comp!I985</f>
        <v>3665.600631415201</v>
      </c>
      <c r="H213" s="313">
        <v>10.26</v>
      </c>
      <c r="I213" s="314">
        <f t="shared" si="27"/>
        <v>164.16</v>
      </c>
      <c r="J213" s="314">
        <f t="shared" si="28"/>
        <v>58649.610102643215</v>
      </c>
      <c r="L213" s="316"/>
      <c r="M213" s="316"/>
      <c r="N213" s="317"/>
    </row>
    <row r="214" spans="1:14" s="315" customFormat="1" ht="24" x14ac:dyDescent="0.2">
      <c r="A214" s="307"/>
      <c r="B214" s="308">
        <v>89613</v>
      </c>
      <c r="C214" s="309" t="s">
        <v>965</v>
      </c>
      <c r="D214" s="310" t="s">
        <v>966</v>
      </c>
      <c r="E214" s="311" t="s">
        <v>526</v>
      </c>
      <c r="F214" s="312">
        <v>4</v>
      </c>
      <c r="G214" s="313">
        <f>Comp!I996</f>
        <v>433.03789114400001</v>
      </c>
      <c r="H214" s="313">
        <v>16.72</v>
      </c>
      <c r="I214" s="314">
        <f t="shared" si="27"/>
        <v>66.88</v>
      </c>
      <c r="J214" s="314">
        <f t="shared" si="28"/>
        <v>1732.1515645760001</v>
      </c>
      <c r="L214" s="316"/>
      <c r="M214" s="316"/>
      <c r="N214" s="317"/>
    </row>
    <row r="215" spans="1:14" s="315" customFormat="1" ht="21.75" customHeight="1" x14ac:dyDescent="0.2">
      <c r="A215" s="307"/>
      <c r="B215" s="308"/>
      <c r="C215" s="309" t="s">
        <v>967</v>
      </c>
      <c r="D215" s="310" t="s">
        <v>968</v>
      </c>
      <c r="E215" s="311" t="s">
        <v>526</v>
      </c>
      <c r="F215" s="312">
        <v>4</v>
      </c>
      <c r="G215" s="313">
        <f>Comp!I1007</f>
        <v>919.96988304920001</v>
      </c>
      <c r="H215" s="313"/>
      <c r="I215" s="314"/>
      <c r="J215" s="314">
        <f t="shared" si="28"/>
        <v>3679.8795321968</v>
      </c>
      <c r="L215" s="316"/>
      <c r="M215" s="316"/>
      <c r="N215" s="317"/>
    </row>
    <row r="216" spans="1:14" s="315" customFormat="1" ht="21.75" customHeight="1" x14ac:dyDescent="0.2">
      <c r="A216" s="307"/>
      <c r="B216" s="308"/>
      <c r="C216" s="309" t="s">
        <v>969</v>
      </c>
      <c r="D216" s="310" t="s">
        <v>970</v>
      </c>
      <c r="E216" s="311" t="s">
        <v>526</v>
      </c>
      <c r="F216" s="312">
        <v>2</v>
      </c>
      <c r="G216" s="313">
        <f>Comp!I1018</f>
        <v>912.11617914400006</v>
      </c>
      <c r="H216" s="313"/>
      <c r="I216" s="314"/>
      <c r="J216" s="314">
        <f t="shared" si="28"/>
        <v>1824.2323582880001</v>
      </c>
      <c r="L216" s="316"/>
      <c r="M216" s="316"/>
      <c r="N216" s="317"/>
    </row>
    <row r="217" spans="1:14" s="315" customFormat="1" ht="21.75" customHeight="1" x14ac:dyDescent="0.2">
      <c r="A217" s="307"/>
      <c r="B217" s="308"/>
      <c r="C217" s="309" t="s">
        <v>971</v>
      </c>
      <c r="D217" s="310" t="s">
        <v>972</v>
      </c>
      <c r="E217" s="311" t="s">
        <v>526</v>
      </c>
      <c r="F217" s="312">
        <v>1</v>
      </c>
      <c r="G217" s="313">
        <f>Comp!I1029</f>
        <v>45.825706029599999</v>
      </c>
      <c r="H217" s="313"/>
      <c r="I217" s="314"/>
      <c r="J217" s="314">
        <f t="shared" si="28"/>
        <v>45.825706029599999</v>
      </c>
      <c r="L217" s="316"/>
      <c r="M217" s="316"/>
      <c r="N217" s="317"/>
    </row>
    <row r="218" spans="1:14" s="279" customFormat="1" ht="24" x14ac:dyDescent="0.2">
      <c r="A218" s="259"/>
      <c r="B218" s="270"/>
      <c r="C218" s="271" t="s">
        <v>973</v>
      </c>
      <c r="D218" s="272" t="s">
        <v>974</v>
      </c>
      <c r="E218" s="273" t="s">
        <v>526</v>
      </c>
      <c r="F218" s="274">
        <v>23</v>
      </c>
      <c r="G218" s="275">
        <f>Comp!I1040</f>
        <v>113.44719274399999</v>
      </c>
      <c r="H218" s="275">
        <v>8.3000000000000007</v>
      </c>
      <c r="I218" s="276">
        <f t="shared" si="27"/>
        <v>190.9</v>
      </c>
      <c r="J218" s="276">
        <f t="shared" si="28"/>
        <v>2609.2854331119997</v>
      </c>
      <c r="L218" s="280"/>
      <c r="M218" s="280"/>
      <c r="N218" s="281"/>
    </row>
    <row r="219" spans="1:14" s="279" customFormat="1" ht="24" x14ac:dyDescent="0.2">
      <c r="A219" s="269"/>
      <c r="B219" s="270"/>
      <c r="C219" s="271" t="s">
        <v>975</v>
      </c>
      <c r="D219" s="272" t="s">
        <v>543</v>
      </c>
      <c r="E219" s="273" t="s">
        <v>526</v>
      </c>
      <c r="F219" s="274">
        <v>3</v>
      </c>
      <c r="G219" s="275">
        <f>Comp!I1050</f>
        <v>41.299655143999999</v>
      </c>
      <c r="H219" s="275">
        <v>16.600000000000001</v>
      </c>
      <c r="I219" s="276">
        <f t="shared" si="27"/>
        <v>49.800000000000004</v>
      </c>
      <c r="J219" s="276">
        <f t="shared" si="28"/>
        <v>123.898965432</v>
      </c>
      <c r="L219" s="280"/>
      <c r="M219" s="280"/>
      <c r="N219" s="281"/>
    </row>
    <row r="220" spans="1:14" s="279" customFormat="1" ht="24" x14ac:dyDescent="0.2">
      <c r="A220" s="269"/>
      <c r="B220" s="270"/>
      <c r="C220" s="271" t="s">
        <v>976</v>
      </c>
      <c r="D220" s="272" t="s">
        <v>977</v>
      </c>
      <c r="E220" s="273" t="s">
        <v>526</v>
      </c>
      <c r="F220" s="274">
        <v>6</v>
      </c>
      <c r="G220" s="275">
        <f>Comp!I1060</f>
        <v>374.76594314400006</v>
      </c>
      <c r="H220" s="275"/>
      <c r="I220" s="276"/>
      <c r="J220" s="276">
        <f t="shared" si="28"/>
        <v>2248.5956588640001</v>
      </c>
      <c r="L220" s="280"/>
      <c r="M220" s="280"/>
      <c r="N220" s="281"/>
    </row>
    <row r="221" spans="1:14" s="279" customFormat="1" ht="24" x14ac:dyDescent="0.2">
      <c r="A221" s="269"/>
      <c r="B221" s="270"/>
      <c r="C221" s="271" t="s">
        <v>978</v>
      </c>
      <c r="D221" s="272" t="s">
        <v>979</v>
      </c>
      <c r="E221" s="273" t="s">
        <v>526</v>
      </c>
      <c r="F221" s="274">
        <v>27</v>
      </c>
      <c r="G221" s="275">
        <f>Comp!I1070</f>
        <v>313.12517514399997</v>
      </c>
      <c r="H221" s="275">
        <v>7.51</v>
      </c>
      <c r="I221" s="276">
        <f t="shared" si="27"/>
        <v>202.76999999999998</v>
      </c>
      <c r="J221" s="276">
        <f t="shared" si="28"/>
        <v>8454.3797288879996</v>
      </c>
      <c r="L221" s="280"/>
      <c r="M221" s="280"/>
      <c r="N221" s="281"/>
    </row>
    <row r="222" spans="1:14" s="279" customFormat="1" ht="24" x14ac:dyDescent="0.2">
      <c r="A222" s="269"/>
      <c r="B222" s="270"/>
      <c r="C222" s="271" t="s">
        <v>980</v>
      </c>
      <c r="D222" s="272" t="s">
        <v>981</v>
      </c>
      <c r="E222" s="273" t="s">
        <v>526</v>
      </c>
      <c r="F222" s="274">
        <v>2</v>
      </c>
      <c r="G222" s="275">
        <f>Comp!I1080</f>
        <v>9161.8468602880002</v>
      </c>
      <c r="H222" s="275"/>
      <c r="I222" s="276"/>
      <c r="J222" s="276">
        <f t="shared" si="28"/>
        <v>18323.693720576</v>
      </c>
      <c r="L222" s="280"/>
      <c r="M222" s="280"/>
      <c r="N222" s="281"/>
    </row>
    <row r="223" spans="1:14" s="279" customFormat="1" ht="24" x14ac:dyDescent="0.2">
      <c r="A223" s="269"/>
      <c r="B223" s="270"/>
      <c r="C223" s="271" t="s">
        <v>982</v>
      </c>
      <c r="D223" s="272" t="s">
        <v>983</v>
      </c>
      <c r="E223" s="273" t="s">
        <v>526</v>
      </c>
      <c r="F223" s="274">
        <v>5</v>
      </c>
      <c r="G223" s="275">
        <f>Comp!I1090</f>
        <v>219.4786141152</v>
      </c>
      <c r="H223" s="275">
        <v>6.02</v>
      </c>
      <c r="I223" s="276">
        <f t="shared" si="27"/>
        <v>30.099999999999998</v>
      </c>
      <c r="J223" s="276">
        <f t="shared" si="28"/>
        <v>1097.3930705759999</v>
      </c>
      <c r="L223" s="280"/>
      <c r="M223" s="280"/>
      <c r="N223" s="281"/>
    </row>
    <row r="224" spans="1:14" s="279" customFormat="1" ht="24" x14ac:dyDescent="0.2">
      <c r="A224" s="259"/>
      <c r="B224" s="270"/>
      <c r="C224" s="271" t="s">
        <v>984</v>
      </c>
      <c r="D224" s="272" t="s">
        <v>985</v>
      </c>
      <c r="E224" s="273" t="s">
        <v>526</v>
      </c>
      <c r="F224" s="274">
        <v>14</v>
      </c>
      <c r="G224" s="275">
        <f>Comp!I1100</f>
        <v>82.09569514399999</v>
      </c>
      <c r="H224" s="275">
        <v>26.87</v>
      </c>
      <c r="I224" s="276">
        <f t="shared" si="27"/>
        <v>376.18</v>
      </c>
      <c r="J224" s="276">
        <f t="shared" si="28"/>
        <v>1149.3397320159997</v>
      </c>
      <c r="L224" s="280"/>
      <c r="M224" s="280"/>
      <c r="N224" s="281"/>
    </row>
    <row r="225" spans="1:14" s="279" customFormat="1" ht="24" x14ac:dyDescent="0.2">
      <c r="A225" s="259"/>
      <c r="B225" s="270"/>
      <c r="C225" s="271" t="s">
        <v>986</v>
      </c>
      <c r="D225" s="272" t="s">
        <v>987</v>
      </c>
      <c r="E225" s="273" t="s">
        <v>526</v>
      </c>
      <c r="F225" s="274">
        <v>4</v>
      </c>
      <c r="G225" s="275">
        <f>Comp!I1109</f>
        <v>24.555372337824</v>
      </c>
      <c r="H225" s="275"/>
      <c r="I225" s="276"/>
      <c r="J225" s="276">
        <f t="shared" si="28"/>
        <v>98.221489351296</v>
      </c>
      <c r="L225" s="280"/>
      <c r="M225" s="280"/>
      <c r="N225" s="281"/>
    </row>
    <row r="226" spans="1:14" s="279" customFormat="1" x14ac:dyDescent="0.2">
      <c r="A226" s="269"/>
      <c r="B226" s="270">
        <v>89359</v>
      </c>
      <c r="C226" s="271" t="s">
        <v>988</v>
      </c>
      <c r="D226" s="272" t="s">
        <v>989</v>
      </c>
      <c r="E226" s="273" t="s">
        <v>526</v>
      </c>
      <c r="F226" s="274">
        <v>6</v>
      </c>
      <c r="G226" s="275">
        <f>Comp!I1119</f>
        <v>3.6956931000400002</v>
      </c>
      <c r="H226" s="275">
        <v>3.6</v>
      </c>
      <c r="I226" s="276">
        <f t="shared" si="27"/>
        <v>21.6</v>
      </c>
      <c r="J226" s="276">
        <f t="shared" si="28"/>
        <v>22.174158600240002</v>
      </c>
      <c r="L226" s="280"/>
      <c r="M226" s="280"/>
      <c r="N226" s="281"/>
    </row>
    <row r="227" spans="1:14" s="279" customFormat="1" x14ac:dyDescent="0.2">
      <c r="A227" s="269"/>
      <c r="B227" s="270">
        <v>89485</v>
      </c>
      <c r="C227" s="271" t="s">
        <v>990</v>
      </c>
      <c r="D227" s="272" t="s">
        <v>991</v>
      </c>
      <c r="E227" s="273" t="s">
        <v>526</v>
      </c>
      <c r="F227" s="274">
        <v>2</v>
      </c>
      <c r="G227" s="275" t="e">
        <f>Comp!#REF!</f>
        <v>#REF!</v>
      </c>
      <c r="H227" s="275">
        <v>2.35</v>
      </c>
      <c r="I227" s="276">
        <f t="shared" si="27"/>
        <v>4.7</v>
      </c>
      <c r="J227" s="276" t="e">
        <f t="shared" si="28"/>
        <v>#REF!</v>
      </c>
      <c r="L227" s="280"/>
      <c r="M227" s="280"/>
      <c r="N227" s="281"/>
    </row>
    <row r="228" spans="1:14" s="279" customFormat="1" x14ac:dyDescent="0.2">
      <c r="A228" s="269"/>
      <c r="B228" s="270">
        <v>89502</v>
      </c>
      <c r="C228" s="271" t="s">
        <v>992</v>
      </c>
      <c r="D228" s="272" t="s">
        <v>993</v>
      </c>
      <c r="E228" s="273" t="s">
        <v>526</v>
      </c>
      <c r="F228" s="274">
        <v>2</v>
      </c>
      <c r="G228" s="275" t="e">
        <f>Comp!#REF!</f>
        <v>#REF!</v>
      </c>
      <c r="H228" s="275">
        <v>6.3</v>
      </c>
      <c r="I228" s="276">
        <f t="shared" si="27"/>
        <v>12.6</v>
      </c>
      <c r="J228" s="276" t="e">
        <f t="shared" si="28"/>
        <v>#REF!</v>
      </c>
      <c r="L228" s="280"/>
      <c r="M228" s="280"/>
      <c r="N228" s="281"/>
    </row>
    <row r="229" spans="1:14" s="279" customFormat="1" x14ac:dyDescent="0.2">
      <c r="A229" s="269"/>
      <c r="B229" s="270">
        <v>89515</v>
      </c>
      <c r="C229" s="271" t="s">
        <v>994</v>
      </c>
      <c r="D229" s="272" t="s">
        <v>995</v>
      </c>
      <c r="E229" s="273" t="s">
        <v>526</v>
      </c>
      <c r="F229" s="274">
        <v>2</v>
      </c>
      <c r="G229" s="275" t="e">
        <f>Comp!#REF!</f>
        <v>#REF!</v>
      </c>
      <c r="H229" s="275">
        <v>30.64</v>
      </c>
      <c r="I229" s="276">
        <f t="shared" si="27"/>
        <v>61.28</v>
      </c>
      <c r="J229" s="276" t="e">
        <f t="shared" si="28"/>
        <v>#REF!</v>
      </c>
      <c r="L229" s="280"/>
      <c r="M229" s="280"/>
      <c r="N229" s="281"/>
    </row>
    <row r="230" spans="1:14" s="279" customFormat="1" x14ac:dyDescent="0.2">
      <c r="A230" s="269"/>
      <c r="B230" s="270"/>
      <c r="C230" s="271" t="s">
        <v>996</v>
      </c>
      <c r="D230" s="272" t="s">
        <v>997</v>
      </c>
      <c r="E230" s="273" t="s">
        <v>526</v>
      </c>
      <c r="F230" s="274">
        <v>2</v>
      </c>
      <c r="G230" s="275" t="e">
        <f>Comp!#REF!</f>
        <v>#REF!</v>
      </c>
      <c r="H230" s="275"/>
      <c r="I230" s="276"/>
      <c r="J230" s="276" t="e">
        <f t="shared" si="28"/>
        <v>#REF!</v>
      </c>
      <c r="L230" s="280"/>
      <c r="M230" s="280"/>
      <c r="N230" s="281"/>
    </row>
    <row r="231" spans="1:14" s="279" customFormat="1" x14ac:dyDescent="0.2">
      <c r="A231" s="269"/>
      <c r="B231" s="270"/>
      <c r="C231" s="271" t="s">
        <v>998</v>
      </c>
      <c r="D231" s="272" t="s">
        <v>999</v>
      </c>
      <c r="E231" s="273" t="s">
        <v>526</v>
      </c>
      <c r="F231" s="274">
        <v>7</v>
      </c>
      <c r="G231" s="275" t="e">
        <f>Comp!#REF!</f>
        <v>#REF!</v>
      </c>
      <c r="H231" s="275"/>
      <c r="I231" s="276"/>
      <c r="J231" s="276" t="e">
        <f t="shared" si="28"/>
        <v>#REF!</v>
      </c>
      <c r="L231" s="280"/>
      <c r="M231" s="280"/>
      <c r="N231" s="281"/>
    </row>
    <row r="232" spans="1:14" s="279" customFormat="1" x14ac:dyDescent="0.2">
      <c r="A232" s="269"/>
      <c r="B232" s="270">
        <v>89358</v>
      </c>
      <c r="C232" s="271" t="s">
        <v>1000</v>
      </c>
      <c r="D232" s="272" t="s">
        <v>1001</v>
      </c>
      <c r="E232" s="273" t="s">
        <v>526</v>
      </c>
      <c r="F232" s="274">
        <v>3</v>
      </c>
      <c r="G232" s="275" t="e">
        <f>Comp!#REF!</f>
        <v>#REF!</v>
      </c>
      <c r="H232" s="275">
        <v>3.57</v>
      </c>
      <c r="I232" s="276">
        <f t="shared" si="27"/>
        <v>10.709999999999999</v>
      </c>
      <c r="J232" s="276" t="e">
        <f t="shared" si="28"/>
        <v>#REF!</v>
      </c>
      <c r="L232" s="280"/>
      <c r="M232" s="280"/>
      <c r="N232" s="281"/>
    </row>
    <row r="233" spans="1:14" s="279" customFormat="1" x14ac:dyDescent="0.2">
      <c r="A233" s="269"/>
      <c r="B233" s="270">
        <v>89362</v>
      </c>
      <c r="C233" s="271" t="s">
        <v>1002</v>
      </c>
      <c r="D233" s="272" t="s">
        <v>1003</v>
      </c>
      <c r="E233" s="273" t="s">
        <v>526</v>
      </c>
      <c r="F233" s="274">
        <v>149</v>
      </c>
      <c r="G233" s="275" t="e">
        <f>Comp!#REF!</f>
        <v>#REF!</v>
      </c>
      <c r="H233" s="275">
        <v>4.1399999999999997</v>
      </c>
      <c r="I233" s="276">
        <f t="shared" si="27"/>
        <v>616.8599999999999</v>
      </c>
      <c r="J233" s="276" t="e">
        <f t="shared" si="28"/>
        <v>#REF!</v>
      </c>
      <c r="L233" s="280"/>
      <c r="M233" s="280"/>
      <c r="N233" s="281"/>
    </row>
    <row r="234" spans="1:14" s="279" customFormat="1" x14ac:dyDescent="0.2">
      <c r="A234" s="269"/>
      <c r="B234" s="270"/>
      <c r="C234" s="271" t="s">
        <v>1004</v>
      </c>
      <c r="D234" s="272" t="s">
        <v>1005</v>
      </c>
      <c r="E234" s="273" t="s">
        <v>526</v>
      </c>
      <c r="F234" s="274">
        <v>2</v>
      </c>
      <c r="G234" s="275" t="e">
        <f>Comp!#REF!</f>
        <v>#REF!</v>
      </c>
      <c r="H234" s="275"/>
      <c r="I234" s="276"/>
      <c r="J234" s="276" t="e">
        <f t="shared" si="28"/>
        <v>#REF!</v>
      </c>
      <c r="L234" s="280"/>
      <c r="M234" s="280"/>
      <c r="N234" s="281"/>
    </row>
    <row r="235" spans="1:14" s="279" customFormat="1" x14ac:dyDescent="0.2">
      <c r="A235" s="269"/>
      <c r="B235" s="270">
        <v>89501</v>
      </c>
      <c r="C235" s="271" t="s">
        <v>1006</v>
      </c>
      <c r="D235" s="272" t="s">
        <v>1007</v>
      </c>
      <c r="E235" s="273" t="s">
        <v>526</v>
      </c>
      <c r="F235" s="274">
        <v>19</v>
      </c>
      <c r="G235" s="275" t="e">
        <f>Comp!#REF!</f>
        <v>#REF!</v>
      </c>
      <c r="H235" s="275">
        <v>5.52</v>
      </c>
      <c r="I235" s="276">
        <f t="shared" si="27"/>
        <v>104.88</v>
      </c>
      <c r="J235" s="276" t="e">
        <f t="shared" si="28"/>
        <v>#REF!</v>
      </c>
      <c r="L235" s="280"/>
      <c r="M235" s="280"/>
      <c r="N235" s="281"/>
    </row>
    <row r="236" spans="1:14" s="279" customFormat="1" x14ac:dyDescent="0.2">
      <c r="A236" s="269"/>
      <c r="B236" s="270">
        <v>89505</v>
      </c>
      <c r="C236" s="271" t="s">
        <v>1008</v>
      </c>
      <c r="D236" s="272" t="s">
        <v>1009</v>
      </c>
      <c r="E236" s="273" t="s">
        <v>526</v>
      </c>
      <c r="F236" s="274">
        <v>11</v>
      </c>
      <c r="G236" s="275" t="e">
        <f>Comp!#REF!</f>
        <v>#REF!</v>
      </c>
      <c r="H236" s="275">
        <v>14.65</v>
      </c>
      <c r="I236" s="276">
        <f t="shared" si="27"/>
        <v>161.15</v>
      </c>
      <c r="J236" s="276" t="e">
        <f t="shared" si="28"/>
        <v>#REF!</v>
      </c>
      <c r="L236" s="280"/>
      <c r="M236" s="280"/>
      <c r="N236" s="281"/>
    </row>
    <row r="237" spans="1:14" s="279" customFormat="1" x14ac:dyDescent="0.2">
      <c r="A237" s="269"/>
      <c r="B237" s="270">
        <v>89521</v>
      </c>
      <c r="C237" s="271" t="s">
        <v>1010</v>
      </c>
      <c r="D237" s="272" t="s">
        <v>1011</v>
      </c>
      <c r="E237" s="273" t="s">
        <v>526</v>
      </c>
      <c r="F237" s="274">
        <v>2</v>
      </c>
      <c r="G237" s="275" t="e">
        <f>Comp!#REF!</f>
        <v>#REF!</v>
      </c>
      <c r="H237" s="275">
        <v>41.43</v>
      </c>
      <c r="I237" s="276">
        <f t="shared" si="27"/>
        <v>82.86</v>
      </c>
      <c r="J237" s="276" t="e">
        <f t="shared" si="28"/>
        <v>#REF!</v>
      </c>
      <c r="L237" s="280"/>
      <c r="M237" s="280"/>
      <c r="N237" s="281"/>
    </row>
    <row r="238" spans="1:14" s="279" customFormat="1" x14ac:dyDescent="0.2">
      <c r="A238" s="269"/>
      <c r="B238" s="270"/>
      <c r="C238" s="271" t="s">
        <v>1012</v>
      </c>
      <c r="D238" s="272" t="s">
        <v>1013</v>
      </c>
      <c r="E238" s="273" t="s">
        <v>526</v>
      </c>
      <c r="F238" s="274">
        <v>10</v>
      </c>
      <c r="G238" s="275" t="e">
        <f>Comp!#REF!</f>
        <v>#REF!</v>
      </c>
      <c r="H238" s="275"/>
      <c r="I238" s="276"/>
      <c r="J238" s="276" t="e">
        <f t="shared" si="28"/>
        <v>#REF!</v>
      </c>
      <c r="L238" s="280"/>
      <c r="M238" s="280"/>
      <c r="N238" s="281"/>
    </row>
    <row r="239" spans="1:14" s="279" customFormat="1" ht="24" x14ac:dyDescent="0.2">
      <c r="A239" s="269"/>
      <c r="B239" s="270"/>
      <c r="C239" s="271" t="s">
        <v>1014</v>
      </c>
      <c r="D239" s="272" t="s">
        <v>1015</v>
      </c>
      <c r="E239" s="273" t="s">
        <v>526</v>
      </c>
      <c r="F239" s="274">
        <v>2</v>
      </c>
      <c r="G239" s="275" t="e">
        <f>Comp!#REF!</f>
        <v>#REF!</v>
      </c>
      <c r="H239" s="275"/>
      <c r="I239" s="276"/>
      <c r="J239" s="276" t="e">
        <f t="shared" si="28"/>
        <v>#REF!</v>
      </c>
      <c r="L239" s="280"/>
      <c r="M239" s="280"/>
      <c r="N239" s="281"/>
    </row>
    <row r="240" spans="1:14" s="279" customFormat="1" x14ac:dyDescent="0.2">
      <c r="A240" s="269"/>
      <c r="B240" s="270"/>
      <c r="C240" s="271" t="s">
        <v>1016</v>
      </c>
      <c r="D240" s="272" t="s">
        <v>1017</v>
      </c>
      <c r="E240" s="273" t="s">
        <v>526</v>
      </c>
      <c r="F240" s="274">
        <v>2</v>
      </c>
      <c r="G240" s="275" t="e">
        <f>Comp!#REF!</f>
        <v>#REF!</v>
      </c>
      <c r="H240" s="275"/>
      <c r="I240" s="276"/>
      <c r="J240" s="276" t="e">
        <f t="shared" si="28"/>
        <v>#REF!</v>
      </c>
      <c r="L240" s="280"/>
      <c r="M240" s="280"/>
      <c r="N240" s="281"/>
    </row>
    <row r="241" spans="1:14" s="279" customFormat="1" x14ac:dyDescent="0.2">
      <c r="A241" s="269"/>
      <c r="B241" s="270">
        <v>89395</v>
      </c>
      <c r="C241" s="271" t="s">
        <v>1018</v>
      </c>
      <c r="D241" s="272" t="s">
        <v>1019</v>
      </c>
      <c r="E241" s="273" t="s">
        <v>526</v>
      </c>
      <c r="F241" s="274">
        <v>32</v>
      </c>
      <c r="G241" s="275" t="e">
        <f>Comp!#REF!</f>
        <v>#REF!</v>
      </c>
      <c r="H241" s="275">
        <v>6.19</v>
      </c>
      <c r="I241" s="276">
        <f t="shared" si="27"/>
        <v>198.08</v>
      </c>
      <c r="J241" s="276" t="e">
        <f t="shared" si="28"/>
        <v>#REF!</v>
      </c>
      <c r="L241" s="280"/>
      <c r="M241" s="280"/>
      <c r="N241" s="281"/>
    </row>
    <row r="242" spans="1:14" s="279" customFormat="1" x14ac:dyDescent="0.2">
      <c r="A242" s="269"/>
      <c r="B242" s="270"/>
      <c r="C242" s="271" t="s">
        <v>1020</v>
      </c>
      <c r="D242" s="272" t="s">
        <v>1021</v>
      </c>
      <c r="E242" s="273" t="s">
        <v>526</v>
      </c>
      <c r="F242" s="274">
        <v>1</v>
      </c>
      <c r="G242" s="275" t="e">
        <f>Comp!#REF!</f>
        <v>#REF!</v>
      </c>
      <c r="H242" s="275"/>
      <c r="I242" s="276"/>
      <c r="J242" s="276" t="e">
        <f t="shared" si="28"/>
        <v>#REF!</v>
      </c>
      <c r="L242" s="280"/>
      <c r="M242" s="280"/>
      <c r="N242" s="281"/>
    </row>
    <row r="243" spans="1:14" s="279" customFormat="1" x14ac:dyDescent="0.2">
      <c r="A243" s="269"/>
      <c r="B243" s="270">
        <v>89625</v>
      </c>
      <c r="C243" s="271" t="s">
        <v>1022</v>
      </c>
      <c r="D243" s="272" t="s">
        <v>1023</v>
      </c>
      <c r="E243" s="273" t="s">
        <v>526</v>
      </c>
      <c r="F243" s="274">
        <v>13</v>
      </c>
      <c r="G243" s="275" t="e">
        <f>Comp!#REF!</f>
        <v>#REF!</v>
      </c>
      <c r="H243" s="275">
        <v>12.79</v>
      </c>
      <c r="I243" s="276">
        <f t="shared" si="27"/>
        <v>166.26999999999998</v>
      </c>
      <c r="J243" s="276" t="e">
        <f t="shared" si="28"/>
        <v>#REF!</v>
      </c>
      <c r="L243" s="280"/>
      <c r="M243" s="280"/>
      <c r="N243" s="281"/>
    </row>
    <row r="244" spans="1:14" s="279" customFormat="1" x14ac:dyDescent="0.2">
      <c r="A244" s="269"/>
      <c r="B244" s="270">
        <v>89628</v>
      </c>
      <c r="C244" s="271" t="s">
        <v>1024</v>
      </c>
      <c r="D244" s="272" t="s">
        <v>1025</v>
      </c>
      <c r="E244" s="273" t="s">
        <v>526</v>
      </c>
      <c r="F244" s="274">
        <v>11</v>
      </c>
      <c r="G244" s="275" t="e">
        <f>Comp!#REF!</f>
        <v>#REF!</v>
      </c>
      <c r="H244" s="275">
        <v>36.97</v>
      </c>
      <c r="I244" s="276">
        <f t="shared" si="27"/>
        <v>406.66999999999996</v>
      </c>
      <c r="J244" s="276" t="e">
        <f t="shared" si="28"/>
        <v>#REF!</v>
      </c>
      <c r="L244" s="280"/>
      <c r="M244" s="280"/>
      <c r="N244" s="281"/>
    </row>
    <row r="245" spans="1:14" s="279" customFormat="1" x14ac:dyDescent="0.2">
      <c r="A245" s="269"/>
      <c r="B245" s="270">
        <v>89566</v>
      </c>
      <c r="C245" s="271" t="s">
        <v>1026</v>
      </c>
      <c r="D245" s="272" t="s">
        <v>1027</v>
      </c>
      <c r="E245" s="273" t="s">
        <v>526</v>
      </c>
      <c r="F245" s="274">
        <v>3</v>
      </c>
      <c r="G245" s="275" t="e">
        <f>Comp!#REF!</f>
        <v>#REF!</v>
      </c>
      <c r="H245" s="275">
        <v>58.54</v>
      </c>
      <c r="I245" s="276">
        <f t="shared" si="27"/>
        <v>175.62</v>
      </c>
      <c r="J245" s="276" t="e">
        <f t="shared" si="28"/>
        <v>#REF!</v>
      </c>
      <c r="L245" s="280"/>
      <c r="M245" s="280"/>
      <c r="N245" s="281"/>
    </row>
    <row r="246" spans="1:14" s="279" customFormat="1" x14ac:dyDescent="0.2">
      <c r="A246" s="269"/>
      <c r="B246" s="270"/>
      <c r="C246" s="271" t="s">
        <v>1028</v>
      </c>
      <c r="D246" s="272" t="s">
        <v>1029</v>
      </c>
      <c r="E246" s="273" t="s">
        <v>526</v>
      </c>
      <c r="F246" s="274">
        <v>8</v>
      </c>
      <c r="G246" s="275" t="e">
        <f>Comp!#REF!</f>
        <v>#REF!</v>
      </c>
      <c r="H246" s="275"/>
      <c r="I246" s="276"/>
      <c r="J246" s="276" t="e">
        <f t="shared" si="28"/>
        <v>#REF!</v>
      </c>
      <c r="L246" s="280"/>
      <c r="M246" s="280"/>
      <c r="N246" s="281"/>
    </row>
    <row r="247" spans="1:14" s="279" customFormat="1" ht="24" x14ac:dyDescent="0.2">
      <c r="A247" s="269"/>
      <c r="B247" s="270"/>
      <c r="C247" s="271" t="s">
        <v>1030</v>
      </c>
      <c r="D247" s="272" t="s">
        <v>1031</v>
      </c>
      <c r="E247" s="273" t="s">
        <v>526</v>
      </c>
      <c r="F247" s="274">
        <v>2</v>
      </c>
      <c r="G247" s="275" t="e">
        <f>Comp!#REF!</f>
        <v>#REF!</v>
      </c>
      <c r="H247" s="275"/>
      <c r="I247" s="276"/>
      <c r="J247" s="276" t="e">
        <f t="shared" si="28"/>
        <v>#REF!</v>
      </c>
      <c r="L247" s="280"/>
      <c r="M247" s="280"/>
      <c r="N247" s="281"/>
    </row>
    <row r="248" spans="1:14" s="279" customFormat="1" ht="24" x14ac:dyDescent="0.2">
      <c r="A248" s="269"/>
      <c r="B248" s="270">
        <v>89627</v>
      </c>
      <c r="C248" s="271" t="s">
        <v>1032</v>
      </c>
      <c r="D248" s="272" t="s">
        <v>1033</v>
      </c>
      <c r="E248" s="273" t="s">
        <v>526</v>
      </c>
      <c r="F248" s="274">
        <v>29</v>
      </c>
      <c r="G248" s="275" t="e">
        <f>Comp!#REF!</f>
        <v>#REF!</v>
      </c>
      <c r="H248" s="275">
        <v>12.91</v>
      </c>
      <c r="I248" s="276">
        <f t="shared" si="27"/>
        <v>374.39</v>
      </c>
      <c r="J248" s="276" t="e">
        <f t="shared" si="28"/>
        <v>#REF!</v>
      </c>
      <c r="L248" s="280"/>
      <c r="M248" s="280"/>
      <c r="N248" s="281"/>
    </row>
    <row r="249" spans="1:14" s="279" customFormat="1" ht="24" x14ac:dyDescent="0.2">
      <c r="A249" s="269"/>
      <c r="B249" s="270">
        <v>89630</v>
      </c>
      <c r="C249" s="271" t="s">
        <v>1034</v>
      </c>
      <c r="D249" s="272" t="s">
        <v>1035</v>
      </c>
      <c r="E249" s="273" t="s">
        <v>526</v>
      </c>
      <c r="F249" s="274">
        <v>11</v>
      </c>
      <c r="G249" s="275" t="e">
        <f>Comp!#REF!</f>
        <v>#REF!</v>
      </c>
      <c r="H249" s="275">
        <v>43.75</v>
      </c>
      <c r="I249" s="276">
        <f t="shared" si="27"/>
        <v>481.25</v>
      </c>
      <c r="J249" s="276" t="e">
        <f t="shared" si="28"/>
        <v>#REF!</v>
      </c>
      <c r="L249" s="280"/>
      <c r="M249" s="280"/>
      <c r="N249" s="281"/>
    </row>
    <row r="250" spans="1:14" s="279" customFormat="1" ht="24" x14ac:dyDescent="0.2">
      <c r="A250" s="269"/>
      <c r="B250" s="270">
        <v>89630</v>
      </c>
      <c r="C250" s="271" t="s">
        <v>1036</v>
      </c>
      <c r="D250" s="272" t="s">
        <v>1037</v>
      </c>
      <c r="E250" s="273" t="s">
        <v>526</v>
      </c>
      <c r="F250" s="274">
        <v>5</v>
      </c>
      <c r="G250" s="275" t="e">
        <f>Comp!#REF!</f>
        <v>#REF!</v>
      </c>
      <c r="H250" s="275">
        <v>87.53</v>
      </c>
      <c r="I250" s="276">
        <f t="shared" si="27"/>
        <v>437.65</v>
      </c>
      <c r="J250" s="276" t="e">
        <f t="shared" si="28"/>
        <v>#REF!</v>
      </c>
      <c r="L250" s="280"/>
      <c r="M250" s="280"/>
      <c r="N250" s="281"/>
    </row>
    <row r="251" spans="1:14" s="279" customFormat="1" ht="24" x14ac:dyDescent="0.2">
      <c r="A251" s="269"/>
      <c r="B251" s="270"/>
      <c r="C251" s="271" t="s">
        <v>1038</v>
      </c>
      <c r="D251" s="272" t="s">
        <v>1039</v>
      </c>
      <c r="E251" s="273" t="s">
        <v>526</v>
      </c>
      <c r="F251" s="274">
        <v>5</v>
      </c>
      <c r="G251" s="275" t="e">
        <f>Comp!#REF!</f>
        <v>#REF!</v>
      </c>
      <c r="H251" s="275"/>
      <c r="I251" s="276"/>
      <c r="J251" s="276" t="e">
        <f t="shared" si="28"/>
        <v>#REF!</v>
      </c>
      <c r="L251" s="280"/>
      <c r="M251" s="280"/>
      <c r="N251" s="281"/>
    </row>
    <row r="252" spans="1:14" s="279" customFormat="1" ht="24" x14ac:dyDescent="0.2">
      <c r="A252" s="269"/>
      <c r="B252" s="270"/>
      <c r="C252" s="271" t="s">
        <v>1040</v>
      </c>
      <c r="D252" s="272" t="s">
        <v>1041</v>
      </c>
      <c r="E252" s="273" t="s">
        <v>526</v>
      </c>
      <c r="F252" s="274">
        <v>2</v>
      </c>
      <c r="G252" s="275" t="e">
        <f>Comp!#REF!</f>
        <v>#REF!</v>
      </c>
      <c r="H252" s="275"/>
      <c r="I252" s="276"/>
      <c r="J252" s="276" t="e">
        <f t="shared" si="28"/>
        <v>#REF!</v>
      </c>
      <c r="L252" s="280"/>
      <c r="M252" s="280"/>
      <c r="N252" s="281"/>
    </row>
    <row r="253" spans="1:14" s="279" customFormat="1" ht="24" x14ac:dyDescent="0.2">
      <c r="A253" s="269"/>
      <c r="B253" s="270">
        <v>90373</v>
      </c>
      <c r="C253" s="271" t="s">
        <v>1042</v>
      </c>
      <c r="D253" s="272" t="s">
        <v>1043</v>
      </c>
      <c r="E253" s="273" t="s">
        <v>526</v>
      </c>
      <c r="F253" s="274">
        <v>6</v>
      </c>
      <c r="G253" s="275" t="e">
        <f>Comp!#REF!</f>
        <v>#REF!</v>
      </c>
      <c r="H253" s="275">
        <v>7.55</v>
      </c>
      <c r="I253" s="276">
        <f t="shared" si="27"/>
        <v>45.3</v>
      </c>
      <c r="J253" s="276" t="e">
        <f t="shared" si="28"/>
        <v>#REF!</v>
      </c>
      <c r="L253" s="280"/>
      <c r="M253" s="280"/>
      <c r="N253" s="281"/>
    </row>
    <row r="254" spans="1:14" s="279" customFormat="1" ht="24" x14ac:dyDescent="0.2">
      <c r="A254" s="269"/>
      <c r="B254" s="270">
        <v>89645</v>
      </c>
      <c r="C254" s="271" t="s">
        <v>1044</v>
      </c>
      <c r="D254" s="272" t="s">
        <v>1045</v>
      </c>
      <c r="E254" s="273" t="s">
        <v>526</v>
      </c>
      <c r="F254" s="274">
        <v>81</v>
      </c>
      <c r="G254" s="275" t="e">
        <f>Comp!#REF!</f>
        <v>#REF!</v>
      </c>
      <c r="H254" s="275">
        <v>5.64</v>
      </c>
      <c r="I254" s="276">
        <f t="shared" si="27"/>
        <v>456.84</v>
      </c>
      <c r="J254" s="276" t="e">
        <f t="shared" si="28"/>
        <v>#REF!</v>
      </c>
      <c r="L254" s="280"/>
      <c r="M254" s="280"/>
      <c r="N254" s="281"/>
    </row>
    <row r="255" spans="1:14" s="279" customFormat="1" ht="24" x14ac:dyDescent="0.2">
      <c r="A255" s="269"/>
      <c r="B255" s="270">
        <v>89980</v>
      </c>
      <c r="C255" s="271" t="s">
        <v>1046</v>
      </c>
      <c r="D255" s="272" t="s">
        <v>1047</v>
      </c>
      <c r="E255" s="273" t="s">
        <v>526</v>
      </c>
      <c r="F255" s="274">
        <v>11</v>
      </c>
      <c r="G255" s="275" t="e">
        <f>Comp!#REF!</f>
        <v>#REF!</v>
      </c>
      <c r="H255" s="275">
        <v>4.92</v>
      </c>
      <c r="I255" s="276">
        <f t="shared" si="27"/>
        <v>54.12</v>
      </c>
      <c r="J255" s="276" t="e">
        <f t="shared" si="28"/>
        <v>#REF!</v>
      </c>
      <c r="L255" s="280"/>
      <c r="M255" s="280"/>
      <c r="N255" s="281"/>
    </row>
    <row r="256" spans="1:14" s="279" customFormat="1" ht="24" x14ac:dyDescent="0.2">
      <c r="A256" s="269"/>
      <c r="B256" s="270"/>
      <c r="C256" s="271" t="s">
        <v>1048</v>
      </c>
      <c r="D256" s="272" t="s">
        <v>1049</v>
      </c>
      <c r="E256" s="273" t="s">
        <v>526</v>
      </c>
      <c r="F256" s="274">
        <v>22</v>
      </c>
      <c r="G256" s="275" t="e">
        <f>Comp!#REF!</f>
        <v>#REF!</v>
      </c>
      <c r="H256" s="275">
        <v>15.07</v>
      </c>
      <c r="I256" s="276">
        <f t="shared" si="27"/>
        <v>331.54</v>
      </c>
      <c r="J256" s="276" t="e">
        <f t="shared" si="28"/>
        <v>#REF!</v>
      </c>
      <c r="L256" s="280"/>
      <c r="M256" s="280"/>
      <c r="N256" s="281"/>
    </row>
    <row r="257" spans="1:14" s="279" customFormat="1" ht="24" x14ac:dyDescent="0.2">
      <c r="A257" s="269"/>
      <c r="B257" s="270"/>
      <c r="C257" s="271" t="s">
        <v>1050</v>
      </c>
      <c r="D257" s="272" t="s">
        <v>544</v>
      </c>
      <c r="E257" s="273" t="s">
        <v>526</v>
      </c>
      <c r="F257" s="274">
        <v>3</v>
      </c>
      <c r="G257" s="275" t="e">
        <f>Comp!#REF!</f>
        <v>#REF!</v>
      </c>
      <c r="H257" s="275"/>
      <c r="I257" s="276"/>
      <c r="J257" s="276" t="e">
        <f t="shared" si="28"/>
        <v>#REF!</v>
      </c>
      <c r="L257" s="280"/>
      <c r="M257" s="280"/>
      <c r="N257" s="281"/>
    </row>
    <row r="258" spans="1:14" s="279" customFormat="1" x14ac:dyDescent="0.2">
      <c r="A258" s="269"/>
      <c r="B258" s="270"/>
      <c r="C258" s="271" t="s">
        <v>1051</v>
      </c>
      <c r="D258" s="272" t="s">
        <v>1052</v>
      </c>
      <c r="E258" s="273" t="s">
        <v>526</v>
      </c>
      <c r="F258" s="274">
        <v>1</v>
      </c>
      <c r="G258" s="275" t="e">
        <f>Comp!#REF!</f>
        <v>#REF!</v>
      </c>
      <c r="H258" s="275"/>
      <c r="I258" s="276"/>
      <c r="J258" s="276" t="e">
        <f t="shared" si="28"/>
        <v>#REF!</v>
      </c>
      <c r="L258" s="280"/>
      <c r="M258" s="280"/>
      <c r="N258" s="281"/>
    </row>
    <row r="259" spans="1:14" s="279" customFormat="1" ht="24" x14ac:dyDescent="0.2">
      <c r="A259" s="269"/>
      <c r="B259" s="270"/>
      <c r="C259" s="271" t="s">
        <v>1053</v>
      </c>
      <c r="D259" s="272" t="s">
        <v>545</v>
      </c>
      <c r="E259" s="273" t="s">
        <v>526</v>
      </c>
      <c r="F259" s="274">
        <v>5</v>
      </c>
      <c r="G259" s="275" t="e">
        <f>Comp!#REF!</f>
        <v>#REF!</v>
      </c>
      <c r="H259" s="275"/>
      <c r="I259" s="276"/>
      <c r="J259" s="276" t="e">
        <f t="shared" si="28"/>
        <v>#REF!</v>
      </c>
      <c r="L259" s="280"/>
      <c r="M259" s="280"/>
      <c r="N259" s="281"/>
    </row>
    <row r="260" spans="1:14" s="279" customFormat="1" x14ac:dyDescent="0.2">
      <c r="A260" s="269"/>
      <c r="B260" s="270"/>
      <c r="C260" s="271" t="s">
        <v>1054</v>
      </c>
      <c r="D260" s="272" t="s">
        <v>546</v>
      </c>
      <c r="E260" s="273" t="s">
        <v>526</v>
      </c>
      <c r="F260" s="274">
        <v>2</v>
      </c>
      <c r="G260" s="275" t="e">
        <f>Comp!#REF!</f>
        <v>#REF!</v>
      </c>
      <c r="H260" s="275">
        <v>40.49</v>
      </c>
      <c r="I260" s="276">
        <f t="shared" si="27"/>
        <v>80.98</v>
      </c>
      <c r="J260" s="276" t="e">
        <f t="shared" si="28"/>
        <v>#REF!</v>
      </c>
      <c r="L260" s="280"/>
      <c r="M260" s="280"/>
      <c r="N260" s="281"/>
    </row>
    <row r="261" spans="1:14" s="279" customFormat="1" x14ac:dyDescent="0.2">
      <c r="A261" s="269"/>
      <c r="B261" s="270">
        <v>89439</v>
      </c>
      <c r="C261" s="271" t="s">
        <v>1055</v>
      </c>
      <c r="D261" s="272" t="s">
        <v>1056</v>
      </c>
      <c r="E261" s="273" t="s">
        <v>526</v>
      </c>
      <c r="F261" s="274">
        <v>1</v>
      </c>
      <c r="G261" s="275" t="e">
        <f>Comp!#REF!</f>
        <v>#REF!</v>
      </c>
      <c r="H261" s="275">
        <v>5.55</v>
      </c>
      <c r="I261" s="276">
        <f t="shared" si="27"/>
        <v>5.55</v>
      </c>
      <c r="J261" s="276" t="e">
        <f t="shared" si="28"/>
        <v>#REF!</v>
      </c>
      <c r="L261" s="280"/>
      <c r="M261" s="280"/>
      <c r="N261" s="281"/>
    </row>
    <row r="262" spans="1:14" s="279" customFormat="1" x14ac:dyDescent="0.2">
      <c r="A262" s="269"/>
      <c r="B262" s="270">
        <v>89355</v>
      </c>
      <c r="C262" s="271" t="s">
        <v>1057</v>
      </c>
      <c r="D262" s="272" t="s">
        <v>1058</v>
      </c>
      <c r="E262" s="273" t="s">
        <v>547</v>
      </c>
      <c r="F262" s="274">
        <v>36.78</v>
      </c>
      <c r="G262" s="275" t="e">
        <f>Comp!#REF!</f>
        <v>#REF!</v>
      </c>
      <c r="H262" s="275">
        <v>9.44</v>
      </c>
      <c r="I262" s="276">
        <f t="shared" si="27"/>
        <v>347.20319999999998</v>
      </c>
      <c r="J262" s="276" t="e">
        <f t="shared" si="28"/>
        <v>#REF!</v>
      </c>
      <c r="L262" s="280"/>
      <c r="M262" s="280"/>
      <c r="N262" s="281"/>
    </row>
    <row r="263" spans="1:14" s="279" customFormat="1" x14ac:dyDescent="0.2">
      <c r="A263" s="269"/>
      <c r="B263" s="270">
        <v>89446</v>
      </c>
      <c r="C263" s="271" t="s">
        <v>1059</v>
      </c>
      <c r="D263" s="272" t="s">
        <v>1060</v>
      </c>
      <c r="E263" s="273" t="s">
        <v>418</v>
      </c>
      <c r="F263" s="274">
        <v>263.75</v>
      </c>
      <c r="G263" s="275" t="e">
        <f>Comp!#REF!</f>
        <v>#REF!</v>
      </c>
      <c r="H263" s="275">
        <v>9.36</v>
      </c>
      <c r="I263" s="276">
        <f t="shared" si="27"/>
        <v>2468.6999999999998</v>
      </c>
      <c r="J263" s="276" t="e">
        <f t="shared" si="28"/>
        <v>#REF!</v>
      </c>
      <c r="L263" s="280"/>
      <c r="M263" s="280"/>
      <c r="N263" s="281"/>
    </row>
    <row r="264" spans="1:14" s="279" customFormat="1" x14ac:dyDescent="0.2">
      <c r="A264" s="269"/>
      <c r="B264" s="270"/>
      <c r="C264" s="271" t="s">
        <v>1061</v>
      </c>
      <c r="D264" s="272" t="s">
        <v>1062</v>
      </c>
      <c r="E264" s="273" t="s">
        <v>418</v>
      </c>
      <c r="F264" s="274">
        <v>12.82</v>
      </c>
      <c r="G264" s="275" t="e">
        <f>Comp!#REF!</f>
        <v>#REF!</v>
      </c>
      <c r="H264" s="275"/>
      <c r="I264" s="276"/>
      <c r="J264" s="276" t="e">
        <f t="shared" si="28"/>
        <v>#REF!</v>
      </c>
      <c r="L264" s="280"/>
      <c r="M264" s="280"/>
      <c r="N264" s="281"/>
    </row>
    <row r="265" spans="1:14" s="279" customFormat="1" x14ac:dyDescent="0.2">
      <c r="A265" s="269"/>
      <c r="B265" s="270">
        <v>89449</v>
      </c>
      <c r="C265" s="271" t="s">
        <v>1063</v>
      </c>
      <c r="D265" s="272" t="s">
        <v>1064</v>
      </c>
      <c r="E265" s="273" t="s">
        <v>418</v>
      </c>
      <c r="F265" s="274">
        <v>111.79</v>
      </c>
      <c r="G265" s="275" t="e">
        <f>Comp!#REF!</f>
        <v>#REF!</v>
      </c>
      <c r="H265" s="275">
        <v>10.49</v>
      </c>
      <c r="I265" s="276">
        <f t="shared" si="27"/>
        <v>1172.6771000000001</v>
      </c>
      <c r="J265" s="276" t="e">
        <f t="shared" si="28"/>
        <v>#REF!</v>
      </c>
      <c r="L265" s="280"/>
      <c r="M265" s="280"/>
      <c r="N265" s="281"/>
    </row>
    <row r="266" spans="1:14" s="279" customFormat="1" x14ac:dyDescent="0.2">
      <c r="A266" s="269"/>
      <c r="B266" s="270">
        <v>89450</v>
      </c>
      <c r="C266" s="271" t="s">
        <v>1065</v>
      </c>
      <c r="D266" s="272" t="s">
        <v>1066</v>
      </c>
      <c r="E266" s="273" t="s">
        <v>418</v>
      </c>
      <c r="F266" s="274">
        <v>43.04</v>
      </c>
      <c r="G266" s="275" t="e">
        <f>Comp!#REF!</f>
        <v>#REF!</v>
      </c>
      <c r="H266" s="275">
        <v>16.079999999999998</v>
      </c>
      <c r="I266" s="276">
        <f t="shared" si="27"/>
        <v>692.08319999999992</v>
      </c>
      <c r="J266" s="276" t="e">
        <f t="shared" si="28"/>
        <v>#REF!</v>
      </c>
      <c r="L266" s="280"/>
      <c r="M266" s="280"/>
      <c r="N266" s="281"/>
    </row>
    <row r="267" spans="1:14" s="279" customFormat="1" x14ac:dyDescent="0.2">
      <c r="A267" s="269"/>
      <c r="B267" s="270">
        <v>89451</v>
      </c>
      <c r="C267" s="271" t="s">
        <v>1067</v>
      </c>
      <c r="D267" s="272" t="s">
        <v>1068</v>
      </c>
      <c r="E267" s="273" t="s">
        <v>418</v>
      </c>
      <c r="F267" s="274">
        <v>49.85</v>
      </c>
      <c r="G267" s="275" t="e">
        <f>Comp!#REF!</f>
        <v>#REF!</v>
      </c>
      <c r="H267" s="275">
        <v>22.41</v>
      </c>
      <c r="I267" s="276">
        <f t="shared" si="27"/>
        <v>1117.1385</v>
      </c>
      <c r="J267" s="276" t="e">
        <f t="shared" si="28"/>
        <v>#REF!</v>
      </c>
      <c r="L267" s="280"/>
      <c r="M267" s="280"/>
      <c r="N267" s="281"/>
    </row>
    <row r="268" spans="1:14" s="279" customFormat="1" x14ac:dyDescent="0.2">
      <c r="A268" s="269"/>
      <c r="B268" s="270"/>
      <c r="C268" s="271" t="s">
        <v>1069</v>
      </c>
      <c r="D268" s="272" t="s">
        <v>1070</v>
      </c>
      <c r="E268" s="273" t="s">
        <v>418</v>
      </c>
      <c r="F268" s="274">
        <v>94.84</v>
      </c>
      <c r="G268" s="275" t="e">
        <f>Comp!#REF!</f>
        <v>#REF!</v>
      </c>
      <c r="H268" s="275"/>
      <c r="I268" s="276"/>
      <c r="J268" s="276" t="e">
        <f t="shared" si="28"/>
        <v>#REF!</v>
      </c>
      <c r="L268" s="280"/>
      <c r="M268" s="280"/>
      <c r="N268" s="281"/>
    </row>
    <row r="269" spans="1:14" s="279" customFormat="1" x14ac:dyDescent="0.2">
      <c r="A269" s="269"/>
      <c r="B269" s="270"/>
      <c r="C269" s="271" t="s">
        <v>1071</v>
      </c>
      <c r="D269" s="272" t="s">
        <v>1072</v>
      </c>
      <c r="E269" s="273" t="s">
        <v>418</v>
      </c>
      <c r="F269" s="274">
        <v>46.4</v>
      </c>
      <c r="G269" s="275" t="e">
        <f>Comp!#REF!</f>
        <v>#REF!</v>
      </c>
      <c r="H269" s="275"/>
      <c r="I269" s="276"/>
      <c r="J269" s="276" t="e">
        <f t="shared" si="28"/>
        <v>#REF!</v>
      </c>
      <c r="L269" s="280"/>
      <c r="M269" s="280"/>
      <c r="N269" s="281"/>
    </row>
    <row r="270" spans="1:14" s="279" customFormat="1" x14ac:dyDescent="0.2">
      <c r="A270" s="269"/>
      <c r="B270" s="270" t="s">
        <v>680</v>
      </c>
      <c r="C270" s="289"/>
      <c r="D270" s="286" t="s">
        <v>1073</v>
      </c>
      <c r="E270" s="273"/>
      <c r="F270" s="274"/>
      <c r="G270" s="285"/>
      <c r="H270" s="275"/>
      <c r="I270" s="276">
        <f t="shared" si="27"/>
        <v>0</v>
      </c>
      <c r="J270" s="276"/>
      <c r="L270" s="280"/>
      <c r="M270" s="280"/>
      <c r="N270" s="281"/>
    </row>
    <row r="271" spans="1:14" s="279" customFormat="1" x14ac:dyDescent="0.2">
      <c r="A271" s="269"/>
      <c r="B271" s="270"/>
      <c r="C271" s="271" t="s">
        <v>1074</v>
      </c>
      <c r="D271" s="272" t="s">
        <v>1075</v>
      </c>
      <c r="E271" s="273" t="s">
        <v>526</v>
      </c>
      <c r="F271" s="274">
        <v>1</v>
      </c>
      <c r="G271" s="275" t="e">
        <f>Comp!#REF!</f>
        <v>#REF!</v>
      </c>
      <c r="H271" s="275"/>
      <c r="I271" s="276"/>
      <c r="J271" s="276" t="e">
        <f t="shared" si="28"/>
        <v>#REF!</v>
      </c>
      <c r="L271" s="280"/>
      <c r="M271" s="280"/>
      <c r="N271" s="281"/>
    </row>
    <row r="272" spans="1:14" s="279" customFormat="1" ht="24" x14ac:dyDescent="0.2">
      <c r="A272" s="269"/>
      <c r="B272" s="270"/>
      <c r="C272" s="271" t="s">
        <v>1076</v>
      </c>
      <c r="D272" s="272" t="str">
        <f>D278</f>
        <v>Registro de gaveta com canopla cromada 1", fornecimento e instalação</v>
      </c>
      <c r="E272" s="273" t="s">
        <v>526</v>
      </c>
      <c r="F272" s="274">
        <v>1</v>
      </c>
      <c r="G272" s="275" t="e">
        <f>Comp!#REF!</f>
        <v>#REF!</v>
      </c>
      <c r="H272" s="275"/>
      <c r="I272" s="276"/>
      <c r="J272" s="276" t="e">
        <f t="shared" si="28"/>
        <v>#REF!</v>
      </c>
      <c r="L272" s="280"/>
      <c r="M272" s="280"/>
      <c r="N272" s="281"/>
    </row>
    <row r="273" spans="1:14" s="279" customFormat="1" ht="24" x14ac:dyDescent="0.2">
      <c r="A273" s="269"/>
      <c r="B273" s="270"/>
      <c r="C273" s="271" t="s">
        <v>1077</v>
      </c>
      <c r="D273" s="272" t="s">
        <v>1078</v>
      </c>
      <c r="E273" s="273" t="s">
        <v>526</v>
      </c>
      <c r="F273" s="274">
        <v>1</v>
      </c>
      <c r="G273" s="275" t="e">
        <f>Comp!#REF!</f>
        <v>#REF!</v>
      </c>
      <c r="H273" s="275">
        <v>58.13</v>
      </c>
      <c r="I273" s="276">
        <f t="shared" si="27"/>
        <v>58.13</v>
      </c>
      <c r="J273" s="276" t="e">
        <f t="shared" si="28"/>
        <v>#REF!</v>
      </c>
      <c r="L273" s="280"/>
      <c r="M273" s="280"/>
      <c r="N273" s="281"/>
    </row>
    <row r="274" spans="1:14" s="279" customFormat="1" x14ac:dyDescent="0.2">
      <c r="A274" s="269"/>
      <c r="B274" s="270" t="s">
        <v>1079</v>
      </c>
      <c r="C274" s="271" t="s">
        <v>1080</v>
      </c>
      <c r="D274" s="272" t="s">
        <v>1081</v>
      </c>
      <c r="E274" s="273" t="s">
        <v>526</v>
      </c>
      <c r="F274" s="274">
        <v>8</v>
      </c>
      <c r="G274" s="275" t="e">
        <f>Comp!#REF!</f>
        <v>#REF!</v>
      </c>
      <c r="H274" s="275">
        <v>93.74</v>
      </c>
      <c r="I274" s="276">
        <f t="shared" si="27"/>
        <v>749.92</v>
      </c>
      <c r="J274" s="276" t="e">
        <f t="shared" si="28"/>
        <v>#REF!</v>
      </c>
      <c r="L274" s="280"/>
      <c r="M274" s="280"/>
      <c r="N274" s="281"/>
    </row>
    <row r="275" spans="1:14" s="279" customFormat="1" ht="24" x14ac:dyDescent="0.2">
      <c r="A275" s="269"/>
      <c r="B275" s="270" t="s">
        <v>1082</v>
      </c>
      <c r="C275" s="271" t="s">
        <v>1083</v>
      </c>
      <c r="D275" s="272" t="s">
        <v>1084</v>
      </c>
      <c r="E275" s="273" t="s">
        <v>526</v>
      </c>
      <c r="F275" s="274">
        <v>2</v>
      </c>
      <c r="G275" s="275" t="e">
        <f>Comp!#REF!</f>
        <v>#REF!</v>
      </c>
      <c r="H275" s="275">
        <v>179.62</v>
      </c>
      <c r="I275" s="276">
        <f t="shared" si="27"/>
        <v>359.24</v>
      </c>
      <c r="J275" s="276" t="e">
        <f t="shared" si="28"/>
        <v>#REF!</v>
      </c>
      <c r="L275" s="280"/>
      <c r="M275" s="280"/>
      <c r="N275" s="281"/>
    </row>
    <row r="276" spans="1:14" s="279" customFormat="1" x14ac:dyDescent="0.2">
      <c r="A276" s="269"/>
      <c r="B276" s="270"/>
      <c r="C276" s="271" t="s">
        <v>1085</v>
      </c>
      <c r="D276" s="272" t="s">
        <v>1086</v>
      </c>
      <c r="E276" s="273" t="s">
        <v>526</v>
      </c>
      <c r="F276" s="274">
        <v>2</v>
      </c>
      <c r="G276" s="275" t="e">
        <f>Comp!#REF!</f>
        <v>#REF!</v>
      </c>
      <c r="H276" s="275"/>
      <c r="I276" s="276"/>
      <c r="J276" s="276" t="e">
        <f t="shared" si="28"/>
        <v>#REF!</v>
      </c>
      <c r="L276" s="280"/>
      <c r="M276" s="280"/>
      <c r="N276" s="281"/>
    </row>
    <row r="277" spans="1:14" s="279" customFormat="1" x14ac:dyDescent="0.2">
      <c r="A277" s="269"/>
      <c r="B277" s="270"/>
      <c r="C277" s="271" t="s">
        <v>1087</v>
      </c>
      <c r="D277" s="272" t="s">
        <v>1088</v>
      </c>
      <c r="E277" s="273" t="s">
        <v>526</v>
      </c>
      <c r="F277" s="274">
        <v>2</v>
      </c>
      <c r="G277" s="275" t="e">
        <f>Comp!#REF!</f>
        <v>#REF!</v>
      </c>
      <c r="H277" s="275"/>
      <c r="I277" s="276"/>
      <c r="J277" s="276" t="e">
        <f t="shared" si="28"/>
        <v>#REF!</v>
      </c>
      <c r="L277" s="280"/>
      <c r="M277" s="280"/>
      <c r="N277" s="281"/>
    </row>
    <row r="278" spans="1:14" s="279" customFormat="1" ht="24" x14ac:dyDescent="0.2">
      <c r="A278" s="269"/>
      <c r="B278" s="270" t="s">
        <v>1089</v>
      </c>
      <c r="C278" s="271" t="s">
        <v>1090</v>
      </c>
      <c r="D278" s="272" t="s">
        <v>1091</v>
      </c>
      <c r="E278" s="273" t="s">
        <v>526</v>
      </c>
      <c r="F278" s="274">
        <v>1</v>
      </c>
      <c r="G278" s="275" t="e">
        <f>Comp!#REF!</f>
        <v>#REF!</v>
      </c>
      <c r="H278" s="275">
        <v>59.54</v>
      </c>
      <c r="I278" s="276">
        <f t="shared" si="27"/>
        <v>59.54</v>
      </c>
      <c r="J278" s="276" t="e">
        <f t="shared" si="28"/>
        <v>#REF!</v>
      </c>
      <c r="L278" s="280"/>
      <c r="M278" s="280"/>
      <c r="N278" s="281"/>
    </row>
    <row r="279" spans="1:14" s="279" customFormat="1" ht="24" x14ac:dyDescent="0.2">
      <c r="A279" s="269"/>
      <c r="B279" s="270" t="s">
        <v>1092</v>
      </c>
      <c r="C279" s="271" t="s">
        <v>1093</v>
      </c>
      <c r="D279" s="272" t="s">
        <v>1094</v>
      </c>
      <c r="E279" s="273" t="s">
        <v>526</v>
      </c>
      <c r="F279" s="274">
        <v>5</v>
      </c>
      <c r="G279" s="275" t="e">
        <f>Comp!#REF!</f>
        <v>#REF!</v>
      </c>
      <c r="H279" s="275">
        <v>106.84</v>
      </c>
      <c r="I279" s="276">
        <f t="shared" si="27"/>
        <v>534.20000000000005</v>
      </c>
      <c r="J279" s="276" t="e">
        <f t="shared" si="28"/>
        <v>#REF!</v>
      </c>
      <c r="L279" s="280"/>
      <c r="M279" s="280"/>
      <c r="N279" s="281"/>
    </row>
    <row r="280" spans="1:14" s="279" customFormat="1" ht="24" x14ac:dyDescent="0.2">
      <c r="A280" s="269"/>
      <c r="B280" s="270" t="s">
        <v>1089</v>
      </c>
      <c r="C280" s="271" t="s">
        <v>1095</v>
      </c>
      <c r="D280" s="272" t="s">
        <v>1096</v>
      </c>
      <c r="E280" s="273" t="s">
        <v>526</v>
      </c>
      <c r="F280" s="274">
        <v>31</v>
      </c>
      <c r="G280" s="275" t="e">
        <f>Comp!#REF!</f>
        <v>#REF!</v>
      </c>
      <c r="H280" s="275">
        <v>72.44</v>
      </c>
      <c r="I280" s="276">
        <f t="shared" si="27"/>
        <v>2245.64</v>
      </c>
      <c r="J280" s="276" t="e">
        <f t="shared" si="28"/>
        <v>#REF!</v>
      </c>
      <c r="L280" s="280"/>
      <c r="M280" s="280"/>
      <c r="N280" s="281"/>
    </row>
    <row r="281" spans="1:14" s="279" customFormat="1" ht="24" x14ac:dyDescent="0.2">
      <c r="A281" s="269"/>
      <c r="B281" s="270">
        <v>89985</v>
      </c>
      <c r="C281" s="271" t="s">
        <v>1097</v>
      </c>
      <c r="D281" s="272" t="s">
        <v>1098</v>
      </c>
      <c r="E281" s="273" t="s">
        <v>526</v>
      </c>
      <c r="F281" s="274">
        <v>15</v>
      </c>
      <c r="G281" s="275" t="e">
        <f>Comp!#REF!</f>
        <v>#REF!</v>
      </c>
      <c r="H281" s="275">
        <v>30.89</v>
      </c>
      <c r="I281" s="276">
        <f t="shared" si="27"/>
        <v>463.35</v>
      </c>
      <c r="J281" s="276" t="e">
        <f t="shared" si="28"/>
        <v>#REF!</v>
      </c>
      <c r="L281" s="280"/>
      <c r="M281" s="280"/>
      <c r="N281" s="281"/>
    </row>
    <row r="282" spans="1:14" s="279" customFormat="1" x14ac:dyDescent="0.2">
      <c r="A282" s="269"/>
      <c r="B282" s="260" t="s">
        <v>680</v>
      </c>
      <c r="C282" s="261">
        <v>13</v>
      </c>
      <c r="D282" s="262" t="s">
        <v>1099</v>
      </c>
      <c r="E282" s="288"/>
      <c r="F282" s="264"/>
      <c r="G282" s="265"/>
      <c r="H282" s="266"/>
      <c r="I282" s="267">
        <f>SUM(I285:I292)</f>
        <v>11708.561599999999</v>
      </c>
      <c r="J282" s="267" t="e">
        <f>SUM(J284:J292)</f>
        <v>#REF!</v>
      </c>
      <c r="K282" s="268"/>
      <c r="L282" s="280"/>
      <c r="M282" s="280"/>
      <c r="N282" s="281"/>
    </row>
    <row r="283" spans="1:14" s="279" customFormat="1" x14ac:dyDescent="0.2">
      <c r="A283" s="269"/>
      <c r="B283" s="270" t="s">
        <v>680</v>
      </c>
      <c r="C283" s="289"/>
      <c r="D283" s="286" t="s">
        <v>1100</v>
      </c>
      <c r="E283" s="273"/>
      <c r="F283" s="274"/>
      <c r="G283" s="285"/>
      <c r="H283" s="275"/>
      <c r="I283" s="276">
        <f t="shared" ref="I283:I356" si="29">F283*H283</f>
        <v>0</v>
      </c>
      <c r="J283" s="290"/>
      <c r="L283" s="280"/>
      <c r="M283" s="280"/>
      <c r="N283" s="281"/>
    </row>
    <row r="284" spans="1:14" s="279" customFormat="1" x14ac:dyDescent="0.2">
      <c r="A284" s="269"/>
      <c r="B284" s="270"/>
      <c r="C284" s="325" t="s">
        <v>234</v>
      </c>
      <c r="D284" s="272" t="s">
        <v>1101</v>
      </c>
      <c r="E284" s="273" t="s">
        <v>418</v>
      </c>
      <c r="F284" s="274">
        <v>237.27</v>
      </c>
      <c r="G284" s="275" t="e">
        <f>Comp!#REF!</f>
        <v>#REF!</v>
      </c>
      <c r="H284" s="275"/>
      <c r="I284" s="276"/>
      <c r="J284" s="276" t="e">
        <f t="shared" ref="J284:J292" si="30">F284*G284</f>
        <v>#REF!</v>
      </c>
      <c r="L284" s="280"/>
      <c r="M284" s="280"/>
      <c r="N284" s="281"/>
    </row>
    <row r="285" spans="1:14" s="279" customFormat="1" x14ac:dyDescent="0.2">
      <c r="A285" s="269"/>
      <c r="B285" s="270">
        <v>89849</v>
      </c>
      <c r="C285" s="325" t="s">
        <v>1102</v>
      </c>
      <c r="D285" s="272" t="s">
        <v>1103</v>
      </c>
      <c r="E285" s="273" t="s">
        <v>418</v>
      </c>
      <c r="F285" s="274">
        <v>107.14</v>
      </c>
      <c r="G285" s="275" t="e">
        <f>Comp!#REF!</f>
        <v>#REF!</v>
      </c>
      <c r="H285" s="275">
        <v>72.44</v>
      </c>
      <c r="I285" s="276">
        <f t="shared" si="29"/>
        <v>7761.2215999999999</v>
      </c>
      <c r="J285" s="276" t="e">
        <f t="shared" si="30"/>
        <v>#REF!</v>
      </c>
      <c r="L285" s="280"/>
      <c r="M285" s="280"/>
      <c r="N285" s="281"/>
    </row>
    <row r="286" spans="1:14" s="279" customFormat="1" x14ac:dyDescent="0.2">
      <c r="A286" s="269"/>
      <c r="B286" s="270"/>
      <c r="C286" s="325" t="s">
        <v>1104</v>
      </c>
      <c r="D286" s="272" t="s">
        <v>1105</v>
      </c>
      <c r="E286" s="273" t="s">
        <v>526</v>
      </c>
      <c r="F286" s="274">
        <v>52</v>
      </c>
      <c r="G286" s="275" t="e">
        <f>Comp!#REF!</f>
        <v>#REF!</v>
      </c>
      <c r="H286" s="275"/>
      <c r="I286" s="276"/>
      <c r="J286" s="276" t="e">
        <f t="shared" si="30"/>
        <v>#REF!</v>
      </c>
      <c r="L286" s="280"/>
      <c r="M286" s="280"/>
      <c r="N286" s="281"/>
    </row>
    <row r="287" spans="1:14" s="279" customFormat="1" x14ac:dyDescent="0.2">
      <c r="A287" s="269"/>
      <c r="B287" s="270">
        <v>89746</v>
      </c>
      <c r="C287" s="325" t="s">
        <v>1106</v>
      </c>
      <c r="D287" s="272" t="s">
        <v>1107</v>
      </c>
      <c r="E287" s="273" t="s">
        <v>526</v>
      </c>
      <c r="F287" s="274">
        <v>26</v>
      </c>
      <c r="G287" s="275" t="e">
        <f>Comp!#REF!</f>
        <v>#REF!</v>
      </c>
      <c r="H287" s="275">
        <v>13.11</v>
      </c>
      <c r="I287" s="276">
        <f t="shared" si="29"/>
        <v>340.86</v>
      </c>
      <c r="J287" s="276" t="e">
        <f t="shared" si="30"/>
        <v>#REF!</v>
      </c>
      <c r="L287" s="280"/>
      <c r="M287" s="280"/>
      <c r="N287" s="281"/>
    </row>
    <row r="288" spans="1:14" s="279" customFormat="1" x14ac:dyDescent="0.2">
      <c r="A288" s="269"/>
      <c r="B288" s="270">
        <v>89744</v>
      </c>
      <c r="C288" s="325" t="s">
        <v>1108</v>
      </c>
      <c r="D288" s="272" t="s">
        <v>1109</v>
      </c>
      <c r="E288" s="273" t="s">
        <v>526</v>
      </c>
      <c r="F288" s="274">
        <v>4</v>
      </c>
      <c r="G288" s="275" t="e">
        <f>Comp!#REF!</f>
        <v>#REF!</v>
      </c>
      <c r="H288" s="275">
        <v>13.01</v>
      </c>
      <c r="I288" s="276">
        <f t="shared" si="29"/>
        <v>52.04</v>
      </c>
      <c r="J288" s="276" t="e">
        <f t="shared" si="30"/>
        <v>#REF!</v>
      </c>
      <c r="L288" s="280"/>
      <c r="M288" s="280"/>
      <c r="N288" s="281"/>
    </row>
    <row r="289" spans="1:14" s="279" customFormat="1" ht="24" x14ac:dyDescent="0.2">
      <c r="A289" s="269"/>
      <c r="B289" s="270"/>
      <c r="C289" s="325" t="s">
        <v>1110</v>
      </c>
      <c r="D289" s="272" t="s">
        <v>1111</v>
      </c>
      <c r="E289" s="273" t="s">
        <v>526</v>
      </c>
      <c r="F289" s="274">
        <v>4</v>
      </c>
      <c r="G289" s="275" t="e">
        <f>Comp!#REF!</f>
        <v>#REF!</v>
      </c>
      <c r="H289" s="275"/>
      <c r="I289" s="276"/>
      <c r="J289" s="276" t="e">
        <f t="shared" si="30"/>
        <v>#REF!</v>
      </c>
      <c r="L289" s="280"/>
      <c r="M289" s="280"/>
      <c r="N289" s="281"/>
    </row>
    <row r="290" spans="1:14" s="279" customFormat="1" x14ac:dyDescent="0.2">
      <c r="A290" s="269"/>
      <c r="B290" s="270" t="s">
        <v>680</v>
      </c>
      <c r="C290" s="289"/>
      <c r="D290" s="286" t="s">
        <v>1112</v>
      </c>
      <c r="E290" s="273"/>
      <c r="F290" s="274"/>
      <c r="G290" s="285"/>
      <c r="H290" s="275"/>
      <c r="I290" s="276">
        <f t="shared" si="29"/>
        <v>0</v>
      </c>
      <c r="J290" s="276"/>
      <c r="L290" s="280"/>
      <c r="M290" s="280"/>
      <c r="N290" s="281"/>
    </row>
    <row r="291" spans="1:14" s="279" customFormat="1" ht="24" x14ac:dyDescent="0.2">
      <c r="A291" s="269"/>
      <c r="B291" s="270">
        <v>11708</v>
      </c>
      <c r="C291" s="271" t="s">
        <v>1113</v>
      </c>
      <c r="D291" s="272" t="s">
        <v>548</v>
      </c>
      <c r="E291" s="273" t="s">
        <v>526</v>
      </c>
      <c r="F291" s="274">
        <v>24</v>
      </c>
      <c r="G291" s="275" t="e">
        <f>Comp!#REF!</f>
        <v>#REF!</v>
      </c>
      <c r="H291" s="275">
        <v>19.71</v>
      </c>
      <c r="I291" s="276">
        <f t="shared" si="29"/>
        <v>473.04</v>
      </c>
      <c r="J291" s="276" t="e">
        <f t="shared" si="30"/>
        <v>#REF!</v>
      </c>
      <c r="L291" s="280"/>
      <c r="M291" s="280"/>
      <c r="N291" s="281"/>
    </row>
    <row r="292" spans="1:14" s="279" customFormat="1" x14ac:dyDescent="0.2">
      <c r="A292" s="269"/>
      <c r="B292" s="270">
        <v>72289</v>
      </c>
      <c r="C292" s="271" t="s">
        <v>1114</v>
      </c>
      <c r="D292" s="272" t="s">
        <v>1115</v>
      </c>
      <c r="E292" s="273" t="s">
        <v>526</v>
      </c>
      <c r="F292" s="274">
        <v>20</v>
      </c>
      <c r="G292" s="275" t="e">
        <f>Comp!#REF!</f>
        <v>#REF!</v>
      </c>
      <c r="H292" s="275">
        <v>154.07</v>
      </c>
      <c r="I292" s="276">
        <f t="shared" si="29"/>
        <v>3081.3999999999996</v>
      </c>
      <c r="J292" s="276" t="e">
        <f t="shared" si="30"/>
        <v>#REF!</v>
      </c>
      <c r="L292" s="280"/>
      <c r="M292" s="280"/>
      <c r="N292" s="281"/>
    </row>
    <row r="293" spans="1:14" s="279" customFormat="1" x14ac:dyDescent="0.2">
      <c r="A293" s="269"/>
      <c r="B293" s="260" t="s">
        <v>680</v>
      </c>
      <c r="C293" s="261">
        <v>14</v>
      </c>
      <c r="D293" s="262" t="s">
        <v>1116</v>
      </c>
      <c r="E293" s="288"/>
      <c r="F293" s="264"/>
      <c r="G293" s="265"/>
      <c r="H293" s="266"/>
      <c r="I293" s="267">
        <f>SUM(I294:I333)</f>
        <v>30020.701800000003</v>
      </c>
      <c r="J293" s="267" t="e">
        <f>SUM(J294:J333)</f>
        <v>#REF!</v>
      </c>
      <c r="K293" s="268"/>
      <c r="L293" s="280"/>
      <c r="M293" s="280"/>
      <c r="N293" s="281"/>
    </row>
    <row r="294" spans="1:14" s="279" customFormat="1" x14ac:dyDescent="0.2">
      <c r="A294" s="269"/>
      <c r="B294" s="270">
        <v>89707</v>
      </c>
      <c r="C294" s="271" t="s">
        <v>235</v>
      </c>
      <c r="D294" s="272" t="s">
        <v>1117</v>
      </c>
      <c r="E294" s="273" t="s">
        <v>526</v>
      </c>
      <c r="F294" s="274">
        <v>19</v>
      </c>
      <c r="G294" s="285" t="e">
        <f>Comp!#REF!</f>
        <v>#REF!</v>
      </c>
      <c r="H294" s="275">
        <v>19.77</v>
      </c>
      <c r="I294" s="276">
        <f t="shared" si="29"/>
        <v>375.63</v>
      </c>
      <c r="J294" s="276" t="e">
        <f t="shared" ref="J294:J364" si="31">F294*G294</f>
        <v>#REF!</v>
      </c>
      <c r="L294" s="280"/>
      <c r="M294" s="280"/>
      <c r="N294" s="281"/>
    </row>
    <row r="295" spans="1:14" s="279" customFormat="1" x14ac:dyDescent="0.2">
      <c r="A295" s="269"/>
      <c r="B295" s="270"/>
      <c r="C295" s="271" t="s">
        <v>236</v>
      </c>
      <c r="D295" s="272" t="s">
        <v>1118</v>
      </c>
      <c r="E295" s="273" t="s">
        <v>526</v>
      </c>
      <c r="F295" s="274">
        <v>1</v>
      </c>
      <c r="G295" s="285" t="e">
        <f>Comp!#REF!</f>
        <v>#REF!</v>
      </c>
      <c r="H295" s="275"/>
      <c r="I295" s="276"/>
      <c r="J295" s="276" t="e">
        <f t="shared" si="31"/>
        <v>#REF!</v>
      </c>
      <c r="L295" s="280"/>
      <c r="M295" s="280"/>
      <c r="N295" s="281"/>
    </row>
    <row r="296" spans="1:14" s="279" customFormat="1" x14ac:dyDescent="0.2">
      <c r="A296" s="269"/>
      <c r="B296" s="299">
        <v>89710</v>
      </c>
      <c r="C296" s="300" t="s">
        <v>237</v>
      </c>
      <c r="D296" s="301" t="s">
        <v>1119</v>
      </c>
      <c r="E296" s="302" t="s">
        <v>526</v>
      </c>
      <c r="F296" s="303">
        <v>30</v>
      </c>
      <c r="G296" s="306" t="e">
        <f>Comp!#REF!</f>
        <v>#REF!</v>
      </c>
      <c r="H296" s="275">
        <v>7.18</v>
      </c>
      <c r="I296" s="276">
        <f t="shared" si="29"/>
        <v>215.39999999999998</v>
      </c>
      <c r="J296" s="276" t="e">
        <f t="shared" si="31"/>
        <v>#REF!</v>
      </c>
      <c r="L296" s="280"/>
      <c r="M296" s="280"/>
      <c r="N296" s="281"/>
    </row>
    <row r="297" spans="1:14" s="279" customFormat="1" x14ac:dyDescent="0.2">
      <c r="A297" s="269"/>
      <c r="B297" s="299"/>
      <c r="C297" s="300" t="s">
        <v>238</v>
      </c>
      <c r="D297" s="301" t="s">
        <v>549</v>
      </c>
      <c r="E297" s="302" t="s">
        <v>526</v>
      </c>
      <c r="F297" s="303">
        <v>39</v>
      </c>
      <c r="G297" s="306" t="e">
        <f>Comp!#REF!</f>
        <v>#REF!</v>
      </c>
      <c r="H297" s="275">
        <v>8.32</v>
      </c>
      <c r="I297" s="276">
        <f t="shared" si="29"/>
        <v>324.48</v>
      </c>
      <c r="J297" s="276" t="e">
        <f t="shared" si="31"/>
        <v>#REF!</v>
      </c>
      <c r="L297" s="280"/>
      <c r="M297" s="280"/>
      <c r="N297" s="281"/>
    </row>
    <row r="298" spans="1:14" s="279" customFormat="1" x14ac:dyDescent="0.2">
      <c r="A298" s="269"/>
      <c r="B298" s="270">
        <v>89714</v>
      </c>
      <c r="C298" s="271" t="s">
        <v>239</v>
      </c>
      <c r="D298" s="272" t="s">
        <v>1120</v>
      </c>
      <c r="E298" s="273" t="s">
        <v>418</v>
      </c>
      <c r="F298" s="274">
        <v>220.2</v>
      </c>
      <c r="G298" s="285" t="e">
        <f>Comp!#REF!</f>
        <v>#REF!</v>
      </c>
      <c r="H298" s="275">
        <v>26.84</v>
      </c>
      <c r="I298" s="276">
        <f t="shared" si="29"/>
        <v>5910.1679999999997</v>
      </c>
      <c r="J298" s="276" t="e">
        <f t="shared" si="31"/>
        <v>#REF!</v>
      </c>
      <c r="L298" s="280"/>
      <c r="M298" s="280"/>
      <c r="N298" s="281"/>
    </row>
    <row r="299" spans="1:14" s="279" customFormat="1" x14ac:dyDescent="0.2">
      <c r="A299" s="269"/>
      <c r="B299" s="270">
        <v>89711</v>
      </c>
      <c r="C299" s="271" t="s">
        <v>1121</v>
      </c>
      <c r="D299" s="272" t="s">
        <v>1122</v>
      </c>
      <c r="E299" s="273" t="s">
        <v>418</v>
      </c>
      <c r="F299" s="274">
        <v>146.53</v>
      </c>
      <c r="G299" s="285" t="e">
        <f>Comp!#REF!</f>
        <v>#REF!</v>
      </c>
      <c r="H299" s="275">
        <v>10.46</v>
      </c>
      <c r="I299" s="276">
        <f t="shared" si="29"/>
        <v>1532.7038000000002</v>
      </c>
      <c r="J299" s="276" t="e">
        <f t="shared" si="31"/>
        <v>#REF!</v>
      </c>
      <c r="L299" s="280"/>
      <c r="M299" s="280"/>
      <c r="N299" s="281"/>
    </row>
    <row r="300" spans="1:14" s="279" customFormat="1" x14ac:dyDescent="0.2">
      <c r="A300" s="269"/>
      <c r="B300" s="270">
        <v>89712</v>
      </c>
      <c r="C300" s="271" t="s">
        <v>1123</v>
      </c>
      <c r="D300" s="272" t="s">
        <v>1124</v>
      </c>
      <c r="E300" s="273" t="s">
        <v>418</v>
      </c>
      <c r="F300" s="274">
        <v>92.82</v>
      </c>
      <c r="G300" s="285" t="e">
        <f>Comp!#REF!</f>
        <v>#REF!</v>
      </c>
      <c r="H300" s="275">
        <v>14.87</v>
      </c>
      <c r="I300" s="276">
        <f t="shared" si="29"/>
        <v>1380.2333999999998</v>
      </c>
      <c r="J300" s="276" t="e">
        <f t="shared" si="31"/>
        <v>#REF!</v>
      </c>
      <c r="L300" s="280"/>
      <c r="M300" s="280"/>
      <c r="N300" s="281"/>
    </row>
    <row r="301" spans="1:14" s="279" customFormat="1" x14ac:dyDescent="0.2">
      <c r="A301" s="269"/>
      <c r="B301" s="270">
        <v>89511</v>
      </c>
      <c r="C301" s="271" t="s">
        <v>1125</v>
      </c>
      <c r="D301" s="272" t="s">
        <v>1126</v>
      </c>
      <c r="E301" s="273" t="s">
        <v>418</v>
      </c>
      <c r="F301" s="274">
        <v>166.99</v>
      </c>
      <c r="G301" s="285" t="e">
        <f>Comp!#REF!</f>
        <v>#REF!</v>
      </c>
      <c r="H301" s="275">
        <v>15.74</v>
      </c>
      <c r="I301" s="276">
        <f t="shared" si="29"/>
        <v>2628.4226000000003</v>
      </c>
      <c r="J301" s="276" t="e">
        <f t="shared" si="31"/>
        <v>#REF!</v>
      </c>
      <c r="L301" s="280"/>
      <c r="M301" s="280"/>
      <c r="N301" s="281"/>
    </row>
    <row r="302" spans="1:14" s="279" customFormat="1" x14ac:dyDescent="0.2">
      <c r="A302" s="269"/>
      <c r="B302" s="270">
        <v>89849</v>
      </c>
      <c r="C302" s="271" t="s">
        <v>1127</v>
      </c>
      <c r="D302" s="272" t="s">
        <v>1128</v>
      </c>
      <c r="E302" s="273" t="s">
        <v>418</v>
      </c>
      <c r="F302" s="274">
        <v>37.4</v>
      </c>
      <c r="G302" s="285" t="e">
        <f>Comp!#REF!</f>
        <v>#REF!</v>
      </c>
      <c r="H302" s="275">
        <v>30.06</v>
      </c>
      <c r="I302" s="276">
        <f t="shared" si="29"/>
        <v>1124.2439999999999</v>
      </c>
      <c r="J302" s="276" t="e">
        <f t="shared" si="31"/>
        <v>#REF!</v>
      </c>
      <c r="L302" s="280"/>
      <c r="M302" s="280"/>
      <c r="N302" s="281"/>
    </row>
    <row r="303" spans="1:14" s="279" customFormat="1" x14ac:dyDescent="0.2">
      <c r="A303" s="269"/>
      <c r="B303" s="270" t="s">
        <v>1129</v>
      </c>
      <c r="C303" s="271" t="s">
        <v>1130</v>
      </c>
      <c r="D303" s="272" t="s">
        <v>1131</v>
      </c>
      <c r="E303" s="273" t="s">
        <v>526</v>
      </c>
      <c r="F303" s="274">
        <v>7</v>
      </c>
      <c r="G303" s="285" t="e">
        <f>Comp!#REF!</f>
        <v>#REF!</v>
      </c>
      <c r="H303" s="275">
        <v>88.1</v>
      </c>
      <c r="I303" s="276">
        <f t="shared" si="29"/>
        <v>616.69999999999993</v>
      </c>
      <c r="J303" s="276" t="e">
        <f t="shared" si="31"/>
        <v>#REF!</v>
      </c>
      <c r="L303" s="280"/>
      <c r="M303" s="280"/>
      <c r="N303" s="281"/>
    </row>
    <row r="304" spans="1:14" s="279" customFormat="1" x14ac:dyDescent="0.2">
      <c r="A304" s="269"/>
      <c r="B304" s="270">
        <v>72289</v>
      </c>
      <c r="C304" s="271" t="s">
        <v>1132</v>
      </c>
      <c r="D304" s="272" t="s">
        <v>550</v>
      </c>
      <c r="E304" s="273" t="s">
        <v>526</v>
      </c>
      <c r="F304" s="274">
        <v>17</v>
      </c>
      <c r="G304" s="285" t="e">
        <f>Comp!#REF!</f>
        <v>#REF!</v>
      </c>
      <c r="H304" s="275">
        <v>372.96</v>
      </c>
      <c r="I304" s="276">
        <f t="shared" si="29"/>
        <v>6340.32</v>
      </c>
      <c r="J304" s="276" t="e">
        <f t="shared" si="31"/>
        <v>#REF!</v>
      </c>
      <c r="L304" s="280"/>
      <c r="M304" s="280"/>
      <c r="N304" s="281"/>
    </row>
    <row r="305" spans="1:14" s="279" customFormat="1" x14ac:dyDescent="0.2">
      <c r="A305" s="269"/>
      <c r="B305" s="270" t="s">
        <v>1133</v>
      </c>
      <c r="C305" s="271" t="s">
        <v>1134</v>
      </c>
      <c r="D305" s="272" t="s">
        <v>551</v>
      </c>
      <c r="E305" s="273" t="s">
        <v>526</v>
      </c>
      <c r="F305" s="274">
        <v>1</v>
      </c>
      <c r="G305" s="285" t="e">
        <f>Comp!#REF!</f>
        <v>#REF!</v>
      </c>
      <c r="H305" s="275">
        <v>153.94</v>
      </c>
      <c r="I305" s="276">
        <f t="shared" si="29"/>
        <v>153.94</v>
      </c>
      <c r="J305" s="276" t="e">
        <f t="shared" si="31"/>
        <v>#REF!</v>
      </c>
      <c r="L305" s="280"/>
      <c r="M305" s="280"/>
      <c r="N305" s="281"/>
    </row>
    <row r="306" spans="1:14" s="279" customFormat="1" x14ac:dyDescent="0.2">
      <c r="A306" s="269"/>
      <c r="B306" s="270" t="s">
        <v>1135</v>
      </c>
      <c r="C306" s="271" t="s">
        <v>1136</v>
      </c>
      <c r="D306" s="272" t="s">
        <v>1137</v>
      </c>
      <c r="E306" s="273" t="s">
        <v>526</v>
      </c>
      <c r="F306" s="274">
        <v>1</v>
      </c>
      <c r="G306" s="275" t="e">
        <f>Comp!#REF!</f>
        <v>#REF!</v>
      </c>
      <c r="H306" s="275">
        <v>1535.38</v>
      </c>
      <c r="I306" s="276">
        <f t="shared" si="29"/>
        <v>1535.38</v>
      </c>
      <c r="J306" s="276" t="e">
        <f t="shared" si="31"/>
        <v>#REF!</v>
      </c>
      <c r="L306" s="280"/>
      <c r="M306" s="280"/>
      <c r="N306" s="281"/>
    </row>
    <row r="307" spans="1:14" s="279" customFormat="1" x14ac:dyDescent="0.2">
      <c r="A307" s="269"/>
      <c r="B307" s="270" t="s">
        <v>1138</v>
      </c>
      <c r="C307" s="271" t="s">
        <v>1139</v>
      </c>
      <c r="D307" s="272" t="s">
        <v>554</v>
      </c>
      <c r="E307" s="273" t="s">
        <v>526</v>
      </c>
      <c r="F307" s="274">
        <v>1</v>
      </c>
      <c r="G307" s="285" t="e">
        <f>Comp!#REF!</f>
        <v>#REF!</v>
      </c>
      <c r="H307" s="275">
        <v>1189.47</v>
      </c>
      <c r="I307" s="276">
        <f t="shared" si="29"/>
        <v>1189.47</v>
      </c>
      <c r="J307" s="276" t="e">
        <f t="shared" si="31"/>
        <v>#REF!</v>
      </c>
      <c r="L307" s="280"/>
      <c r="M307" s="280"/>
      <c r="N307" s="281"/>
    </row>
    <row r="308" spans="1:14" s="279" customFormat="1" x14ac:dyDescent="0.2">
      <c r="A308" s="269"/>
      <c r="B308" s="270">
        <v>90375</v>
      </c>
      <c r="C308" s="271" t="s">
        <v>1140</v>
      </c>
      <c r="D308" s="272" t="s">
        <v>1141</v>
      </c>
      <c r="E308" s="273" t="s">
        <v>526</v>
      </c>
      <c r="F308" s="274">
        <v>38</v>
      </c>
      <c r="G308" s="285" t="e">
        <f>Comp!#REF!</f>
        <v>#REF!</v>
      </c>
      <c r="H308" s="275">
        <v>5.3</v>
      </c>
      <c r="I308" s="276">
        <f t="shared" si="29"/>
        <v>201.4</v>
      </c>
      <c r="J308" s="276" t="e">
        <f t="shared" si="31"/>
        <v>#REF!</v>
      </c>
      <c r="L308" s="280"/>
      <c r="M308" s="280"/>
      <c r="N308" s="281"/>
    </row>
    <row r="309" spans="1:14" s="279" customFormat="1" x14ac:dyDescent="0.2">
      <c r="A309" s="269"/>
      <c r="B309" s="270">
        <v>89728</v>
      </c>
      <c r="C309" s="271" t="s">
        <v>1142</v>
      </c>
      <c r="D309" s="272" t="s">
        <v>1143</v>
      </c>
      <c r="E309" s="273" t="s">
        <v>526</v>
      </c>
      <c r="F309" s="274">
        <v>97</v>
      </c>
      <c r="G309" s="285" t="e">
        <f>Comp!#REF!</f>
        <v>#REF!</v>
      </c>
      <c r="H309" s="275">
        <v>5.54</v>
      </c>
      <c r="I309" s="276">
        <f t="shared" si="29"/>
        <v>537.38</v>
      </c>
      <c r="J309" s="276" t="e">
        <f t="shared" si="31"/>
        <v>#REF!</v>
      </c>
      <c r="L309" s="280"/>
      <c r="M309" s="280"/>
      <c r="N309" s="281"/>
    </row>
    <row r="310" spans="1:14" s="279" customFormat="1" x14ac:dyDescent="0.2">
      <c r="A310" s="269"/>
      <c r="B310" s="270">
        <v>89503</v>
      </c>
      <c r="C310" s="271" t="s">
        <v>1144</v>
      </c>
      <c r="D310" s="272" t="s">
        <v>1145</v>
      </c>
      <c r="E310" s="273" t="s">
        <v>526</v>
      </c>
      <c r="F310" s="274">
        <v>15</v>
      </c>
      <c r="G310" s="285" t="e">
        <f>Comp!#REF!</f>
        <v>#REF!</v>
      </c>
      <c r="H310" s="275">
        <v>9.69</v>
      </c>
      <c r="I310" s="276">
        <f t="shared" si="29"/>
        <v>145.35</v>
      </c>
      <c r="J310" s="276" t="e">
        <f t="shared" si="31"/>
        <v>#REF!</v>
      </c>
      <c r="L310" s="280"/>
      <c r="M310" s="280"/>
      <c r="N310" s="281"/>
    </row>
    <row r="311" spans="1:14" s="279" customFormat="1" x14ac:dyDescent="0.2">
      <c r="A311" s="269"/>
      <c r="B311" s="270">
        <v>89517</v>
      </c>
      <c r="C311" s="271" t="s">
        <v>1146</v>
      </c>
      <c r="D311" s="272" t="s">
        <v>1147</v>
      </c>
      <c r="E311" s="273" t="s">
        <v>526</v>
      </c>
      <c r="F311" s="274">
        <v>24</v>
      </c>
      <c r="G311" s="285" t="e">
        <f>Comp!#REF!</f>
        <v>#REF!</v>
      </c>
      <c r="H311" s="275">
        <v>18.18</v>
      </c>
      <c r="I311" s="276">
        <f t="shared" si="29"/>
        <v>436.32</v>
      </c>
      <c r="J311" s="276" t="e">
        <f t="shared" si="31"/>
        <v>#REF!</v>
      </c>
      <c r="L311" s="280"/>
      <c r="M311" s="280"/>
      <c r="N311" s="281"/>
    </row>
    <row r="312" spans="1:14" s="279" customFormat="1" x14ac:dyDescent="0.2">
      <c r="A312" s="269"/>
      <c r="B312" s="270">
        <v>89746</v>
      </c>
      <c r="C312" s="271" t="s">
        <v>1148</v>
      </c>
      <c r="D312" s="272" t="s">
        <v>1149</v>
      </c>
      <c r="E312" s="273" t="s">
        <v>526</v>
      </c>
      <c r="F312" s="274">
        <v>7</v>
      </c>
      <c r="G312" s="285" t="e">
        <f>Comp!#REF!</f>
        <v>#REF!</v>
      </c>
      <c r="H312" s="275">
        <v>11.28</v>
      </c>
      <c r="I312" s="276">
        <f t="shared" si="29"/>
        <v>78.959999999999994</v>
      </c>
      <c r="J312" s="276" t="e">
        <f t="shared" si="31"/>
        <v>#REF!</v>
      </c>
      <c r="L312" s="280"/>
      <c r="M312" s="280"/>
      <c r="N312" s="281"/>
    </row>
    <row r="313" spans="1:14" s="279" customFormat="1" x14ac:dyDescent="0.2">
      <c r="A313" s="269"/>
      <c r="B313" s="270"/>
      <c r="C313" s="271" t="s">
        <v>1150</v>
      </c>
      <c r="D313" s="272" t="s">
        <v>1151</v>
      </c>
      <c r="E313" s="273" t="s">
        <v>526</v>
      </c>
      <c r="F313" s="274">
        <v>9</v>
      </c>
      <c r="G313" s="285" t="e">
        <f>Comp!#REF!</f>
        <v>#REF!</v>
      </c>
      <c r="H313" s="275"/>
      <c r="I313" s="276"/>
      <c r="J313" s="276" t="e">
        <f t="shared" si="31"/>
        <v>#REF!</v>
      </c>
      <c r="L313" s="280"/>
      <c r="M313" s="280"/>
      <c r="N313" s="281"/>
    </row>
    <row r="314" spans="1:14" s="279" customFormat="1" x14ac:dyDescent="0.2">
      <c r="A314" s="269"/>
      <c r="B314" s="270">
        <v>89732</v>
      </c>
      <c r="C314" s="271" t="s">
        <v>1152</v>
      </c>
      <c r="D314" s="272" t="s">
        <v>1153</v>
      </c>
      <c r="E314" s="273" t="s">
        <v>526</v>
      </c>
      <c r="F314" s="274">
        <v>23</v>
      </c>
      <c r="G314" s="285" t="e">
        <f>Comp!#REF!</f>
        <v>#REF!</v>
      </c>
      <c r="H314" s="275">
        <v>6.38</v>
      </c>
      <c r="I314" s="276">
        <f t="shared" si="29"/>
        <v>146.74</v>
      </c>
      <c r="J314" s="276" t="e">
        <f t="shared" si="31"/>
        <v>#REF!</v>
      </c>
      <c r="L314" s="280"/>
      <c r="M314" s="280"/>
      <c r="N314" s="281"/>
    </row>
    <row r="315" spans="1:14" s="279" customFormat="1" x14ac:dyDescent="0.2">
      <c r="A315" s="269"/>
      <c r="B315" s="270">
        <v>89726</v>
      </c>
      <c r="C315" s="271" t="s">
        <v>1154</v>
      </c>
      <c r="D315" s="272" t="s">
        <v>1155</v>
      </c>
      <c r="E315" s="273" t="s">
        <v>526</v>
      </c>
      <c r="F315" s="274">
        <v>50</v>
      </c>
      <c r="G315" s="285" t="e">
        <f>Comp!#REF!</f>
        <v>#REF!</v>
      </c>
      <c r="H315" s="275">
        <v>3.41</v>
      </c>
      <c r="I315" s="276">
        <f t="shared" si="29"/>
        <v>170.5</v>
      </c>
      <c r="J315" s="276" t="e">
        <f t="shared" si="31"/>
        <v>#REF!</v>
      </c>
      <c r="L315" s="280"/>
      <c r="M315" s="280"/>
      <c r="N315" s="281"/>
    </row>
    <row r="316" spans="1:14" s="279" customFormat="1" x14ac:dyDescent="0.2">
      <c r="A316" s="269"/>
      <c r="B316" s="270">
        <v>89744</v>
      </c>
      <c r="C316" s="271" t="s">
        <v>1156</v>
      </c>
      <c r="D316" s="272" t="s">
        <v>1157</v>
      </c>
      <c r="E316" s="273" t="s">
        <v>526</v>
      </c>
      <c r="F316" s="274">
        <v>26</v>
      </c>
      <c r="G316" s="285" t="e">
        <f>Comp!#REF!</f>
        <v>#REF!</v>
      </c>
      <c r="H316" s="275">
        <v>11.66</v>
      </c>
      <c r="I316" s="276">
        <f t="shared" si="29"/>
        <v>303.16000000000003</v>
      </c>
      <c r="J316" s="276" t="e">
        <f t="shared" si="31"/>
        <v>#REF!</v>
      </c>
      <c r="L316" s="280"/>
      <c r="M316" s="280"/>
      <c r="N316" s="281"/>
    </row>
    <row r="317" spans="1:14" s="279" customFormat="1" x14ac:dyDescent="0.2">
      <c r="A317" s="269"/>
      <c r="B317" s="270">
        <v>89522</v>
      </c>
      <c r="C317" s="271" t="s">
        <v>1158</v>
      </c>
      <c r="D317" s="272" t="s">
        <v>1159</v>
      </c>
      <c r="E317" s="273" t="s">
        <v>526</v>
      </c>
      <c r="F317" s="274">
        <v>34</v>
      </c>
      <c r="G317" s="285" t="e">
        <f>Comp!#REF!</f>
        <v>#REF!</v>
      </c>
      <c r="H317" s="275">
        <v>12.53</v>
      </c>
      <c r="I317" s="276">
        <f t="shared" si="29"/>
        <v>426.02</v>
      </c>
      <c r="J317" s="276" t="e">
        <f t="shared" si="31"/>
        <v>#REF!</v>
      </c>
      <c r="L317" s="280"/>
      <c r="M317" s="280"/>
      <c r="N317" s="281"/>
    </row>
    <row r="318" spans="1:14" s="279" customFormat="1" x14ac:dyDescent="0.2">
      <c r="A318" s="269"/>
      <c r="B318" s="270">
        <v>89731</v>
      </c>
      <c r="C318" s="271" t="s">
        <v>1160</v>
      </c>
      <c r="D318" s="272" t="s">
        <v>1161</v>
      </c>
      <c r="E318" s="273" t="s">
        <v>526</v>
      </c>
      <c r="F318" s="274">
        <v>24</v>
      </c>
      <c r="G318" s="285" t="e">
        <f>Comp!#REF!</f>
        <v>#REF!</v>
      </c>
      <c r="H318" s="275">
        <v>6.24</v>
      </c>
      <c r="I318" s="276">
        <f t="shared" si="29"/>
        <v>149.76</v>
      </c>
      <c r="J318" s="276" t="e">
        <f t="shared" si="31"/>
        <v>#REF!</v>
      </c>
      <c r="L318" s="280"/>
      <c r="M318" s="280"/>
      <c r="N318" s="281"/>
    </row>
    <row r="319" spans="1:14" s="279" customFormat="1" x14ac:dyDescent="0.2">
      <c r="A319" s="269"/>
      <c r="B319" s="270">
        <v>89724</v>
      </c>
      <c r="C319" s="271" t="s">
        <v>1162</v>
      </c>
      <c r="D319" s="272" t="s">
        <v>1163</v>
      </c>
      <c r="E319" s="273" t="s">
        <v>526</v>
      </c>
      <c r="F319" s="274">
        <v>19</v>
      </c>
      <c r="G319" s="285" t="e">
        <f>Comp!#REF!</f>
        <v>#REF!</v>
      </c>
      <c r="H319" s="275">
        <v>3.28</v>
      </c>
      <c r="I319" s="276">
        <f t="shared" si="29"/>
        <v>62.319999999999993</v>
      </c>
      <c r="J319" s="276" t="e">
        <f t="shared" si="31"/>
        <v>#REF!</v>
      </c>
      <c r="L319" s="280"/>
      <c r="M319" s="280"/>
      <c r="N319" s="281"/>
    </row>
    <row r="320" spans="1:14" s="279" customFormat="1" ht="24" x14ac:dyDescent="0.2">
      <c r="A320" s="269"/>
      <c r="B320" s="270">
        <v>89724</v>
      </c>
      <c r="C320" s="271" t="s">
        <v>1164</v>
      </c>
      <c r="D320" s="272" t="s">
        <v>1165</v>
      </c>
      <c r="E320" s="273" t="s">
        <v>526</v>
      </c>
      <c r="F320" s="274">
        <v>65</v>
      </c>
      <c r="G320" s="285" t="e">
        <f>Comp!#REF!</f>
        <v>#REF!</v>
      </c>
      <c r="H320" s="275">
        <v>5.37</v>
      </c>
      <c r="I320" s="276">
        <f t="shared" si="29"/>
        <v>349.05</v>
      </c>
      <c r="J320" s="276" t="e">
        <f t="shared" si="31"/>
        <v>#REF!</v>
      </c>
      <c r="L320" s="280"/>
      <c r="M320" s="280"/>
      <c r="N320" s="281"/>
    </row>
    <row r="321" spans="1:14" s="279" customFormat="1" ht="24" x14ac:dyDescent="0.2">
      <c r="A321" s="269"/>
      <c r="B321" s="270">
        <v>89569</v>
      </c>
      <c r="C321" s="271" t="s">
        <v>1166</v>
      </c>
      <c r="D321" s="272" t="s">
        <v>1167</v>
      </c>
      <c r="E321" s="273" t="s">
        <v>526</v>
      </c>
      <c r="F321" s="274">
        <v>25</v>
      </c>
      <c r="G321" s="285" t="e">
        <f>Comp!#REF!</f>
        <v>#REF!</v>
      </c>
      <c r="H321" s="275">
        <v>30.97</v>
      </c>
      <c r="I321" s="276">
        <f t="shared" si="29"/>
        <v>774.25</v>
      </c>
      <c r="J321" s="276" t="e">
        <f t="shared" si="31"/>
        <v>#REF!</v>
      </c>
      <c r="L321" s="280"/>
      <c r="M321" s="280"/>
      <c r="N321" s="281"/>
    </row>
    <row r="322" spans="1:14" s="279" customFormat="1" ht="24" x14ac:dyDescent="0.2">
      <c r="A322" s="269"/>
      <c r="B322" s="270"/>
      <c r="C322" s="271" t="s">
        <v>1168</v>
      </c>
      <c r="D322" s="272" t="s">
        <v>1169</v>
      </c>
      <c r="E322" s="273" t="s">
        <v>526</v>
      </c>
      <c r="F322" s="274">
        <v>2</v>
      </c>
      <c r="G322" s="285" t="e">
        <f>Comp!#REF!</f>
        <v>#REF!</v>
      </c>
      <c r="H322" s="275"/>
      <c r="I322" s="276"/>
      <c r="J322" s="276" t="e">
        <f t="shared" si="31"/>
        <v>#REF!</v>
      </c>
      <c r="L322" s="280"/>
      <c r="M322" s="280"/>
      <c r="N322" s="281"/>
    </row>
    <row r="323" spans="1:14" s="279" customFormat="1" ht="24" x14ac:dyDescent="0.2">
      <c r="A323" s="269"/>
      <c r="B323" s="270">
        <v>89690</v>
      </c>
      <c r="C323" s="271" t="s">
        <v>1170</v>
      </c>
      <c r="D323" s="272" t="s">
        <v>1171</v>
      </c>
      <c r="E323" s="273" t="s">
        <v>526</v>
      </c>
      <c r="F323" s="274">
        <v>19</v>
      </c>
      <c r="G323" s="285" t="e">
        <f>Comp!#REF!</f>
        <v>#REF!</v>
      </c>
      <c r="H323" s="275">
        <v>32.11</v>
      </c>
      <c r="I323" s="276">
        <f t="shared" si="29"/>
        <v>610.09</v>
      </c>
      <c r="J323" s="276" t="e">
        <f t="shared" si="31"/>
        <v>#REF!</v>
      </c>
      <c r="L323" s="280"/>
      <c r="M323" s="280"/>
      <c r="N323" s="281"/>
    </row>
    <row r="324" spans="1:14" s="279" customFormat="1" ht="24" x14ac:dyDescent="0.2">
      <c r="A324" s="269"/>
      <c r="B324" s="270"/>
      <c r="C324" s="271" t="s">
        <v>1172</v>
      </c>
      <c r="D324" s="272" t="s">
        <v>1173</v>
      </c>
      <c r="E324" s="273" t="s">
        <v>526</v>
      </c>
      <c r="F324" s="274">
        <v>5</v>
      </c>
      <c r="G324" s="285" t="e">
        <f>Comp!#REF!</f>
        <v>#REF!</v>
      </c>
      <c r="H324" s="275"/>
      <c r="I324" s="276"/>
      <c r="J324" s="276" t="e">
        <f t="shared" si="31"/>
        <v>#REF!</v>
      </c>
      <c r="L324" s="280"/>
      <c r="M324" s="280"/>
      <c r="N324" s="281"/>
    </row>
    <row r="325" spans="1:14" s="279" customFormat="1" ht="24" x14ac:dyDescent="0.2">
      <c r="A325" s="269"/>
      <c r="B325" s="270">
        <v>89685</v>
      </c>
      <c r="C325" s="271" t="s">
        <v>1174</v>
      </c>
      <c r="D325" s="272" t="s">
        <v>1175</v>
      </c>
      <c r="E325" s="273" t="s">
        <v>526</v>
      </c>
      <c r="F325" s="274">
        <v>2</v>
      </c>
      <c r="G325" s="285" t="e">
        <f>Comp!#REF!</f>
        <v>#REF!</v>
      </c>
      <c r="H325" s="275">
        <v>17.72</v>
      </c>
      <c r="I325" s="276">
        <f t="shared" si="29"/>
        <v>35.44</v>
      </c>
      <c r="J325" s="276" t="e">
        <f t="shared" si="31"/>
        <v>#REF!</v>
      </c>
      <c r="L325" s="280"/>
      <c r="M325" s="280"/>
      <c r="N325" s="281"/>
    </row>
    <row r="326" spans="1:14" s="279" customFormat="1" ht="24" x14ac:dyDescent="0.2">
      <c r="A326" s="269"/>
      <c r="B326" s="270"/>
      <c r="C326" s="271" t="s">
        <v>1176</v>
      </c>
      <c r="D326" s="272" t="s">
        <v>1177</v>
      </c>
      <c r="E326" s="273" t="s">
        <v>526</v>
      </c>
      <c r="F326" s="274">
        <v>6</v>
      </c>
      <c r="G326" s="285" t="e">
        <f>Comp!#REF!</f>
        <v>#REF!</v>
      </c>
      <c r="H326" s="275"/>
      <c r="I326" s="276"/>
      <c r="J326" s="276" t="e">
        <f t="shared" si="31"/>
        <v>#REF!</v>
      </c>
      <c r="L326" s="280"/>
      <c r="M326" s="280"/>
      <c r="N326" s="281"/>
    </row>
    <row r="327" spans="1:14" s="279" customFormat="1" ht="24" x14ac:dyDescent="0.2">
      <c r="A327" s="269"/>
      <c r="B327" s="270"/>
      <c r="C327" s="271" t="s">
        <v>1178</v>
      </c>
      <c r="D327" s="272" t="s">
        <v>1179</v>
      </c>
      <c r="E327" s="273" t="s">
        <v>526</v>
      </c>
      <c r="F327" s="274">
        <v>5</v>
      </c>
      <c r="G327" s="285" t="e">
        <f>Comp!#REF!</f>
        <v>#REF!</v>
      </c>
      <c r="H327" s="275"/>
      <c r="I327" s="276"/>
      <c r="J327" s="276" t="e">
        <f t="shared" si="31"/>
        <v>#REF!</v>
      </c>
      <c r="L327" s="280"/>
      <c r="M327" s="280"/>
      <c r="N327" s="281"/>
    </row>
    <row r="328" spans="1:14" s="279" customFormat="1" x14ac:dyDescent="0.2">
      <c r="A328" s="269"/>
      <c r="B328" s="270">
        <v>89623</v>
      </c>
      <c r="C328" s="271" t="s">
        <v>1180</v>
      </c>
      <c r="D328" s="272" t="s">
        <v>1181</v>
      </c>
      <c r="E328" s="273" t="s">
        <v>526</v>
      </c>
      <c r="F328" s="274">
        <v>1</v>
      </c>
      <c r="G328" s="285" t="e">
        <f>Comp!#REF!</f>
        <v>#REF!</v>
      </c>
      <c r="H328" s="275">
        <v>10.94</v>
      </c>
      <c r="I328" s="276">
        <f t="shared" si="29"/>
        <v>10.94</v>
      </c>
      <c r="J328" s="276" t="e">
        <f t="shared" si="31"/>
        <v>#REF!</v>
      </c>
      <c r="L328" s="280"/>
      <c r="M328" s="280"/>
      <c r="N328" s="281"/>
    </row>
    <row r="329" spans="1:14" s="279" customFormat="1" x14ac:dyDescent="0.2">
      <c r="A329" s="269"/>
      <c r="B329" s="270">
        <v>89623</v>
      </c>
      <c r="C329" s="271" t="s">
        <v>1182</v>
      </c>
      <c r="D329" s="272" t="s">
        <v>1183</v>
      </c>
      <c r="E329" s="273" t="s">
        <v>526</v>
      </c>
      <c r="F329" s="274">
        <v>19</v>
      </c>
      <c r="G329" s="285" t="e">
        <f>Comp!#REF!</f>
        <v>#REF!</v>
      </c>
      <c r="H329" s="275">
        <f>H328</f>
        <v>10.94</v>
      </c>
      <c r="I329" s="276">
        <f t="shared" si="29"/>
        <v>207.85999999999999</v>
      </c>
      <c r="J329" s="276" t="e">
        <f t="shared" si="31"/>
        <v>#REF!</v>
      </c>
      <c r="L329" s="280"/>
      <c r="M329" s="280"/>
      <c r="N329" s="281"/>
    </row>
    <row r="330" spans="1:14" s="279" customFormat="1" ht="24" x14ac:dyDescent="0.2">
      <c r="A330" s="269"/>
      <c r="B330" s="270">
        <v>89696</v>
      </c>
      <c r="C330" s="271" t="s">
        <v>1184</v>
      </c>
      <c r="D330" s="272" t="s">
        <v>1185</v>
      </c>
      <c r="E330" s="273" t="s">
        <v>526</v>
      </c>
      <c r="F330" s="274">
        <v>31</v>
      </c>
      <c r="G330" s="285" t="e">
        <f>Comp!#REF!</f>
        <v>#REF!</v>
      </c>
      <c r="H330" s="275">
        <v>39.229999999999997</v>
      </c>
      <c r="I330" s="276">
        <f t="shared" si="29"/>
        <v>1216.1299999999999</v>
      </c>
      <c r="J330" s="276" t="e">
        <f t="shared" si="31"/>
        <v>#REF!</v>
      </c>
      <c r="L330" s="280"/>
      <c r="M330" s="280"/>
      <c r="N330" s="281"/>
    </row>
    <row r="331" spans="1:14" s="279" customFormat="1" ht="24" x14ac:dyDescent="0.2">
      <c r="A331" s="269"/>
      <c r="B331" s="270"/>
      <c r="C331" s="271" t="s">
        <v>1186</v>
      </c>
      <c r="D331" s="272" t="s">
        <v>1187</v>
      </c>
      <c r="E331" s="273" t="s">
        <v>526</v>
      </c>
      <c r="F331" s="274">
        <v>2</v>
      </c>
      <c r="G331" s="285" t="e">
        <f>Comp!#REF!</f>
        <v>#REF!</v>
      </c>
      <c r="H331" s="275"/>
      <c r="I331" s="276"/>
      <c r="J331" s="276" t="e">
        <f t="shared" si="31"/>
        <v>#REF!</v>
      </c>
      <c r="L331" s="280"/>
      <c r="M331" s="280"/>
      <c r="N331" s="281"/>
    </row>
    <row r="332" spans="1:14" s="279" customFormat="1" ht="24" x14ac:dyDescent="0.2">
      <c r="A332" s="269"/>
      <c r="B332" s="270">
        <v>89696</v>
      </c>
      <c r="C332" s="271" t="s">
        <v>1188</v>
      </c>
      <c r="D332" s="272" t="s">
        <v>1189</v>
      </c>
      <c r="E332" s="273" t="s">
        <v>526</v>
      </c>
      <c r="F332" s="274">
        <v>18</v>
      </c>
      <c r="G332" s="285" t="e">
        <f>Comp!#REF!</f>
        <v>#REF!</v>
      </c>
      <c r="H332" s="275">
        <v>43.43</v>
      </c>
      <c r="I332" s="276">
        <f t="shared" si="29"/>
        <v>781.74</v>
      </c>
      <c r="J332" s="276" t="e">
        <f t="shared" si="31"/>
        <v>#REF!</v>
      </c>
      <c r="L332" s="280"/>
      <c r="M332" s="280"/>
      <c r="N332" s="281"/>
    </row>
    <row r="333" spans="1:14" s="279" customFormat="1" ht="24" x14ac:dyDescent="0.2">
      <c r="A333" s="269"/>
      <c r="B333" s="270">
        <v>89784</v>
      </c>
      <c r="C333" s="271" t="s">
        <v>1190</v>
      </c>
      <c r="D333" s="272" t="s">
        <v>1191</v>
      </c>
      <c r="E333" s="273" t="s">
        <v>526</v>
      </c>
      <c r="F333" s="274">
        <v>4</v>
      </c>
      <c r="G333" s="285" t="e">
        <f>Comp!#REF!</f>
        <v>#REF!</v>
      </c>
      <c r="H333" s="275">
        <v>12.55</v>
      </c>
      <c r="I333" s="276">
        <f t="shared" si="29"/>
        <v>50.2</v>
      </c>
      <c r="J333" s="276" t="e">
        <f t="shared" si="31"/>
        <v>#REF!</v>
      </c>
      <c r="L333" s="280"/>
      <c r="M333" s="280"/>
      <c r="N333" s="281"/>
    </row>
    <row r="334" spans="1:14" s="279" customFormat="1" x14ac:dyDescent="0.2">
      <c r="A334" s="269"/>
      <c r="B334" s="260" t="s">
        <v>680</v>
      </c>
      <c r="C334" s="261">
        <v>15</v>
      </c>
      <c r="D334" s="262" t="s">
        <v>1192</v>
      </c>
      <c r="E334" s="288"/>
      <c r="F334" s="264"/>
      <c r="G334" s="265"/>
      <c r="H334" s="266"/>
      <c r="I334" s="267">
        <f>SUM(I335:I362)</f>
        <v>38560.356000000007</v>
      </c>
      <c r="J334" s="267" t="e">
        <f>SUM(J335:J362)</f>
        <v>#REF!</v>
      </c>
      <c r="K334" s="268"/>
      <c r="L334" s="280"/>
      <c r="M334" s="280"/>
      <c r="N334" s="281"/>
    </row>
    <row r="335" spans="1:14" s="279" customFormat="1" ht="48" x14ac:dyDescent="0.2">
      <c r="A335" s="269"/>
      <c r="B335" s="270" t="s">
        <v>1193</v>
      </c>
      <c r="C335" s="271" t="s">
        <v>240</v>
      </c>
      <c r="D335" s="272" t="s">
        <v>1194</v>
      </c>
      <c r="E335" s="273" t="s">
        <v>526</v>
      </c>
      <c r="F335" s="274">
        <v>2</v>
      </c>
      <c r="G335" s="285" t="e">
        <f>Comp!#REF!</f>
        <v>#REF!</v>
      </c>
      <c r="H335" s="275">
        <v>498.36</v>
      </c>
      <c r="I335" s="276">
        <f t="shared" si="29"/>
        <v>996.72</v>
      </c>
      <c r="J335" s="276" t="e">
        <f t="shared" si="31"/>
        <v>#REF!</v>
      </c>
      <c r="L335" s="280"/>
      <c r="M335" s="280"/>
      <c r="N335" s="281"/>
    </row>
    <row r="336" spans="1:14" s="279" customFormat="1" ht="24" x14ac:dyDescent="0.2">
      <c r="A336" s="269"/>
      <c r="B336" s="270">
        <v>6021</v>
      </c>
      <c r="C336" s="271" t="s">
        <v>241</v>
      </c>
      <c r="D336" s="272" t="s">
        <v>1195</v>
      </c>
      <c r="E336" s="273" t="s">
        <v>526</v>
      </c>
      <c r="F336" s="274">
        <v>4</v>
      </c>
      <c r="G336" s="275" t="e">
        <f>Comp!#REF!</f>
        <v>#REF!</v>
      </c>
      <c r="H336" s="326">
        <v>139.62</v>
      </c>
      <c r="I336" s="276">
        <f t="shared" si="29"/>
        <v>558.48</v>
      </c>
      <c r="J336" s="276" t="e">
        <f t="shared" si="31"/>
        <v>#REF!</v>
      </c>
      <c r="L336" s="280"/>
      <c r="M336" s="280"/>
      <c r="N336" s="281"/>
    </row>
    <row r="337" spans="1:14" s="279" customFormat="1" ht="48" x14ac:dyDescent="0.2">
      <c r="A337" s="269"/>
      <c r="B337" s="270">
        <v>72739</v>
      </c>
      <c r="C337" s="271" t="s">
        <v>1196</v>
      </c>
      <c r="D337" s="272" t="s">
        <v>1197</v>
      </c>
      <c r="E337" s="273" t="s">
        <v>526</v>
      </c>
      <c r="F337" s="274">
        <v>20</v>
      </c>
      <c r="G337" s="285" t="e">
        <f>Comp!#REF!</f>
        <v>#REF!</v>
      </c>
      <c r="H337" s="327">
        <v>439.84</v>
      </c>
      <c r="I337" s="276">
        <f t="shared" si="29"/>
        <v>8796.7999999999993</v>
      </c>
      <c r="J337" s="276" t="e">
        <f t="shared" si="31"/>
        <v>#REF!</v>
      </c>
      <c r="L337" s="280"/>
      <c r="M337" s="280"/>
      <c r="N337" s="281"/>
    </row>
    <row r="338" spans="1:14" s="279" customFormat="1" ht="24" x14ac:dyDescent="0.2">
      <c r="A338" s="269"/>
      <c r="B338" s="270">
        <v>40729</v>
      </c>
      <c r="C338" s="271" t="s">
        <v>1198</v>
      </c>
      <c r="D338" s="272" t="s">
        <v>1199</v>
      </c>
      <c r="E338" s="273" t="s">
        <v>526</v>
      </c>
      <c r="F338" s="274">
        <v>26</v>
      </c>
      <c r="G338" s="285" t="e">
        <f>Comp!#REF!</f>
        <v>#REF!</v>
      </c>
      <c r="H338" s="327">
        <v>211.48</v>
      </c>
      <c r="I338" s="276">
        <f t="shared" si="29"/>
        <v>5498.48</v>
      </c>
      <c r="J338" s="276" t="e">
        <f t="shared" si="31"/>
        <v>#REF!</v>
      </c>
      <c r="L338" s="280"/>
      <c r="M338" s="280"/>
      <c r="N338" s="281"/>
    </row>
    <row r="339" spans="1:14" s="279" customFormat="1" ht="36" x14ac:dyDescent="0.2">
      <c r="A339" s="269"/>
      <c r="B339" s="270" t="s">
        <v>1200</v>
      </c>
      <c r="C339" s="271" t="s">
        <v>1201</v>
      </c>
      <c r="D339" s="272" t="s">
        <v>1202</v>
      </c>
      <c r="E339" s="273" t="s">
        <v>526</v>
      </c>
      <c r="F339" s="274">
        <v>2</v>
      </c>
      <c r="G339" s="285" t="e">
        <f>Comp!#REF!</f>
        <v>#REF!</v>
      </c>
      <c r="H339" s="327">
        <v>191.93</v>
      </c>
      <c r="I339" s="276">
        <f t="shared" si="29"/>
        <v>383.86</v>
      </c>
      <c r="J339" s="276" t="e">
        <f t="shared" si="31"/>
        <v>#REF!</v>
      </c>
      <c r="L339" s="280"/>
      <c r="M339" s="280"/>
      <c r="N339" s="281"/>
    </row>
    <row r="340" spans="1:14" s="279" customFormat="1" x14ac:dyDescent="0.2">
      <c r="A340" s="269"/>
      <c r="B340" s="270"/>
      <c r="C340" s="271" t="s">
        <v>1203</v>
      </c>
      <c r="D340" s="272" t="s">
        <v>1204</v>
      </c>
      <c r="E340" s="273" t="s">
        <v>526</v>
      </c>
      <c r="F340" s="274">
        <v>4</v>
      </c>
      <c r="G340" s="285" t="e">
        <f>Comp!#REF!</f>
        <v>#REF!</v>
      </c>
      <c r="H340" s="327">
        <v>18.25</v>
      </c>
      <c r="I340" s="276">
        <f t="shared" si="29"/>
        <v>73</v>
      </c>
      <c r="J340" s="276" t="e">
        <f t="shared" si="31"/>
        <v>#REF!</v>
      </c>
      <c r="L340" s="280"/>
      <c r="M340" s="280"/>
      <c r="N340" s="281"/>
    </row>
    <row r="341" spans="1:14" s="279" customFormat="1" ht="24" x14ac:dyDescent="0.2">
      <c r="A341" s="269"/>
      <c r="B341" s="270"/>
      <c r="C341" s="271" t="s">
        <v>1205</v>
      </c>
      <c r="D341" s="272" t="s">
        <v>1206</v>
      </c>
      <c r="E341" s="273" t="s">
        <v>526</v>
      </c>
      <c r="F341" s="274">
        <v>26</v>
      </c>
      <c r="G341" s="275" t="e">
        <f>Comp!#REF!</f>
        <v>#REF!</v>
      </c>
      <c r="H341" s="326">
        <v>44.53</v>
      </c>
      <c r="I341" s="276">
        <f t="shared" si="29"/>
        <v>1157.78</v>
      </c>
      <c r="J341" s="276" t="e">
        <f t="shared" si="31"/>
        <v>#REF!</v>
      </c>
      <c r="L341" s="280"/>
      <c r="M341" s="280"/>
      <c r="N341" s="281"/>
    </row>
    <row r="342" spans="1:14" s="279" customFormat="1" ht="24" x14ac:dyDescent="0.2">
      <c r="A342" s="269"/>
      <c r="B342" s="270"/>
      <c r="C342" s="271" t="s">
        <v>1207</v>
      </c>
      <c r="D342" s="272" t="s">
        <v>1208</v>
      </c>
      <c r="E342" s="273" t="s">
        <v>526</v>
      </c>
      <c r="F342" s="274">
        <v>4</v>
      </c>
      <c r="G342" s="285" t="e">
        <f>Comp!#REF!</f>
        <v>#REF!</v>
      </c>
      <c r="H342" s="327">
        <v>73.09</v>
      </c>
      <c r="I342" s="276">
        <f t="shared" si="29"/>
        <v>292.36</v>
      </c>
      <c r="J342" s="276" t="e">
        <f t="shared" si="31"/>
        <v>#REF!</v>
      </c>
      <c r="L342" s="280"/>
      <c r="M342" s="280"/>
      <c r="N342" s="281"/>
    </row>
    <row r="343" spans="1:14" s="279" customFormat="1" ht="36" x14ac:dyDescent="0.2">
      <c r="A343" s="269"/>
      <c r="B343" s="270"/>
      <c r="C343" s="271" t="s">
        <v>1209</v>
      </c>
      <c r="D343" s="272" t="s">
        <v>1210</v>
      </c>
      <c r="E343" s="273" t="s">
        <v>526</v>
      </c>
      <c r="F343" s="274">
        <v>4</v>
      </c>
      <c r="G343" s="275" t="e">
        <f>Comp!#REF!</f>
        <v>#REF!</v>
      </c>
      <c r="H343" s="326">
        <v>325.55</v>
      </c>
      <c r="I343" s="276">
        <f t="shared" si="29"/>
        <v>1302.2</v>
      </c>
      <c r="J343" s="276" t="e">
        <f t="shared" si="31"/>
        <v>#REF!</v>
      </c>
      <c r="L343" s="280"/>
      <c r="M343" s="280"/>
      <c r="N343" s="281"/>
    </row>
    <row r="344" spans="1:14" s="279" customFormat="1" ht="24" x14ac:dyDescent="0.2">
      <c r="A344" s="269"/>
      <c r="B344" s="270">
        <v>86904</v>
      </c>
      <c r="C344" s="271" t="s">
        <v>1211</v>
      </c>
      <c r="D344" s="272" t="s">
        <v>1212</v>
      </c>
      <c r="E344" s="273" t="s">
        <v>526</v>
      </c>
      <c r="F344" s="274">
        <v>6</v>
      </c>
      <c r="G344" s="275" t="e">
        <f>Comp!#REF!</f>
        <v>#REF!</v>
      </c>
      <c r="H344" s="326">
        <v>105.39</v>
      </c>
      <c r="I344" s="276">
        <f t="shared" si="29"/>
        <v>632.34</v>
      </c>
      <c r="J344" s="276" t="e">
        <f t="shared" si="31"/>
        <v>#REF!</v>
      </c>
      <c r="L344" s="280"/>
      <c r="M344" s="280"/>
      <c r="N344" s="281"/>
    </row>
    <row r="345" spans="1:14" s="279" customFormat="1" ht="36" x14ac:dyDescent="0.2">
      <c r="A345" s="269"/>
      <c r="B345" s="270">
        <v>86901</v>
      </c>
      <c r="C345" s="271" t="s">
        <v>1213</v>
      </c>
      <c r="D345" s="272" t="s">
        <v>1214</v>
      </c>
      <c r="E345" s="273" t="s">
        <v>526</v>
      </c>
      <c r="F345" s="274">
        <v>22</v>
      </c>
      <c r="G345" s="285" t="e">
        <f>Comp!#REF!</f>
        <v>#REF!</v>
      </c>
      <c r="H345" s="327">
        <v>94.62</v>
      </c>
      <c r="I345" s="276">
        <f t="shared" si="29"/>
        <v>2081.6400000000003</v>
      </c>
      <c r="J345" s="276" t="e">
        <f t="shared" si="31"/>
        <v>#REF!</v>
      </c>
      <c r="L345" s="280"/>
      <c r="M345" s="280"/>
      <c r="N345" s="281"/>
    </row>
    <row r="346" spans="1:14" s="279" customFormat="1" ht="48" x14ac:dyDescent="0.2">
      <c r="A346" s="269"/>
      <c r="B346" s="270"/>
      <c r="C346" s="271" t="s">
        <v>1215</v>
      </c>
      <c r="D346" s="272" t="s">
        <v>1216</v>
      </c>
      <c r="E346" s="273" t="s">
        <v>526</v>
      </c>
      <c r="F346" s="274">
        <v>3</v>
      </c>
      <c r="G346" s="285" t="e">
        <f>Comp!#REF!</f>
        <v>#REF!</v>
      </c>
      <c r="H346" s="327">
        <v>172.19</v>
      </c>
      <c r="I346" s="276">
        <f t="shared" si="29"/>
        <v>516.56999999999994</v>
      </c>
      <c r="J346" s="276" t="e">
        <f t="shared" si="31"/>
        <v>#REF!</v>
      </c>
      <c r="L346" s="280"/>
      <c r="M346" s="280"/>
      <c r="N346" s="281"/>
    </row>
    <row r="347" spans="1:14" s="279" customFormat="1" ht="60" x14ac:dyDescent="0.2">
      <c r="A347" s="269"/>
      <c r="B347" s="270">
        <v>86936</v>
      </c>
      <c r="C347" s="271" t="s">
        <v>1217</v>
      </c>
      <c r="D347" s="272" t="s">
        <v>1218</v>
      </c>
      <c r="E347" s="273" t="s">
        <v>526</v>
      </c>
      <c r="F347" s="274">
        <v>15</v>
      </c>
      <c r="G347" s="285" t="e">
        <f>Comp!#REF!</f>
        <v>#REF!</v>
      </c>
      <c r="H347" s="327">
        <v>238.4</v>
      </c>
      <c r="I347" s="276">
        <f t="shared" si="29"/>
        <v>3576</v>
      </c>
      <c r="J347" s="276" t="e">
        <f t="shared" si="31"/>
        <v>#REF!</v>
      </c>
      <c r="L347" s="280"/>
      <c r="M347" s="280"/>
      <c r="N347" s="281"/>
    </row>
    <row r="348" spans="1:14" s="279" customFormat="1" ht="24" x14ac:dyDescent="0.2">
      <c r="A348" s="269"/>
      <c r="B348" s="270"/>
      <c r="C348" s="271" t="s">
        <v>1219</v>
      </c>
      <c r="D348" s="272" t="s">
        <v>1220</v>
      </c>
      <c r="E348" s="273" t="s">
        <v>526</v>
      </c>
      <c r="F348" s="274">
        <v>26</v>
      </c>
      <c r="G348" s="285" t="e">
        <f>Comp!#REF!</f>
        <v>#REF!</v>
      </c>
      <c r="H348" s="327">
        <v>45.96</v>
      </c>
      <c r="I348" s="276">
        <f t="shared" si="29"/>
        <v>1194.96</v>
      </c>
      <c r="J348" s="276" t="e">
        <f t="shared" si="31"/>
        <v>#REF!</v>
      </c>
      <c r="L348" s="280"/>
      <c r="M348" s="280"/>
      <c r="N348" s="281"/>
    </row>
    <row r="349" spans="1:14" s="279" customFormat="1" ht="24" x14ac:dyDescent="0.2">
      <c r="A349" s="269"/>
      <c r="B349" s="270"/>
      <c r="C349" s="271" t="s">
        <v>1221</v>
      </c>
      <c r="D349" s="272" t="s">
        <v>1222</v>
      </c>
      <c r="E349" s="273" t="s">
        <v>526</v>
      </c>
      <c r="F349" s="274">
        <v>22</v>
      </c>
      <c r="G349" s="285" t="e">
        <f>Comp!#REF!</f>
        <v>#REF!</v>
      </c>
      <c r="H349" s="327">
        <v>46.71</v>
      </c>
      <c r="I349" s="276">
        <f t="shared" si="29"/>
        <v>1027.6200000000001</v>
      </c>
      <c r="J349" s="276" t="e">
        <f t="shared" si="31"/>
        <v>#REF!</v>
      </c>
      <c r="L349" s="280"/>
      <c r="M349" s="280"/>
      <c r="N349" s="281"/>
    </row>
    <row r="350" spans="1:14" s="279" customFormat="1" ht="24" x14ac:dyDescent="0.2">
      <c r="A350" s="269"/>
      <c r="B350" s="270"/>
      <c r="C350" s="271" t="s">
        <v>1223</v>
      </c>
      <c r="D350" s="272" t="s">
        <v>1224</v>
      </c>
      <c r="E350" s="273" t="s">
        <v>526</v>
      </c>
      <c r="F350" s="274">
        <v>8</v>
      </c>
      <c r="G350" s="285" t="e">
        <f>Comp!#REF!</f>
        <v>#REF!</v>
      </c>
      <c r="H350" s="327">
        <v>132.88999999999999</v>
      </c>
      <c r="I350" s="276">
        <f t="shared" si="29"/>
        <v>1063.1199999999999</v>
      </c>
      <c r="J350" s="276" t="e">
        <f t="shared" si="31"/>
        <v>#REF!</v>
      </c>
      <c r="L350" s="280"/>
      <c r="M350" s="280"/>
      <c r="N350" s="281"/>
    </row>
    <row r="351" spans="1:14" s="279" customFormat="1" ht="24" x14ac:dyDescent="0.2">
      <c r="A351" s="269"/>
      <c r="B351" s="270"/>
      <c r="C351" s="271" t="s">
        <v>1225</v>
      </c>
      <c r="D351" s="272" t="s">
        <v>1226</v>
      </c>
      <c r="E351" s="273" t="s">
        <v>526</v>
      </c>
      <c r="F351" s="274">
        <v>4</v>
      </c>
      <c r="G351" s="285" t="e">
        <f>Comp!#REF!</f>
        <v>#REF!</v>
      </c>
      <c r="H351" s="327">
        <v>132.88999999999999</v>
      </c>
      <c r="I351" s="276">
        <f t="shared" si="29"/>
        <v>531.55999999999995</v>
      </c>
      <c r="J351" s="276" t="e">
        <f t="shared" si="31"/>
        <v>#REF!</v>
      </c>
      <c r="L351" s="280"/>
      <c r="M351" s="280"/>
      <c r="N351" s="281"/>
    </row>
    <row r="352" spans="1:14" s="279" customFormat="1" ht="24" x14ac:dyDescent="0.2">
      <c r="A352" s="269"/>
      <c r="B352" s="270"/>
      <c r="C352" s="271" t="s">
        <v>1227</v>
      </c>
      <c r="D352" s="272" t="s">
        <v>1228</v>
      </c>
      <c r="E352" s="273" t="s">
        <v>526</v>
      </c>
      <c r="F352" s="274">
        <v>1</v>
      </c>
      <c r="G352" s="285" t="e">
        <f>Comp!#REF!</f>
        <v>#REF!</v>
      </c>
      <c r="H352" s="327">
        <v>168.05</v>
      </c>
      <c r="I352" s="276">
        <f t="shared" si="29"/>
        <v>168.05</v>
      </c>
      <c r="J352" s="276" t="e">
        <f t="shared" si="31"/>
        <v>#REF!</v>
      </c>
      <c r="L352" s="280"/>
      <c r="M352" s="280"/>
      <c r="N352" s="281"/>
    </row>
    <row r="353" spans="1:14" s="279" customFormat="1" ht="24" x14ac:dyDescent="0.2">
      <c r="A353" s="269"/>
      <c r="B353" s="270" t="s">
        <v>1229</v>
      </c>
      <c r="C353" s="271" t="s">
        <v>1230</v>
      </c>
      <c r="D353" s="272" t="s">
        <v>1231</v>
      </c>
      <c r="E353" s="273" t="s">
        <v>418</v>
      </c>
      <c r="F353" s="274">
        <v>20.6</v>
      </c>
      <c r="G353" s="285" t="e">
        <f>Comp!#REF!</f>
        <v>#REF!</v>
      </c>
      <c r="H353" s="327">
        <v>14.56</v>
      </c>
      <c r="I353" s="276">
        <f t="shared" si="29"/>
        <v>299.93600000000004</v>
      </c>
      <c r="J353" s="276" t="e">
        <f t="shared" si="31"/>
        <v>#REF!</v>
      </c>
      <c r="L353" s="280"/>
      <c r="M353" s="280"/>
      <c r="N353" s="281"/>
    </row>
    <row r="354" spans="1:14" s="279" customFormat="1" ht="24" x14ac:dyDescent="0.2">
      <c r="A354" s="269"/>
      <c r="B354" s="270"/>
      <c r="C354" s="271" t="s">
        <v>1232</v>
      </c>
      <c r="D354" s="272" t="s">
        <v>555</v>
      </c>
      <c r="E354" s="273" t="s">
        <v>526</v>
      </c>
      <c r="F354" s="274">
        <v>4</v>
      </c>
      <c r="G354" s="285" t="e">
        <f>Comp!#REF!</f>
        <v>#REF!</v>
      </c>
      <c r="H354" s="327">
        <v>159.83000000000001</v>
      </c>
      <c r="I354" s="276">
        <f t="shared" si="29"/>
        <v>639.32000000000005</v>
      </c>
      <c r="J354" s="276" t="e">
        <f t="shared" si="31"/>
        <v>#REF!</v>
      </c>
      <c r="L354" s="280"/>
      <c r="M354" s="280"/>
      <c r="N354" s="281"/>
    </row>
    <row r="355" spans="1:14" s="279" customFormat="1" x14ac:dyDescent="0.2">
      <c r="A355" s="269"/>
      <c r="B355" s="270"/>
      <c r="C355" s="271" t="s">
        <v>1233</v>
      </c>
      <c r="D355" s="272" t="s">
        <v>556</v>
      </c>
      <c r="E355" s="273" t="s">
        <v>526</v>
      </c>
      <c r="F355" s="274">
        <v>2</v>
      </c>
      <c r="G355" s="285" t="e">
        <f>Comp!#REF!</f>
        <v>#REF!</v>
      </c>
      <c r="H355" s="327">
        <v>127.86</v>
      </c>
      <c r="I355" s="276">
        <f t="shared" si="29"/>
        <v>255.72</v>
      </c>
      <c r="J355" s="276" t="e">
        <f t="shared" si="31"/>
        <v>#REF!</v>
      </c>
      <c r="L355" s="280"/>
      <c r="M355" s="280"/>
      <c r="N355" s="281"/>
    </row>
    <row r="356" spans="1:14" s="279" customFormat="1" ht="24" x14ac:dyDescent="0.2">
      <c r="A356" s="269"/>
      <c r="B356" s="270"/>
      <c r="C356" s="271" t="s">
        <v>1234</v>
      </c>
      <c r="D356" s="272" t="s">
        <v>557</v>
      </c>
      <c r="E356" s="273" t="s">
        <v>526</v>
      </c>
      <c r="F356" s="274">
        <v>4</v>
      </c>
      <c r="G356" s="285" t="e">
        <f>Comp!#REF!</f>
        <v>#REF!</v>
      </c>
      <c r="H356" s="327">
        <v>127.86</v>
      </c>
      <c r="I356" s="276">
        <f t="shared" si="29"/>
        <v>511.44</v>
      </c>
      <c r="J356" s="276" t="e">
        <f t="shared" si="31"/>
        <v>#REF!</v>
      </c>
      <c r="L356" s="280"/>
      <c r="M356" s="280"/>
      <c r="N356" s="281"/>
    </row>
    <row r="357" spans="1:14" s="279" customFormat="1" ht="36" x14ac:dyDescent="0.2">
      <c r="A357" s="269"/>
      <c r="B357" s="270">
        <v>73663</v>
      </c>
      <c r="C357" s="271" t="s">
        <v>1235</v>
      </c>
      <c r="D357" s="272" t="s">
        <v>1236</v>
      </c>
      <c r="E357" s="273" t="s">
        <v>526</v>
      </c>
      <c r="F357" s="274">
        <v>15</v>
      </c>
      <c r="G357" s="285" t="e">
        <f>Comp!#REF!</f>
        <v>#REF!</v>
      </c>
      <c r="H357" s="275">
        <v>61.78</v>
      </c>
      <c r="I357" s="276">
        <f t="shared" ref="I357:I362" si="32">F357*H357</f>
        <v>926.7</v>
      </c>
      <c r="J357" s="276" t="e">
        <f t="shared" si="31"/>
        <v>#REF!</v>
      </c>
      <c r="L357" s="280"/>
      <c r="M357" s="280"/>
      <c r="N357" s="281"/>
    </row>
    <row r="358" spans="1:14" s="279" customFormat="1" ht="24" x14ac:dyDescent="0.2">
      <c r="A358" s="269"/>
      <c r="B358" s="270">
        <v>86909</v>
      </c>
      <c r="C358" s="271" t="s">
        <v>1237</v>
      </c>
      <c r="D358" s="272" t="s">
        <v>1238</v>
      </c>
      <c r="E358" s="273" t="s">
        <v>526</v>
      </c>
      <c r="F358" s="274">
        <v>15</v>
      </c>
      <c r="G358" s="285" t="e">
        <f>Comp!#REF!</f>
        <v>#REF!</v>
      </c>
      <c r="H358" s="275">
        <v>75.75</v>
      </c>
      <c r="I358" s="276">
        <f t="shared" si="32"/>
        <v>1136.25</v>
      </c>
      <c r="J358" s="276" t="e">
        <f t="shared" si="31"/>
        <v>#REF!</v>
      </c>
      <c r="L358" s="280"/>
      <c r="M358" s="280"/>
      <c r="N358" s="281"/>
    </row>
    <row r="359" spans="1:14" s="279" customFormat="1" x14ac:dyDescent="0.2">
      <c r="A359" s="269"/>
      <c r="B359" s="270">
        <v>86916</v>
      </c>
      <c r="C359" s="271" t="s">
        <v>1239</v>
      </c>
      <c r="D359" s="272" t="s">
        <v>1240</v>
      </c>
      <c r="E359" s="273" t="s">
        <v>526</v>
      </c>
      <c r="F359" s="274">
        <v>11</v>
      </c>
      <c r="G359" s="285" t="e">
        <f>Comp!#REF!</f>
        <v>#REF!</v>
      </c>
      <c r="H359" s="275">
        <v>75.62</v>
      </c>
      <c r="I359" s="276">
        <f t="shared" si="32"/>
        <v>831.82</v>
      </c>
      <c r="J359" s="276" t="e">
        <f t="shared" si="31"/>
        <v>#REF!</v>
      </c>
      <c r="L359" s="280"/>
      <c r="M359" s="280"/>
      <c r="N359" s="281"/>
    </row>
    <row r="360" spans="1:14" s="279" customFormat="1" ht="24" x14ac:dyDescent="0.2">
      <c r="A360" s="269"/>
      <c r="B360" s="270">
        <v>86906</v>
      </c>
      <c r="C360" s="271" t="s">
        <v>1241</v>
      </c>
      <c r="D360" s="272" t="s">
        <v>1242</v>
      </c>
      <c r="E360" s="273" t="s">
        <v>526</v>
      </c>
      <c r="F360" s="274">
        <v>32</v>
      </c>
      <c r="G360" s="285" t="e">
        <f>Comp!#REF!</f>
        <v>#REF!</v>
      </c>
      <c r="H360" s="275">
        <v>37.729999999999997</v>
      </c>
      <c r="I360" s="276">
        <f t="shared" si="32"/>
        <v>1207.3599999999999</v>
      </c>
      <c r="J360" s="276" t="e">
        <f t="shared" si="31"/>
        <v>#REF!</v>
      </c>
      <c r="L360" s="280"/>
      <c r="M360" s="280"/>
      <c r="N360" s="281"/>
    </row>
    <row r="361" spans="1:14" s="279" customFormat="1" ht="36" x14ac:dyDescent="0.2">
      <c r="A361" s="269"/>
      <c r="B361" s="270">
        <v>9535</v>
      </c>
      <c r="C361" s="271" t="s">
        <v>1243</v>
      </c>
      <c r="D361" s="272" t="s">
        <v>1244</v>
      </c>
      <c r="E361" s="273" t="s">
        <v>526</v>
      </c>
      <c r="F361" s="274">
        <v>15</v>
      </c>
      <c r="G361" s="275" t="e">
        <f>Comp!#REF!</f>
        <v>#REF!</v>
      </c>
      <c r="H361" s="275">
        <v>53.72</v>
      </c>
      <c r="I361" s="276">
        <f t="shared" si="32"/>
        <v>805.8</v>
      </c>
      <c r="J361" s="276" t="e">
        <f t="shared" si="31"/>
        <v>#REF!</v>
      </c>
      <c r="L361" s="280"/>
      <c r="M361" s="280"/>
      <c r="N361" s="281"/>
    </row>
    <row r="362" spans="1:14" s="279" customFormat="1" ht="45" x14ac:dyDescent="0.2">
      <c r="A362" s="259"/>
      <c r="B362" s="270">
        <v>86919</v>
      </c>
      <c r="C362" s="271" t="s">
        <v>1245</v>
      </c>
      <c r="D362" s="328" t="s">
        <v>1246</v>
      </c>
      <c r="E362" s="273" t="s">
        <v>526</v>
      </c>
      <c r="F362" s="329">
        <v>7</v>
      </c>
      <c r="G362" s="275" t="e">
        <f>Comp!#REF!</f>
        <v>#REF!</v>
      </c>
      <c r="H362" s="327">
        <v>299.20999999999998</v>
      </c>
      <c r="I362" s="276">
        <f t="shared" si="32"/>
        <v>2094.4699999999998</v>
      </c>
      <c r="J362" s="276" t="e">
        <f t="shared" si="31"/>
        <v>#REF!</v>
      </c>
      <c r="L362" s="280"/>
      <c r="M362" s="280"/>
      <c r="N362" s="281"/>
    </row>
    <row r="363" spans="1:14" s="279" customFormat="1" x14ac:dyDescent="0.2">
      <c r="A363" s="269"/>
      <c r="B363" s="260" t="s">
        <v>680</v>
      </c>
      <c r="C363" s="261">
        <v>16</v>
      </c>
      <c r="D363" s="262" t="s">
        <v>1247</v>
      </c>
      <c r="E363" s="288"/>
      <c r="F363" s="264"/>
      <c r="G363" s="265"/>
      <c r="H363" s="266"/>
      <c r="I363" s="267">
        <f>SUM(I364:I384)</f>
        <v>3029.6252000000009</v>
      </c>
      <c r="J363" s="265" t="e">
        <f>SUM(J364:J384)</f>
        <v>#REF!</v>
      </c>
      <c r="K363" s="268"/>
      <c r="L363" s="280"/>
      <c r="M363" s="280"/>
      <c r="N363" s="281"/>
    </row>
    <row r="364" spans="1:14" s="279" customFormat="1" x14ac:dyDescent="0.2">
      <c r="A364" s="269"/>
      <c r="B364" s="270" t="s">
        <v>1248</v>
      </c>
      <c r="C364" s="271" t="s">
        <v>242</v>
      </c>
      <c r="D364" s="272" t="s">
        <v>558</v>
      </c>
      <c r="E364" s="273" t="s">
        <v>416</v>
      </c>
      <c r="F364" s="274">
        <v>1.42</v>
      </c>
      <c r="G364" s="285" t="e">
        <f>Comp!#REF!</f>
        <v>#REF!</v>
      </c>
      <c r="H364" s="275">
        <v>528.5</v>
      </c>
      <c r="I364" s="276">
        <f t="shared" ref="I364:I384" si="33">F364*H364</f>
        <v>750.46999999999991</v>
      </c>
      <c r="J364" s="276" t="e">
        <f t="shared" si="31"/>
        <v>#REF!</v>
      </c>
      <c r="L364" s="280"/>
      <c r="M364" s="280"/>
      <c r="N364" s="281"/>
    </row>
    <row r="365" spans="1:14" s="279" customFormat="1" ht="17.25" customHeight="1" x14ac:dyDescent="0.2">
      <c r="A365" s="269"/>
      <c r="B365" s="270">
        <v>85014</v>
      </c>
      <c r="C365" s="271" t="s">
        <v>245</v>
      </c>
      <c r="D365" s="272" t="s">
        <v>1249</v>
      </c>
      <c r="E365" s="273" t="s">
        <v>421</v>
      </c>
      <c r="F365" s="274">
        <v>0.16</v>
      </c>
      <c r="G365" s="285" t="e">
        <f>Comp!#REF!</f>
        <v>#REF!</v>
      </c>
      <c r="H365" s="275">
        <v>391.22</v>
      </c>
      <c r="I365" s="276">
        <f t="shared" si="33"/>
        <v>62.595200000000006</v>
      </c>
      <c r="J365" s="276" t="e">
        <f t="shared" ref="J365:J384" si="34">F365*G365</f>
        <v>#REF!</v>
      </c>
      <c r="L365" s="280"/>
      <c r="M365" s="280"/>
      <c r="N365" s="281"/>
    </row>
    <row r="366" spans="1:14" s="279" customFormat="1" x14ac:dyDescent="0.2">
      <c r="A366" s="269"/>
      <c r="B366" s="270" t="s">
        <v>1250</v>
      </c>
      <c r="C366" s="271" t="s">
        <v>248</v>
      </c>
      <c r="D366" s="272" t="s">
        <v>1251</v>
      </c>
      <c r="E366" s="273" t="s">
        <v>418</v>
      </c>
      <c r="F366" s="274">
        <v>43</v>
      </c>
      <c r="G366" s="285" t="e">
        <f>Comp!#REF!</f>
        <v>#REF!</v>
      </c>
      <c r="H366" s="275">
        <v>14.1</v>
      </c>
      <c r="I366" s="276">
        <f t="shared" si="33"/>
        <v>606.29999999999995</v>
      </c>
      <c r="J366" s="276" t="e">
        <f t="shared" si="34"/>
        <v>#REF!</v>
      </c>
      <c r="L366" s="280"/>
      <c r="M366" s="280"/>
      <c r="N366" s="281"/>
    </row>
    <row r="367" spans="1:14" s="279" customFormat="1" x14ac:dyDescent="0.2">
      <c r="A367" s="269"/>
      <c r="B367" s="270" t="s">
        <v>1252</v>
      </c>
      <c r="C367" s="271" t="s">
        <v>1253</v>
      </c>
      <c r="D367" s="272" t="s">
        <v>1254</v>
      </c>
      <c r="E367" s="273" t="s">
        <v>418</v>
      </c>
      <c r="F367" s="274">
        <v>42</v>
      </c>
      <c r="G367" s="285" t="e">
        <f>Comp!#REF!</f>
        <v>#REF!</v>
      </c>
      <c r="H367" s="275">
        <v>1.6</v>
      </c>
      <c r="I367" s="276">
        <f t="shared" si="33"/>
        <v>67.2</v>
      </c>
      <c r="J367" s="276" t="e">
        <f t="shared" si="34"/>
        <v>#REF!</v>
      </c>
      <c r="L367" s="280"/>
      <c r="M367" s="280"/>
      <c r="N367" s="281"/>
    </row>
    <row r="368" spans="1:14" s="279" customFormat="1" x14ac:dyDescent="0.2">
      <c r="A368" s="269"/>
      <c r="B368" s="270"/>
      <c r="C368" s="271" t="s">
        <v>1255</v>
      </c>
      <c r="D368" s="272" t="s">
        <v>559</v>
      </c>
      <c r="E368" s="273" t="s">
        <v>526</v>
      </c>
      <c r="F368" s="274">
        <v>3</v>
      </c>
      <c r="G368" s="285" t="e">
        <f>Comp!#REF!</f>
        <v>#REF!</v>
      </c>
      <c r="H368" s="275">
        <v>123.71</v>
      </c>
      <c r="I368" s="276">
        <f t="shared" si="33"/>
        <v>371.13</v>
      </c>
      <c r="J368" s="276" t="e">
        <f t="shared" si="34"/>
        <v>#REF!</v>
      </c>
      <c r="L368" s="280"/>
      <c r="M368" s="280"/>
      <c r="N368" s="281"/>
    </row>
    <row r="369" spans="1:14" s="279" customFormat="1" x14ac:dyDescent="0.2">
      <c r="A369" s="269"/>
      <c r="B369" s="270"/>
      <c r="C369" s="271" t="s">
        <v>1256</v>
      </c>
      <c r="D369" s="272" t="s">
        <v>560</v>
      </c>
      <c r="E369" s="273" t="s">
        <v>526</v>
      </c>
      <c r="F369" s="274">
        <v>3</v>
      </c>
      <c r="G369" s="285" t="e">
        <f>Comp!#REF!</f>
        <v>#REF!</v>
      </c>
      <c r="H369" s="275">
        <v>59.77</v>
      </c>
      <c r="I369" s="276">
        <f t="shared" si="33"/>
        <v>179.31</v>
      </c>
      <c r="J369" s="276" t="e">
        <f t="shared" si="34"/>
        <v>#REF!</v>
      </c>
      <c r="L369" s="280"/>
      <c r="M369" s="280"/>
      <c r="N369" s="281"/>
    </row>
    <row r="370" spans="1:14" s="279" customFormat="1" x14ac:dyDescent="0.2">
      <c r="A370" s="269"/>
      <c r="B370" s="270"/>
      <c r="C370" s="271" t="s">
        <v>1257</v>
      </c>
      <c r="D370" s="272" t="s">
        <v>561</v>
      </c>
      <c r="E370" s="273" t="s">
        <v>526</v>
      </c>
      <c r="F370" s="274">
        <v>3</v>
      </c>
      <c r="G370" s="285" t="e">
        <f>Comp!#REF!</f>
        <v>#REF!</v>
      </c>
      <c r="H370" s="275">
        <v>4.8899999999999997</v>
      </c>
      <c r="I370" s="276">
        <f t="shared" si="33"/>
        <v>14.669999999999998</v>
      </c>
      <c r="J370" s="276" t="e">
        <f t="shared" si="34"/>
        <v>#REF!</v>
      </c>
      <c r="L370" s="280"/>
      <c r="M370" s="280"/>
      <c r="N370" s="281"/>
    </row>
    <row r="371" spans="1:14" s="279" customFormat="1" x14ac:dyDescent="0.2">
      <c r="A371" s="269"/>
      <c r="B371" s="270"/>
      <c r="C371" s="271" t="s">
        <v>1258</v>
      </c>
      <c r="D371" s="272" t="s">
        <v>562</v>
      </c>
      <c r="E371" s="273" t="s">
        <v>526</v>
      </c>
      <c r="F371" s="274">
        <v>6</v>
      </c>
      <c r="G371" s="285" t="e">
        <f>Comp!#REF!</f>
        <v>#REF!</v>
      </c>
      <c r="H371" s="275">
        <v>17.68</v>
      </c>
      <c r="I371" s="276">
        <f t="shared" si="33"/>
        <v>106.08</v>
      </c>
      <c r="J371" s="276" t="e">
        <f t="shared" si="34"/>
        <v>#REF!</v>
      </c>
      <c r="L371" s="280"/>
      <c r="M371" s="280"/>
      <c r="N371" s="281"/>
    </row>
    <row r="372" spans="1:14" s="279" customFormat="1" x14ac:dyDescent="0.2">
      <c r="A372" s="269"/>
      <c r="B372" s="270"/>
      <c r="C372" s="271" t="s">
        <v>1259</v>
      </c>
      <c r="D372" s="272" t="s">
        <v>563</v>
      </c>
      <c r="E372" s="273" t="s">
        <v>526</v>
      </c>
      <c r="F372" s="274">
        <v>4</v>
      </c>
      <c r="G372" s="285" t="e">
        <f>Comp!#REF!</f>
        <v>#REF!</v>
      </c>
      <c r="H372" s="275">
        <v>17.68</v>
      </c>
      <c r="I372" s="276">
        <f t="shared" si="33"/>
        <v>70.72</v>
      </c>
      <c r="J372" s="276" t="e">
        <f t="shared" si="34"/>
        <v>#REF!</v>
      </c>
      <c r="L372" s="280"/>
      <c r="M372" s="280"/>
      <c r="N372" s="281"/>
    </row>
    <row r="373" spans="1:14" s="279" customFormat="1" x14ac:dyDescent="0.2">
      <c r="A373" s="269"/>
      <c r="B373" s="270"/>
      <c r="C373" s="271" t="s">
        <v>1260</v>
      </c>
      <c r="D373" s="272" t="s">
        <v>564</v>
      </c>
      <c r="E373" s="273" t="s">
        <v>526</v>
      </c>
      <c r="F373" s="274">
        <v>4</v>
      </c>
      <c r="G373" s="285" t="e">
        <f>Comp!#REF!</f>
        <v>#REF!</v>
      </c>
      <c r="H373" s="275">
        <v>17.68</v>
      </c>
      <c r="I373" s="276">
        <f t="shared" si="33"/>
        <v>70.72</v>
      </c>
      <c r="J373" s="276" t="e">
        <f t="shared" si="34"/>
        <v>#REF!</v>
      </c>
      <c r="L373" s="280"/>
      <c r="M373" s="280"/>
      <c r="N373" s="281"/>
    </row>
    <row r="374" spans="1:14" s="279" customFormat="1" x14ac:dyDescent="0.2">
      <c r="A374" s="283"/>
      <c r="B374" s="270"/>
      <c r="C374" s="271" t="s">
        <v>1261</v>
      </c>
      <c r="D374" s="284" t="s">
        <v>1262</v>
      </c>
      <c r="E374" s="273" t="s">
        <v>526</v>
      </c>
      <c r="F374" s="274">
        <v>1</v>
      </c>
      <c r="G374" s="285" t="e">
        <f>Comp!#REF!</f>
        <v>#REF!</v>
      </c>
      <c r="H374" s="275">
        <v>24.26</v>
      </c>
      <c r="I374" s="276">
        <f t="shared" si="33"/>
        <v>24.26</v>
      </c>
      <c r="J374" s="276" t="e">
        <f t="shared" si="34"/>
        <v>#REF!</v>
      </c>
      <c r="L374" s="217"/>
    </row>
    <row r="375" spans="1:14" s="279" customFormat="1" x14ac:dyDescent="0.2">
      <c r="A375" s="283"/>
      <c r="B375" s="270"/>
      <c r="C375" s="271" t="s">
        <v>1263</v>
      </c>
      <c r="D375" s="284" t="s">
        <v>565</v>
      </c>
      <c r="E375" s="273" t="s">
        <v>526</v>
      </c>
      <c r="F375" s="274">
        <v>1</v>
      </c>
      <c r="G375" s="285" t="e">
        <f>Comp!#REF!</f>
        <v>#REF!</v>
      </c>
      <c r="H375" s="275">
        <v>21.09</v>
      </c>
      <c r="I375" s="276">
        <f t="shared" si="33"/>
        <v>21.09</v>
      </c>
      <c r="J375" s="276" t="e">
        <f t="shared" si="34"/>
        <v>#REF!</v>
      </c>
      <c r="L375" s="217"/>
    </row>
    <row r="376" spans="1:14" s="279" customFormat="1" x14ac:dyDescent="0.2">
      <c r="A376" s="283"/>
      <c r="B376" s="270"/>
      <c r="C376" s="271" t="s">
        <v>1264</v>
      </c>
      <c r="D376" s="284" t="s">
        <v>566</v>
      </c>
      <c r="E376" s="273" t="s">
        <v>526</v>
      </c>
      <c r="F376" s="274">
        <v>2</v>
      </c>
      <c r="G376" s="285" t="e">
        <f>Comp!#REF!</f>
        <v>#REF!</v>
      </c>
      <c r="H376" s="275">
        <v>28.75</v>
      </c>
      <c r="I376" s="276">
        <f t="shared" si="33"/>
        <v>57.5</v>
      </c>
      <c r="J376" s="276" t="e">
        <f t="shared" si="34"/>
        <v>#REF!</v>
      </c>
      <c r="L376" s="217"/>
    </row>
    <row r="377" spans="1:14" s="279" customFormat="1" x14ac:dyDescent="0.2">
      <c r="A377" s="283"/>
      <c r="B377" s="270"/>
      <c r="C377" s="271" t="s">
        <v>1265</v>
      </c>
      <c r="D377" s="284" t="s">
        <v>567</v>
      </c>
      <c r="E377" s="273" t="s">
        <v>526</v>
      </c>
      <c r="F377" s="274">
        <v>2</v>
      </c>
      <c r="G377" s="285" t="e">
        <f>Comp!#REF!</f>
        <v>#REF!</v>
      </c>
      <c r="H377" s="275">
        <v>25.14</v>
      </c>
      <c r="I377" s="276">
        <f t="shared" si="33"/>
        <v>50.28</v>
      </c>
      <c r="J377" s="276" t="e">
        <f t="shared" si="34"/>
        <v>#REF!</v>
      </c>
      <c r="L377" s="217"/>
    </row>
    <row r="378" spans="1:14" s="279" customFormat="1" x14ac:dyDescent="0.2">
      <c r="A378" s="283"/>
      <c r="B378" s="270"/>
      <c r="C378" s="271" t="s">
        <v>1266</v>
      </c>
      <c r="D378" s="284" t="s">
        <v>568</v>
      </c>
      <c r="E378" s="273" t="s">
        <v>526</v>
      </c>
      <c r="F378" s="274">
        <v>2</v>
      </c>
      <c r="G378" s="285" t="e">
        <f>Comp!#REF!</f>
        <v>#REF!</v>
      </c>
      <c r="H378" s="275">
        <v>4.26</v>
      </c>
      <c r="I378" s="276">
        <f t="shared" si="33"/>
        <v>8.52</v>
      </c>
      <c r="J378" s="276" t="e">
        <f t="shared" si="34"/>
        <v>#REF!</v>
      </c>
      <c r="L378" s="217"/>
    </row>
    <row r="379" spans="1:14" s="319" customFormat="1" x14ac:dyDescent="0.2">
      <c r="A379" s="283"/>
      <c r="B379" s="270"/>
      <c r="C379" s="271" t="s">
        <v>1267</v>
      </c>
      <c r="D379" s="284" t="s">
        <v>569</v>
      </c>
      <c r="E379" s="273" t="s">
        <v>526</v>
      </c>
      <c r="F379" s="274">
        <v>1</v>
      </c>
      <c r="G379" s="285" t="e">
        <f>Comp!#REF!</f>
        <v>#REF!</v>
      </c>
      <c r="H379" s="275">
        <v>112.76</v>
      </c>
      <c r="I379" s="276">
        <f t="shared" si="33"/>
        <v>112.76</v>
      </c>
      <c r="J379" s="276" t="e">
        <f t="shared" si="34"/>
        <v>#REF!</v>
      </c>
      <c r="L379" s="330"/>
    </row>
    <row r="380" spans="1:14" s="319" customFormat="1" x14ac:dyDescent="0.2">
      <c r="A380" s="283"/>
      <c r="B380" s="270"/>
      <c r="C380" s="271" t="s">
        <v>1268</v>
      </c>
      <c r="D380" s="284" t="s">
        <v>570</v>
      </c>
      <c r="E380" s="273" t="s">
        <v>526</v>
      </c>
      <c r="F380" s="274">
        <v>1</v>
      </c>
      <c r="G380" s="285" t="e">
        <f>Comp!#REF!</f>
        <v>#REF!</v>
      </c>
      <c r="H380" s="275">
        <v>110.9</v>
      </c>
      <c r="I380" s="276">
        <f t="shared" si="33"/>
        <v>110.9</v>
      </c>
      <c r="J380" s="276" t="e">
        <f t="shared" si="34"/>
        <v>#REF!</v>
      </c>
      <c r="L380" s="330"/>
    </row>
    <row r="381" spans="1:14" s="279" customFormat="1" x14ac:dyDescent="0.2">
      <c r="A381" s="283"/>
      <c r="B381" s="270"/>
      <c r="C381" s="271" t="s">
        <v>1269</v>
      </c>
      <c r="D381" s="284" t="s">
        <v>571</v>
      </c>
      <c r="E381" s="270" t="s">
        <v>418</v>
      </c>
      <c r="F381" s="274">
        <v>2</v>
      </c>
      <c r="G381" s="285" t="e">
        <f>Comp!#REF!</f>
        <v>#REF!</v>
      </c>
      <c r="H381" s="275">
        <v>13.64</v>
      </c>
      <c r="I381" s="276">
        <f t="shared" si="33"/>
        <v>27.28</v>
      </c>
      <c r="J381" s="276" t="e">
        <f t="shared" si="34"/>
        <v>#REF!</v>
      </c>
      <c r="L381" s="217"/>
    </row>
    <row r="382" spans="1:14" s="319" customFormat="1" x14ac:dyDescent="0.2">
      <c r="A382" s="283"/>
      <c r="B382" s="270"/>
      <c r="C382" s="271" t="s">
        <v>1270</v>
      </c>
      <c r="D382" s="292" t="s">
        <v>1271</v>
      </c>
      <c r="E382" s="273" t="s">
        <v>526</v>
      </c>
      <c r="F382" s="274">
        <v>2</v>
      </c>
      <c r="G382" s="285" t="e">
        <f>Comp!#REF!</f>
        <v>#REF!</v>
      </c>
      <c r="H382" s="275">
        <v>125.66</v>
      </c>
      <c r="I382" s="276">
        <f t="shared" si="33"/>
        <v>251.32</v>
      </c>
      <c r="J382" s="276" t="e">
        <f t="shared" si="34"/>
        <v>#REF!</v>
      </c>
      <c r="L382" s="330"/>
    </row>
    <row r="383" spans="1:14" s="279" customFormat="1" ht="24" x14ac:dyDescent="0.2">
      <c r="A383" s="283"/>
      <c r="B383" s="270"/>
      <c r="C383" s="271" t="s">
        <v>1272</v>
      </c>
      <c r="D383" s="292" t="s">
        <v>1273</v>
      </c>
      <c r="E383" s="273" t="s">
        <v>526</v>
      </c>
      <c r="F383" s="274">
        <v>1</v>
      </c>
      <c r="G383" s="285" t="e">
        <f>Comp!#REF!</f>
        <v>#REF!</v>
      </c>
      <c r="H383" s="275">
        <v>33.26</v>
      </c>
      <c r="I383" s="276">
        <f t="shared" si="33"/>
        <v>33.26</v>
      </c>
      <c r="J383" s="276" t="e">
        <f t="shared" si="34"/>
        <v>#REF!</v>
      </c>
      <c r="L383" s="217"/>
    </row>
    <row r="384" spans="1:14" s="279" customFormat="1" ht="24" x14ac:dyDescent="0.2">
      <c r="A384" s="283"/>
      <c r="B384" s="270"/>
      <c r="C384" s="271" t="s">
        <v>1274</v>
      </c>
      <c r="D384" s="292" t="s">
        <v>1275</v>
      </c>
      <c r="E384" s="273" t="s">
        <v>526</v>
      </c>
      <c r="F384" s="274">
        <v>1</v>
      </c>
      <c r="G384" s="285" t="e">
        <f>Comp!#REF!</f>
        <v>#REF!</v>
      </c>
      <c r="H384" s="275">
        <v>33.26</v>
      </c>
      <c r="I384" s="276">
        <f t="shared" si="33"/>
        <v>33.26</v>
      </c>
      <c r="J384" s="276" t="e">
        <f t="shared" si="34"/>
        <v>#REF!</v>
      </c>
      <c r="L384" s="217"/>
    </row>
    <row r="385" spans="1:14" s="279" customFormat="1" x14ac:dyDescent="0.2">
      <c r="A385" s="269"/>
      <c r="B385" s="260" t="s">
        <v>680</v>
      </c>
      <c r="C385" s="261">
        <v>17</v>
      </c>
      <c r="D385" s="262" t="s">
        <v>1276</v>
      </c>
      <c r="E385" s="288"/>
      <c r="F385" s="264"/>
      <c r="G385" s="265"/>
      <c r="H385" s="266"/>
      <c r="I385" s="267">
        <f>SUM(I386:I413)</f>
        <v>30579.491299999998</v>
      </c>
      <c r="J385" s="265" t="e">
        <f>SUM(J386:J413)</f>
        <v>#REF!</v>
      </c>
      <c r="K385" s="268"/>
      <c r="L385" s="280"/>
      <c r="M385" s="280"/>
      <c r="N385" s="281"/>
    </row>
    <row r="386" spans="1:14" s="279" customFormat="1" x14ac:dyDescent="0.2">
      <c r="A386" s="283"/>
      <c r="B386" s="270">
        <v>72553</v>
      </c>
      <c r="C386" s="270" t="s">
        <v>252</v>
      </c>
      <c r="D386" s="284" t="s">
        <v>1277</v>
      </c>
      <c r="E386" s="273" t="s">
        <v>526</v>
      </c>
      <c r="F386" s="274">
        <v>7</v>
      </c>
      <c r="G386" s="285" t="e">
        <f>Comp!#REF!</f>
        <v>#REF!</v>
      </c>
      <c r="H386" s="275">
        <v>218.35</v>
      </c>
      <c r="I386" s="276">
        <f t="shared" ref="I386:I413" si="35">F386*H386</f>
        <v>1528.45</v>
      </c>
      <c r="J386" s="276" t="e">
        <f t="shared" ref="J386:J413" si="36">F386*G386</f>
        <v>#REF!</v>
      </c>
      <c r="L386" s="217"/>
    </row>
    <row r="387" spans="1:14" s="279" customFormat="1" x14ac:dyDescent="0.2">
      <c r="A387" s="283"/>
      <c r="B387" s="270">
        <v>72554</v>
      </c>
      <c r="C387" s="270" t="s">
        <v>1278</v>
      </c>
      <c r="D387" s="284" t="s">
        <v>1279</v>
      </c>
      <c r="E387" s="273" t="s">
        <v>526</v>
      </c>
      <c r="F387" s="274">
        <v>1</v>
      </c>
      <c r="G387" s="285" t="e">
        <f>Comp!#REF!</f>
        <v>#REF!</v>
      </c>
      <c r="H387" s="275">
        <v>760.16</v>
      </c>
      <c r="I387" s="276">
        <f t="shared" si="35"/>
        <v>760.16</v>
      </c>
      <c r="J387" s="276" t="e">
        <f t="shared" si="36"/>
        <v>#REF!</v>
      </c>
      <c r="L387" s="217"/>
    </row>
    <row r="388" spans="1:14" s="279" customFormat="1" x14ac:dyDescent="0.2">
      <c r="A388" s="283"/>
      <c r="B388" s="270">
        <v>72297</v>
      </c>
      <c r="C388" s="270" t="s">
        <v>255</v>
      </c>
      <c r="D388" s="284" t="s">
        <v>1280</v>
      </c>
      <c r="E388" s="273" t="s">
        <v>526</v>
      </c>
      <c r="F388" s="274">
        <v>2</v>
      </c>
      <c r="G388" s="285" t="e">
        <f>Comp!#REF!</f>
        <v>#REF!</v>
      </c>
      <c r="H388" s="275">
        <v>32.83</v>
      </c>
      <c r="I388" s="276">
        <f t="shared" si="35"/>
        <v>65.66</v>
      </c>
      <c r="J388" s="276" t="e">
        <f t="shared" si="36"/>
        <v>#REF!</v>
      </c>
      <c r="L388" s="217"/>
    </row>
    <row r="389" spans="1:14" s="279" customFormat="1" x14ac:dyDescent="0.2">
      <c r="A389" s="283"/>
      <c r="B389" s="270">
        <v>72297</v>
      </c>
      <c r="C389" s="270" t="s">
        <v>257</v>
      </c>
      <c r="D389" s="284" t="s">
        <v>1281</v>
      </c>
      <c r="E389" s="273" t="s">
        <v>526</v>
      </c>
      <c r="F389" s="274">
        <v>7</v>
      </c>
      <c r="G389" s="285" t="e">
        <f>Comp!#REF!</f>
        <v>#REF!</v>
      </c>
      <c r="H389" s="275">
        <f>H388</f>
        <v>32.83</v>
      </c>
      <c r="I389" s="276">
        <f t="shared" si="35"/>
        <v>229.81</v>
      </c>
      <c r="J389" s="276" t="e">
        <f t="shared" si="36"/>
        <v>#REF!</v>
      </c>
      <c r="L389" s="217"/>
    </row>
    <row r="390" spans="1:14" s="315" customFormat="1" x14ac:dyDescent="0.2">
      <c r="A390" s="331"/>
      <c r="B390" s="308">
        <v>72715</v>
      </c>
      <c r="C390" s="308" t="s">
        <v>1282</v>
      </c>
      <c r="D390" s="332" t="s">
        <v>1283</v>
      </c>
      <c r="E390" s="311" t="s">
        <v>418</v>
      </c>
      <c r="F390" s="312">
        <v>1.25</v>
      </c>
      <c r="G390" s="333" t="e">
        <f>Comp!#REF!</f>
        <v>#REF!</v>
      </c>
      <c r="H390" s="313">
        <v>92.78</v>
      </c>
      <c r="I390" s="314">
        <f t="shared" si="35"/>
        <v>115.97499999999999</v>
      </c>
      <c r="J390" s="314" t="e">
        <f t="shared" si="36"/>
        <v>#REF!</v>
      </c>
      <c r="L390" s="213"/>
    </row>
    <row r="391" spans="1:14" s="279" customFormat="1" x14ac:dyDescent="0.2">
      <c r="A391" s="283"/>
      <c r="B391" s="270">
        <v>72677</v>
      </c>
      <c r="C391" s="270" t="s">
        <v>1284</v>
      </c>
      <c r="D391" s="284" t="s">
        <v>1285</v>
      </c>
      <c r="E391" s="273" t="s">
        <v>526</v>
      </c>
      <c r="F391" s="274">
        <v>10</v>
      </c>
      <c r="G391" s="285" t="e">
        <f>Comp!#REF!</f>
        <v>#REF!</v>
      </c>
      <c r="H391" s="275">
        <v>42.45</v>
      </c>
      <c r="I391" s="276">
        <f t="shared" si="35"/>
        <v>424.5</v>
      </c>
      <c r="J391" s="276" t="e">
        <f t="shared" si="36"/>
        <v>#REF!</v>
      </c>
      <c r="L391" s="217"/>
    </row>
    <row r="392" spans="1:14" s="279" customFormat="1" x14ac:dyDescent="0.2">
      <c r="A392" s="283"/>
      <c r="B392" s="270">
        <v>72715</v>
      </c>
      <c r="C392" s="270" t="s">
        <v>1286</v>
      </c>
      <c r="D392" s="284" t="s">
        <v>1287</v>
      </c>
      <c r="E392" s="273" t="s">
        <v>526</v>
      </c>
      <c r="F392" s="274">
        <v>4</v>
      </c>
      <c r="G392" s="285" t="e">
        <f>Comp!#REF!</f>
        <v>#REF!</v>
      </c>
      <c r="H392" s="275">
        <v>92.78</v>
      </c>
      <c r="I392" s="276">
        <f t="shared" si="35"/>
        <v>371.12</v>
      </c>
      <c r="J392" s="276" t="e">
        <f t="shared" si="36"/>
        <v>#REF!</v>
      </c>
      <c r="L392" s="217"/>
    </row>
    <row r="393" spans="1:14" s="279" customFormat="1" x14ac:dyDescent="0.2">
      <c r="A393" s="283"/>
      <c r="B393" s="270" t="s">
        <v>1288</v>
      </c>
      <c r="C393" s="270" t="s">
        <v>1289</v>
      </c>
      <c r="D393" s="284" t="s">
        <v>1290</v>
      </c>
      <c r="E393" s="273" t="s">
        <v>526</v>
      </c>
      <c r="F393" s="274">
        <v>65.27</v>
      </c>
      <c r="G393" s="285" t="e">
        <f>Comp!#REF!</f>
        <v>#REF!</v>
      </c>
      <c r="H393" s="275">
        <v>168.69</v>
      </c>
      <c r="I393" s="276">
        <f t="shared" si="35"/>
        <v>11010.396299999999</v>
      </c>
      <c r="J393" s="276" t="e">
        <f t="shared" si="36"/>
        <v>#REF!</v>
      </c>
      <c r="L393" s="217"/>
    </row>
    <row r="394" spans="1:14" s="279" customFormat="1" x14ac:dyDescent="0.2">
      <c r="A394" s="283"/>
      <c r="B394" s="270"/>
      <c r="C394" s="270" t="s">
        <v>1291</v>
      </c>
      <c r="D394" s="284" t="s">
        <v>572</v>
      </c>
      <c r="E394" s="273" t="s">
        <v>526</v>
      </c>
      <c r="F394" s="274">
        <v>3</v>
      </c>
      <c r="G394" s="285" t="e">
        <f>Comp!#REF!</f>
        <v>#REF!</v>
      </c>
      <c r="H394" s="275">
        <v>4.25</v>
      </c>
      <c r="I394" s="276">
        <f t="shared" si="35"/>
        <v>12.75</v>
      </c>
      <c r="J394" s="276" t="e">
        <f t="shared" si="36"/>
        <v>#REF!</v>
      </c>
      <c r="L394" s="217"/>
    </row>
    <row r="395" spans="1:14" s="279" customFormat="1" x14ac:dyDescent="0.2">
      <c r="A395" s="283"/>
      <c r="B395" s="270"/>
      <c r="C395" s="270" t="s">
        <v>1292</v>
      </c>
      <c r="D395" s="284" t="s">
        <v>1293</v>
      </c>
      <c r="E395" s="273" t="s">
        <v>526</v>
      </c>
      <c r="F395" s="274">
        <v>3</v>
      </c>
      <c r="G395" s="285" t="e">
        <f>Comp!#REF!</f>
        <v>#REF!</v>
      </c>
      <c r="H395" s="275">
        <v>295.52999999999997</v>
      </c>
      <c r="I395" s="276">
        <f t="shared" si="35"/>
        <v>886.58999999999992</v>
      </c>
      <c r="J395" s="276" t="e">
        <f t="shared" si="36"/>
        <v>#REF!</v>
      </c>
      <c r="L395" s="217"/>
    </row>
    <row r="396" spans="1:14" s="279" customFormat="1" ht="24" x14ac:dyDescent="0.2">
      <c r="A396" s="283"/>
      <c r="B396" s="270"/>
      <c r="C396" s="270" t="s">
        <v>1294</v>
      </c>
      <c r="D396" s="292" t="s">
        <v>573</v>
      </c>
      <c r="E396" s="273" t="s">
        <v>526</v>
      </c>
      <c r="F396" s="274">
        <v>3</v>
      </c>
      <c r="G396" s="285" t="e">
        <f>Comp!#REF!</f>
        <v>#REF!</v>
      </c>
      <c r="H396" s="275">
        <v>13.55</v>
      </c>
      <c r="I396" s="276">
        <f t="shared" si="35"/>
        <v>40.650000000000006</v>
      </c>
      <c r="J396" s="276" t="e">
        <f t="shared" si="36"/>
        <v>#REF!</v>
      </c>
      <c r="L396" s="217"/>
    </row>
    <row r="397" spans="1:14" s="279" customFormat="1" x14ac:dyDescent="0.2">
      <c r="A397" s="283"/>
      <c r="B397" s="270"/>
      <c r="C397" s="270" t="s">
        <v>1295</v>
      </c>
      <c r="D397" s="284" t="s">
        <v>574</v>
      </c>
      <c r="E397" s="273" t="s">
        <v>526</v>
      </c>
      <c r="F397" s="274">
        <v>3</v>
      </c>
      <c r="G397" s="285" t="e">
        <f>Comp!#REF!</f>
        <v>#REF!</v>
      </c>
      <c r="H397" s="275">
        <v>129</v>
      </c>
      <c r="I397" s="276">
        <f t="shared" si="35"/>
        <v>387</v>
      </c>
      <c r="J397" s="276" t="e">
        <f t="shared" si="36"/>
        <v>#REF!</v>
      </c>
      <c r="L397" s="217"/>
    </row>
    <row r="398" spans="1:14" s="279" customFormat="1" x14ac:dyDescent="0.2">
      <c r="A398" s="283"/>
      <c r="B398" s="270"/>
      <c r="C398" s="270" t="s">
        <v>1296</v>
      </c>
      <c r="D398" s="284" t="s">
        <v>575</v>
      </c>
      <c r="E398" s="273" t="s">
        <v>526</v>
      </c>
      <c r="F398" s="274">
        <v>6</v>
      </c>
      <c r="G398" s="285" t="e">
        <f>Comp!#REF!</f>
        <v>#REF!</v>
      </c>
      <c r="H398" s="275">
        <v>64.5</v>
      </c>
      <c r="I398" s="276">
        <f t="shared" si="35"/>
        <v>387</v>
      </c>
      <c r="J398" s="276" t="e">
        <f t="shared" si="36"/>
        <v>#REF!</v>
      </c>
      <c r="L398" s="217"/>
    </row>
    <row r="399" spans="1:14" s="279" customFormat="1" x14ac:dyDescent="0.2">
      <c r="A399" s="283"/>
      <c r="B399" s="270">
        <v>72677</v>
      </c>
      <c r="C399" s="270" t="s">
        <v>1297</v>
      </c>
      <c r="D399" s="284" t="s">
        <v>576</v>
      </c>
      <c r="E399" s="273" t="s">
        <v>526</v>
      </c>
      <c r="F399" s="274">
        <v>3</v>
      </c>
      <c r="G399" s="285" t="e">
        <f>Comp!#REF!</f>
        <v>#REF!</v>
      </c>
      <c r="H399" s="275">
        <v>43.73</v>
      </c>
      <c r="I399" s="276">
        <f t="shared" si="35"/>
        <v>131.19</v>
      </c>
      <c r="J399" s="276" t="e">
        <f t="shared" si="36"/>
        <v>#REF!</v>
      </c>
      <c r="L399" s="217"/>
    </row>
    <row r="400" spans="1:14" s="279" customFormat="1" x14ac:dyDescent="0.2">
      <c r="A400" s="283"/>
      <c r="B400" s="270"/>
      <c r="C400" s="270" t="s">
        <v>1298</v>
      </c>
      <c r="D400" s="284" t="s">
        <v>577</v>
      </c>
      <c r="E400" s="273" t="s">
        <v>526</v>
      </c>
      <c r="F400" s="274">
        <v>3</v>
      </c>
      <c r="G400" s="285" t="e">
        <f>Comp!#REF!</f>
        <v>#REF!</v>
      </c>
      <c r="H400" s="275">
        <v>109.78</v>
      </c>
      <c r="I400" s="276">
        <f t="shared" si="35"/>
        <v>329.34000000000003</v>
      </c>
      <c r="J400" s="276" t="e">
        <f t="shared" si="36"/>
        <v>#REF!</v>
      </c>
      <c r="L400" s="217"/>
    </row>
    <row r="401" spans="1:14" s="279" customFormat="1" x14ac:dyDescent="0.2">
      <c r="A401" s="283"/>
      <c r="B401" s="270"/>
      <c r="C401" s="270" t="s">
        <v>1299</v>
      </c>
      <c r="D401" s="284" t="s">
        <v>578</v>
      </c>
      <c r="E401" s="273" t="s">
        <v>526</v>
      </c>
      <c r="F401" s="274">
        <v>3</v>
      </c>
      <c r="G401" s="285" t="e">
        <f>Comp!#REF!</f>
        <v>#REF!</v>
      </c>
      <c r="H401" s="275">
        <v>219.95</v>
      </c>
      <c r="I401" s="276">
        <f t="shared" si="35"/>
        <v>659.84999999999991</v>
      </c>
      <c r="J401" s="276" t="e">
        <f t="shared" si="36"/>
        <v>#REF!</v>
      </c>
      <c r="L401" s="217"/>
    </row>
    <row r="402" spans="1:14" s="279" customFormat="1" x14ac:dyDescent="0.2">
      <c r="A402" s="283"/>
      <c r="B402" s="270"/>
      <c r="C402" s="270" t="s">
        <v>1300</v>
      </c>
      <c r="D402" s="284" t="s">
        <v>579</v>
      </c>
      <c r="E402" s="273" t="s">
        <v>526</v>
      </c>
      <c r="F402" s="274">
        <v>3</v>
      </c>
      <c r="G402" s="285" t="e">
        <f>Comp!#REF!</f>
        <v>#REF!</v>
      </c>
      <c r="H402" s="275">
        <v>13.93</v>
      </c>
      <c r="I402" s="276">
        <f t="shared" si="35"/>
        <v>41.79</v>
      </c>
      <c r="J402" s="276" t="e">
        <f t="shared" si="36"/>
        <v>#REF!</v>
      </c>
      <c r="L402" s="217"/>
    </row>
    <row r="403" spans="1:14" s="279" customFormat="1" x14ac:dyDescent="0.2">
      <c r="A403" s="283"/>
      <c r="B403" s="270"/>
      <c r="C403" s="270" t="s">
        <v>1301</v>
      </c>
      <c r="D403" s="284" t="s">
        <v>1302</v>
      </c>
      <c r="E403" s="273" t="s">
        <v>526</v>
      </c>
      <c r="F403" s="274">
        <v>5</v>
      </c>
      <c r="G403" s="285" t="e">
        <f>Comp!#REF!</f>
        <v>#REF!</v>
      </c>
      <c r="H403" s="275">
        <v>245.1</v>
      </c>
      <c r="I403" s="276">
        <f t="shared" si="35"/>
        <v>1225.5</v>
      </c>
      <c r="J403" s="276" t="e">
        <f t="shared" si="36"/>
        <v>#REF!</v>
      </c>
      <c r="L403" s="217"/>
    </row>
    <row r="404" spans="1:14" s="279" customFormat="1" x14ac:dyDescent="0.2">
      <c r="A404" s="283"/>
      <c r="B404" s="270" t="s">
        <v>1303</v>
      </c>
      <c r="C404" s="270" t="s">
        <v>1304</v>
      </c>
      <c r="D404" s="284" t="s">
        <v>1305</v>
      </c>
      <c r="E404" s="273" t="s">
        <v>526</v>
      </c>
      <c r="F404" s="274">
        <v>2</v>
      </c>
      <c r="G404" s="285" t="e">
        <f>Comp!#REF!</f>
        <v>#REF!</v>
      </c>
      <c r="H404" s="275">
        <v>199.03</v>
      </c>
      <c r="I404" s="276">
        <f t="shared" si="35"/>
        <v>398.06</v>
      </c>
      <c r="J404" s="276" t="e">
        <f t="shared" si="36"/>
        <v>#REF!</v>
      </c>
      <c r="L404" s="217"/>
    </row>
    <row r="405" spans="1:14" s="279" customFormat="1" x14ac:dyDescent="0.2">
      <c r="A405" s="283"/>
      <c r="B405" s="270"/>
      <c r="C405" s="270" t="s">
        <v>1306</v>
      </c>
      <c r="D405" s="284" t="s">
        <v>1307</v>
      </c>
      <c r="E405" s="273" t="s">
        <v>526</v>
      </c>
      <c r="F405" s="274">
        <v>4</v>
      </c>
      <c r="G405" s="285"/>
      <c r="H405" s="275"/>
      <c r="I405" s="276"/>
      <c r="J405" s="276"/>
      <c r="L405" s="217"/>
    </row>
    <row r="406" spans="1:14" s="279" customFormat="1" ht="24" x14ac:dyDescent="0.2">
      <c r="A406" s="283"/>
      <c r="B406" s="270" t="s">
        <v>1308</v>
      </c>
      <c r="C406" s="270" t="s">
        <v>1309</v>
      </c>
      <c r="D406" s="292" t="s">
        <v>580</v>
      </c>
      <c r="E406" s="273" t="s">
        <v>526</v>
      </c>
      <c r="F406" s="274">
        <v>40</v>
      </c>
      <c r="G406" s="285" t="e">
        <f>Comp!#REF!</f>
        <v>#REF!</v>
      </c>
      <c r="H406" s="275">
        <v>54.65</v>
      </c>
      <c r="I406" s="276">
        <f t="shared" si="35"/>
        <v>2186</v>
      </c>
      <c r="J406" s="276" t="e">
        <f t="shared" si="36"/>
        <v>#REF!</v>
      </c>
      <c r="L406" s="217"/>
    </row>
    <row r="407" spans="1:14" s="279" customFormat="1" x14ac:dyDescent="0.2">
      <c r="A407" s="283"/>
      <c r="B407" s="270">
        <v>72947</v>
      </c>
      <c r="C407" s="270" t="s">
        <v>1310</v>
      </c>
      <c r="D407" s="292" t="s">
        <v>1311</v>
      </c>
      <c r="E407" s="270" t="s">
        <v>421</v>
      </c>
      <c r="F407" s="274">
        <v>8</v>
      </c>
      <c r="G407" s="285" t="e">
        <f>Comp!#REF!</f>
        <v>#REF!</v>
      </c>
      <c r="H407" s="275">
        <v>21.58</v>
      </c>
      <c r="I407" s="276">
        <f t="shared" si="35"/>
        <v>172.64</v>
      </c>
      <c r="J407" s="276" t="e">
        <f t="shared" si="36"/>
        <v>#REF!</v>
      </c>
      <c r="L407" s="217"/>
    </row>
    <row r="408" spans="1:14" s="279" customFormat="1" x14ac:dyDescent="0.2">
      <c r="A408" s="283"/>
      <c r="B408" s="270">
        <v>72947</v>
      </c>
      <c r="C408" s="270" t="s">
        <v>1312</v>
      </c>
      <c r="D408" s="292" t="s">
        <v>1313</v>
      </c>
      <c r="E408" s="270" t="s">
        <v>421</v>
      </c>
      <c r="F408" s="274">
        <v>2</v>
      </c>
      <c r="G408" s="285" t="e">
        <f>G407</f>
        <v>#REF!</v>
      </c>
      <c r="H408" s="275">
        <v>21.58</v>
      </c>
      <c r="I408" s="276">
        <f t="shared" si="35"/>
        <v>43.16</v>
      </c>
      <c r="J408" s="276" t="e">
        <f t="shared" si="36"/>
        <v>#REF!</v>
      </c>
      <c r="L408" s="217"/>
    </row>
    <row r="409" spans="1:14" s="279" customFormat="1" x14ac:dyDescent="0.2">
      <c r="A409" s="283"/>
      <c r="B409" s="270"/>
      <c r="C409" s="270" t="s">
        <v>1314</v>
      </c>
      <c r="D409" s="284" t="s">
        <v>1315</v>
      </c>
      <c r="E409" s="273" t="s">
        <v>526</v>
      </c>
      <c r="F409" s="274">
        <v>2</v>
      </c>
      <c r="G409" s="285" t="e">
        <f>Comp!#REF!</f>
        <v>#REF!</v>
      </c>
      <c r="H409" s="275">
        <v>3870</v>
      </c>
      <c r="I409" s="276">
        <f t="shared" si="35"/>
        <v>7740</v>
      </c>
      <c r="J409" s="276" t="e">
        <f t="shared" si="36"/>
        <v>#REF!</v>
      </c>
      <c r="L409" s="217"/>
    </row>
    <row r="410" spans="1:14" s="279" customFormat="1" ht="24" x14ac:dyDescent="0.2">
      <c r="A410" s="283"/>
      <c r="B410" s="270"/>
      <c r="C410" s="270" t="s">
        <v>1316</v>
      </c>
      <c r="D410" s="292" t="s">
        <v>1317</v>
      </c>
      <c r="E410" s="273" t="s">
        <v>526</v>
      </c>
      <c r="F410" s="274">
        <v>2</v>
      </c>
      <c r="G410" s="285" t="e">
        <f>Comp!#REF!</f>
        <v>#REF!</v>
      </c>
      <c r="H410" s="275">
        <v>61.92</v>
      </c>
      <c r="I410" s="276">
        <f t="shared" si="35"/>
        <v>123.84</v>
      </c>
      <c r="J410" s="276" t="e">
        <f t="shared" si="36"/>
        <v>#REF!</v>
      </c>
      <c r="L410" s="217"/>
    </row>
    <row r="411" spans="1:14" s="279" customFormat="1" ht="24" x14ac:dyDescent="0.2">
      <c r="A411" s="283"/>
      <c r="B411" s="270"/>
      <c r="C411" s="270" t="s">
        <v>1318</v>
      </c>
      <c r="D411" s="292" t="s">
        <v>1319</v>
      </c>
      <c r="E411" s="273" t="s">
        <v>526</v>
      </c>
      <c r="F411" s="274">
        <v>15</v>
      </c>
      <c r="G411" s="285" t="e">
        <f>Comp!#REF!</f>
        <v>#REF!</v>
      </c>
      <c r="H411" s="275">
        <v>45.15</v>
      </c>
      <c r="I411" s="276">
        <f t="shared" si="35"/>
        <v>677.25</v>
      </c>
      <c r="J411" s="276" t="e">
        <f t="shared" si="36"/>
        <v>#REF!</v>
      </c>
      <c r="L411" s="217"/>
    </row>
    <row r="412" spans="1:14" s="279" customFormat="1" ht="24" x14ac:dyDescent="0.2">
      <c r="A412" s="283"/>
      <c r="B412" s="270"/>
      <c r="C412" s="270" t="s">
        <v>1320</v>
      </c>
      <c r="D412" s="292" t="s">
        <v>1321</v>
      </c>
      <c r="E412" s="273" t="s">
        <v>526</v>
      </c>
      <c r="F412" s="274">
        <v>3</v>
      </c>
      <c r="G412" s="285" t="e">
        <f>Comp!#REF!</f>
        <v>#REF!</v>
      </c>
      <c r="H412" s="275">
        <f>H411</f>
        <v>45.15</v>
      </c>
      <c r="I412" s="276">
        <f t="shared" si="35"/>
        <v>135.44999999999999</v>
      </c>
      <c r="J412" s="276" t="e">
        <f t="shared" si="36"/>
        <v>#REF!</v>
      </c>
      <c r="L412" s="217"/>
    </row>
    <row r="413" spans="1:14" s="279" customFormat="1" ht="24" x14ac:dyDescent="0.2">
      <c r="A413" s="283"/>
      <c r="B413" s="270"/>
      <c r="C413" s="270" t="s">
        <v>1322</v>
      </c>
      <c r="D413" s="292" t="s">
        <v>1323</v>
      </c>
      <c r="E413" s="273" t="s">
        <v>526</v>
      </c>
      <c r="F413" s="274">
        <v>8</v>
      </c>
      <c r="G413" s="285" t="e">
        <f>Comp!#REF!</f>
        <v>#REF!</v>
      </c>
      <c r="H413" s="275">
        <v>61.92</v>
      </c>
      <c r="I413" s="276">
        <f t="shared" si="35"/>
        <v>495.36</v>
      </c>
      <c r="J413" s="276" t="e">
        <f t="shared" si="36"/>
        <v>#REF!</v>
      </c>
      <c r="L413" s="217"/>
    </row>
    <row r="414" spans="1:14" s="279" customFormat="1" x14ac:dyDescent="0.2">
      <c r="A414" s="269"/>
      <c r="B414" s="260" t="s">
        <v>680</v>
      </c>
      <c r="C414" s="261">
        <v>18</v>
      </c>
      <c r="D414" s="262" t="s">
        <v>1324</v>
      </c>
      <c r="E414" s="288"/>
      <c r="F414" s="264"/>
      <c r="G414" s="265"/>
      <c r="H414" s="266"/>
      <c r="I414" s="267">
        <f>SUM(I416:I493)</f>
        <v>162690.11000000004</v>
      </c>
      <c r="J414" s="290" t="e">
        <f>SUM(J416:J493)</f>
        <v>#REF!</v>
      </c>
      <c r="K414" s="268"/>
      <c r="L414" s="280"/>
      <c r="M414" s="280"/>
      <c r="N414" s="281"/>
    </row>
    <row r="415" spans="1:14" s="279" customFormat="1" x14ac:dyDescent="0.2">
      <c r="A415" s="269"/>
      <c r="B415" s="270" t="s">
        <v>680</v>
      </c>
      <c r="C415" s="289"/>
      <c r="D415" s="286" t="s">
        <v>1325</v>
      </c>
      <c r="E415" s="273"/>
      <c r="F415" s="274"/>
      <c r="G415" s="285"/>
      <c r="H415" s="275"/>
      <c r="I415" s="290"/>
      <c r="J415" s="290"/>
      <c r="L415" s="280"/>
      <c r="M415" s="280"/>
      <c r="N415" s="281"/>
    </row>
    <row r="416" spans="1:14" s="279" customFormat="1" ht="60" x14ac:dyDescent="0.2">
      <c r="A416" s="283"/>
      <c r="B416" s="270" t="s">
        <v>1326</v>
      </c>
      <c r="C416" s="270" t="s">
        <v>258</v>
      </c>
      <c r="D416" s="292" t="s">
        <v>581</v>
      </c>
      <c r="E416" s="273" t="s">
        <v>526</v>
      </c>
      <c r="F416" s="274">
        <v>1</v>
      </c>
      <c r="G416" s="285" t="e">
        <f>Comp!#REF!</f>
        <v>#REF!</v>
      </c>
      <c r="H416" s="275">
        <v>259.95999999999998</v>
      </c>
      <c r="I416" s="276">
        <f t="shared" ref="I416:I479" si="37">F416*H416</f>
        <v>259.95999999999998</v>
      </c>
      <c r="J416" s="276" t="e">
        <f t="shared" ref="J416:J479" si="38">F416*G416</f>
        <v>#REF!</v>
      </c>
      <c r="L416" s="217"/>
    </row>
    <row r="417" spans="1:14" s="279" customFormat="1" ht="60" x14ac:dyDescent="0.2">
      <c r="A417" s="283"/>
      <c r="B417" s="270" t="s">
        <v>1326</v>
      </c>
      <c r="C417" s="270" t="s">
        <v>261</v>
      </c>
      <c r="D417" s="292" t="s">
        <v>582</v>
      </c>
      <c r="E417" s="273" t="s">
        <v>526</v>
      </c>
      <c r="F417" s="274">
        <v>3</v>
      </c>
      <c r="G417" s="285" t="e">
        <f>Comp!#REF!</f>
        <v>#REF!</v>
      </c>
      <c r="H417" s="275">
        <v>388.96</v>
      </c>
      <c r="I417" s="276">
        <f t="shared" si="37"/>
        <v>1166.8799999999999</v>
      </c>
      <c r="J417" s="276" t="e">
        <f t="shared" si="38"/>
        <v>#REF!</v>
      </c>
      <c r="L417" s="217"/>
    </row>
    <row r="418" spans="1:14" s="279" customFormat="1" ht="60" x14ac:dyDescent="0.2">
      <c r="A418" s="283"/>
      <c r="B418" s="270" t="s">
        <v>1327</v>
      </c>
      <c r="C418" s="270" t="s">
        <v>265</v>
      </c>
      <c r="D418" s="292" t="s">
        <v>583</v>
      </c>
      <c r="E418" s="273" t="s">
        <v>526</v>
      </c>
      <c r="F418" s="274">
        <v>1</v>
      </c>
      <c r="G418" s="285" t="e">
        <f>Comp!#REF!</f>
        <v>#REF!</v>
      </c>
      <c r="H418" s="275">
        <v>469.56</v>
      </c>
      <c r="I418" s="276">
        <f t="shared" si="37"/>
        <v>469.56</v>
      </c>
      <c r="J418" s="276" t="e">
        <f t="shared" si="38"/>
        <v>#REF!</v>
      </c>
      <c r="L418" s="217"/>
    </row>
    <row r="419" spans="1:14" s="279" customFormat="1" x14ac:dyDescent="0.2">
      <c r="A419" s="283"/>
      <c r="B419" s="270">
        <v>83372</v>
      </c>
      <c r="C419" s="270" t="s">
        <v>1328</v>
      </c>
      <c r="D419" s="284" t="s">
        <v>584</v>
      </c>
      <c r="E419" s="273" t="s">
        <v>526</v>
      </c>
      <c r="F419" s="274">
        <v>2</v>
      </c>
      <c r="G419" s="285" t="e">
        <f>Comp!#REF!</f>
        <v>#REF!</v>
      </c>
      <c r="H419" s="275">
        <v>564.66</v>
      </c>
      <c r="I419" s="276">
        <f t="shared" si="37"/>
        <v>1129.32</v>
      </c>
      <c r="J419" s="276" t="e">
        <f t="shared" si="38"/>
        <v>#REF!</v>
      </c>
      <c r="L419" s="217"/>
    </row>
    <row r="420" spans="1:14" s="279" customFormat="1" x14ac:dyDescent="0.2">
      <c r="A420" s="269"/>
      <c r="B420" s="270" t="s">
        <v>680</v>
      </c>
      <c r="C420" s="289"/>
      <c r="D420" s="286" t="s">
        <v>1329</v>
      </c>
      <c r="E420" s="273" t="s">
        <v>526</v>
      </c>
      <c r="F420" s="274"/>
      <c r="G420" s="285"/>
      <c r="H420" s="275"/>
      <c r="I420" s="276">
        <f t="shared" si="37"/>
        <v>0</v>
      </c>
      <c r="J420" s="276">
        <f t="shared" si="38"/>
        <v>0</v>
      </c>
      <c r="L420" s="280"/>
      <c r="M420" s="280"/>
      <c r="N420" s="281"/>
    </row>
    <row r="421" spans="1:14" s="279" customFormat="1" x14ac:dyDescent="0.2">
      <c r="A421" s="269"/>
      <c r="B421" s="270" t="s">
        <v>1330</v>
      </c>
      <c r="C421" s="271" t="s">
        <v>1331</v>
      </c>
      <c r="D421" s="272" t="s">
        <v>1332</v>
      </c>
      <c r="E421" s="273" t="s">
        <v>526</v>
      </c>
      <c r="F421" s="274">
        <v>27</v>
      </c>
      <c r="G421" s="275" t="e">
        <f>Comp!#REF!</f>
        <v>#REF!</v>
      </c>
      <c r="H421" s="275">
        <v>564.66</v>
      </c>
      <c r="I421" s="276">
        <f t="shared" si="37"/>
        <v>15245.82</v>
      </c>
      <c r="J421" s="276" t="e">
        <f t="shared" si="38"/>
        <v>#REF!</v>
      </c>
      <c r="L421" s="280"/>
      <c r="M421" s="280"/>
      <c r="N421" s="281"/>
    </row>
    <row r="422" spans="1:14" s="279" customFormat="1" x14ac:dyDescent="0.2">
      <c r="A422" s="259"/>
      <c r="B422" s="270" t="s">
        <v>1330</v>
      </c>
      <c r="C422" s="271" t="s">
        <v>1333</v>
      </c>
      <c r="D422" s="272" t="s">
        <v>1334</v>
      </c>
      <c r="E422" s="273" t="s">
        <v>526</v>
      </c>
      <c r="F422" s="274">
        <v>18</v>
      </c>
      <c r="G422" s="275" t="e">
        <f t="shared" ref="G422:H424" si="39">G421</f>
        <v>#REF!</v>
      </c>
      <c r="H422" s="275">
        <f t="shared" si="39"/>
        <v>564.66</v>
      </c>
      <c r="I422" s="276">
        <f t="shared" si="37"/>
        <v>10163.879999999999</v>
      </c>
      <c r="J422" s="276" t="e">
        <f t="shared" si="38"/>
        <v>#REF!</v>
      </c>
      <c r="L422" s="280"/>
      <c r="M422" s="280"/>
      <c r="N422" s="281"/>
    </row>
    <row r="423" spans="1:14" s="279" customFormat="1" x14ac:dyDescent="0.2">
      <c r="A423" s="269"/>
      <c r="B423" s="270" t="s">
        <v>1330</v>
      </c>
      <c r="C423" s="271" t="s">
        <v>1335</v>
      </c>
      <c r="D423" s="272" t="s">
        <v>1336</v>
      </c>
      <c r="E423" s="273" t="s">
        <v>526</v>
      </c>
      <c r="F423" s="274">
        <v>14</v>
      </c>
      <c r="G423" s="275" t="e">
        <f t="shared" si="39"/>
        <v>#REF!</v>
      </c>
      <c r="H423" s="275">
        <f t="shared" si="39"/>
        <v>564.66</v>
      </c>
      <c r="I423" s="276">
        <f t="shared" si="37"/>
        <v>7905.24</v>
      </c>
      <c r="J423" s="276" t="e">
        <f t="shared" si="38"/>
        <v>#REF!</v>
      </c>
      <c r="L423" s="280"/>
      <c r="M423" s="280"/>
      <c r="N423" s="281"/>
    </row>
    <row r="424" spans="1:14" s="279" customFormat="1" x14ac:dyDescent="0.2">
      <c r="A424" s="259"/>
      <c r="B424" s="270" t="s">
        <v>1330</v>
      </c>
      <c r="C424" s="271" t="s">
        <v>1337</v>
      </c>
      <c r="D424" s="272" t="s">
        <v>1338</v>
      </c>
      <c r="E424" s="273" t="s">
        <v>526</v>
      </c>
      <c r="F424" s="274">
        <v>20</v>
      </c>
      <c r="G424" s="275" t="e">
        <f t="shared" si="39"/>
        <v>#REF!</v>
      </c>
      <c r="H424" s="275">
        <f t="shared" si="39"/>
        <v>564.66</v>
      </c>
      <c r="I424" s="276">
        <f t="shared" si="37"/>
        <v>11293.199999999999</v>
      </c>
      <c r="J424" s="276" t="e">
        <f t="shared" si="38"/>
        <v>#REF!</v>
      </c>
      <c r="L424" s="280"/>
      <c r="M424" s="280"/>
      <c r="N424" s="281"/>
    </row>
    <row r="425" spans="1:14" s="279" customFormat="1" x14ac:dyDescent="0.2">
      <c r="A425" s="334"/>
      <c r="B425" s="270" t="s">
        <v>1339</v>
      </c>
      <c r="C425" s="271" t="s">
        <v>1340</v>
      </c>
      <c r="D425" s="272" t="s">
        <v>1341</v>
      </c>
      <c r="E425" s="273" t="s">
        <v>526</v>
      </c>
      <c r="F425" s="274">
        <v>3</v>
      </c>
      <c r="G425" s="275" t="e">
        <f>Comp!#REF!</f>
        <v>#REF!</v>
      </c>
      <c r="H425" s="275">
        <v>75.97</v>
      </c>
      <c r="I425" s="276">
        <f t="shared" si="37"/>
        <v>227.91</v>
      </c>
      <c r="J425" s="276" t="e">
        <f t="shared" si="38"/>
        <v>#REF!</v>
      </c>
      <c r="L425" s="280"/>
      <c r="M425" s="280"/>
      <c r="N425" s="281"/>
    </row>
    <row r="426" spans="1:14" s="279" customFormat="1" x14ac:dyDescent="0.2">
      <c r="A426" s="334"/>
      <c r="B426" s="270" t="s">
        <v>1342</v>
      </c>
      <c r="C426" s="271" t="s">
        <v>1343</v>
      </c>
      <c r="D426" s="272" t="s">
        <v>1344</v>
      </c>
      <c r="E426" s="273" t="str">
        <f>E484</f>
        <v>u n</v>
      </c>
      <c r="F426" s="274">
        <v>2</v>
      </c>
      <c r="G426" s="275" t="e">
        <f>Comp!#REF!</f>
        <v>#REF!</v>
      </c>
      <c r="H426" s="275">
        <v>103.2</v>
      </c>
      <c r="I426" s="276">
        <f t="shared" si="37"/>
        <v>206.4</v>
      </c>
      <c r="J426" s="276" t="e">
        <f t="shared" si="38"/>
        <v>#REF!</v>
      </c>
      <c r="L426" s="280"/>
      <c r="M426" s="280"/>
      <c r="N426" s="281"/>
    </row>
    <row r="427" spans="1:14" s="279" customFormat="1" x14ac:dyDescent="0.2">
      <c r="A427" s="334"/>
      <c r="B427" s="270" t="s">
        <v>1345</v>
      </c>
      <c r="C427" s="271" t="s">
        <v>1346</v>
      </c>
      <c r="D427" s="272" t="s">
        <v>1347</v>
      </c>
      <c r="E427" s="273" t="str">
        <f>E485</f>
        <v>u n</v>
      </c>
      <c r="F427" s="274">
        <v>2</v>
      </c>
      <c r="G427" s="275" t="e">
        <f>Comp!#REF!</f>
        <v>#REF!</v>
      </c>
      <c r="H427" s="275">
        <v>341.49</v>
      </c>
      <c r="I427" s="276">
        <f t="shared" si="37"/>
        <v>682.98</v>
      </c>
      <c r="J427" s="276" t="e">
        <f t="shared" si="38"/>
        <v>#REF!</v>
      </c>
      <c r="L427" s="280"/>
      <c r="M427" s="280"/>
      <c r="N427" s="281"/>
    </row>
    <row r="428" spans="1:14" s="279" customFormat="1" x14ac:dyDescent="0.2">
      <c r="A428" s="334"/>
      <c r="B428" s="270" t="s">
        <v>1348</v>
      </c>
      <c r="C428" s="271" t="s">
        <v>1349</v>
      </c>
      <c r="D428" s="272" t="s">
        <v>1350</v>
      </c>
      <c r="E428" s="273" t="str">
        <f>E486</f>
        <v>u n</v>
      </c>
      <c r="F428" s="274">
        <v>1</v>
      </c>
      <c r="G428" s="275" t="e">
        <f>Comp!#REF!</f>
        <v>#REF!</v>
      </c>
      <c r="H428" s="275">
        <f>H427</f>
        <v>341.49</v>
      </c>
      <c r="I428" s="276">
        <f t="shared" si="37"/>
        <v>341.49</v>
      </c>
      <c r="J428" s="276" t="e">
        <f t="shared" si="38"/>
        <v>#REF!</v>
      </c>
      <c r="L428" s="280"/>
      <c r="M428" s="280"/>
      <c r="N428" s="281"/>
    </row>
    <row r="429" spans="1:14" s="279" customFormat="1" x14ac:dyDescent="0.2">
      <c r="A429" s="269"/>
      <c r="B429" s="270"/>
      <c r="C429" s="271" t="s">
        <v>1351</v>
      </c>
      <c r="D429" s="272" t="s">
        <v>1352</v>
      </c>
      <c r="E429" s="273" t="str">
        <f>E487</f>
        <v>u n</v>
      </c>
      <c r="F429" s="274">
        <v>2</v>
      </c>
      <c r="G429" s="275" t="e">
        <f>Comp!#REF!</f>
        <v>#REF!</v>
      </c>
      <c r="H429" s="275">
        <v>201.08</v>
      </c>
      <c r="I429" s="276">
        <f t="shared" si="37"/>
        <v>402.16</v>
      </c>
      <c r="J429" s="276" t="e">
        <f t="shared" si="38"/>
        <v>#REF!</v>
      </c>
      <c r="L429" s="280"/>
      <c r="M429" s="280"/>
      <c r="N429" s="281"/>
    </row>
    <row r="430" spans="1:14" s="279" customFormat="1" x14ac:dyDescent="0.2">
      <c r="A430" s="269"/>
      <c r="B430" s="270"/>
      <c r="C430" s="271" t="s">
        <v>1353</v>
      </c>
      <c r="D430" s="272" t="s">
        <v>1354</v>
      </c>
      <c r="E430" s="273" t="str">
        <f>E429</f>
        <v>u n</v>
      </c>
      <c r="F430" s="274">
        <v>2</v>
      </c>
      <c r="G430" s="275" t="e">
        <f>Comp!#REF!</f>
        <v>#REF!</v>
      </c>
      <c r="H430" s="275">
        <v>158.51</v>
      </c>
      <c r="I430" s="276">
        <f t="shared" si="37"/>
        <v>317.02</v>
      </c>
      <c r="J430" s="276" t="e">
        <f t="shared" si="38"/>
        <v>#REF!</v>
      </c>
      <c r="L430" s="280"/>
      <c r="M430" s="280"/>
      <c r="N430" s="281"/>
    </row>
    <row r="431" spans="1:14" s="279" customFormat="1" x14ac:dyDescent="0.2">
      <c r="A431" s="269"/>
      <c r="B431" s="270"/>
      <c r="C431" s="271" t="s">
        <v>1355</v>
      </c>
      <c r="D431" s="272" t="s">
        <v>1356</v>
      </c>
      <c r="E431" s="273" t="str">
        <f>E430</f>
        <v>u n</v>
      </c>
      <c r="F431" s="274">
        <v>1</v>
      </c>
      <c r="G431" s="275" t="e">
        <f>G429</f>
        <v>#REF!</v>
      </c>
      <c r="H431" s="275">
        <v>201.08</v>
      </c>
      <c r="I431" s="276">
        <f t="shared" si="37"/>
        <v>201.08</v>
      </c>
      <c r="J431" s="276" t="e">
        <f t="shared" si="38"/>
        <v>#REF!</v>
      </c>
      <c r="L431" s="280"/>
      <c r="M431" s="280"/>
      <c r="N431" s="281"/>
    </row>
    <row r="432" spans="1:14" s="279" customFormat="1" x14ac:dyDescent="0.2">
      <c r="A432" s="334"/>
      <c r="B432" s="270"/>
      <c r="C432" s="271" t="s">
        <v>1357</v>
      </c>
      <c r="D432" s="272" t="s">
        <v>585</v>
      </c>
      <c r="E432" s="273" t="str">
        <f>E431</f>
        <v>u n</v>
      </c>
      <c r="F432" s="274">
        <v>12</v>
      </c>
      <c r="G432" s="275" t="e">
        <f>Comp!#REF!</f>
        <v>#REF!</v>
      </c>
      <c r="H432" s="275">
        <v>74.83</v>
      </c>
      <c r="I432" s="276">
        <f t="shared" si="37"/>
        <v>897.96</v>
      </c>
      <c r="J432" s="276" t="e">
        <f t="shared" si="38"/>
        <v>#REF!</v>
      </c>
      <c r="L432" s="280"/>
      <c r="M432" s="280"/>
      <c r="N432" s="281"/>
    </row>
    <row r="433" spans="1:14" s="279" customFormat="1" x14ac:dyDescent="0.2">
      <c r="A433" s="334"/>
      <c r="B433" s="270"/>
      <c r="C433" s="271" t="s">
        <v>1358</v>
      </c>
      <c r="D433" s="272" t="s">
        <v>586</v>
      </c>
      <c r="E433" s="273" t="str">
        <f>E432</f>
        <v>u n</v>
      </c>
      <c r="F433" s="274">
        <v>4</v>
      </c>
      <c r="G433" s="275" t="e">
        <f>Comp!#REF!</f>
        <v>#REF!</v>
      </c>
      <c r="H433" s="275">
        <v>97.34</v>
      </c>
      <c r="I433" s="276">
        <f t="shared" si="37"/>
        <v>389.36</v>
      </c>
      <c r="J433" s="276" t="e">
        <f t="shared" si="38"/>
        <v>#REF!</v>
      </c>
      <c r="L433" s="280"/>
      <c r="M433" s="280"/>
      <c r="N433" s="281"/>
    </row>
    <row r="434" spans="1:14" s="279" customFormat="1" x14ac:dyDescent="0.2">
      <c r="A434" s="269"/>
      <c r="B434" s="270" t="s">
        <v>680</v>
      </c>
      <c r="C434" s="289"/>
      <c r="D434" s="286" t="s">
        <v>1359</v>
      </c>
      <c r="E434" s="273"/>
      <c r="F434" s="274"/>
      <c r="G434" s="285"/>
      <c r="H434" s="275"/>
      <c r="I434" s="276"/>
      <c r="J434" s="276">
        <f t="shared" si="38"/>
        <v>0</v>
      </c>
      <c r="L434" s="280"/>
      <c r="M434" s="280"/>
      <c r="N434" s="281"/>
    </row>
    <row r="435" spans="1:14" s="279" customFormat="1" ht="24" x14ac:dyDescent="0.2">
      <c r="A435" s="283"/>
      <c r="B435" s="270">
        <v>72934</v>
      </c>
      <c r="C435" s="271" t="s">
        <v>1360</v>
      </c>
      <c r="D435" s="292" t="s">
        <v>1361</v>
      </c>
      <c r="E435" s="273" t="s">
        <v>418</v>
      </c>
      <c r="F435" s="274">
        <v>572.20000000000005</v>
      </c>
      <c r="G435" s="285" t="e">
        <f>Comp!#REF!</f>
        <v>#REF!</v>
      </c>
      <c r="H435" s="275">
        <v>5.3</v>
      </c>
      <c r="I435" s="276">
        <f t="shared" si="37"/>
        <v>3032.6600000000003</v>
      </c>
      <c r="J435" s="276" t="e">
        <f t="shared" si="38"/>
        <v>#REF!</v>
      </c>
      <c r="L435" s="217"/>
    </row>
    <row r="436" spans="1:14" s="279" customFormat="1" ht="24" x14ac:dyDescent="0.2">
      <c r="A436" s="283"/>
      <c r="B436" s="270">
        <v>72935</v>
      </c>
      <c r="C436" s="271" t="s">
        <v>1362</v>
      </c>
      <c r="D436" s="292" t="s">
        <v>1363</v>
      </c>
      <c r="E436" s="273" t="s">
        <v>418</v>
      </c>
      <c r="F436" s="274">
        <v>368.2</v>
      </c>
      <c r="G436" s="285" t="e">
        <f>Comp!#REF!</f>
        <v>#REF!</v>
      </c>
      <c r="H436" s="275">
        <v>5.15</v>
      </c>
      <c r="I436" s="276">
        <f t="shared" si="37"/>
        <v>1896.23</v>
      </c>
      <c r="J436" s="276" t="e">
        <f t="shared" si="38"/>
        <v>#REF!</v>
      </c>
      <c r="L436" s="217"/>
    </row>
    <row r="437" spans="1:14" s="279" customFormat="1" ht="24" x14ac:dyDescent="0.2">
      <c r="A437" s="283"/>
      <c r="B437" s="270">
        <v>72936</v>
      </c>
      <c r="C437" s="271" t="s">
        <v>1364</v>
      </c>
      <c r="D437" s="292" t="s">
        <v>1365</v>
      </c>
      <c r="E437" s="273" t="str">
        <f t="shared" ref="E437:E446" si="40">E436</f>
        <v>m</v>
      </c>
      <c r="F437" s="274">
        <v>463.4</v>
      </c>
      <c r="G437" s="285" t="e">
        <f>Comp!#REF!</f>
        <v>#REF!</v>
      </c>
      <c r="H437" s="275">
        <v>8.16</v>
      </c>
      <c r="I437" s="276">
        <f t="shared" si="37"/>
        <v>3781.3440000000001</v>
      </c>
      <c r="J437" s="276" t="e">
        <f t="shared" si="38"/>
        <v>#REF!</v>
      </c>
      <c r="L437" s="217"/>
    </row>
    <row r="438" spans="1:14" s="279" customFormat="1" ht="24" x14ac:dyDescent="0.2">
      <c r="A438" s="283"/>
      <c r="B438" s="270" t="s">
        <v>1366</v>
      </c>
      <c r="C438" s="271" t="s">
        <v>1367</v>
      </c>
      <c r="D438" s="292" t="s">
        <v>1368</v>
      </c>
      <c r="E438" s="273" t="str">
        <f t="shared" si="40"/>
        <v>m</v>
      </c>
      <c r="F438" s="274">
        <v>12.8</v>
      </c>
      <c r="G438" s="285" t="e">
        <f>Comp!#REF!</f>
        <v>#REF!</v>
      </c>
      <c r="H438" s="275">
        <v>22.37</v>
      </c>
      <c r="I438" s="276">
        <f t="shared" si="37"/>
        <v>286.33600000000001</v>
      </c>
      <c r="J438" s="276" t="e">
        <f t="shared" si="38"/>
        <v>#REF!</v>
      </c>
      <c r="L438" s="217"/>
    </row>
    <row r="439" spans="1:14" s="279" customFormat="1" ht="24" x14ac:dyDescent="0.2">
      <c r="A439" s="283"/>
      <c r="B439" s="270" t="s">
        <v>1369</v>
      </c>
      <c r="C439" s="271" t="s">
        <v>1370</v>
      </c>
      <c r="D439" s="292" t="s">
        <v>1371</v>
      </c>
      <c r="E439" s="273" t="str">
        <f t="shared" si="40"/>
        <v>m</v>
      </c>
      <c r="F439" s="274">
        <v>21.6</v>
      </c>
      <c r="G439" s="285" t="e">
        <f>Comp!#REF!</f>
        <v>#REF!</v>
      </c>
      <c r="H439" s="275">
        <v>35.97</v>
      </c>
      <c r="I439" s="276">
        <f t="shared" si="37"/>
        <v>776.952</v>
      </c>
      <c r="J439" s="276" t="e">
        <f t="shared" si="38"/>
        <v>#REF!</v>
      </c>
      <c r="L439" s="217"/>
    </row>
    <row r="440" spans="1:14" s="279" customFormat="1" ht="24" x14ac:dyDescent="0.2">
      <c r="A440" s="283"/>
      <c r="B440" s="270">
        <v>55868</v>
      </c>
      <c r="C440" s="271" t="s">
        <v>1372</v>
      </c>
      <c r="D440" s="292" t="s">
        <v>1373</v>
      </c>
      <c r="E440" s="273" t="str">
        <f t="shared" si="40"/>
        <v>m</v>
      </c>
      <c r="F440" s="274">
        <v>18.8</v>
      </c>
      <c r="G440" s="285" t="e">
        <f>Comp!#REF!</f>
        <v>#REF!</v>
      </c>
      <c r="H440" s="275">
        <v>58.71</v>
      </c>
      <c r="I440" s="276">
        <f t="shared" si="37"/>
        <v>1103.748</v>
      </c>
      <c r="J440" s="276" t="e">
        <f t="shared" si="38"/>
        <v>#REF!</v>
      </c>
      <c r="L440" s="217"/>
    </row>
    <row r="441" spans="1:14" s="279" customFormat="1" ht="24" x14ac:dyDescent="0.2">
      <c r="A441" s="283"/>
      <c r="B441" s="270"/>
      <c r="C441" s="271" t="s">
        <v>1374</v>
      </c>
      <c r="D441" s="292" t="s">
        <v>1375</v>
      </c>
      <c r="E441" s="273" t="str">
        <f t="shared" si="40"/>
        <v>m</v>
      </c>
      <c r="F441" s="274">
        <v>5.5</v>
      </c>
      <c r="G441" s="285" t="e">
        <f>Comp!#REF!</f>
        <v>#REF!</v>
      </c>
      <c r="H441" s="275">
        <v>60.37</v>
      </c>
      <c r="I441" s="276">
        <f t="shared" si="37"/>
        <v>332.03499999999997</v>
      </c>
      <c r="J441" s="276" t="e">
        <f t="shared" si="38"/>
        <v>#REF!</v>
      </c>
      <c r="L441" s="217"/>
    </row>
    <row r="442" spans="1:14" s="279" customFormat="1" ht="24" x14ac:dyDescent="0.2">
      <c r="A442" s="283"/>
      <c r="B442" s="270"/>
      <c r="C442" s="271" t="s">
        <v>1376</v>
      </c>
      <c r="D442" s="292" t="s">
        <v>1377</v>
      </c>
      <c r="E442" s="273" t="str">
        <f t="shared" si="40"/>
        <v>m</v>
      </c>
      <c r="F442" s="274">
        <v>27.2</v>
      </c>
      <c r="G442" s="285" t="e">
        <f>Comp!#REF!</f>
        <v>#REF!</v>
      </c>
      <c r="H442" s="275">
        <v>77.290000000000006</v>
      </c>
      <c r="I442" s="276">
        <f t="shared" si="37"/>
        <v>2102.288</v>
      </c>
      <c r="J442" s="276" t="e">
        <f t="shared" si="38"/>
        <v>#REF!</v>
      </c>
      <c r="L442" s="217"/>
    </row>
    <row r="443" spans="1:14" s="279" customFormat="1" ht="24" x14ac:dyDescent="0.2">
      <c r="A443" s="283"/>
      <c r="B443" s="270">
        <v>72309</v>
      </c>
      <c r="C443" s="271" t="s">
        <v>1378</v>
      </c>
      <c r="D443" s="292" t="s">
        <v>1379</v>
      </c>
      <c r="E443" s="273" t="str">
        <f t="shared" si="40"/>
        <v>m</v>
      </c>
      <c r="F443" s="274">
        <v>45.7</v>
      </c>
      <c r="G443" s="285" t="e">
        <f>Comp!#REF!</f>
        <v>#REF!</v>
      </c>
      <c r="H443" s="275">
        <v>17.39</v>
      </c>
      <c r="I443" s="276">
        <f t="shared" si="37"/>
        <v>794.72300000000007</v>
      </c>
      <c r="J443" s="276" t="e">
        <f t="shared" si="38"/>
        <v>#REF!</v>
      </c>
      <c r="L443" s="217"/>
    </row>
    <row r="444" spans="1:14" s="279" customFormat="1" ht="24" x14ac:dyDescent="0.2">
      <c r="A444" s="283"/>
      <c r="B444" s="270">
        <v>72310</v>
      </c>
      <c r="C444" s="271" t="s">
        <v>1380</v>
      </c>
      <c r="D444" s="292" t="s">
        <v>1381</v>
      </c>
      <c r="E444" s="273" t="str">
        <f t="shared" si="40"/>
        <v>m</v>
      </c>
      <c r="F444" s="274">
        <v>29.5</v>
      </c>
      <c r="G444" s="285" t="e">
        <f>Comp!#REF!</f>
        <v>#REF!</v>
      </c>
      <c r="H444" s="275">
        <v>24.88</v>
      </c>
      <c r="I444" s="276">
        <f t="shared" si="37"/>
        <v>733.95999999999992</v>
      </c>
      <c r="J444" s="276" t="e">
        <f t="shared" si="38"/>
        <v>#REF!</v>
      </c>
      <c r="L444" s="217"/>
    </row>
    <row r="445" spans="1:14" s="279" customFormat="1" ht="24" x14ac:dyDescent="0.2">
      <c r="A445" s="283"/>
      <c r="B445" s="270">
        <v>72308</v>
      </c>
      <c r="C445" s="271" t="s">
        <v>1382</v>
      </c>
      <c r="D445" s="292" t="s">
        <v>1383</v>
      </c>
      <c r="E445" s="273" t="str">
        <f t="shared" si="40"/>
        <v>m</v>
      </c>
      <c r="F445" s="274">
        <v>80.599999999999994</v>
      </c>
      <c r="G445" s="285" t="e">
        <f>Comp!#REF!</f>
        <v>#REF!</v>
      </c>
      <c r="H445" s="275">
        <v>16.55</v>
      </c>
      <c r="I445" s="276">
        <f t="shared" si="37"/>
        <v>1333.93</v>
      </c>
      <c r="J445" s="276" t="e">
        <f t="shared" si="38"/>
        <v>#REF!</v>
      </c>
      <c r="L445" s="217"/>
    </row>
    <row r="446" spans="1:14" s="279" customFormat="1" ht="24" x14ac:dyDescent="0.2">
      <c r="A446" s="283"/>
      <c r="B446" s="270">
        <v>72316</v>
      </c>
      <c r="C446" s="271" t="s">
        <v>1384</v>
      </c>
      <c r="D446" s="292" t="s">
        <v>1385</v>
      </c>
      <c r="E446" s="273" t="str">
        <f t="shared" si="40"/>
        <v>m</v>
      </c>
      <c r="F446" s="274">
        <v>14.7</v>
      </c>
      <c r="G446" s="285" t="e">
        <f>Comp!#REF!</f>
        <v>#REF!</v>
      </c>
      <c r="H446" s="275">
        <v>61.43</v>
      </c>
      <c r="I446" s="276">
        <f t="shared" si="37"/>
        <v>903.02099999999996</v>
      </c>
      <c r="J446" s="276" t="e">
        <f t="shared" si="38"/>
        <v>#REF!</v>
      </c>
      <c r="L446" s="217"/>
    </row>
    <row r="447" spans="1:14" s="279" customFormat="1" x14ac:dyDescent="0.2">
      <c r="A447" s="283"/>
      <c r="B447" s="270"/>
      <c r="C447" s="271" t="s">
        <v>1386</v>
      </c>
      <c r="D447" s="292" t="s">
        <v>587</v>
      </c>
      <c r="E447" s="273" t="s">
        <v>526</v>
      </c>
      <c r="F447" s="274">
        <v>2</v>
      </c>
      <c r="G447" s="285" t="e">
        <f>Comp!#REF!</f>
        <v>#REF!</v>
      </c>
      <c r="H447" s="275">
        <v>39.26</v>
      </c>
      <c r="I447" s="276">
        <f t="shared" si="37"/>
        <v>78.52</v>
      </c>
      <c r="J447" s="276" t="e">
        <f t="shared" si="38"/>
        <v>#REF!</v>
      </c>
      <c r="L447" s="217"/>
    </row>
    <row r="448" spans="1:14" s="279" customFormat="1" x14ac:dyDescent="0.2">
      <c r="A448" s="283"/>
      <c r="B448" s="270"/>
      <c r="C448" s="271" t="s">
        <v>1387</v>
      </c>
      <c r="D448" s="292" t="s">
        <v>1388</v>
      </c>
      <c r="E448" s="273" t="s">
        <v>526</v>
      </c>
      <c r="F448" s="274">
        <v>3</v>
      </c>
      <c r="G448" s="285" t="e">
        <f>Comp!#REF!</f>
        <v>#REF!</v>
      </c>
      <c r="H448" s="275">
        <v>45.2</v>
      </c>
      <c r="I448" s="276">
        <f t="shared" si="37"/>
        <v>135.60000000000002</v>
      </c>
      <c r="J448" s="276" t="e">
        <f t="shared" si="38"/>
        <v>#REF!</v>
      </c>
      <c r="L448" s="217"/>
    </row>
    <row r="449" spans="1:14" s="315" customFormat="1" ht="24" x14ac:dyDescent="0.2">
      <c r="A449" s="331"/>
      <c r="B449" s="308">
        <v>83446</v>
      </c>
      <c r="C449" s="309" t="s">
        <v>1389</v>
      </c>
      <c r="D449" s="335" t="s">
        <v>588</v>
      </c>
      <c r="E449" s="311" t="s">
        <v>526</v>
      </c>
      <c r="F449" s="312">
        <v>3</v>
      </c>
      <c r="G449" s="333" t="e">
        <f>Comp!#REF!</f>
        <v>#REF!</v>
      </c>
      <c r="H449" s="313">
        <v>157.27000000000001</v>
      </c>
      <c r="I449" s="314">
        <f t="shared" si="37"/>
        <v>471.81000000000006</v>
      </c>
      <c r="J449" s="314" t="e">
        <f t="shared" si="38"/>
        <v>#REF!</v>
      </c>
      <c r="L449" s="213"/>
    </row>
    <row r="450" spans="1:14" s="279" customFormat="1" ht="24" x14ac:dyDescent="0.2">
      <c r="A450" s="283"/>
      <c r="B450" s="270">
        <v>83447</v>
      </c>
      <c r="C450" s="271" t="s">
        <v>1390</v>
      </c>
      <c r="D450" s="292" t="s">
        <v>589</v>
      </c>
      <c r="E450" s="273" t="s">
        <v>526</v>
      </c>
      <c r="F450" s="274">
        <v>3</v>
      </c>
      <c r="G450" s="285" t="e">
        <f>Comp!#REF!</f>
        <v>#REF!</v>
      </c>
      <c r="H450" s="275">
        <v>170.04</v>
      </c>
      <c r="I450" s="276">
        <f t="shared" si="37"/>
        <v>510.12</v>
      </c>
      <c r="J450" s="276" t="e">
        <f t="shared" si="38"/>
        <v>#REF!</v>
      </c>
      <c r="L450" s="217"/>
    </row>
    <row r="451" spans="1:14" s="279" customFormat="1" x14ac:dyDescent="0.2">
      <c r="A451" s="283"/>
      <c r="B451" s="270">
        <v>83443</v>
      </c>
      <c r="C451" s="271" t="s">
        <v>1391</v>
      </c>
      <c r="D451" s="284" t="s">
        <v>1392</v>
      </c>
      <c r="E451" s="273" t="s">
        <v>526</v>
      </c>
      <c r="F451" s="274">
        <v>2</v>
      </c>
      <c r="G451" s="285" t="e">
        <f>Comp!#REF!</f>
        <v>#REF!</v>
      </c>
      <c r="H451" s="275">
        <v>50.84</v>
      </c>
      <c r="I451" s="276">
        <f t="shared" si="37"/>
        <v>101.68</v>
      </c>
      <c r="J451" s="276" t="e">
        <f t="shared" si="38"/>
        <v>#REF!</v>
      </c>
      <c r="L451" s="217"/>
    </row>
    <row r="452" spans="1:14" s="279" customFormat="1" x14ac:dyDescent="0.2">
      <c r="A452" s="269"/>
      <c r="B452" s="270" t="s">
        <v>680</v>
      </c>
      <c r="C452" s="289"/>
      <c r="D452" s="286" t="s">
        <v>1393</v>
      </c>
      <c r="E452" s="273"/>
      <c r="F452" s="274"/>
      <c r="G452" s="285"/>
      <c r="H452" s="275"/>
      <c r="I452" s="276"/>
      <c r="J452" s="276">
        <f t="shared" si="38"/>
        <v>0</v>
      </c>
      <c r="L452" s="280"/>
      <c r="M452" s="280"/>
      <c r="N452" s="281"/>
    </row>
    <row r="453" spans="1:14" s="279" customFormat="1" ht="48" x14ac:dyDescent="0.2">
      <c r="A453" s="336"/>
      <c r="B453" s="270"/>
      <c r="C453" s="289"/>
      <c r="D453" s="286" t="s">
        <v>1394</v>
      </c>
      <c r="E453" s="273"/>
      <c r="F453" s="274"/>
      <c r="G453" s="285"/>
      <c r="H453" s="275"/>
      <c r="I453" s="276"/>
      <c r="J453" s="276">
        <f t="shared" si="38"/>
        <v>0</v>
      </c>
      <c r="L453" s="280"/>
      <c r="M453" s="280"/>
      <c r="N453" s="281"/>
    </row>
    <row r="454" spans="1:14" s="279" customFormat="1" x14ac:dyDescent="0.2">
      <c r="A454" s="283"/>
      <c r="B454" s="270" t="s">
        <v>1395</v>
      </c>
      <c r="C454" s="271" t="s">
        <v>1396</v>
      </c>
      <c r="D454" s="284" t="s">
        <v>1397</v>
      </c>
      <c r="E454" s="273" t="s">
        <v>418</v>
      </c>
      <c r="F454" s="274">
        <v>5130.5</v>
      </c>
      <c r="G454" s="285" t="e">
        <f>Comp!#REF!</f>
        <v>#REF!</v>
      </c>
      <c r="H454" s="275">
        <v>2.77</v>
      </c>
      <c r="I454" s="276">
        <f t="shared" si="37"/>
        <v>14211.485000000001</v>
      </c>
      <c r="J454" s="276" t="e">
        <f t="shared" si="38"/>
        <v>#REF!</v>
      </c>
      <c r="L454" s="217"/>
    </row>
    <row r="455" spans="1:14" s="279" customFormat="1" x14ac:dyDescent="0.2">
      <c r="A455" s="283"/>
      <c r="B455" s="270" t="s">
        <v>1398</v>
      </c>
      <c r="C455" s="271" t="s">
        <v>1399</v>
      </c>
      <c r="D455" s="284" t="s">
        <v>1400</v>
      </c>
      <c r="E455" s="273" t="s">
        <v>418</v>
      </c>
      <c r="F455" s="274">
        <v>506.6</v>
      </c>
      <c r="G455" s="285" t="e">
        <f>Comp!#REF!</f>
        <v>#REF!</v>
      </c>
      <c r="H455" s="275">
        <v>4.17</v>
      </c>
      <c r="I455" s="276">
        <f t="shared" si="37"/>
        <v>2112.5219999999999</v>
      </c>
      <c r="J455" s="276" t="e">
        <f t="shared" si="38"/>
        <v>#REF!</v>
      </c>
      <c r="L455" s="217"/>
    </row>
    <row r="456" spans="1:14" s="279" customFormat="1" x14ac:dyDescent="0.2">
      <c r="A456" s="283"/>
      <c r="B456" s="270" t="s">
        <v>1401</v>
      </c>
      <c r="C456" s="271" t="s">
        <v>1402</v>
      </c>
      <c r="D456" s="284" t="s">
        <v>1403</v>
      </c>
      <c r="E456" s="273" t="s">
        <v>418</v>
      </c>
      <c r="F456" s="274">
        <v>4039.6</v>
      </c>
      <c r="G456" s="285" t="e">
        <f>Comp!#REF!</f>
        <v>#REF!</v>
      </c>
      <c r="H456" s="275">
        <v>5.74</v>
      </c>
      <c r="I456" s="276">
        <f t="shared" si="37"/>
        <v>23187.304</v>
      </c>
      <c r="J456" s="276" t="e">
        <f t="shared" si="38"/>
        <v>#REF!</v>
      </c>
      <c r="L456" s="217"/>
    </row>
    <row r="457" spans="1:14" s="279" customFormat="1" x14ac:dyDescent="0.2">
      <c r="A457" s="283"/>
      <c r="B457" s="270" t="s">
        <v>1404</v>
      </c>
      <c r="C457" s="271" t="s">
        <v>1405</v>
      </c>
      <c r="D457" s="284" t="s">
        <v>1406</v>
      </c>
      <c r="E457" s="273" t="s">
        <v>418</v>
      </c>
      <c r="F457" s="274">
        <v>2530.5</v>
      </c>
      <c r="G457" s="285" t="e">
        <f>Comp!#REF!</f>
        <v>#REF!</v>
      </c>
      <c r="H457" s="275">
        <v>9.07</v>
      </c>
      <c r="I457" s="276">
        <f t="shared" si="37"/>
        <v>22951.635000000002</v>
      </c>
      <c r="J457" s="276" t="e">
        <f t="shared" si="38"/>
        <v>#REF!</v>
      </c>
      <c r="L457" s="217"/>
    </row>
    <row r="458" spans="1:14" s="279" customFormat="1" x14ac:dyDescent="0.2">
      <c r="A458" s="283"/>
      <c r="B458" s="270" t="s">
        <v>1407</v>
      </c>
      <c r="C458" s="271" t="s">
        <v>1408</v>
      </c>
      <c r="D458" s="284" t="s">
        <v>1409</v>
      </c>
      <c r="E458" s="273" t="s">
        <v>418</v>
      </c>
      <c r="F458" s="274">
        <v>186.9</v>
      </c>
      <c r="G458" s="285" t="e">
        <f>Comp!#REF!</f>
        <v>#REF!</v>
      </c>
      <c r="H458" s="275">
        <v>10.88</v>
      </c>
      <c r="I458" s="276">
        <f t="shared" si="37"/>
        <v>2033.4720000000002</v>
      </c>
      <c r="J458" s="276" t="e">
        <f t="shared" si="38"/>
        <v>#REF!</v>
      </c>
      <c r="L458" s="217"/>
    </row>
    <row r="459" spans="1:14" s="279" customFormat="1" x14ac:dyDescent="0.2">
      <c r="A459" s="283"/>
      <c r="B459" s="270" t="s">
        <v>1410</v>
      </c>
      <c r="C459" s="271" t="s">
        <v>1411</v>
      </c>
      <c r="D459" s="284" t="s">
        <v>1412</v>
      </c>
      <c r="E459" s="273" t="s">
        <v>418</v>
      </c>
      <c r="F459" s="274">
        <v>52.1</v>
      </c>
      <c r="G459" s="285" t="e">
        <f>Comp!#REF!</f>
        <v>#REF!</v>
      </c>
      <c r="H459" s="275">
        <v>16.059999999999999</v>
      </c>
      <c r="I459" s="276">
        <f t="shared" si="37"/>
        <v>836.726</v>
      </c>
      <c r="J459" s="276" t="e">
        <f t="shared" si="38"/>
        <v>#REF!</v>
      </c>
      <c r="L459" s="217"/>
    </row>
    <row r="460" spans="1:14" s="279" customFormat="1" x14ac:dyDescent="0.2">
      <c r="A460" s="283"/>
      <c r="B460" s="270" t="s">
        <v>1413</v>
      </c>
      <c r="C460" s="271" t="s">
        <v>1414</v>
      </c>
      <c r="D460" s="284" t="s">
        <v>1415</v>
      </c>
      <c r="E460" s="273" t="s">
        <v>418</v>
      </c>
      <c r="F460" s="274">
        <v>51.3</v>
      </c>
      <c r="G460" s="285" t="e">
        <f>Comp!#REF!</f>
        <v>#REF!</v>
      </c>
      <c r="H460" s="275">
        <v>28.27</v>
      </c>
      <c r="I460" s="276">
        <f t="shared" si="37"/>
        <v>1450.251</v>
      </c>
      <c r="J460" s="276" t="e">
        <f t="shared" si="38"/>
        <v>#REF!</v>
      </c>
      <c r="L460" s="217"/>
    </row>
    <row r="461" spans="1:14" s="279" customFormat="1" x14ac:dyDescent="0.2">
      <c r="A461" s="269"/>
      <c r="B461" s="270" t="s">
        <v>680</v>
      </c>
      <c r="C461" s="289"/>
      <c r="D461" s="286" t="s">
        <v>1416</v>
      </c>
      <c r="E461" s="273"/>
      <c r="F461" s="274"/>
      <c r="G461" s="285"/>
      <c r="H461" s="275"/>
      <c r="I461" s="276">
        <f t="shared" si="37"/>
        <v>0</v>
      </c>
      <c r="J461" s="276">
        <f t="shared" si="38"/>
        <v>0</v>
      </c>
      <c r="L461" s="280"/>
      <c r="M461" s="280"/>
      <c r="N461" s="281"/>
    </row>
    <row r="462" spans="1:14" s="279" customFormat="1" ht="24" x14ac:dyDescent="0.2">
      <c r="A462" s="283"/>
      <c r="B462" s="270"/>
      <c r="C462" s="271" t="s">
        <v>1417</v>
      </c>
      <c r="D462" s="292" t="s">
        <v>590</v>
      </c>
      <c r="E462" s="273" t="s">
        <v>418</v>
      </c>
      <c r="F462" s="274">
        <v>0.7</v>
      </c>
      <c r="G462" s="285" t="e">
        <f>Comp!#REF!</f>
        <v>#REF!</v>
      </c>
      <c r="H462" s="275">
        <v>54.29</v>
      </c>
      <c r="I462" s="276">
        <f t="shared" si="37"/>
        <v>38.003</v>
      </c>
      <c r="J462" s="276" t="e">
        <f t="shared" si="38"/>
        <v>#REF!</v>
      </c>
      <c r="L462" s="217"/>
    </row>
    <row r="463" spans="1:14" s="279" customFormat="1" ht="24" x14ac:dyDescent="0.2">
      <c r="A463" s="283"/>
      <c r="B463" s="270"/>
      <c r="C463" s="271" t="s">
        <v>1418</v>
      </c>
      <c r="D463" s="292" t="s">
        <v>591</v>
      </c>
      <c r="E463" s="273" t="s">
        <v>418</v>
      </c>
      <c r="F463" s="274">
        <v>18.7</v>
      </c>
      <c r="G463" s="285" t="e">
        <f>Comp!#REF!</f>
        <v>#REF!</v>
      </c>
      <c r="H463" s="275">
        <v>34.82</v>
      </c>
      <c r="I463" s="276">
        <f t="shared" si="37"/>
        <v>651.13400000000001</v>
      </c>
      <c r="J463" s="276" t="e">
        <f t="shared" si="38"/>
        <v>#REF!</v>
      </c>
      <c r="L463" s="217"/>
    </row>
    <row r="464" spans="1:14" s="279" customFormat="1" ht="24" x14ac:dyDescent="0.2">
      <c r="A464" s="283"/>
      <c r="B464" s="270"/>
      <c r="C464" s="271" t="s">
        <v>1419</v>
      </c>
      <c r="D464" s="292" t="s">
        <v>1420</v>
      </c>
      <c r="E464" s="273" t="s">
        <v>418</v>
      </c>
      <c r="F464" s="274">
        <v>3.6</v>
      </c>
      <c r="G464" s="285" t="e">
        <f>Comp!#REF!</f>
        <v>#REF!</v>
      </c>
      <c r="H464" s="275">
        <v>50.68</v>
      </c>
      <c r="I464" s="276">
        <f t="shared" si="37"/>
        <v>182.44800000000001</v>
      </c>
      <c r="J464" s="276" t="e">
        <f t="shared" si="38"/>
        <v>#REF!</v>
      </c>
      <c r="L464" s="217"/>
    </row>
    <row r="465" spans="1:12" s="279" customFormat="1" ht="24" x14ac:dyDescent="0.2">
      <c r="A465" s="283"/>
      <c r="B465" s="270"/>
      <c r="C465" s="271" t="s">
        <v>1421</v>
      </c>
      <c r="D465" s="292" t="s">
        <v>592</v>
      </c>
      <c r="E465" s="273" t="s">
        <v>418</v>
      </c>
      <c r="F465" s="274">
        <v>6</v>
      </c>
      <c r="G465" s="285" t="e">
        <f>Comp!#REF!</f>
        <v>#REF!</v>
      </c>
      <c r="H465" s="275">
        <v>67.900000000000006</v>
      </c>
      <c r="I465" s="276">
        <f t="shared" si="37"/>
        <v>407.40000000000003</v>
      </c>
      <c r="J465" s="276" t="e">
        <f t="shared" si="38"/>
        <v>#REF!</v>
      </c>
      <c r="L465" s="217"/>
    </row>
    <row r="466" spans="1:12" s="279" customFormat="1" ht="24" x14ac:dyDescent="0.2">
      <c r="A466" s="283"/>
      <c r="B466" s="270"/>
      <c r="C466" s="271" t="s">
        <v>1422</v>
      </c>
      <c r="D466" s="292" t="s">
        <v>593</v>
      </c>
      <c r="E466" s="273" t="s">
        <v>418</v>
      </c>
      <c r="F466" s="274">
        <v>4.3</v>
      </c>
      <c r="G466" s="285" t="e">
        <f>Comp!#REF!</f>
        <v>#REF!</v>
      </c>
      <c r="H466" s="275">
        <v>75.989999999999995</v>
      </c>
      <c r="I466" s="276">
        <f t="shared" si="37"/>
        <v>326.75699999999995</v>
      </c>
      <c r="J466" s="276" t="e">
        <f t="shared" si="38"/>
        <v>#REF!</v>
      </c>
      <c r="L466" s="217"/>
    </row>
    <row r="467" spans="1:12" s="279" customFormat="1" ht="24" x14ac:dyDescent="0.2">
      <c r="A467" s="283"/>
      <c r="B467" s="270"/>
      <c r="C467" s="271" t="s">
        <v>1423</v>
      </c>
      <c r="D467" s="292" t="s">
        <v>594</v>
      </c>
      <c r="E467" s="273" t="s">
        <v>418</v>
      </c>
      <c r="F467" s="274">
        <v>4.4000000000000004</v>
      </c>
      <c r="G467" s="285" t="e">
        <f>Comp!#REF!</f>
        <v>#REF!</v>
      </c>
      <c r="H467" s="275">
        <v>84.47</v>
      </c>
      <c r="I467" s="276">
        <f t="shared" si="37"/>
        <v>371.66800000000001</v>
      </c>
      <c r="J467" s="276" t="e">
        <f t="shared" si="38"/>
        <v>#REF!</v>
      </c>
      <c r="L467" s="217"/>
    </row>
    <row r="468" spans="1:12" s="279" customFormat="1" ht="24" x14ac:dyDescent="0.2">
      <c r="A468" s="283"/>
      <c r="B468" s="270"/>
      <c r="C468" s="271" t="s">
        <v>1424</v>
      </c>
      <c r="D468" s="292" t="s">
        <v>595</v>
      </c>
      <c r="E468" s="273" t="s">
        <v>418</v>
      </c>
      <c r="F468" s="274">
        <v>4.5</v>
      </c>
      <c r="G468" s="285" t="e">
        <f>Comp!#REF!</f>
        <v>#REF!</v>
      </c>
      <c r="H468" s="275">
        <v>105.9</v>
      </c>
      <c r="I468" s="276">
        <f t="shared" si="37"/>
        <v>476.55</v>
      </c>
      <c r="J468" s="276" t="e">
        <f t="shared" si="38"/>
        <v>#REF!</v>
      </c>
      <c r="L468" s="217"/>
    </row>
    <row r="469" spans="1:12" s="279" customFormat="1" ht="24" x14ac:dyDescent="0.2">
      <c r="A469" s="283"/>
      <c r="B469" s="270"/>
      <c r="C469" s="271" t="s">
        <v>1425</v>
      </c>
      <c r="D469" s="292" t="s">
        <v>596</v>
      </c>
      <c r="E469" s="273" t="s">
        <v>418</v>
      </c>
      <c r="F469" s="274">
        <v>35.299999999999997</v>
      </c>
      <c r="G469" s="285" t="e">
        <f>Comp!#REF!</f>
        <v>#REF!</v>
      </c>
      <c r="H469" s="275">
        <v>45.84</v>
      </c>
      <c r="I469" s="276">
        <f t="shared" si="37"/>
        <v>1618.152</v>
      </c>
      <c r="J469" s="276" t="e">
        <f t="shared" si="38"/>
        <v>#REF!</v>
      </c>
      <c r="L469" s="217"/>
    </row>
    <row r="470" spans="1:12" s="279" customFormat="1" ht="24" x14ac:dyDescent="0.2">
      <c r="A470" s="283"/>
      <c r="B470" s="270"/>
      <c r="C470" s="271" t="s">
        <v>1426</v>
      </c>
      <c r="D470" s="292" t="s">
        <v>1427</v>
      </c>
      <c r="E470" s="273" t="s">
        <v>418</v>
      </c>
      <c r="F470" s="274">
        <v>6</v>
      </c>
      <c r="G470" s="285" t="e">
        <f>Comp!#REF!</f>
        <v>#REF!</v>
      </c>
      <c r="H470" s="275">
        <v>46.74</v>
      </c>
      <c r="I470" s="276">
        <f t="shared" si="37"/>
        <v>280.44</v>
      </c>
      <c r="J470" s="276" t="e">
        <f t="shared" si="38"/>
        <v>#REF!</v>
      </c>
      <c r="L470" s="217"/>
    </row>
    <row r="471" spans="1:12" s="279" customFormat="1" ht="24" x14ac:dyDescent="0.2">
      <c r="A471" s="283"/>
      <c r="B471" s="270"/>
      <c r="C471" s="271" t="s">
        <v>1428</v>
      </c>
      <c r="D471" s="292" t="s">
        <v>597</v>
      </c>
      <c r="E471" s="273" t="s">
        <v>418</v>
      </c>
      <c r="F471" s="274">
        <v>1.3</v>
      </c>
      <c r="G471" s="285" t="e">
        <f>Comp!#REF!</f>
        <v>#REF!</v>
      </c>
      <c r="H471" s="275">
        <v>49.32</v>
      </c>
      <c r="I471" s="276">
        <f t="shared" si="37"/>
        <v>64.116</v>
      </c>
      <c r="J471" s="276" t="e">
        <f t="shared" si="38"/>
        <v>#REF!</v>
      </c>
      <c r="L471" s="217"/>
    </row>
    <row r="472" spans="1:12" s="279" customFormat="1" x14ac:dyDescent="0.2">
      <c r="A472" s="283"/>
      <c r="B472" s="270"/>
      <c r="C472" s="271" t="s">
        <v>1429</v>
      </c>
      <c r="D472" s="284" t="s">
        <v>598</v>
      </c>
      <c r="E472" s="273" t="s">
        <v>526</v>
      </c>
      <c r="F472" s="274">
        <v>2</v>
      </c>
      <c r="G472" s="285" t="e">
        <f>Comp!#REF!</f>
        <v>#REF!</v>
      </c>
      <c r="H472" s="275">
        <v>3.23</v>
      </c>
      <c r="I472" s="276">
        <f t="shared" si="37"/>
        <v>6.46</v>
      </c>
      <c r="J472" s="276" t="e">
        <f t="shared" si="38"/>
        <v>#REF!</v>
      </c>
      <c r="L472" s="217"/>
    </row>
    <row r="473" spans="1:12" s="279" customFormat="1" x14ac:dyDescent="0.2">
      <c r="A473" s="283"/>
      <c r="B473" s="270"/>
      <c r="C473" s="271" t="s">
        <v>1430</v>
      </c>
      <c r="D473" s="284" t="s">
        <v>1431</v>
      </c>
      <c r="E473" s="273" t="s">
        <v>526</v>
      </c>
      <c r="F473" s="274">
        <v>3</v>
      </c>
      <c r="G473" s="285" t="e">
        <f t="shared" ref="G473:H480" si="41">G472</f>
        <v>#REF!</v>
      </c>
      <c r="H473" s="275">
        <f t="shared" si="41"/>
        <v>3.23</v>
      </c>
      <c r="I473" s="276">
        <f t="shared" si="37"/>
        <v>9.69</v>
      </c>
      <c r="J473" s="276" t="e">
        <f t="shared" si="38"/>
        <v>#REF!</v>
      </c>
      <c r="L473" s="217"/>
    </row>
    <row r="474" spans="1:12" s="279" customFormat="1" x14ac:dyDescent="0.2">
      <c r="A474" s="283"/>
      <c r="B474" s="270"/>
      <c r="C474" s="271" t="s">
        <v>1432</v>
      </c>
      <c r="D474" s="284" t="s">
        <v>1433</v>
      </c>
      <c r="E474" s="273" t="s">
        <v>526</v>
      </c>
      <c r="F474" s="274">
        <v>3</v>
      </c>
      <c r="G474" s="285" t="e">
        <f t="shared" si="41"/>
        <v>#REF!</v>
      </c>
      <c r="H474" s="275">
        <f t="shared" si="41"/>
        <v>3.23</v>
      </c>
      <c r="I474" s="276">
        <f t="shared" si="37"/>
        <v>9.69</v>
      </c>
      <c r="J474" s="276" t="e">
        <f t="shared" si="38"/>
        <v>#REF!</v>
      </c>
      <c r="L474" s="217"/>
    </row>
    <row r="475" spans="1:12" s="279" customFormat="1" x14ac:dyDescent="0.2">
      <c r="A475" s="283"/>
      <c r="B475" s="270"/>
      <c r="C475" s="271" t="s">
        <v>1434</v>
      </c>
      <c r="D475" s="284" t="s">
        <v>1435</v>
      </c>
      <c r="E475" s="273" t="s">
        <v>526</v>
      </c>
      <c r="F475" s="274">
        <v>3</v>
      </c>
      <c r="G475" s="285" t="e">
        <f t="shared" si="41"/>
        <v>#REF!</v>
      </c>
      <c r="H475" s="275">
        <f t="shared" si="41"/>
        <v>3.23</v>
      </c>
      <c r="I475" s="276">
        <f t="shared" si="37"/>
        <v>9.69</v>
      </c>
      <c r="J475" s="276" t="e">
        <f t="shared" si="38"/>
        <v>#REF!</v>
      </c>
      <c r="L475" s="217"/>
    </row>
    <row r="476" spans="1:12" s="279" customFormat="1" x14ac:dyDescent="0.2">
      <c r="A476" s="283"/>
      <c r="B476" s="270"/>
      <c r="C476" s="271" t="s">
        <v>1436</v>
      </c>
      <c r="D476" s="284" t="s">
        <v>1437</v>
      </c>
      <c r="E476" s="273" t="s">
        <v>526</v>
      </c>
      <c r="F476" s="274">
        <v>4</v>
      </c>
      <c r="G476" s="285" t="e">
        <f t="shared" si="41"/>
        <v>#REF!</v>
      </c>
      <c r="H476" s="275">
        <f t="shared" si="41"/>
        <v>3.23</v>
      </c>
      <c r="I476" s="276">
        <f t="shared" si="37"/>
        <v>12.92</v>
      </c>
      <c r="J476" s="276" t="e">
        <f t="shared" si="38"/>
        <v>#REF!</v>
      </c>
      <c r="L476" s="217"/>
    </row>
    <row r="477" spans="1:12" s="279" customFormat="1" x14ac:dyDescent="0.2">
      <c r="A477" s="283"/>
      <c r="B477" s="270"/>
      <c r="C477" s="271" t="s">
        <v>1438</v>
      </c>
      <c r="D477" s="284" t="s">
        <v>1439</v>
      </c>
      <c r="E477" s="273" t="s">
        <v>526</v>
      </c>
      <c r="F477" s="274">
        <v>3</v>
      </c>
      <c r="G477" s="285" t="e">
        <f t="shared" si="41"/>
        <v>#REF!</v>
      </c>
      <c r="H477" s="275">
        <f t="shared" si="41"/>
        <v>3.23</v>
      </c>
      <c r="I477" s="276">
        <f t="shared" si="37"/>
        <v>9.69</v>
      </c>
      <c r="J477" s="276" t="e">
        <f t="shared" si="38"/>
        <v>#REF!</v>
      </c>
      <c r="L477" s="217"/>
    </row>
    <row r="478" spans="1:12" s="279" customFormat="1" x14ac:dyDescent="0.2">
      <c r="A478" s="283"/>
      <c r="B478" s="270"/>
      <c r="C478" s="271" t="s">
        <v>1440</v>
      </c>
      <c r="D478" s="284" t="s">
        <v>1441</v>
      </c>
      <c r="E478" s="273" t="s">
        <v>526</v>
      </c>
      <c r="F478" s="274">
        <v>20</v>
      </c>
      <c r="G478" s="285" t="e">
        <f t="shared" si="41"/>
        <v>#REF!</v>
      </c>
      <c r="H478" s="275">
        <f t="shared" si="41"/>
        <v>3.23</v>
      </c>
      <c r="I478" s="276">
        <f t="shared" si="37"/>
        <v>64.599999999999994</v>
      </c>
      <c r="J478" s="276" t="e">
        <f t="shared" si="38"/>
        <v>#REF!</v>
      </c>
      <c r="L478" s="217"/>
    </row>
    <row r="479" spans="1:12" s="279" customFormat="1" x14ac:dyDescent="0.2">
      <c r="A479" s="283"/>
      <c r="B479" s="270"/>
      <c r="C479" s="271" t="s">
        <v>1442</v>
      </c>
      <c r="D479" s="284" t="s">
        <v>1443</v>
      </c>
      <c r="E479" s="273" t="s">
        <v>526</v>
      </c>
      <c r="F479" s="274">
        <v>11</v>
      </c>
      <c r="G479" s="285" t="e">
        <f t="shared" si="41"/>
        <v>#REF!</v>
      </c>
      <c r="H479" s="275">
        <f t="shared" si="41"/>
        <v>3.23</v>
      </c>
      <c r="I479" s="276">
        <f t="shared" si="37"/>
        <v>35.53</v>
      </c>
      <c r="J479" s="276" t="e">
        <f t="shared" si="38"/>
        <v>#REF!</v>
      </c>
      <c r="L479" s="217"/>
    </row>
    <row r="480" spans="1:12" s="279" customFormat="1" x14ac:dyDescent="0.2">
      <c r="A480" s="283"/>
      <c r="B480" s="270"/>
      <c r="C480" s="271" t="s">
        <v>1444</v>
      </c>
      <c r="D480" s="284" t="s">
        <v>1445</v>
      </c>
      <c r="E480" s="273" t="s">
        <v>526</v>
      </c>
      <c r="F480" s="274">
        <v>4</v>
      </c>
      <c r="G480" s="285" t="e">
        <f t="shared" si="41"/>
        <v>#REF!</v>
      </c>
      <c r="H480" s="275">
        <f t="shared" si="41"/>
        <v>3.23</v>
      </c>
      <c r="I480" s="276">
        <f t="shared" ref="I480:I493" si="42">F480*H480</f>
        <v>12.92</v>
      </c>
      <c r="J480" s="276" t="e">
        <f t="shared" ref="J480:J493" si="43">F480*G480</f>
        <v>#REF!</v>
      </c>
      <c r="L480" s="217"/>
    </row>
    <row r="481" spans="1:14" s="279" customFormat="1" x14ac:dyDescent="0.2">
      <c r="A481" s="283"/>
      <c r="B481" s="270"/>
      <c r="C481" s="271" t="s">
        <v>1446</v>
      </c>
      <c r="D481" s="284" t="s">
        <v>599</v>
      </c>
      <c r="E481" s="273" t="s">
        <v>526</v>
      </c>
      <c r="F481" s="274">
        <v>28</v>
      </c>
      <c r="G481" s="285" t="e">
        <f>Comp!#REF!</f>
        <v>#REF!</v>
      </c>
      <c r="H481" s="275">
        <v>3.55</v>
      </c>
      <c r="I481" s="276">
        <f t="shared" si="42"/>
        <v>99.399999999999991</v>
      </c>
      <c r="J481" s="276" t="e">
        <f t="shared" si="43"/>
        <v>#REF!</v>
      </c>
      <c r="L481" s="217"/>
    </row>
    <row r="482" spans="1:14" s="279" customFormat="1" x14ac:dyDescent="0.2">
      <c r="A482" s="283"/>
      <c r="B482" s="270"/>
      <c r="C482" s="271" t="s">
        <v>1447</v>
      </c>
      <c r="D482" s="284" t="s">
        <v>600</v>
      </c>
      <c r="E482" s="273" t="s">
        <v>526</v>
      </c>
      <c r="F482" s="274">
        <v>4</v>
      </c>
      <c r="G482" s="285" t="e">
        <f>Comp!#REF!</f>
        <v>#REF!</v>
      </c>
      <c r="H482" s="275">
        <v>2.58</v>
      </c>
      <c r="I482" s="276">
        <f t="shared" si="42"/>
        <v>10.32</v>
      </c>
      <c r="J482" s="276" t="e">
        <f t="shared" si="43"/>
        <v>#REF!</v>
      </c>
      <c r="L482" s="217"/>
    </row>
    <row r="483" spans="1:14" s="315" customFormat="1" x14ac:dyDescent="0.2">
      <c r="A483" s="307"/>
      <c r="B483" s="308" t="s">
        <v>680</v>
      </c>
      <c r="C483" s="337"/>
      <c r="D483" s="338" t="s">
        <v>1448</v>
      </c>
      <c r="E483" s="311"/>
      <c r="F483" s="312"/>
      <c r="G483" s="333"/>
      <c r="H483" s="313"/>
      <c r="I483" s="314">
        <f t="shared" si="42"/>
        <v>0</v>
      </c>
      <c r="J483" s="314">
        <f t="shared" si="43"/>
        <v>0</v>
      </c>
      <c r="L483" s="316"/>
      <c r="M483" s="316"/>
      <c r="N483" s="317"/>
    </row>
    <row r="484" spans="1:14" s="279" customFormat="1" x14ac:dyDescent="0.2">
      <c r="A484" s="269"/>
      <c r="B484" s="270">
        <v>83540</v>
      </c>
      <c r="C484" s="271" t="s">
        <v>1449</v>
      </c>
      <c r="D484" s="339" t="s">
        <v>1450</v>
      </c>
      <c r="E484" s="273" t="str">
        <f>E490</f>
        <v>u n</v>
      </c>
      <c r="F484" s="274">
        <v>178</v>
      </c>
      <c r="G484" s="275" t="e">
        <f>Comp!#REF!</f>
        <v>#REF!</v>
      </c>
      <c r="H484" s="275">
        <v>11.79</v>
      </c>
      <c r="I484" s="276">
        <f t="shared" si="42"/>
        <v>2098.62</v>
      </c>
      <c r="J484" s="276" t="e">
        <f t="shared" si="43"/>
        <v>#REF!</v>
      </c>
      <c r="L484" s="280"/>
      <c r="M484" s="280"/>
      <c r="N484" s="281"/>
    </row>
    <row r="485" spans="1:14" s="279" customFormat="1" x14ac:dyDescent="0.2">
      <c r="A485" s="269"/>
      <c r="B485" s="270">
        <v>83566</v>
      </c>
      <c r="C485" s="271" t="s">
        <v>1451</v>
      </c>
      <c r="D485" s="339" t="s">
        <v>1452</v>
      </c>
      <c r="E485" s="273" t="str">
        <f>E493</f>
        <v>u n</v>
      </c>
      <c r="F485" s="274">
        <v>18</v>
      </c>
      <c r="G485" s="275" t="e">
        <f>Comp!#REF!</f>
        <v>#REF!</v>
      </c>
      <c r="H485" s="275">
        <v>21.28</v>
      </c>
      <c r="I485" s="276">
        <f t="shared" si="42"/>
        <v>383.04</v>
      </c>
      <c r="J485" s="276" t="e">
        <f t="shared" si="43"/>
        <v>#REF!</v>
      </c>
      <c r="L485" s="280"/>
      <c r="M485" s="280"/>
      <c r="N485" s="281"/>
    </row>
    <row r="486" spans="1:14" s="279" customFormat="1" x14ac:dyDescent="0.2">
      <c r="A486" s="269"/>
      <c r="B486" s="270">
        <v>72331</v>
      </c>
      <c r="C486" s="271" t="s">
        <v>1453</v>
      </c>
      <c r="D486" s="339" t="s">
        <v>1454</v>
      </c>
      <c r="E486" s="273" t="str">
        <f>E485</f>
        <v>u n</v>
      </c>
      <c r="F486" s="274">
        <v>56</v>
      </c>
      <c r="G486" s="275" t="e">
        <f>Comp!#REF!</f>
        <v>#REF!</v>
      </c>
      <c r="H486" s="275">
        <v>9.26</v>
      </c>
      <c r="I486" s="276">
        <f t="shared" si="42"/>
        <v>518.55999999999995</v>
      </c>
      <c r="J486" s="276" t="e">
        <f t="shared" si="43"/>
        <v>#REF!</v>
      </c>
      <c r="L486" s="280"/>
      <c r="M486" s="280"/>
      <c r="N486" s="281"/>
    </row>
    <row r="487" spans="1:14" s="279" customFormat="1" x14ac:dyDescent="0.2">
      <c r="A487" s="269"/>
      <c r="B487" s="270" t="s">
        <v>1455</v>
      </c>
      <c r="C487" s="271" t="s">
        <v>1456</v>
      </c>
      <c r="D487" s="339" t="s">
        <v>1457</v>
      </c>
      <c r="E487" s="273" t="str">
        <f>E486</f>
        <v>u n</v>
      </c>
      <c r="F487" s="274">
        <v>111</v>
      </c>
      <c r="G487" s="275" t="e">
        <f>Comp!#REF!</f>
        <v>#REF!</v>
      </c>
      <c r="H487" s="275">
        <v>116.25</v>
      </c>
      <c r="I487" s="276">
        <f t="shared" si="42"/>
        <v>12903.75</v>
      </c>
      <c r="J487" s="276" t="e">
        <f t="shared" si="43"/>
        <v>#REF!</v>
      </c>
      <c r="L487" s="280"/>
      <c r="M487" s="280"/>
      <c r="N487" s="281"/>
    </row>
    <row r="488" spans="1:14" s="279" customFormat="1" x14ac:dyDescent="0.2">
      <c r="A488" s="269"/>
      <c r="B488" s="270" t="s">
        <v>1458</v>
      </c>
      <c r="C488" s="271" t="s">
        <v>1459</v>
      </c>
      <c r="D488" s="272" t="s">
        <v>1460</v>
      </c>
      <c r="E488" s="273" t="s">
        <v>526</v>
      </c>
      <c r="F488" s="274">
        <v>17</v>
      </c>
      <c r="G488" s="275" t="e">
        <f>Comp!#REF!</f>
        <v>#REF!</v>
      </c>
      <c r="H488" s="275">
        <v>108.14</v>
      </c>
      <c r="I488" s="276">
        <f t="shared" si="42"/>
        <v>1838.38</v>
      </c>
      <c r="J488" s="276" t="e">
        <f t="shared" si="43"/>
        <v>#REF!</v>
      </c>
      <c r="L488" s="280"/>
      <c r="M488" s="280"/>
      <c r="N488" s="281"/>
    </row>
    <row r="489" spans="1:14" s="279" customFormat="1" x14ac:dyDescent="0.2">
      <c r="A489" s="269"/>
      <c r="B489" s="270" t="s">
        <v>1461</v>
      </c>
      <c r="C489" s="271" t="s">
        <v>1462</v>
      </c>
      <c r="D489" s="272" t="s">
        <v>1463</v>
      </c>
      <c r="E489" s="273" t="s">
        <v>526</v>
      </c>
      <c r="F489" s="274">
        <v>40</v>
      </c>
      <c r="G489" s="275" t="e">
        <f>Comp!#REF!</f>
        <v>#REF!</v>
      </c>
      <c r="H489" s="275">
        <v>52.76</v>
      </c>
      <c r="I489" s="276">
        <f t="shared" si="42"/>
        <v>2110.4</v>
      </c>
      <c r="J489" s="276" t="e">
        <f t="shared" si="43"/>
        <v>#REF!</v>
      </c>
      <c r="L489" s="280"/>
      <c r="M489" s="280"/>
      <c r="N489" s="281"/>
    </row>
    <row r="490" spans="1:14" s="279" customFormat="1" x14ac:dyDescent="0.2">
      <c r="A490" s="269"/>
      <c r="B490" s="270"/>
      <c r="C490" s="271" t="s">
        <v>1464</v>
      </c>
      <c r="D490" s="272" t="s">
        <v>1465</v>
      </c>
      <c r="E490" s="273" t="str">
        <f>E489</f>
        <v>u n</v>
      </c>
      <c r="F490" s="274">
        <v>15</v>
      </c>
      <c r="G490" s="275" t="e">
        <f>Comp!#REF!</f>
        <v>#REF!</v>
      </c>
      <c r="H490" s="275">
        <v>29.29</v>
      </c>
      <c r="I490" s="276">
        <f t="shared" si="42"/>
        <v>439.34999999999997</v>
      </c>
      <c r="J490" s="276" t="e">
        <f t="shared" si="43"/>
        <v>#REF!</v>
      </c>
      <c r="L490" s="280"/>
      <c r="M490" s="280"/>
      <c r="N490" s="281"/>
    </row>
    <row r="491" spans="1:14" s="279" customFormat="1" x14ac:dyDescent="0.2">
      <c r="A491" s="269"/>
      <c r="B491" s="270" t="s">
        <v>1466</v>
      </c>
      <c r="C491" s="271" t="s">
        <v>1467</v>
      </c>
      <c r="D491" s="272" t="s">
        <v>601</v>
      </c>
      <c r="E491" s="273" t="str">
        <f>E490</f>
        <v>u n</v>
      </c>
      <c r="F491" s="274">
        <v>4</v>
      </c>
      <c r="G491" s="275" t="e">
        <f>Comp!#REF!</f>
        <v>#REF!</v>
      </c>
      <c r="H491" s="275">
        <v>75.05</v>
      </c>
      <c r="I491" s="276">
        <f t="shared" si="42"/>
        <v>300.2</v>
      </c>
      <c r="J491" s="276" t="e">
        <f t="shared" si="43"/>
        <v>#REF!</v>
      </c>
      <c r="L491" s="280"/>
      <c r="M491" s="280"/>
      <c r="N491" s="281"/>
    </row>
    <row r="492" spans="1:14" s="279" customFormat="1" x14ac:dyDescent="0.2">
      <c r="A492" s="269"/>
      <c r="B492" s="270" t="s">
        <v>1466</v>
      </c>
      <c r="C492" s="271" t="s">
        <v>1468</v>
      </c>
      <c r="D492" s="272" t="s">
        <v>602</v>
      </c>
      <c r="E492" s="273" t="str">
        <f>E491</f>
        <v>u n</v>
      </c>
      <c r="F492" s="274">
        <v>1</v>
      </c>
      <c r="G492" s="275" t="e">
        <f>Comp!#REF!</f>
        <v>#REF!</v>
      </c>
      <c r="H492" s="275">
        <v>81.5</v>
      </c>
      <c r="I492" s="276">
        <f t="shared" si="42"/>
        <v>81.5</v>
      </c>
      <c r="J492" s="276" t="e">
        <f t="shared" si="43"/>
        <v>#REF!</v>
      </c>
      <c r="L492" s="280"/>
      <c r="M492" s="280"/>
      <c r="N492" s="281"/>
    </row>
    <row r="493" spans="1:14" s="279" customFormat="1" ht="24" x14ac:dyDescent="0.2">
      <c r="A493" s="269"/>
      <c r="B493" s="270" t="s">
        <v>1469</v>
      </c>
      <c r="C493" s="271" t="s">
        <v>1470</v>
      </c>
      <c r="D493" s="272" t="s">
        <v>1471</v>
      </c>
      <c r="E493" s="273" t="str">
        <f>E490</f>
        <v>u n</v>
      </c>
      <c r="F493" s="274">
        <v>16</v>
      </c>
      <c r="G493" s="275" t="e">
        <f>Comp!#REF!</f>
        <v>#REF!</v>
      </c>
      <c r="H493" s="275">
        <v>53.76</v>
      </c>
      <c r="I493" s="276">
        <f t="shared" si="42"/>
        <v>860.16</v>
      </c>
      <c r="J493" s="276" t="e">
        <f t="shared" si="43"/>
        <v>#REF!</v>
      </c>
      <c r="L493" s="280"/>
      <c r="M493" s="280"/>
      <c r="N493" s="281"/>
    </row>
    <row r="494" spans="1:14" s="279" customFormat="1" x14ac:dyDescent="0.2">
      <c r="A494" s="269"/>
      <c r="B494" s="260" t="s">
        <v>680</v>
      </c>
      <c r="C494" s="261">
        <v>19</v>
      </c>
      <c r="D494" s="340" t="s">
        <v>1472</v>
      </c>
      <c r="E494" s="288"/>
      <c r="F494" s="264"/>
      <c r="G494" s="265"/>
      <c r="H494" s="266"/>
      <c r="I494" s="267">
        <f>SUM(I495:I496)</f>
        <v>531.78</v>
      </c>
      <c r="J494" s="267" t="e">
        <f>SUM(J495:J496)</f>
        <v>#REF!</v>
      </c>
      <c r="L494" s="280"/>
      <c r="M494" s="280"/>
      <c r="N494" s="281"/>
    </row>
    <row r="495" spans="1:14" s="279" customFormat="1" ht="24" x14ac:dyDescent="0.2">
      <c r="A495" s="283"/>
      <c r="B495" s="270">
        <v>89446</v>
      </c>
      <c r="C495" s="271" t="s">
        <v>266</v>
      </c>
      <c r="D495" s="292" t="s">
        <v>1473</v>
      </c>
      <c r="E495" s="273" t="s">
        <v>418</v>
      </c>
      <c r="F495" s="274">
        <v>120</v>
      </c>
      <c r="G495" s="285" t="e">
        <f>Comp!#REF!</f>
        <v>#REF!</v>
      </c>
      <c r="H495" s="275">
        <v>3.42</v>
      </c>
      <c r="I495" s="276">
        <f>F495*H495</f>
        <v>410.4</v>
      </c>
      <c r="J495" s="276" t="e">
        <f>F495*G495</f>
        <v>#REF!</v>
      </c>
      <c r="L495" s="217"/>
    </row>
    <row r="496" spans="1:14" s="279" customFormat="1" x14ac:dyDescent="0.2">
      <c r="A496" s="283"/>
      <c r="B496" s="270">
        <v>89485</v>
      </c>
      <c r="C496" s="271" t="s">
        <v>267</v>
      </c>
      <c r="D496" s="292" t="s">
        <v>1474</v>
      </c>
      <c r="E496" s="273" t="s">
        <v>526</v>
      </c>
      <c r="F496" s="274">
        <v>42</v>
      </c>
      <c r="G496" s="285" t="e">
        <f>Comp!#REF!</f>
        <v>#REF!</v>
      </c>
      <c r="H496" s="275">
        <v>2.89</v>
      </c>
      <c r="I496" s="276">
        <f>F496*H496</f>
        <v>121.38000000000001</v>
      </c>
      <c r="J496" s="276" t="e">
        <f>F496*G496</f>
        <v>#REF!</v>
      </c>
      <c r="L496" s="217"/>
    </row>
    <row r="497" spans="1:14" s="279" customFormat="1" x14ac:dyDescent="0.2">
      <c r="A497" s="269"/>
      <c r="B497" s="260" t="s">
        <v>680</v>
      </c>
      <c r="C497" s="261">
        <v>20</v>
      </c>
      <c r="D497" s="340" t="s">
        <v>1475</v>
      </c>
      <c r="E497" s="288"/>
      <c r="F497" s="264"/>
      <c r="G497" s="265"/>
      <c r="H497" s="266"/>
      <c r="I497" s="267">
        <f>SUM(I499:I539)</f>
        <v>75693.234000000011</v>
      </c>
      <c r="J497" s="267" t="e">
        <f>SUM(J499:J539)</f>
        <v>#REF!</v>
      </c>
      <c r="K497" s="268"/>
      <c r="L497" s="280"/>
      <c r="M497" s="280"/>
      <c r="N497" s="281"/>
    </row>
    <row r="498" spans="1:14" s="279" customFormat="1" x14ac:dyDescent="0.2">
      <c r="A498" s="269"/>
      <c r="B498" s="270" t="s">
        <v>680</v>
      </c>
      <c r="C498" s="289"/>
      <c r="D498" s="341" t="s">
        <v>1476</v>
      </c>
      <c r="E498" s="273"/>
      <c r="F498" s="274"/>
      <c r="G498" s="285"/>
      <c r="H498" s="275"/>
      <c r="I498" s="290"/>
      <c r="J498" s="290"/>
      <c r="L498" s="280"/>
      <c r="M498" s="280"/>
      <c r="N498" s="281"/>
    </row>
    <row r="499" spans="1:14" s="279" customFormat="1" x14ac:dyDescent="0.2">
      <c r="A499" s="283"/>
      <c r="B499" s="270"/>
      <c r="C499" s="271" t="s">
        <v>269</v>
      </c>
      <c r="D499" s="292" t="s">
        <v>603</v>
      </c>
      <c r="E499" s="273" t="s">
        <v>526</v>
      </c>
      <c r="F499" s="274">
        <v>2</v>
      </c>
      <c r="G499" s="285" t="e">
        <f>Comp!#REF!</f>
        <v>#REF!</v>
      </c>
      <c r="H499" s="275">
        <v>277.74</v>
      </c>
      <c r="I499" s="276">
        <f t="shared" ref="I499:I539" si="44">F499*H499</f>
        <v>555.48</v>
      </c>
      <c r="J499" s="276" t="e">
        <f t="shared" ref="J499:J544" si="45">F499*G499</f>
        <v>#REF!</v>
      </c>
      <c r="L499" s="217"/>
    </row>
    <row r="500" spans="1:14" s="279" customFormat="1" x14ac:dyDescent="0.2">
      <c r="A500" s="283"/>
      <c r="B500" s="270"/>
      <c r="C500" s="271" t="s">
        <v>270</v>
      </c>
      <c r="D500" s="292" t="s">
        <v>1477</v>
      </c>
      <c r="E500" s="273" t="s">
        <v>526</v>
      </c>
      <c r="F500" s="274">
        <v>2</v>
      </c>
      <c r="G500" s="285" t="e">
        <f>Comp!#REF!</f>
        <v>#REF!</v>
      </c>
      <c r="H500" s="275"/>
      <c r="I500" s="276"/>
      <c r="J500" s="276" t="e">
        <f t="shared" si="45"/>
        <v>#REF!</v>
      </c>
      <c r="L500" s="217"/>
    </row>
    <row r="501" spans="1:14" s="279" customFormat="1" x14ac:dyDescent="0.2">
      <c r="A501" s="283"/>
      <c r="B501" s="270"/>
      <c r="C501" s="271" t="s">
        <v>271</v>
      </c>
      <c r="D501" s="292" t="s">
        <v>604</v>
      </c>
      <c r="E501" s="273" t="s">
        <v>526</v>
      </c>
      <c r="F501" s="274">
        <v>1</v>
      </c>
      <c r="G501" s="285" t="e">
        <f>Comp!#REF!</f>
        <v>#REF!</v>
      </c>
      <c r="H501" s="275">
        <v>662.26</v>
      </c>
      <c r="I501" s="276">
        <f t="shared" si="44"/>
        <v>662.26</v>
      </c>
      <c r="J501" s="276" t="e">
        <f t="shared" si="45"/>
        <v>#REF!</v>
      </c>
      <c r="L501" s="217"/>
    </row>
    <row r="502" spans="1:14" s="279" customFormat="1" x14ac:dyDescent="0.2">
      <c r="A502" s="283"/>
      <c r="B502" s="270"/>
      <c r="C502" s="271" t="s">
        <v>272</v>
      </c>
      <c r="D502" s="292" t="s">
        <v>605</v>
      </c>
      <c r="E502" s="273" t="s">
        <v>526</v>
      </c>
      <c r="F502" s="274">
        <v>2</v>
      </c>
      <c r="G502" s="285" t="e">
        <f>Comp!#REF!</f>
        <v>#REF!</v>
      </c>
      <c r="H502" s="275">
        <v>709.5</v>
      </c>
      <c r="I502" s="276">
        <f t="shared" si="44"/>
        <v>1419</v>
      </c>
      <c r="J502" s="276" t="e">
        <f t="shared" si="45"/>
        <v>#REF!</v>
      </c>
      <c r="L502" s="217"/>
    </row>
    <row r="503" spans="1:14" s="279" customFormat="1" x14ac:dyDescent="0.2">
      <c r="A503" s="283"/>
      <c r="B503" s="270"/>
      <c r="C503" s="271" t="s">
        <v>1478</v>
      </c>
      <c r="D503" s="292" t="s">
        <v>606</v>
      </c>
      <c r="E503" s="273" t="s">
        <v>526</v>
      </c>
      <c r="F503" s="274">
        <v>18</v>
      </c>
      <c r="G503" s="285" t="e">
        <f>Comp!#REF!</f>
        <v>#REF!</v>
      </c>
      <c r="H503" s="275">
        <v>238.65</v>
      </c>
      <c r="I503" s="276">
        <f t="shared" si="44"/>
        <v>4295.7</v>
      </c>
      <c r="J503" s="276" t="e">
        <f t="shared" si="45"/>
        <v>#REF!</v>
      </c>
      <c r="L503" s="217"/>
    </row>
    <row r="504" spans="1:14" s="279" customFormat="1" x14ac:dyDescent="0.2">
      <c r="A504" s="283"/>
      <c r="B504" s="270"/>
      <c r="C504" s="271" t="s">
        <v>273</v>
      </c>
      <c r="D504" s="292" t="s">
        <v>1479</v>
      </c>
      <c r="E504" s="273" t="s">
        <v>526</v>
      </c>
      <c r="F504" s="274">
        <v>2</v>
      </c>
      <c r="G504" s="285" t="e">
        <f>Comp!#REF!</f>
        <v>#REF!</v>
      </c>
      <c r="H504" s="275"/>
      <c r="I504" s="276"/>
      <c r="J504" s="276" t="e">
        <f t="shared" si="45"/>
        <v>#REF!</v>
      </c>
      <c r="L504" s="217"/>
    </row>
    <row r="505" spans="1:14" s="279" customFormat="1" x14ac:dyDescent="0.2">
      <c r="A505" s="283"/>
      <c r="B505" s="270"/>
      <c r="C505" s="271" t="s">
        <v>274</v>
      </c>
      <c r="D505" s="292" t="s">
        <v>607</v>
      </c>
      <c r="E505" s="273" t="s">
        <v>526</v>
      </c>
      <c r="F505" s="274">
        <v>1</v>
      </c>
      <c r="G505" s="285" t="e">
        <f>Comp!#REF!</f>
        <v>#REF!</v>
      </c>
      <c r="H505" s="275">
        <v>36.119999999999997</v>
      </c>
      <c r="I505" s="276">
        <f t="shared" si="44"/>
        <v>36.119999999999997</v>
      </c>
      <c r="J505" s="276" t="e">
        <f t="shared" si="45"/>
        <v>#REF!</v>
      </c>
      <c r="L505" s="217"/>
    </row>
    <row r="506" spans="1:14" s="279" customFormat="1" x14ac:dyDescent="0.2">
      <c r="A506" s="283"/>
      <c r="B506" s="270"/>
      <c r="C506" s="271" t="s">
        <v>1480</v>
      </c>
      <c r="D506" s="292" t="s">
        <v>1481</v>
      </c>
      <c r="E506" s="273" t="s">
        <v>526</v>
      </c>
      <c r="F506" s="274">
        <v>2</v>
      </c>
      <c r="G506" s="285" t="e">
        <f>Comp!#REF!</f>
        <v>#REF!</v>
      </c>
      <c r="H506" s="275"/>
      <c r="I506" s="276"/>
      <c r="J506" s="276" t="e">
        <f t="shared" si="45"/>
        <v>#REF!</v>
      </c>
      <c r="L506" s="217"/>
    </row>
    <row r="507" spans="1:14" s="279" customFormat="1" x14ac:dyDescent="0.2">
      <c r="A507" s="283"/>
      <c r="B507" s="270"/>
      <c r="C507" s="271" t="s">
        <v>275</v>
      </c>
      <c r="D507" s="292" t="s">
        <v>1482</v>
      </c>
      <c r="E507" s="273" t="s">
        <v>526</v>
      </c>
      <c r="F507" s="274">
        <v>1</v>
      </c>
      <c r="G507" s="285" t="e">
        <f>Comp!#REF!</f>
        <v>#REF!</v>
      </c>
      <c r="H507" s="275"/>
      <c r="I507" s="276"/>
      <c r="J507" s="276" t="e">
        <f t="shared" si="45"/>
        <v>#REF!</v>
      </c>
      <c r="L507" s="217"/>
    </row>
    <row r="508" spans="1:14" s="279" customFormat="1" x14ac:dyDescent="0.2">
      <c r="A508" s="283"/>
      <c r="B508" s="270"/>
      <c r="C508" s="271" t="s">
        <v>276</v>
      </c>
      <c r="D508" s="292" t="s">
        <v>1483</v>
      </c>
      <c r="E508" s="273" t="s">
        <v>526</v>
      </c>
      <c r="F508" s="274">
        <v>1</v>
      </c>
      <c r="G508" s="285" t="e">
        <f>Comp!#REF!</f>
        <v>#REF!</v>
      </c>
      <c r="H508" s="275"/>
      <c r="I508" s="276"/>
      <c r="J508" s="276" t="e">
        <f t="shared" si="45"/>
        <v>#REF!</v>
      </c>
      <c r="L508" s="217"/>
    </row>
    <row r="509" spans="1:14" s="279" customFormat="1" x14ac:dyDescent="0.2">
      <c r="A509" s="283"/>
      <c r="B509" s="270"/>
      <c r="C509" s="271" t="s">
        <v>277</v>
      </c>
      <c r="D509" s="292" t="s">
        <v>1484</v>
      </c>
      <c r="E509" s="273" t="s">
        <v>526</v>
      </c>
      <c r="F509" s="274">
        <v>2</v>
      </c>
      <c r="G509" s="285" t="e">
        <f>Comp!#REF!</f>
        <v>#REF!</v>
      </c>
      <c r="H509" s="275"/>
      <c r="I509" s="276"/>
      <c r="J509" s="276" t="e">
        <f t="shared" si="45"/>
        <v>#REF!</v>
      </c>
      <c r="L509" s="217"/>
    </row>
    <row r="510" spans="1:14" s="279" customFormat="1" x14ac:dyDescent="0.2">
      <c r="A510" s="283"/>
      <c r="B510" s="270"/>
      <c r="C510" s="271" t="s">
        <v>278</v>
      </c>
      <c r="D510" s="292" t="s">
        <v>1485</v>
      </c>
      <c r="E510" s="273" t="s">
        <v>526</v>
      </c>
      <c r="F510" s="274">
        <v>2</v>
      </c>
      <c r="G510" s="285" t="e">
        <f>Comp!#REF!</f>
        <v>#REF!</v>
      </c>
      <c r="H510" s="275"/>
      <c r="I510" s="276"/>
      <c r="J510" s="276" t="e">
        <f t="shared" si="45"/>
        <v>#REF!</v>
      </c>
      <c r="L510" s="217"/>
    </row>
    <row r="511" spans="1:14" s="279" customFormat="1" x14ac:dyDescent="0.2">
      <c r="A511" s="283"/>
      <c r="B511" s="270"/>
      <c r="C511" s="271" t="s">
        <v>1486</v>
      </c>
      <c r="D511" s="292" t="s">
        <v>1487</v>
      </c>
      <c r="E511" s="273" t="s">
        <v>526</v>
      </c>
      <c r="F511" s="274">
        <v>2</v>
      </c>
      <c r="G511" s="285" t="e">
        <f>Comp!#REF!</f>
        <v>#REF!</v>
      </c>
      <c r="H511" s="275"/>
      <c r="I511" s="276"/>
      <c r="J511" s="276" t="e">
        <f t="shared" si="45"/>
        <v>#REF!</v>
      </c>
      <c r="L511" s="217"/>
    </row>
    <row r="512" spans="1:14" s="279" customFormat="1" x14ac:dyDescent="0.2">
      <c r="A512" s="269"/>
      <c r="B512" s="270" t="s">
        <v>680</v>
      </c>
      <c r="C512" s="289"/>
      <c r="D512" s="341" t="s">
        <v>1488</v>
      </c>
      <c r="E512" s="273"/>
      <c r="F512" s="274"/>
      <c r="G512" s="285"/>
      <c r="H512" s="275"/>
      <c r="I512" s="276"/>
      <c r="J512" s="276"/>
      <c r="L512" s="280"/>
      <c r="M512" s="280"/>
      <c r="N512" s="281"/>
    </row>
    <row r="513" spans="1:14" s="279" customFormat="1" x14ac:dyDescent="0.2">
      <c r="A513" s="336"/>
      <c r="B513" s="270"/>
      <c r="C513" s="271" t="s">
        <v>275</v>
      </c>
      <c r="D513" s="339" t="s">
        <v>608</v>
      </c>
      <c r="E513" s="273" t="s">
        <v>418</v>
      </c>
      <c r="F513" s="274">
        <v>144</v>
      </c>
      <c r="G513" s="285" t="e">
        <f>Comp!#REF!</f>
        <v>#REF!</v>
      </c>
      <c r="H513" s="275">
        <v>4.72</v>
      </c>
      <c r="I513" s="276">
        <f t="shared" si="44"/>
        <v>679.68</v>
      </c>
      <c r="J513" s="276" t="e">
        <f t="shared" si="45"/>
        <v>#REF!</v>
      </c>
      <c r="L513" s="280"/>
      <c r="M513" s="280"/>
      <c r="N513" s="281"/>
    </row>
    <row r="514" spans="1:14" s="279" customFormat="1" x14ac:dyDescent="0.2">
      <c r="A514" s="336"/>
      <c r="B514" s="270"/>
      <c r="C514" s="271" t="s">
        <v>276</v>
      </c>
      <c r="D514" s="339" t="s">
        <v>609</v>
      </c>
      <c r="E514" s="273" t="s">
        <v>418</v>
      </c>
      <c r="F514" s="274">
        <v>3191.3</v>
      </c>
      <c r="G514" s="285" t="e">
        <f>Comp!#REF!</f>
        <v>#REF!</v>
      </c>
      <c r="H514" s="275">
        <v>5.41</v>
      </c>
      <c r="I514" s="276">
        <f t="shared" si="44"/>
        <v>17264.933000000001</v>
      </c>
      <c r="J514" s="276" t="e">
        <f t="shared" si="45"/>
        <v>#REF!</v>
      </c>
      <c r="L514" s="280"/>
      <c r="M514" s="280"/>
      <c r="N514" s="281"/>
    </row>
    <row r="515" spans="1:14" s="279" customFormat="1" x14ac:dyDescent="0.2">
      <c r="A515" s="283"/>
      <c r="B515" s="270" t="s">
        <v>1489</v>
      </c>
      <c r="C515" s="271" t="s">
        <v>277</v>
      </c>
      <c r="D515" s="284" t="s">
        <v>610</v>
      </c>
      <c r="E515" s="273" t="s">
        <v>418</v>
      </c>
      <c r="F515" s="274">
        <v>450</v>
      </c>
      <c r="G515" s="285" t="e">
        <f>Comp!#REF!</f>
        <v>#REF!</v>
      </c>
      <c r="H515" s="275">
        <v>2.5299999999999998</v>
      </c>
      <c r="I515" s="276">
        <f t="shared" si="44"/>
        <v>1138.5</v>
      </c>
      <c r="J515" s="276" t="e">
        <f t="shared" si="45"/>
        <v>#REF!</v>
      </c>
      <c r="L515" s="217"/>
    </row>
    <row r="516" spans="1:14" s="279" customFormat="1" x14ac:dyDescent="0.2">
      <c r="A516" s="269"/>
      <c r="B516" s="270"/>
      <c r="C516" s="289"/>
      <c r="D516" s="341" t="s">
        <v>1490</v>
      </c>
      <c r="E516" s="273"/>
      <c r="F516" s="274"/>
      <c r="G516" s="285"/>
      <c r="H516" s="275"/>
      <c r="I516" s="276"/>
      <c r="J516" s="276"/>
      <c r="L516" s="280"/>
      <c r="M516" s="280"/>
      <c r="N516" s="281"/>
    </row>
    <row r="517" spans="1:14" s="279" customFormat="1" x14ac:dyDescent="0.2">
      <c r="A517" s="283"/>
      <c r="B517" s="270"/>
      <c r="C517" s="271" t="s">
        <v>278</v>
      </c>
      <c r="D517" s="284" t="s">
        <v>611</v>
      </c>
      <c r="E517" s="273" t="s">
        <v>526</v>
      </c>
      <c r="F517" s="274">
        <v>100</v>
      </c>
      <c r="G517" s="285" t="e">
        <f>Comp!#REF!</f>
        <v>#REF!</v>
      </c>
      <c r="H517" s="275">
        <v>290.25</v>
      </c>
      <c r="I517" s="276">
        <f t="shared" si="44"/>
        <v>29025</v>
      </c>
      <c r="J517" s="276" t="e">
        <f t="shared" si="45"/>
        <v>#REF!</v>
      </c>
      <c r="L517" s="217"/>
    </row>
    <row r="518" spans="1:14" s="279" customFormat="1" x14ac:dyDescent="0.2">
      <c r="A518" s="283"/>
      <c r="B518" s="270"/>
      <c r="C518" s="271" t="s">
        <v>1486</v>
      </c>
      <c r="D518" s="284" t="s">
        <v>612</v>
      </c>
      <c r="E518" s="273" t="s">
        <v>526</v>
      </c>
      <c r="F518" s="274">
        <v>96</v>
      </c>
      <c r="G518" s="285" t="e">
        <f>Comp!#REF!</f>
        <v>#REF!</v>
      </c>
      <c r="H518" s="275">
        <v>129</v>
      </c>
      <c r="I518" s="276">
        <f t="shared" si="44"/>
        <v>12384</v>
      </c>
      <c r="J518" s="276" t="e">
        <f t="shared" si="45"/>
        <v>#REF!</v>
      </c>
      <c r="L518" s="217"/>
    </row>
    <row r="519" spans="1:14" s="279" customFormat="1" x14ac:dyDescent="0.2">
      <c r="A519" s="269"/>
      <c r="B519" s="270"/>
      <c r="C519" s="289"/>
      <c r="D519" s="341" t="s">
        <v>1491</v>
      </c>
      <c r="E519" s="273"/>
      <c r="F519" s="274"/>
      <c r="G519" s="285"/>
      <c r="H519" s="275"/>
      <c r="I519" s="276"/>
      <c r="J519" s="276"/>
      <c r="L519" s="280"/>
      <c r="M519" s="280"/>
      <c r="N519" s="281"/>
    </row>
    <row r="520" spans="1:14" s="279" customFormat="1" x14ac:dyDescent="0.2">
      <c r="A520" s="283"/>
      <c r="B520" s="270"/>
      <c r="C520" s="271" t="s">
        <v>1492</v>
      </c>
      <c r="D520" s="284" t="s">
        <v>613</v>
      </c>
      <c r="E520" s="273" t="s">
        <v>526</v>
      </c>
      <c r="F520" s="274">
        <v>72</v>
      </c>
      <c r="G520" s="285" t="e">
        <f>Comp!#REF!</f>
        <v>#REF!</v>
      </c>
      <c r="H520" s="275">
        <v>30.95</v>
      </c>
      <c r="I520" s="276">
        <f t="shared" si="44"/>
        <v>2228.4</v>
      </c>
      <c r="J520" s="276" t="e">
        <f t="shared" si="45"/>
        <v>#REF!</v>
      </c>
      <c r="L520" s="217"/>
    </row>
    <row r="521" spans="1:14" s="279" customFormat="1" x14ac:dyDescent="0.2">
      <c r="A521" s="283"/>
      <c r="B521" s="270"/>
      <c r="C521" s="271" t="s">
        <v>1493</v>
      </c>
      <c r="D521" s="284" t="s">
        <v>614</v>
      </c>
      <c r="E521" s="273" t="s">
        <v>526</v>
      </c>
      <c r="F521" s="274">
        <v>24</v>
      </c>
      <c r="G521" s="285" t="e">
        <f>Comp!#REF!</f>
        <v>#REF!</v>
      </c>
      <c r="H521" s="275">
        <v>9.75</v>
      </c>
      <c r="I521" s="276">
        <f t="shared" si="44"/>
        <v>234</v>
      </c>
      <c r="J521" s="276" t="e">
        <f t="shared" si="45"/>
        <v>#REF!</v>
      </c>
      <c r="L521" s="217"/>
    </row>
    <row r="522" spans="1:14" s="279" customFormat="1" x14ac:dyDescent="0.2">
      <c r="A522" s="283"/>
      <c r="B522" s="270"/>
      <c r="C522" s="271" t="s">
        <v>1494</v>
      </c>
      <c r="D522" s="284" t="s">
        <v>1495</v>
      </c>
      <c r="E522" s="273" t="s">
        <v>526</v>
      </c>
      <c r="F522" s="274">
        <v>24</v>
      </c>
      <c r="G522" s="285" t="e">
        <f>G521</f>
        <v>#REF!</v>
      </c>
      <c r="H522" s="275">
        <f>H521</f>
        <v>9.75</v>
      </c>
      <c r="I522" s="276">
        <f t="shared" si="44"/>
        <v>234</v>
      </c>
      <c r="J522" s="276" t="e">
        <f t="shared" si="45"/>
        <v>#REF!</v>
      </c>
      <c r="L522" s="217"/>
    </row>
    <row r="523" spans="1:14" s="279" customFormat="1" x14ac:dyDescent="0.2">
      <c r="A523" s="283"/>
      <c r="B523" s="270"/>
      <c r="C523" s="271" t="s">
        <v>1496</v>
      </c>
      <c r="D523" s="284" t="s">
        <v>615</v>
      </c>
      <c r="E523" s="273" t="s">
        <v>526</v>
      </c>
      <c r="F523" s="274">
        <v>16</v>
      </c>
      <c r="G523" s="285" t="e">
        <f>Comp!#REF!</f>
        <v>#REF!</v>
      </c>
      <c r="H523" s="275">
        <v>28.85</v>
      </c>
      <c r="I523" s="276">
        <f t="shared" si="44"/>
        <v>461.6</v>
      </c>
      <c r="J523" s="276" t="e">
        <f t="shared" si="45"/>
        <v>#REF!</v>
      </c>
      <c r="L523" s="217"/>
    </row>
    <row r="524" spans="1:14" s="279" customFormat="1" x14ac:dyDescent="0.2">
      <c r="A524" s="283"/>
      <c r="B524" s="270"/>
      <c r="C524" s="271" t="s">
        <v>1497</v>
      </c>
      <c r="D524" s="284" t="s">
        <v>616</v>
      </c>
      <c r="E524" s="273" t="s">
        <v>526</v>
      </c>
      <c r="F524" s="274">
        <v>16</v>
      </c>
      <c r="G524" s="285" t="e">
        <f>Comp!#REF!</f>
        <v>#REF!</v>
      </c>
      <c r="H524" s="275">
        <v>3.73</v>
      </c>
      <c r="I524" s="276">
        <f t="shared" si="44"/>
        <v>59.68</v>
      </c>
      <c r="J524" s="276" t="e">
        <f t="shared" si="45"/>
        <v>#REF!</v>
      </c>
      <c r="L524" s="217"/>
    </row>
    <row r="525" spans="1:14" s="279" customFormat="1" x14ac:dyDescent="0.2">
      <c r="A525" s="283"/>
      <c r="B525" s="270"/>
      <c r="C525" s="271" t="s">
        <v>1498</v>
      </c>
      <c r="D525" s="284" t="s">
        <v>617</v>
      </c>
      <c r="E525" s="273" t="s">
        <v>526</v>
      </c>
      <c r="F525" s="274">
        <v>1</v>
      </c>
      <c r="G525" s="285" t="e">
        <f>Comp!#REF!</f>
        <v>#REF!</v>
      </c>
      <c r="H525" s="275">
        <v>580.5</v>
      </c>
      <c r="I525" s="276">
        <f t="shared" si="44"/>
        <v>580.5</v>
      </c>
      <c r="J525" s="276" t="e">
        <f t="shared" si="45"/>
        <v>#REF!</v>
      </c>
      <c r="L525" s="217"/>
    </row>
    <row r="526" spans="1:14" s="279" customFormat="1" x14ac:dyDescent="0.2">
      <c r="A526" s="269"/>
      <c r="B526" s="270"/>
      <c r="C526" s="289"/>
      <c r="D526" s="341" t="s">
        <v>1499</v>
      </c>
      <c r="E526" s="273"/>
      <c r="F526" s="274"/>
      <c r="G526" s="285"/>
      <c r="H526" s="275"/>
      <c r="I526" s="276"/>
      <c r="J526" s="276"/>
      <c r="L526" s="280"/>
      <c r="M526" s="280"/>
      <c r="N526" s="281"/>
    </row>
    <row r="527" spans="1:14" s="315" customFormat="1" ht="24" x14ac:dyDescent="0.2">
      <c r="A527" s="331"/>
      <c r="B527" s="308"/>
      <c r="C527" s="309" t="s">
        <v>1500</v>
      </c>
      <c r="D527" s="335" t="s">
        <v>1501</v>
      </c>
      <c r="E527" s="311" t="s">
        <v>526</v>
      </c>
      <c r="F527" s="312">
        <v>4</v>
      </c>
      <c r="G527" s="333" t="e">
        <f>Comp!#REF!</f>
        <v>#REF!</v>
      </c>
      <c r="H527" s="313"/>
      <c r="I527" s="314"/>
      <c r="J527" s="314" t="e">
        <f t="shared" si="45"/>
        <v>#REF!</v>
      </c>
      <c r="L527" s="213"/>
    </row>
    <row r="528" spans="1:14" s="315" customFormat="1" ht="15.75" customHeight="1" x14ac:dyDescent="0.2">
      <c r="A528" s="331"/>
      <c r="B528" s="308">
        <v>83387</v>
      </c>
      <c r="C528" s="309" t="s">
        <v>1502</v>
      </c>
      <c r="D528" s="332" t="s">
        <v>1503</v>
      </c>
      <c r="E528" s="311" t="s">
        <v>526</v>
      </c>
      <c r="F528" s="312">
        <v>48</v>
      </c>
      <c r="G528" s="333" t="e">
        <f>Comp!#REF!</f>
        <v>#REF!</v>
      </c>
      <c r="H528" s="313">
        <v>6.03</v>
      </c>
      <c r="I528" s="314">
        <f t="shared" si="44"/>
        <v>289.44</v>
      </c>
      <c r="J528" s="314" t="e">
        <f t="shared" si="45"/>
        <v>#REF!</v>
      </c>
      <c r="L528" s="213"/>
    </row>
    <row r="529" spans="1:14" s="279" customFormat="1" x14ac:dyDescent="0.2">
      <c r="A529" s="269"/>
      <c r="B529" s="270"/>
      <c r="C529" s="289"/>
      <c r="D529" s="341" t="s">
        <v>1359</v>
      </c>
      <c r="E529" s="273"/>
      <c r="F529" s="274"/>
      <c r="G529" s="285"/>
      <c r="H529" s="275"/>
      <c r="I529" s="276"/>
      <c r="J529" s="276"/>
      <c r="L529" s="280"/>
      <c r="M529" s="280"/>
      <c r="N529" s="281"/>
    </row>
    <row r="530" spans="1:14" s="279" customFormat="1" x14ac:dyDescent="0.2">
      <c r="A530" s="283"/>
      <c r="B530" s="270">
        <v>72935</v>
      </c>
      <c r="C530" s="271" t="s">
        <v>1504</v>
      </c>
      <c r="D530" s="284" t="s">
        <v>1505</v>
      </c>
      <c r="E530" s="273" t="s">
        <v>418</v>
      </c>
      <c r="F530" s="274">
        <v>14.7</v>
      </c>
      <c r="G530" s="285" t="e">
        <f>Comp!#REF!</f>
        <v>#REF!</v>
      </c>
      <c r="H530" s="275">
        <v>5.85</v>
      </c>
      <c r="I530" s="276">
        <f t="shared" si="44"/>
        <v>85.99499999999999</v>
      </c>
      <c r="J530" s="276" t="e">
        <f t="shared" si="45"/>
        <v>#REF!</v>
      </c>
      <c r="L530" s="217"/>
    </row>
    <row r="531" spans="1:14" s="279" customFormat="1" x14ac:dyDescent="0.2">
      <c r="A531" s="283"/>
      <c r="B531" s="270">
        <v>72934</v>
      </c>
      <c r="C531" s="271" t="s">
        <v>1506</v>
      </c>
      <c r="D531" s="284" t="s">
        <v>1507</v>
      </c>
      <c r="E531" s="273" t="s">
        <v>418</v>
      </c>
      <c r="F531" s="274">
        <v>154.69999999999999</v>
      </c>
      <c r="G531" s="285" t="e">
        <f>Comp!#REF!</f>
        <v>#REF!</v>
      </c>
      <c r="H531" s="275">
        <v>4.59</v>
      </c>
      <c r="I531" s="276">
        <f t="shared" si="44"/>
        <v>710.07299999999998</v>
      </c>
      <c r="J531" s="276" t="e">
        <f t="shared" si="45"/>
        <v>#REF!</v>
      </c>
      <c r="L531" s="217"/>
    </row>
    <row r="532" spans="1:14" s="279" customFormat="1" x14ac:dyDescent="0.2">
      <c r="A532" s="283"/>
      <c r="B532" s="270">
        <v>72936</v>
      </c>
      <c r="C532" s="271" t="s">
        <v>1508</v>
      </c>
      <c r="D532" s="284" t="s">
        <v>1509</v>
      </c>
      <c r="E532" s="273" t="s">
        <v>418</v>
      </c>
      <c r="F532" s="274">
        <v>5.3</v>
      </c>
      <c r="G532" s="285" t="e">
        <f>Comp!#REF!</f>
        <v>#REF!</v>
      </c>
      <c r="H532" s="275">
        <v>8.16</v>
      </c>
      <c r="I532" s="276">
        <f t="shared" si="44"/>
        <v>43.247999999999998</v>
      </c>
      <c r="J532" s="276" t="e">
        <f t="shared" si="45"/>
        <v>#REF!</v>
      </c>
      <c r="L532" s="217"/>
    </row>
    <row r="533" spans="1:14" s="279" customFormat="1" ht="24" x14ac:dyDescent="0.2">
      <c r="A533" s="283"/>
      <c r="B533" s="270"/>
      <c r="C533" s="271" t="s">
        <v>1510</v>
      </c>
      <c r="D533" s="292" t="s">
        <v>1511</v>
      </c>
      <c r="E533" s="273" t="s">
        <v>418</v>
      </c>
      <c r="F533" s="274">
        <v>5.8</v>
      </c>
      <c r="G533" s="285" t="e">
        <f>Comp!#REF!</f>
        <v>#REF!</v>
      </c>
      <c r="H533" s="275"/>
      <c r="I533" s="276"/>
      <c r="J533" s="276" t="e">
        <f t="shared" si="45"/>
        <v>#REF!</v>
      </c>
      <c r="L533" s="217"/>
    </row>
    <row r="534" spans="1:14" s="279" customFormat="1" ht="24" x14ac:dyDescent="0.2">
      <c r="A534" s="283"/>
      <c r="B534" s="270"/>
      <c r="C534" s="271" t="s">
        <v>1512</v>
      </c>
      <c r="D534" s="292" t="s">
        <v>1513</v>
      </c>
      <c r="E534" s="273" t="s">
        <v>418</v>
      </c>
      <c r="F534" s="274">
        <v>22</v>
      </c>
      <c r="G534" s="285" t="e">
        <f>Comp!#REF!</f>
        <v>#REF!</v>
      </c>
      <c r="H534" s="275"/>
      <c r="I534" s="276"/>
      <c r="J534" s="276" t="e">
        <f t="shared" si="45"/>
        <v>#REF!</v>
      </c>
      <c r="L534" s="217"/>
    </row>
    <row r="535" spans="1:14" s="279" customFormat="1" x14ac:dyDescent="0.2">
      <c r="A535" s="283"/>
      <c r="B535" s="270"/>
      <c r="C535" s="271" t="s">
        <v>1514</v>
      </c>
      <c r="D535" s="284" t="s">
        <v>1515</v>
      </c>
      <c r="E535" s="273" t="s">
        <v>526</v>
      </c>
      <c r="F535" s="274">
        <v>1</v>
      </c>
      <c r="G535" s="285" t="e">
        <f>Comp!#REF!</f>
        <v>#REF!</v>
      </c>
      <c r="H535" s="275"/>
      <c r="I535" s="276"/>
      <c r="J535" s="276" t="e">
        <f t="shared" si="45"/>
        <v>#REF!</v>
      </c>
      <c r="L535" s="217"/>
    </row>
    <row r="536" spans="1:14" s="279" customFormat="1" x14ac:dyDescent="0.2">
      <c r="A536" s="283"/>
      <c r="B536" s="270"/>
      <c r="C536" s="271" t="s">
        <v>1516</v>
      </c>
      <c r="D536" s="284" t="s">
        <v>1517</v>
      </c>
      <c r="E536" s="273" t="s">
        <v>526</v>
      </c>
      <c r="F536" s="274">
        <v>6</v>
      </c>
      <c r="G536" s="285" t="e">
        <f>Comp!#REF!</f>
        <v>#REF!</v>
      </c>
      <c r="H536" s="275"/>
      <c r="I536" s="276"/>
      <c r="J536" s="276" t="e">
        <f t="shared" si="45"/>
        <v>#REF!</v>
      </c>
      <c r="L536" s="217"/>
    </row>
    <row r="537" spans="1:14" s="279" customFormat="1" ht="24" x14ac:dyDescent="0.2">
      <c r="A537" s="283"/>
      <c r="B537" s="270"/>
      <c r="C537" s="271" t="s">
        <v>1518</v>
      </c>
      <c r="D537" s="292" t="s">
        <v>618</v>
      </c>
      <c r="E537" s="273" t="s">
        <v>418</v>
      </c>
      <c r="F537" s="274">
        <v>5.4</v>
      </c>
      <c r="G537" s="285" t="e">
        <f>Comp!#REF!</f>
        <v>#REF!</v>
      </c>
      <c r="H537" s="275">
        <v>64.5</v>
      </c>
      <c r="I537" s="276">
        <f t="shared" si="44"/>
        <v>348.3</v>
      </c>
      <c r="J537" s="276" t="e">
        <f t="shared" si="45"/>
        <v>#REF!</v>
      </c>
      <c r="L537" s="217"/>
    </row>
    <row r="538" spans="1:14" s="279" customFormat="1" ht="24" x14ac:dyDescent="0.2">
      <c r="A538" s="283"/>
      <c r="B538" s="270"/>
      <c r="C538" s="271" t="s">
        <v>1519</v>
      </c>
      <c r="D538" s="292" t="s">
        <v>1520</v>
      </c>
      <c r="E538" s="273" t="s">
        <v>418</v>
      </c>
      <c r="F538" s="274">
        <v>10.199999999999999</v>
      </c>
      <c r="G538" s="285" t="e">
        <f>Comp!#REF!</f>
        <v>#REF!</v>
      </c>
      <c r="H538" s="275"/>
      <c r="I538" s="276"/>
      <c r="J538" s="276" t="e">
        <f t="shared" si="45"/>
        <v>#REF!</v>
      </c>
      <c r="L538" s="217"/>
    </row>
    <row r="539" spans="1:14" s="279" customFormat="1" x14ac:dyDescent="0.2">
      <c r="A539" s="283"/>
      <c r="B539" s="270"/>
      <c r="C539" s="271" t="s">
        <v>1521</v>
      </c>
      <c r="D539" s="284" t="s">
        <v>619</v>
      </c>
      <c r="E539" s="273" t="s">
        <v>418</v>
      </c>
      <c r="F539" s="274">
        <v>65.5</v>
      </c>
      <c r="G539" s="285" t="e">
        <f>Comp!#REF!</f>
        <v>#REF!</v>
      </c>
      <c r="H539" s="275">
        <v>45.15</v>
      </c>
      <c r="I539" s="276">
        <f t="shared" si="44"/>
        <v>2957.3249999999998</v>
      </c>
      <c r="J539" s="276" t="e">
        <f t="shared" si="45"/>
        <v>#REF!</v>
      </c>
      <c r="L539" s="217"/>
    </row>
    <row r="540" spans="1:14" s="279" customFormat="1" x14ac:dyDescent="0.2">
      <c r="A540" s="283"/>
      <c r="B540" s="270"/>
      <c r="C540" s="271" t="s">
        <v>1522</v>
      </c>
      <c r="D540" s="284" t="s">
        <v>1523</v>
      </c>
      <c r="E540" s="273" t="s">
        <v>418</v>
      </c>
      <c r="F540" s="274">
        <v>3.6</v>
      </c>
      <c r="G540" s="285" t="e">
        <f>Comp!#REF!</f>
        <v>#REF!</v>
      </c>
      <c r="H540" s="275"/>
      <c r="I540" s="276"/>
      <c r="J540" s="276" t="e">
        <f t="shared" si="45"/>
        <v>#REF!</v>
      </c>
      <c r="L540" s="217"/>
    </row>
    <row r="541" spans="1:14" s="279" customFormat="1" x14ac:dyDescent="0.2">
      <c r="A541" s="269"/>
      <c r="B541" s="260"/>
      <c r="C541" s="261">
        <v>21</v>
      </c>
      <c r="D541" s="340" t="s">
        <v>1524</v>
      </c>
      <c r="E541" s="288"/>
      <c r="F541" s="264"/>
      <c r="G541" s="265"/>
      <c r="H541" s="266"/>
      <c r="I541" s="267">
        <f>SUM(I542:I544)</f>
        <v>3420.6099999999997</v>
      </c>
      <c r="J541" s="267" t="e">
        <f>SUM(J542:J544)</f>
        <v>#REF!</v>
      </c>
      <c r="K541" s="268"/>
      <c r="L541" s="280"/>
      <c r="M541" s="280"/>
      <c r="N541" s="281"/>
    </row>
    <row r="542" spans="1:14" s="279" customFormat="1" x14ac:dyDescent="0.2">
      <c r="A542" s="283"/>
      <c r="B542" s="270"/>
      <c r="C542" s="271" t="s">
        <v>279</v>
      </c>
      <c r="D542" s="284" t="s">
        <v>620</v>
      </c>
      <c r="E542" s="273" t="s">
        <v>526</v>
      </c>
      <c r="F542" s="274">
        <v>1</v>
      </c>
      <c r="G542" s="285" t="e">
        <f>Comp!#REF!</f>
        <v>#REF!</v>
      </c>
      <c r="H542" s="275">
        <v>1600.46</v>
      </c>
      <c r="I542" s="276">
        <f>F542*H542</f>
        <v>1600.46</v>
      </c>
      <c r="J542" s="276" t="e">
        <f t="shared" si="45"/>
        <v>#REF!</v>
      </c>
      <c r="L542" s="217"/>
    </row>
    <row r="543" spans="1:14" s="279" customFormat="1" x14ac:dyDescent="0.2">
      <c r="A543" s="283"/>
      <c r="B543" s="270"/>
      <c r="C543" s="271" t="s">
        <v>1525</v>
      </c>
      <c r="D543" s="284" t="s">
        <v>621</v>
      </c>
      <c r="E543" s="273" t="s">
        <v>418</v>
      </c>
      <c r="F543" s="274">
        <v>5</v>
      </c>
      <c r="G543" s="285" t="e">
        <f>Comp!#REF!</f>
        <v>#REF!</v>
      </c>
      <c r="H543" s="275">
        <v>304.69</v>
      </c>
      <c r="I543" s="276">
        <f>F543*H543</f>
        <v>1523.45</v>
      </c>
      <c r="J543" s="276" t="e">
        <f t="shared" si="45"/>
        <v>#REF!</v>
      </c>
      <c r="L543" s="217"/>
    </row>
    <row r="544" spans="1:14" s="279" customFormat="1" x14ac:dyDescent="0.2">
      <c r="A544" s="283"/>
      <c r="B544" s="270"/>
      <c r="C544" s="271" t="s">
        <v>1526</v>
      </c>
      <c r="D544" s="284" t="s">
        <v>622</v>
      </c>
      <c r="E544" s="273" t="s">
        <v>526</v>
      </c>
      <c r="F544" s="274">
        <v>1</v>
      </c>
      <c r="G544" s="285" t="e">
        <f>Comp!#REF!</f>
        <v>#REF!</v>
      </c>
      <c r="H544" s="275">
        <v>296.7</v>
      </c>
      <c r="I544" s="276">
        <f>F544*H544</f>
        <v>296.7</v>
      </c>
      <c r="J544" s="276" t="e">
        <f t="shared" si="45"/>
        <v>#REF!</v>
      </c>
      <c r="L544" s="217"/>
    </row>
    <row r="545" spans="1:14" s="315" customFormat="1" ht="24" x14ac:dyDescent="0.2">
      <c r="A545" s="307"/>
      <c r="B545" s="308"/>
      <c r="C545" s="337">
        <v>22</v>
      </c>
      <c r="D545" s="342" t="s">
        <v>1527</v>
      </c>
      <c r="E545" s="311"/>
      <c r="F545" s="312"/>
      <c r="G545" s="333"/>
      <c r="H545" s="313"/>
      <c r="I545" s="343">
        <f>SUM(I546:I558)</f>
        <v>22187.019999999997</v>
      </c>
      <c r="J545" s="343" t="e">
        <f>SUM(J546:J558)</f>
        <v>#REF!</v>
      </c>
      <c r="K545" s="344"/>
      <c r="L545" s="316"/>
      <c r="M545" s="316"/>
      <c r="N545" s="317"/>
    </row>
    <row r="546" spans="1:14" s="279" customFormat="1" ht="24" x14ac:dyDescent="0.2">
      <c r="A546" s="283"/>
      <c r="B546" s="270">
        <v>68070</v>
      </c>
      <c r="C546" s="271" t="s">
        <v>280</v>
      </c>
      <c r="D546" s="292" t="s">
        <v>1528</v>
      </c>
      <c r="E546" s="273" t="s">
        <v>418</v>
      </c>
      <c r="F546" s="274">
        <v>3</v>
      </c>
      <c r="G546" s="285" t="e">
        <f>Comp!#REF!</f>
        <v>#REF!</v>
      </c>
      <c r="H546" s="275">
        <v>43.48</v>
      </c>
      <c r="I546" s="276">
        <f t="shared" ref="I546:I575" si="46">F546*H546</f>
        <v>130.44</v>
      </c>
      <c r="J546" s="276" t="e">
        <f t="shared" ref="J546:J558" si="47">F546*G546</f>
        <v>#REF!</v>
      </c>
      <c r="K546" s="268"/>
      <c r="L546" s="217"/>
    </row>
    <row r="547" spans="1:14" s="279" customFormat="1" x14ac:dyDescent="0.2">
      <c r="A547" s="283"/>
      <c r="B547" s="270" t="s">
        <v>1529</v>
      </c>
      <c r="C547" s="271" t="s">
        <v>1530</v>
      </c>
      <c r="D547" s="292" t="s">
        <v>623</v>
      </c>
      <c r="E547" s="273" t="s">
        <v>418</v>
      </c>
      <c r="F547" s="274">
        <v>42</v>
      </c>
      <c r="G547" s="285" t="e">
        <f>Comp!#REF!</f>
        <v>#REF!</v>
      </c>
      <c r="H547" s="275">
        <v>5.81</v>
      </c>
      <c r="I547" s="276">
        <f t="shared" si="46"/>
        <v>244.01999999999998</v>
      </c>
      <c r="J547" s="276" t="e">
        <f t="shared" si="47"/>
        <v>#REF!</v>
      </c>
      <c r="K547" s="268"/>
      <c r="L547" s="217"/>
    </row>
    <row r="548" spans="1:14" s="279" customFormat="1" x14ac:dyDescent="0.2">
      <c r="A548" s="283"/>
      <c r="B548" s="270" t="s">
        <v>1531</v>
      </c>
      <c r="C548" s="271" t="s">
        <v>1532</v>
      </c>
      <c r="D548" s="292" t="s">
        <v>624</v>
      </c>
      <c r="E548" s="273" t="s">
        <v>526</v>
      </c>
      <c r="F548" s="274">
        <v>12</v>
      </c>
      <c r="G548" s="285" t="e">
        <f>Comp!#REF!</f>
        <v>#REF!</v>
      </c>
      <c r="H548" s="275">
        <v>3.93</v>
      </c>
      <c r="I548" s="276">
        <f t="shared" si="46"/>
        <v>47.160000000000004</v>
      </c>
      <c r="J548" s="276" t="e">
        <f t="shared" si="47"/>
        <v>#REF!</v>
      </c>
      <c r="K548" s="268"/>
      <c r="L548" s="217"/>
    </row>
    <row r="549" spans="1:14" s="279" customFormat="1" ht="15.75" customHeight="1" x14ac:dyDescent="0.2">
      <c r="A549" s="283"/>
      <c r="B549" s="270"/>
      <c r="C549" s="271" t="s">
        <v>1533</v>
      </c>
      <c r="D549" s="292" t="s">
        <v>625</v>
      </c>
      <c r="E549" s="273" t="s">
        <v>626</v>
      </c>
      <c r="F549" s="274">
        <v>24</v>
      </c>
      <c r="G549" s="285" t="e">
        <f>Comp!#REF!</f>
        <v>#REF!</v>
      </c>
      <c r="H549" s="275">
        <v>1.94</v>
      </c>
      <c r="I549" s="276">
        <f t="shared" si="46"/>
        <v>46.56</v>
      </c>
      <c r="J549" s="276" t="e">
        <f t="shared" si="47"/>
        <v>#REF!</v>
      </c>
      <c r="K549" s="268"/>
      <c r="L549" s="217"/>
    </row>
    <row r="550" spans="1:14" s="279" customFormat="1" x14ac:dyDescent="0.2">
      <c r="A550" s="283"/>
      <c r="B550" s="270"/>
      <c r="C550" s="271" t="s">
        <v>1534</v>
      </c>
      <c r="D550" s="292" t="s">
        <v>627</v>
      </c>
      <c r="E550" s="273" t="s">
        <v>526</v>
      </c>
      <c r="F550" s="274">
        <v>24</v>
      </c>
      <c r="G550" s="285" t="e">
        <f>Comp!#REF!</f>
        <v>#REF!</v>
      </c>
      <c r="H550" s="275">
        <v>1.1000000000000001</v>
      </c>
      <c r="I550" s="276">
        <f t="shared" si="46"/>
        <v>26.400000000000002</v>
      </c>
      <c r="J550" s="276" t="e">
        <f t="shared" si="47"/>
        <v>#REF!</v>
      </c>
      <c r="L550" s="217"/>
    </row>
    <row r="551" spans="1:14" s="279" customFormat="1" ht="24" x14ac:dyDescent="0.2">
      <c r="A551" s="283"/>
      <c r="B551" s="270"/>
      <c r="C551" s="271" t="s">
        <v>1535</v>
      </c>
      <c r="D551" s="292" t="s">
        <v>628</v>
      </c>
      <c r="E551" s="273" t="s">
        <v>526</v>
      </c>
      <c r="F551" s="274">
        <v>1</v>
      </c>
      <c r="G551" s="285" t="e">
        <f>Comp!#REF!</f>
        <v>#REF!</v>
      </c>
      <c r="H551" s="275">
        <v>322.5</v>
      </c>
      <c r="I551" s="276">
        <f t="shared" si="46"/>
        <v>322.5</v>
      </c>
      <c r="J551" s="276" t="e">
        <f t="shared" si="47"/>
        <v>#REF!</v>
      </c>
      <c r="L551" s="217"/>
    </row>
    <row r="552" spans="1:14" s="279" customFormat="1" x14ac:dyDescent="0.2">
      <c r="A552" s="283"/>
      <c r="B552" s="270" t="s">
        <v>1536</v>
      </c>
      <c r="C552" s="271" t="s">
        <v>1537</v>
      </c>
      <c r="D552" s="292" t="s">
        <v>1538</v>
      </c>
      <c r="E552" s="273" t="s">
        <v>416</v>
      </c>
      <c r="F552" s="274">
        <v>39</v>
      </c>
      <c r="G552" s="285" t="e">
        <f>Comp!#REF!</f>
        <v>#REF!</v>
      </c>
      <c r="H552" s="275">
        <v>4.18</v>
      </c>
      <c r="I552" s="276">
        <f t="shared" si="46"/>
        <v>163.01999999999998</v>
      </c>
      <c r="J552" s="276" t="e">
        <f t="shared" si="47"/>
        <v>#REF!</v>
      </c>
      <c r="L552" s="217"/>
    </row>
    <row r="553" spans="1:14" s="279" customFormat="1" x14ac:dyDescent="0.2">
      <c r="A553" s="283"/>
      <c r="B553" s="270">
        <v>68069</v>
      </c>
      <c r="C553" s="271" t="s">
        <v>1539</v>
      </c>
      <c r="D553" s="292" t="s">
        <v>1540</v>
      </c>
      <c r="E553" s="273" t="s">
        <v>526</v>
      </c>
      <c r="F553" s="274">
        <v>12</v>
      </c>
      <c r="G553" s="285" t="e">
        <f>Comp!#REF!</f>
        <v>#REF!</v>
      </c>
      <c r="H553" s="275">
        <v>53.46</v>
      </c>
      <c r="I553" s="276">
        <f t="shared" si="46"/>
        <v>641.52</v>
      </c>
      <c r="J553" s="276" t="e">
        <f t="shared" si="47"/>
        <v>#REF!</v>
      </c>
      <c r="L553" s="217"/>
    </row>
    <row r="554" spans="1:14" s="279" customFormat="1" x14ac:dyDescent="0.2">
      <c r="A554" s="283"/>
      <c r="B554" s="270"/>
      <c r="C554" s="271" t="s">
        <v>1541</v>
      </c>
      <c r="D554" s="292" t="s">
        <v>1542</v>
      </c>
      <c r="E554" s="273" t="s">
        <v>418</v>
      </c>
      <c r="F554" s="274">
        <v>5</v>
      </c>
      <c r="G554" s="285" t="e">
        <f>Comp!#REF!</f>
        <v>#REF!</v>
      </c>
      <c r="H554" s="275"/>
      <c r="I554" s="276"/>
      <c r="J554" s="276" t="e">
        <f t="shared" si="47"/>
        <v>#REF!</v>
      </c>
      <c r="L554" s="217"/>
    </row>
    <row r="555" spans="1:14" s="279" customFormat="1" x14ac:dyDescent="0.2">
      <c r="A555" s="283"/>
      <c r="B555" s="270">
        <v>72929</v>
      </c>
      <c r="C555" s="271" t="s">
        <v>1543</v>
      </c>
      <c r="D555" s="292" t="s">
        <v>1544</v>
      </c>
      <c r="E555" s="273" t="s">
        <v>418</v>
      </c>
      <c r="F555" s="274">
        <v>330</v>
      </c>
      <c r="G555" s="285" t="e">
        <f>Comp!#REF!</f>
        <v>#REF!</v>
      </c>
      <c r="H555" s="275">
        <v>22.06</v>
      </c>
      <c r="I555" s="276">
        <f t="shared" si="46"/>
        <v>7279.7999999999993</v>
      </c>
      <c r="J555" s="276" t="e">
        <f t="shared" si="47"/>
        <v>#REF!</v>
      </c>
      <c r="L555" s="217"/>
    </row>
    <row r="556" spans="1:14" s="279" customFormat="1" x14ac:dyDescent="0.2">
      <c r="A556" s="283"/>
      <c r="B556" s="270">
        <v>72930</v>
      </c>
      <c r="C556" s="271" t="s">
        <v>1545</v>
      </c>
      <c r="D556" s="292" t="s">
        <v>1546</v>
      </c>
      <c r="E556" s="273" t="s">
        <v>418</v>
      </c>
      <c r="F556" s="274">
        <v>260</v>
      </c>
      <c r="G556" s="285" t="e">
        <f>Comp!#REF!</f>
        <v>#REF!</v>
      </c>
      <c r="H556" s="275">
        <v>47.31</v>
      </c>
      <c r="I556" s="276">
        <f t="shared" si="46"/>
        <v>12300.6</v>
      </c>
      <c r="J556" s="276" t="e">
        <f t="shared" si="47"/>
        <v>#REF!</v>
      </c>
      <c r="L556" s="217"/>
    </row>
    <row r="557" spans="1:14" s="279" customFormat="1" ht="24" x14ac:dyDescent="0.2">
      <c r="A557" s="283"/>
      <c r="B557" s="270">
        <v>83370</v>
      </c>
      <c r="C557" s="271" t="s">
        <v>1547</v>
      </c>
      <c r="D557" s="292" t="s">
        <v>629</v>
      </c>
      <c r="E557" s="273" t="s">
        <v>526</v>
      </c>
      <c r="F557" s="274">
        <v>4</v>
      </c>
      <c r="G557" s="285" t="e">
        <f>Comp!#REF!</f>
        <v>#REF!</v>
      </c>
      <c r="H557" s="275">
        <v>205.96</v>
      </c>
      <c r="I557" s="276">
        <f t="shared" si="46"/>
        <v>823.84</v>
      </c>
      <c r="J557" s="276" t="e">
        <f t="shared" si="47"/>
        <v>#REF!</v>
      </c>
      <c r="L557" s="217"/>
    </row>
    <row r="558" spans="1:14" s="279" customFormat="1" x14ac:dyDescent="0.2">
      <c r="A558" s="283"/>
      <c r="B558" s="270">
        <v>72263</v>
      </c>
      <c r="C558" s="271" t="s">
        <v>1548</v>
      </c>
      <c r="D558" s="292" t="s">
        <v>630</v>
      </c>
      <c r="E558" s="273" t="s">
        <v>526</v>
      </c>
      <c r="F558" s="274">
        <v>12</v>
      </c>
      <c r="G558" s="285" t="e">
        <f>Comp!#REF!</f>
        <v>#REF!</v>
      </c>
      <c r="H558" s="275">
        <v>13.43</v>
      </c>
      <c r="I558" s="276">
        <f t="shared" si="46"/>
        <v>161.16</v>
      </c>
      <c r="J558" s="276" t="e">
        <f t="shared" si="47"/>
        <v>#REF!</v>
      </c>
      <c r="L558" s="217"/>
    </row>
    <row r="559" spans="1:14" s="279" customFormat="1" x14ac:dyDescent="0.2">
      <c r="A559" s="269"/>
      <c r="B559" s="260"/>
      <c r="C559" s="261">
        <v>23</v>
      </c>
      <c r="D559" s="262" t="s">
        <v>1549</v>
      </c>
      <c r="E559" s="288"/>
      <c r="F559" s="264"/>
      <c r="G559" s="265"/>
      <c r="H559" s="266"/>
      <c r="I559" s="267">
        <f>SUM(I560:I575)</f>
        <v>82420.223199999993</v>
      </c>
      <c r="J559" s="265" t="e">
        <f>SUM(J560:J575)</f>
        <v>#REF!</v>
      </c>
      <c r="K559" s="268"/>
      <c r="L559" s="280"/>
      <c r="M559" s="280"/>
      <c r="N559" s="281"/>
    </row>
    <row r="560" spans="1:14" s="279" customFormat="1" ht="24" x14ac:dyDescent="0.2">
      <c r="A560" s="283"/>
      <c r="B560" s="270" t="s">
        <v>1550</v>
      </c>
      <c r="C560" s="271" t="s">
        <v>281</v>
      </c>
      <c r="D560" s="292" t="s">
        <v>631</v>
      </c>
      <c r="E560" s="273" t="s">
        <v>526</v>
      </c>
      <c r="F560" s="274">
        <v>1</v>
      </c>
      <c r="G560" s="285" t="e">
        <f>Comp!#REF!</f>
        <v>#REF!</v>
      </c>
      <c r="H560" s="275">
        <v>181</v>
      </c>
      <c r="I560" s="276">
        <v>1481</v>
      </c>
      <c r="J560" s="276" t="e">
        <f t="shared" ref="J560:J575" si="48">F560*G560</f>
        <v>#REF!</v>
      </c>
      <c r="L560" s="217"/>
    </row>
    <row r="561" spans="1:14" s="279" customFormat="1" ht="24" x14ac:dyDescent="0.2">
      <c r="A561" s="283"/>
      <c r="B561" s="270" t="s">
        <v>1551</v>
      </c>
      <c r="C561" s="271" t="s">
        <v>1552</v>
      </c>
      <c r="D561" s="292" t="s">
        <v>632</v>
      </c>
      <c r="E561" s="273" t="s">
        <v>421</v>
      </c>
      <c r="F561" s="274">
        <v>48.53</v>
      </c>
      <c r="G561" s="285" t="e">
        <f>Comp!#REF!</f>
        <v>#REF!</v>
      </c>
      <c r="H561" s="275">
        <v>494.48</v>
      </c>
      <c r="I561" s="276">
        <f t="shared" si="46"/>
        <v>23997.114400000002</v>
      </c>
      <c r="J561" s="276" t="e">
        <f t="shared" si="48"/>
        <v>#REF!</v>
      </c>
      <c r="L561" s="217"/>
    </row>
    <row r="562" spans="1:14" s="279" customFormat="1" ht="24" x14ac:dyDescent="0.2">
      <c r="A562" s="283"/>
      <c r="B562" s="270" t="s">
        <v>1551</v>
      </c>
      <c r="C562" s="271" t="s">
        <v>1553</v>
      </c>
      <c r="D562" s="292" t="s">
        <v>633</v>
      </c>
      <c r="E562" s="273" t="s">
        <v>421</v>
      </c>
      <c r="F562" s="274">
        <v>56.26</v>
      </c>
      <c r="G562" s="285" t="e">
        <f>Comp!#REF!</f>
        <v>#REF!</v>
      </c>
      <c r="H562" s="275">
        <v>494.48</v>
      </c>
      <c r="I562" s="276">
        <f t="shared" si="46"/>
        <v>27819.444800000001</v>
      </c>
      <c r="J562" s="276" t="e">
        <f t="shared" si="48"/>
        <v>#REF!</v>
      </c>
      <c r="L562" s="217"/>
    </row>
    <row r="563" spans="1:14" s="279" customFormat="1" x14ac:dyDescent="0.2">
      <c r="A563" s="283"/>
      <c r="B563" s="270" t="s">
        <v>1554</v>
      </c>
      <c r="C563" s="271" t="s">
        <v>1555</v>
      </c>
      <c r="D563" s="292" t="s">
        <v>634</v>
      </c>
      <c r="E563" s="273" t="s">
        <v>421</v>
      </c>
      <c r="F563" s="274">
        <v>48.02</v>
      </c>
      <c r="G563" s="285" t="e">
        <f>Comp!#REF!</f>
        <v>#REF!</v>
      </c>
      <c r="H563" s="275">
        <v>156.13999999999999</v>
      </c>
      <c r="I563" s="276">
        <f t="shared" si="46"/>
        <v>7497.8427999999994</v>
      </c>
      <c r="J563" s="276" t="e">
        <f t="shared" si="48"/>
        <v>#REF!</v>
      </c>
      <c r="L563" s="217"/>
    </row>
    <row r="564" spans="1:14" s="279" customFormat="1" x14ac:dyDescent="0.2">
      <c r="A564" s="283"/>
      <c r="B564" s="270" t="s">
        <v>1556</v>
      </c>
      <c r="C564" s="271" t="s">
        <v>1557</v>
      </c>
      <c r="D564" s="292" t="s">
        <v>635</v>
      </c>
      <c r="E564" s="273" t="s">
        <v>421</v>
      </c>
      <c r="F564" s="274">
        <v>7.22</v>
      </c>
      <c r="G564" s="285" t="e">
        <f>Comp!#REF!</f>
        <v>#REF!</v>
      </c>
      <c r="H564" s="275">
        <v>219.3</v>
      </c>
      <c r="I564" s="276">
        <f t="shared" si="46"/>
        <v>1583.346</v>
      </c>
      <c r="J564" s="276" t="e">
        <f t="shared" si="48"/>
        <v>#REF!</v>
      </c>
      <c r="L564" s="217"/>
    </row>
    <row r="565" spans="1:14" s="279" customFormat="1" x14ac:dyDescent="0.2">
      <c r="A565" s="283"/>
      <c r="B565" s="270" t="s">
        <v>1551</v>
      </c>
      <c r="C565" s="271" t="s">
        <v>1558</v>
      </c>
      <c r="D565" s="292" t="s">
        <v>636</v>
      </c>
      <c r="E565" s="273" t="s">
        <v>421</v>
      </c>
      <c r="F565" s="274">
        <v>3.62</v>
      </c>
      <c r="G565" s="285" t="e">
        <f>Comp!#REF!</f>
        <v>#REF!</v>
      </c>
      <c r="H565" s="275">
        <v>494.48</v>
      </c>
      <c r="I565" s="276">
        <f t="shared" si="46"/>
        <v>1790.0176000000001</v>
      </c>
      <c r="J565" s="276" t="e">
        <f t="shared" si="48"/>
        <v>#REF!</v>
      </c>
      <c r="L565" s="217"/>
    </row>
    <row r="566" spans="1:14" s="279" customFormat="1" ht="24" x14ac:dyDescent="0.2">
      <c r="A566" s="283"/>
      <c r="B566" s="270" t="s">
        <v>1559</v>
      </c>
      <c r="C566" s="271" t="s">
        <v>1560</v>
      </c>
      <c r="D566" s="292" t="s">
        <v>637</v>
      </c>
      <c r="E566" s="273" t="s">
        <v>418</v>
      </c>
      <c r="F566" s="274">
        <v>106.8</v>
      </c>
      <c r="G566" s="285" t="e">
        <f>Comp!#REF!</f>
        <v>#REF!</v>
      </c>
      <c r="H566" s="275">
        <v>43.19</v>
      </c>
      <c r="I566" s="276">
        <f t="shared" si="46"/>
        <v>4612.692</v>
      </c>
      <c r="J566" s="276" t="e">
        <f t="shared" si="48"/>
        <v>#REF!</v>
      </c>
      <c r="L566" s="217"/>
    </row>
    <row r="567" spans="1:14" s="315" customFormat="1" x14ac:dyDescent="0.2">
      <c r="A567" s="307"/>
      <c r="B567" s="308"/>
      <c r="C567" s="337"/>
      <c r="D567" s="342" t="s">
        <v>1561</v>
      </c>
      <c r="E567" s="311"/>
      <c r="F567" s="312"/>
      <c r="G567" s="333"/>
      <c r="H567" s="313"/>
      <c r="I567" s="314">
        <f t="shared" si="46"/>
        <v>0</v>
      </c>
      <c r="J567" s="314"/>
      <c r="L567" s="316"/>
      <c r="M567" s="316"/>
      <c r="N567" s="317"/>
    </row>
    <row r="568" spans="1:14" s="279" customFormat="1" x14ac:dyDescent="0.2">
      <c r="A568" s="283"/>
      <c r="B568" s="270"/>
      <c r="C568" s="271" t="s">
        <v>1562</v>
      </c>
      <c r="D568" s="292" t="s">
        <v>1563</v>
      </c>
      <c r="E568" s="273" t="s">
        <v>526</v>
      </c>
      <c r="F568" s="274">
        <v>2</v>
      </c>
      <c r="G568" s="285" t="e">
        <f>Comp!#REF!</f>
        <v>#REF!</v>
      </c>
      <c r="H568" s="275"/>
      <c r="I568" s="276"/>
      <c r="J568" s="314" t="e">
        <f t="shared" si="48"/>
        <v>#REF!</v>
      </c>
      <c r="L568" s="217"/>
    </row>
    <row r="569" spans="1:14" s="279" customFormat="1" x14ac:dyDescent="0.2">
      <c r="A569" s="283"/>
      <c r="B569" s="270"/>
      <c r="C569" s="271" t="s">
        <v>1564</v>
      </c>
      <c r="D569" s="292" t="s">
        <v>1565</v>
      </c>
      <c r="E569" s="273" t="s">
        <v>526</v>
      </c>
      <c r="F569" s="274">
        <v>1</v>
      </c>
      <c r="G569" s="285" t="e">
        <f>Comp!#REF!</f>
        <v>#REF!</v>
      </c>
      <c r="H569" s="275"/>
      <c r="I569" s="276"/>
      <c r="J569" s="314" t="e">
        <f t="shared" si="48"/>
        <v>#REF!</v>
      </c>
      <c r="L569" s="217"/>
    </row>
    <row r="570" spans="1:14" s="279" customFormat="1" x14ac:dyDescent="0.2">
      <c r="A570" s="283"/>
      <c r="B570" s="270"/>
      <c r="C570" s="271" t="s">
        <v>1566</v>
      </c>
      <c r="D570" s="292" t="s">
        <v>1567</v>
      </c>
      <c r="E570" s="273" t="s">
        <v>526</v>
      </c>
      <c r="F570" s="274">
        <v>1</v>
      </c>
      <c r="G570" s="285" t="e">
        <f>Comp!#REF!</f>
        <v>#REF!</v>
      </c>
      <c r="H570" s="275"/>
      <c r="I570" s="276"/>
      <c r="J570" s="314" t="e">
        <f t="shared" si="48"/>
        <v>#REF!</v>
      </c>
      <c r="L570" s="217"/>
    </row>
    <row r="571" spans="1:14" s="279" customFormat="1" x14ac:dyDescent="0.2">
      <c r="A571" s="283"/>
      <c r="B571" s="270"/>
      <c r="C571" s="271" t="s">
        <v>1568</v>
      </c>
      <c r="D571" s="292" t="s">
        <v>1569</v>
      </c>
      <c r="E571" s="273" t="s">
        <v>526</v>
      </c>
      <c r="F571" s="274">
        <v>1</v>
      </c>
      <c r="G571" s="285"/>
      <c r="H571" s="275"/>
      <c r="I571" s="276"/>
      <c r="J571" s="314">
        <f t="shared" si="48"/>
        <v>0</v>
      </c>
      <c r="L571" s="217"/>
    </row>
    <row r="572" spans="1:14" s="279" customFormat="1" ht="24" x14ac:dyDescent="0.2">
      <c r="A572" s="283"/>
      <c r="B572" s="270">
        <v>73665</v>
      </c>
      <c r="C572" s="271" t="s">
        <v>1570</v>
      </c>
      <c r="D572" s="292" t="s">
        <v>1571</v>
      </c>
      <c r="E572" s="273" t="s">
        <v>418</v>
      </c>
      <c r="F572" s="274">
        <v>8.4</v>
      </c>
      <c r="G572" s="285" t="e">
        <f>Comp!#REF!</f>
        <v>#REF!</v>
      </c>
      <c r="H572" s="275">
        <v>59.36</v>
      </c>
      <c r="I572" s="276">
        <f t="shared" si="46"/>
        <v>498.62400000000002</v>
      </c>
      <c r="J572" s="276" t="e">
        <f t="shared" si="48"/>
        <v>#REF!</v>
      </c>
      <c r="L572" s="217"/>
    </row>
    <row r="573" spans="1:14" s="279" customFormat="1" x14ac:dyDescent="0.2">
      <c r="A573" s="283"/>
      <c r="B573" s="270" t="s">
        <v>1572</v>
      </c>
      <c r="C573" s="271" t="s">
        <v>1573</v>
      </c>
      <c r="D573" s="292" t="s">
        <v>638</v>
      </c>
      <c r="E573" s="273" t="s">
        <v>418</v>
      </c>
      <c r="F573" s="274">
        <v>6.97</v>
      </c>
      <c r="G573" s="285" t="e">
        <f>Comp!#REF!</f>
        <v>#REF!</v>
      </c>
      <c r="H573" s="275">
        <v>327.27999999999997</v>
      </c>
      <c r="I573" s="276">
        <f t="shared" si="46"/>
        <v>2281.1415999999999</v>
      </c>
      <c r="J573" s="276" t="e">
        <f t="shared" si="48"/>
        <v>#REF!</v>
      </c>
      <c r="L573" s="217"/>
    </row>
    <row r="574" spans="1:14" s="279" customFormat="1" ht="36" x14ac:dyDescent="0.2">
      <c r="A574" s="283"/>
      <c r="B574" s="270"/>
      <c r="C574" s="271" t="s">
        <v>1574</v>
      </c>
      <c r="D574" s="292" t="s">
        <v>639</v>
      </c>
      <c r="E574" s="273" t="s">
        <v>423</v>
      </c>
      <c r="F574" s="274">
        <v>1000</v>
      </c>
      <c r="G574" s="285" t="e">
        <f>Comp!#REF!</f>
        <v>#REF!</v>
      </c>
      <c r="H574" s="275">
        <v>10.73</v>
      </c>
      <c r="I574" s="276">
        <f t="shared" si="46"/>
        <v>10730</v>
      </c>
      <c r="J574" s="276" t="e">
        <f t="shared" si="48"/>
        <v>#REF!</v>
      </c>
      <c r="L574" s="217"/>
    </row>
    <row r="575" spans="1:14" s="279" customFormat="1" x14ac:dyDescent="0.2">
      <c r="A575" s="283"/>
      <c r="B575" s="270"/>
      <c r="C575" s="271" t="s">
        <v>1568</v>
      </c>
      <c r="D575" s="292" t="s">
        <v>640</v>
      </c>
      <c r="E575" s="273" t="s">
        <v>526</v>
      </c>
      <c r="F575" s="274">
        <v>1</v>
      </c>
      <c r="G575" s="285" t="e">
        <f>Comp!#REF!</f>
        <v>#REF!</v>
      </c>
      <c r="H575" s="275">
        <v>129</v>
      </c>
      <c r="I575" s="276">
        <f t="shared" si="46"/>
        <v>129</v>
      </c>
      <c r="J575" s="276" t="e">
        <f t="shared" si="48"/>
        <v>#REF!</v>
      </c>
      <c r="L575" s="217"/>
    </row>
    <row r="576" spans="1:14" s="279" customFormat="1" x14ac:dyDescent="0.2">
      <c r="A576" s="269"/>
      <c r="B576" s="260"/>
      <c r="C576" s="261">
        <v>24</v>
      </c>
      <c r="D576" s="262" t="s">
        <v>1575</v>
      </c>
      <c r="E576" s="288"/>
      <c r="F576" s="264"/>
      <c r="G576" s="265"/>
      <c r="H576" s="266"/>
      <c r="I576" s="267">
        <f>I577</f>
        <v>2084.1174000000001</v>
      </c>
      <c r="J576" s="265" t="e">
        <f>J577</f>
        <v>#REF!</v>
      </c>
      <c r="K576" s="268"/>
      <c r="L576" s="280"/>
      <c r="M576" s="280"/>
      <c r="N576" s="281"/>
    </row>
    <row r="577" spans="1:15" s="279" customFormat="1" x14ac:dyDescent="0.2">
      <c r="A577" s="269"/>
      <c r="B577" s="270">
        <v>9537</v>
      </c>
      <c r="C577" s="271" t="s">
        <v>282</v>
      </c>
      <c r="D577" s="272" t="s">
        <v>1576</v>
      </c>
      <c r="E577" s="273" t="s">
        <v>421</v>
      </c>
      <c r="F577" s="274">
        <v>1510.23</v>
      </c>
      <c r="G577" s="275" t="e">
        <f>Comp!#REF!</f>
        <v>#REF!</v>
      </c>
      <c r="H577" s="275">
        <v>1.38</v>
      </c>
      <c r="I577" s="276">
        <f>F577*H577</f>
        <v>2084.1174000000001</v>
      </c>
      <c r="J577" s="276" t="e">
        <f>F577*G577</f>
        <v>#REF!</v>
      </c>
      <c r="L577" s="280"/>
      <c r="M577" s="280"/>
      <c r="N577" s="281"/>
    </row>
    <row r="578" spans="1:15" s="279" customFormat="1" x14ac:dyDescent="0.2">
      <c r="A578" s="269"/>
      <c r="B578" s="270"/>
      <c r="C578" s="727"/>
      <c r="D578" s="727"/>
      <c r="E578" s="727"/>
      <c r="F578" s="727"/>
      <c r="G578" s="727"/>
      <c r="H578" s="727"/>
      <c r="I578" s="727"/>
      <c r="J578" s="276"/>
      <c r="L578" s="217"/>
    </row>
    <row r="579" spans="1:15" s="279" customFormat="1" x14ac:dyDescent="0.2">
      <c r="A579" s="269"/>
      <c r="B579" s="270"/>
      <c r="C579" s="728" t="s">
        <v>1577</v>
      </c>
      <c r="D579" s="728"/>
      <c r="E579" s="728"/>
      <c r="F579" s="728"/>
      <c r="G579" s="728"/>
      <c r="H579" s="345"/>
      <c r="I579" s="346">
        <f>I13+I22+I35+I66+I84+I95+I142+I149+I151+I164+I185+I197+I282+I293+I334+I363+I385+I414+I494+I497+I541+I545+I559+I576</f>
        <v>1830611.5662000002</v>
      </c>
      <c r="J579" s="346" t="e">
        <f>J13+J22+J35+J66+J84+J95+J142+J149+J151+J164+J185+J197+J282+J293+J334+J363+J385+J414+J494+J497+J541+J545+J559+J576</f>
        <v>#REF!</v>
      </c>
      <c r="L579" s="217"/>
      <c r="M579" s="347">
        <v>1249782.67</v>
      </c>
      <c r="O579" s="291"/>
    </row>
    <row r="580" spans="1:15" s="279" customFormat="1" x14ac:dyDescent="0.2">
      <c r="A580" s="348"/>
      <c r="B580" s="349"/>
      <c r="C580" s="349"/>
      <c r="D580" s="350"/>
      <c r="E580" s="349"/>
      <c r="F580" s="351"/>
      <c r="G580" s="352"/>
      <c r="H580" s="353"/>
      <c r="I580" s="348"/>
      <c r="J580" s="348"/>
      <c r="L580" s="217"/>
    </row>
    <row r="581" spans="1:15" s="279" customFormat="1" x14ac:dyDescent="0.2">
      <c r="A581" s="348"/>
      <c r="B581" s="349"/>
      <c r="C581" s="349"/>
      <c r="D581" s="350"/>
      <c r="E581" s="349"/>
      <c r="F581" s="351"/>
      <c r="G581" s="352"/>
      <c r="H581" s="353"/>
      <c r="I581" s="348">
        <v>1250909.3899999999</v>
      </c>
      <c r="J581" s="348"/>
      <c r="L581" s="217"/>
    </row>
    <row r="582" spans="1:15" s="279" customFormat="1" x14ac:dyDescent="0.2">
      <c r="A582" s="348"/>
      <c r="B582" s="349"/>
      <c r="C582" s="349"/>
      <c r="D582" s="350"/>
      <c r="E582" s="349"/>
      <c r="F582" s="351"/>
      <c r="G582" s="352"/>
      <c r="H582" s="353"/>
      <c r="I582" s="352"/>
      <c r="J582" s="352"/>
      <c r="L582" s="217"/>
    </row>
    <row r="583" spans="1:15" s="279" customFormat="1" x14ac:dyDescent="0.2">
      <c r="A583" s="348"/>
      <c r="B583" s="349"/>
      <c r="C583" s="349"/>
      <c r="D583" s="354"/>
      <c r="E583" s="349"/>
      <c r="F583" s="351"/>
      <c r="G583" s="352"/>
      <c r="H583" s="353"/>
      <c r="I583" s="355">
        <f>I581-I579</f>
        <v>-579702.17620000034</v>
      </c>
      <c r="J583" s="356" t="e">
        <f>I581-J579</f>
        <v>#REF!</v>
      </c>
      <c r="K583" s="357"/>
      <c r="L583" s="358"/>
      <c r="M583" s="359"/>
    </row>
    <row r="584" spans="1:15" s="279" customFormat="1" x14ac:dyDescent="0.2">
      <c r="A584" s="348"/>
      <c r="B584" s="349"/>
      <c r="C584" s="349"/>
      <c r="D584" s="354"/>
      <c r="E584" s="349"/>
      <c r="F584" s="351"/>
      <c r="G584" s="352"/>
      <c r="H584" s="353"/>
      <c r="I584" s="360"/>
      <c r="J584" s="352"/>
      <c r="L584" s="217"/>
    </row>
    <row r="585" spans="1:15" s="279" customFormat="1" x14ac:dyDescent="0.2">
      <c r="A585" s="348"/>
      <c r="B585" s="349"/>
      <c r="C585" s="349"/>
      <c r="D585" s="350"/>
      <c r="E585" s="349"/>
      <c r="F585" s="351"/>
      <c r="G585" s="352"/>
      <c r="H585" s="353"/>
      <c r="I585" s="348"/>
      <c r="J585" s="361"/>
      <c r="L585" s="217"/>
    </row>
    <row r="586" spans="1:15" s="279" customFormat="1" x14ac:dyDescent="0.2">
      <c r="A586" s="348"/>
      <c r="B586" s="349"/>
      <c r="C586" s="349"/>
      <c r="D586" s="350"/>
      <c r="E586" s="349"/>
      <c r="F586" s="351"/>
      <c r="G586" s="352"/>
      <c r="H586" s="353"/>
      <c r="I586" s="362">
        <f>I13+I22+I35+I66+I84+I95+I142+I149+I151+I164+I185+I197+I282+I293+I334+I363+I385+I414+I494+I497+I541+I545+I559+I576</f>
        <v>1830611.5662000002</v>
      </c>
      <c r="J586" s="362" t="e">
        <f>J13+J22+J35+J66+J84+J95+J142+J149+J151+J164+J185+J197+J282+J293+J334+J363+J385+J414+J494+J497+J541+J545+J559+J576</f>
        <v>#REF!</v>
      </c>
      <c r="L586" s="217"/>
    </row>
  </sheetData>
  <mergeCells count="19">
    <mergeCell ref="A8:F8"/>
    <mergeCell ref="A1:K4"/>
    <mergeCell ref="A5:D5"/>
    <mergeCell ref="F5:I5"/>
    <mergeCell ref="A6:F6"/>
    <mergeCell ref="A7:D7"/>
    <mergeCell ref="L11:L12"/>
    <mergeCell ref="C578:I578"/>
    <mergeCell ref="C579:G579"/>
    <mergeCell ref="A9:I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84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view="pageBreakPreview" topLeftCell="A20" zoomScale="70" zoomScaleNormal="100" zoomScaleSheetLayoutView="70" workbookViewId="0">
      <selection activeCell="B58" sqref="B58:B59"/>
    </sheetView>
  </sheetViews>
  <sheetFormatPr defaultRowHeight="12.75" x14ac:dyDescent="0.2"/>
  <cols>
    <col min="2" max="2" width="34.33203125" customWidth="1"/>
    <col min="3" max="3" width="26.1640625" customWidth="1"/>
    <col min="4" max="4" width="16" customWidth="1"/>
    <col min="5" max="6" width="18.1640625" customWidth="1"/>
    <col min="7" max="7" width="19" customWidth="1"/>
    <col min="8" max="8" width="19.1640625" customWidth="1"/>
    <col min="9" max="9" width="20.33203125" customWidth="1"/>
    <col min="10" max="10" width="18" customWidth="1"/>
    <col min="11" max="11" width="28.5" customWidth="1"/>
  </cols>
  <sheetData>
    <row r="1" spans="1:11" x14ac:dyDescent="0.2">
      <c r="A1" s="588" t="str">
        <f>'Planilha Orçamentaria'!A1:H7</f>
        <v>TERPLANC - TERRAPLENAGEM  PLANEJAMENTO CONSTRUÇÃO E SEVIÇOS  EIRELE - EPP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</row>
    <row r="2" spans="1:11" x14ac:dyDescent="0.2">
      <c r="A2" s="588"/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11" x14ac:dyDescent="0.2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</row>
    <row r="4" spans="1:11" x14ac:dyDescent="0.2">
      <c r="A4" s="588"/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5" spans="1:11" x14ac:dyDescent="0.2">
      <c r="A5" s="588"/>
      <c r="B5" s="588"/>
      <c r="C5" s="588"/>
      <c r="D5" s="588"/>
      <c r="E5" s="588"/>
      <c r="F5" s="588"/>
      <c r="G5" s="588"/>
      <c r="H5" s="588"/>
      <c r="I5" s="588"/>
      <c r="J5" s="588"/>
      <c r="K5" s="588"/>
    </row>
    <row r="6" spans="1:11" x14ac:dyDescent="0.2">
      <c r="A6" s="588"/>
      <c r="B6" s="588"/>
      <c r="C6" s="588"/>
      <c r="D6" s="588"/>
      <c r="E6" s="588"/>
      <c r="F6" s="588"/>
      <c r="G6" s="588"/>
      <c r="H6" s="588"/>
      <c r="I6" s="588"/>
      <c r="J6" s="588"/>
      <c r="K6" s="588"/>
    </row>
    <row r="7" spans="1:11" x14ac:dyDescent="0.2">
      <c r="A7" s="588"/>
      <c r="B7" s="588"/>
      <c r="C7" s="588"/>
      <c r="D7" s="588"/>
      <c r="E7" s="588"/>
      <c r="F7" s="588"/>
      <c r="G7" s="588"/>
      <c r="H7" s="588"/>
      <c r="I7" s="588"/>
      <c r="J7" s="588"/>
      <c r="K7" s="588"/>
    </row>
    <row r="8" spans="1:11" ht="15.75" customHeight="1" x14ac:dyDescent="0.25">
      <c r="A8" s="600" t="str">
        <f>'Planilha Orçamentaria'!A8</f>
        <v>PREFEITURA MUNICIPAL DE SÃO MIGUEL DO GUAMÁ</v>
      </c>
      <c r="B8" s="600"/>
      <c r="C8" s="600"/>
      <c r="D8" s="600"/>
      <c r="E8" s="600"/>
      <c r="F8" s="600"/>
      <c r="G8" s="600"/>
      <c r="H8" s="600"/>
      <c r="I8" s="600"/>
      <c r="J8" s="600"/>
      <c r="K8" s="600"/>
    </row>
    <row r="9" spans="1:11" ht="15.75" x14ac:dyDescent="0.25">
      <c r="A9" s="600" t="str">
        <f>'Planilha Orçamentaria'!A9</f>
        <v>OBRA: REFORMA E AMPLIAÇÃO</v>
      </c>
      <c r="B9" s="600"/>
      <c r="C9" s="600"/>
      <c r="D9" s="600"/>
      <c r="E9" s="600"/>
      <c r="F9" s="600"/>
      <c r="G9" s="600"/>
      <c r="H9" s="600"/>
      <c r="I9" s="600"/>
      <c r="J9" s="600"/>
      <c r="K9" s="600"/>
    </row>
    <row r="10" spans="1:11" ht="15.75" x14ac:dyDescent="0.25">
      <c r="A10" s="600" t="str">
        <f>'Planilha Orçamentaria'!A10</f>
        <v>ESCOLA:  E.M.E.F. IZAURA DOMINGAS COSTA</v>
      </c>
      <c r="B10" s="600"/>
      <c r="C10" s="600"/>
      <c r="D10" s="600"/>
      <c r="E10" s="600"/>
      <c r="F10" s="600"/>
      <c r="G10" s="600"/>
      <c r="H10" s="600"/>
      <c r="I10" s="600"/>
      <c r="J10" s="600"/>
      <c r="K10" s="600"/>
    </row>
    <row r="11" spans="1:11" ht="15.75" x14ac:dyDescent="0.25">
      <c r="A11" s="600" t="str">
        <f>'Planilha Orçamentaria'!A11</f>
        <v>LOCAL: BELA VISTA</v>
      </c>
      <c r="B11" s="600"/>
      <c r="C11" s="600"/>
      <c r="D11" s="600"/>
      <c r="E11" s="600"/>
      <c r="F11" s="600"/>
      <c r="G11" s="600"/>
      <c r="H11" s="600"/>
      <c r="I11" s="600"/>
      <c r="J11" s="600"/>
      <c r="K11" s="600"/>
    </row>
    <row r="12" spans="1:11" s="533" customFormat="1" ht="15.75" x14ac:dyDescent="0.25">
      <c r="A12" s="600" t="str">
        <f>'Planilha Orçamentaria'!A12</f>
        <v>PRAZO DE EXECUÇÃO:  120 DIAS</v>
      </c>
      <c r="B12" s="600"/>
      <c r="C12" s="600" t="s">
        <v>324</v>
      </c>
      <c r="D12" s="600"/>
      <c r="E12" s="600"/>
      <c r="F12" s="600"/>
      <c r="G12" s="600"/>
      <c r="H12" s="600"/>
      <c r="I12" s="600"/>
      <c r="J12" s="600"/>
      <c r="K12" s="600"/>
    </row>
    <row r="13" spans="1:11" ht="16.5" thickBot="1" x14ac:dyDescent="0.3">
      <c r="A13" s="600"/>
      <c r="B13" s="600"/>
      <c r="C13" s="600"/>
      <c r="D13" s="600"/>
      <c r="E13" s="600"/>
      <c r="F13" s="600"/>
      <c r="G13" s="600"/>
      <c r="H13" s="600"/>
      <c r="I13" s="600"/>
      <c r="J13" s="600"/>
      <c r="K13" s="600"/>
    </row>
    <row r="14" spans="1:11" ht="14.25" thickTop="1" thickBot="1" x14ac:dyDescent="0.25">
      <c r="A14" s="613" t="s">
        <v>364</v>
      </c>
      <c r="B14" s="614"/>
      <c r="C14" s="614"/>
      <c r="D14" s="614"/>
      <c r="E14" s="614"/>
      <c r="F14" s="614"/>
      <c r="G14" s="614"/>
      <c r="H14" s="614"/>
      <c r="I14" s="614"/>
      <c r="J14" s="614"/>
      <c r="K14" s="614"/>
    </row>
    <row r="15" spans="1:11" ht="14.25" thickTop="1" thickBot="1" x14ac:dyDescent="0.25">
      <c r="A15" s="614"/>
      <c r="B15" s="614"/>
      <c r="C15" s="614"/>
      <c r="D15" s="614"/>
      <c r="E15" s="614"/>
      <c r="F15" s="614"/>
      <c r="G15" s="614"/>
      <c r="H15" s="614"/>
      <c r="I15" s="614"/>
      <c r="J15" s="614"/>
      <c r="K15" s="614"/>
    </row>
    <row r="16" spans="1:11" ht="20.25" thickTop="1" thickBot="1" x14ac:dyDescent="0.35">
      <c r="A16" s="615" t="s">
        <v>325</v>
      </c>
      <c r="B16" s="617" t="s">
        <v>326</v>
      </c>
      <c r="C16" s="617" t="s">
        <v>327</v>
      </c>
      <c r="D16" s="619" t="s">
        <v>328</v>
      </c>
      <c r="E16" s="619"/>
      <c r="F16" s="619"/>
      <c r="G16" s="619"/>
      <c r="H16" s="619"/>
      <c r="I16" s="619"/>
      <c r="J16" s="619"/>
      <c r="K16" s="619"/>
    </row>
    <row r="17" spans="1:11" ht="20.25" thickTop="1" thickBot="1" x14ac:dyDescent="0.35">
      <c r="A17" s="616"/>
      <c r="B17" s="618"/>
      <c r="C17" s="618"/>
      <c r="D17" s="51" t="s">
        <v>329</v>
      </c>
      <c r="E17" s="51" t="s">
        <v>330</v>
      </c>
      <c r="F17" s="51" t="s">
        <v>331</v>
      </c>
      <c r="G17" s="51" t="s">
        <v>332</v>
      </c>
      <c r="H17" s="51" t="s">
        <v>333</v>
      </c>
      <c r="I17" s="51" t="s">
        <v>334</v>
      </c>
      <c r="J17" s="51" t="s">
        <v>335</v>
      </c>
      <c r="K17" s="51" t="s">
        <v>336</v>
      </c>
    </row>
    <row r="18" spans="1:11" ht="14.25" thickTop="1" thickBot="1" x14ac:dyDescent="0.25">
      <c r="A18" s="606">
        <v>1</v>
      </c>
      <c r="B18" s="608" t="s">
        <v>337</v>
      </c>
      <c r="C18" s="610">
        <f>'Planilha Orçamentaria'!H17</f>
        <v>15310.926476552075</v>
      </c>
      <c r="D18" s="52">
        <v>1</v>
      </c>
      <c r="E18" s="53"/>
      <c r="F18" s="53"/>
      <c r="G18" s="53"/>
      <c r="H18" s="53"/>
      <c r="I18" s="53"/>
      <c r="J18" s="53"/>
      <c r="K18" s="53"/>
    </row>
    <row r="19" spans="1:11" ht="16.5" thickTop="1" thickBot="1" x14ac:dyDescent="0.3">
      <c r="A19" s="607"/>
      <c r="B19" s="609"/>
      <c r="C19" s="611"/>
      <c r="D19" s="54">
        <f>C18</f>
        <v>15310.926476552075</v>
      </c>
      <c r="E19" s="55"/>
      <c r="F19" s="55"/>
      <c r="G19" s="55"/>
      <c r="H19" s="55"/>
      <c r="I19" s="55"/>
      <c r="J19" s="55"/>
      <c r="K19" s="55"/>
    </row>
    <row r="20" spans="1:11" ht="14.25" customHeight="1" thickTop="1" thickBot="1" x14ac:dyDescent="0.25">
      <c r="A20" s="606">
        <v>2</v>
      </c>
      <c r="B20" s="612" t="s">
        <v>680</v>
      </c>
      <c r="C20" s="610">
        <f>'Planilha Orçamentaria'!H24</f>
        <v>7924.6448285808547</v>
      </c>
      <c r="D20" s="56">
        <v>1</v>
      </c>
      <c r="E20" s="56"/>
      <c r="F20" s="56"/>
      <c r="G20" s="56"/>
      <c r="H20" s="56"/>
      <c r="I20" s="56"/>
      <c r="J20" s="56"/>
      <c r="K20" s="53"/>
    </row>
    <row r="21" spans="1:11" ht="14.25" customHeight="1" thickTop="1" thickBot="1" x14ac:dyDescent="0.25">
      <c r="A21" s="607"/>
      <c r="B21" s="609"/>
      <c r="C21" s="611"/>
      <c r="D21" s="57">
        <f>C20</f>
        <v>7924.6448285808547</v>
      </c>
      <c r="E21" s="58"/>
      <c r="F21" s="58"/>
      <c r="G21" s="58"/>
      <c r="H21" s="58"/>
      <c r="I21" s="58"/>
      <c r="J21" s="58"/>
      <c r="K21" s="55"/>
    </row>
    <row r="22" spans="1:11" ht="14.25" customHeight="1" thickTop="1" thickBot="1" x14ac:dyDescent="0.25">
      <c r="A22" s="606">
        <v>3</v>
      </c>
      <c r="B22" s="608" t="s">
        <v>338</v>
      </c>
      <c r="C22" s="610">
        <f>'Planilha Orçamentaria'!H37</f>
        <v>1173.8945490310443</v>
      </c>
      <c r="D22" s="59">
        <v>1</v>
      </c>
      <c r="E22" s="59"/>
      <c r="F22" s="59"/>
      <c r="G22" s="59"/>
      <c r="H22" s="59"/>
      <c r="I22" s="59"/>
      <c r="J22" s="59"/>
      <c r="K22" s="55"/>
    </row>
    <row r="23" spans="1:11" ht="14.25" customHeight="1" thickTop="1" thickBot="1" x14ac:dyDescent="0.25">
      <c r="A23" s="607"/>
      <c r="B23" s="609"/>
      <c r="C23" s="611"/>
      <c r="D23" s="60">
        <f>C22</f>
        <v>1173.8945490310443</v>
      </c>
      <c r="E23" s="58"/>
      <c r="F23" s="58"/>
      <c r="G23" s="58"/>
      <c r="H23" s="58"/>
      <c r="I23" s="58"/>
      <c r="J23" s="58"/>
      <c r="K23" s="55"/>
    </row>
    <row r="24" spans="1:11" ht="14.25" customHeight="1" thickTop="1" thickBot="1" x14ac:dyDescent="0.25">
      <c r="A24" s="606">
        <v>4</v>
      </c>
      <c r="B24" s="608" t="s">
        <v>339</v>
      </c>
      <c r="C24" s="610">
        <f>'Planilha Orçamentaria'!H40</f>
        <v>42184.025128047666</v>
      </c>
      <c r="D24" s="59"/>
      <c r="E24" s="56">
        <v>1</v>
      </c>
      <c r="F24" s="56"/>
      <c r="G24" s="56"/>
      <c r="H24" s="56"/>
      <c r="I24" s="56"/>
      <c r="J24" s="56"/>
      <c r="K24" s="56"/>
    </row>
    <row r="25" spans="1:11" ht="14.25" customHeight="1" thickTop="1" thickBot="1" x14ac:dyDescent="0.25">
      <c r="A25" s="607"/>
      <c r="B25" s="609"/>
      <c r="C25" s="611"/>
      <c r="D25" s="60"/>
      <c r="E25" s="60">
        <f>C24</f>
        <v>42184.025128047666</v>
      </c>
      <c r="F25" s="58"/>
      <c r="G25" s="58"/>
      <c r="H25" s="58"/>
      <c r="I25" s="58"/>
      <c r="J25" s="58"/>
      <c r="K25" s="58"/>
    </row>
    <row r="26" spans="1:11" ht="14.25" customHeight="1" thickTop="1" thickBot="1" x14ac:dyDescent="0.25">
      <c r="A26" s="606">
        <v>5</v>
      </c>
      <c r="B26" s="608" t="s">
        <v>340</v>
      </c>
      <c r="C26" s="610">
        <f>'Planilha Orçamentaria'!H44</f>
        <v>11058.174798279346</v>
      </c>
      <c r="D26" s="59"/>
      <c r="E26" s="56">
        <v>0.5</v>
      </c>
      <c r="F26" s="56">
        <v>0.5</v>
      </c>
      <c r="G26" s="56"/>
      <c r="H26" s="56"/>
      <c r="I26" s="56"/>
      <c r="J26" s="56"/>
      <c r="K26" s="56"/>
    </row>
    <row r="27" spans="1:11" ht="14.25" customHeight="1" thickTop="1" thickBot="1" x14ac:dyDescent="0.25">
      <c r="A27" s="607"/>
      <c r="B27" s="609"/>
      <c r="C27" s="611"/>
      <c r="D27" s="60"/>
      <c r="E27" s="61">
        <f>C26/2</f>
        <v>5529.0873991396729</v>
      </c>
      <c r="F27" s="58">
        <f>C26/2</f>
        <v>5529.0873991396729</v>
      </c>
      <c r="G27" s="58"/>
      <c r="H27" s="58"/>
      <c r="I27" s="58"/>
      <c r="J27" s="58"/>
      <c r="K27" s="58"/>
    </row>
    <row r="28" spans="1:11" ht="14.25" customHeight="1" thickTop="1" thickBot="1" x14ac:dyDescent="0.25">
      <c r="A28" s="606">
        <v>6</v>
      </c>
      <c r="B28" s="608" t="s">
        <v>341</v>
      </c>
      <c r="C28" s="610">
        <f>'Planilha Orçamentaria'!H48</f>
        <v>30171.568875414458</v>
      </c>
      <c r="D28" s="53"/>
      <c r="E28" s="53"/>
      <c r="F28" s="53">
        <v>0.4</v>
      </c>
      <c r="G28" s="53">
        <v>0.6</v>
      </c>
      <c r="H28" s="53"/>
      <c r="I28" s="53"/>
      <c r="J28" s="53"/>
      <c r="K28" s="53"/>
    </row>
    <row r="29" spans="1:11" ht="14.25" customHeight="1" thickTop="1" thickBot="1" x14ac:dyDescent="0.25">
      <c r="A29" s="607"/>
      <c r="B29" s="609"/>
      <c r="C29" s="611"/>
      <c r="D29" s="60"/>
      <c r="E29" s="60"/>
      <c r="F29" s="60">
        <f>C28*0.4</f>
        <v>12068.627550165784</v>
      </c>
      <c r="G29" s="60">
        <f>C28*0.6</f>
        <v>18102.941325248674</v>
      </c>
      <c r="H29" s="60"/>
      <c r="I29" s="60"/>
      <c r="J29" s="60"/>
      <c r="K29" s="55"/>
    </row>
    <row r="30" spans="1:11" ht="14.25" customHeight="1" thickTop="1" thickBot="1" x14ac:dyDescent="0.25">
      <c r="A30" s="606">
        <v>7</v>
      </c>
      <c r="B30" s="608" t="s">
        <v>342</v>
      </c>
      <c r="C30" s="610">
        <f>'Planilha Orçamentaria'!H51</f>
        <v>103419.17297507526</v>
      </c>
      <c r="D30" s="59"/>
      <c r="E30" s="59"/>
      <c r="F30" s="59"/>
      <c r="G30" s="59">
        <v>0.3</v>
      </c>
      <c r="H30" s="59">
        <v>0.3</v>
      </c>
      <c r="I30" s="59">
        <v>0.4</v>
      </c>
      <c r="J30" s="59"/>
      <c r="K30" s="59"/>
    </row>
    <row r="31" spans="1:11" ht="14.25" customHeight="1" thickTop="1" thickBot="1" x14ac:dyDescent="0.25">
      <c r="A31" s="607"/>
      <c r="B31" s="609"/>
      <c r="C31" s="611"/>
      <c r="D31" s="55"/>
      <c r="E31" s="60"/>
      <c r="F31" s="60"/>
      <c r="G31" s="60">
        <f>C30*G30</f>
        <v>31025.751892522574</v>
      </c>
      <c r="H31" s="60">
        <f>C30*H30</f>
        <v>31025.751892522574</v>
      </c>
      <c r="I31" s="60">
        <f>C30*I30</f>
        <v>41367.669190030108</v>
      </c>
      <c r="J31" s="60"/>
      <c r="K31" s="55"/>
    </row>
    <row r="32" spans="1:11" ht="14.25" customHeight="1" thickTop="1" thickBot="1" x14ac:dyDescent="0.25">
      <c r="A32" s="606">
        <v>8</v>
      </c>
      <c r="B32" s="608" t="s">
        <v>343</v>
      </c>
      <c r="C32" s="610">
        <f>'Planilha Orçamentaria'!H65</f>
        <v>5780.1536521413673</v>
      </c>
      <c r="D32" s="59"/>
      <c r="E32" s="62"/>
      <c r="F32" s="62"/>
      <c r="G32" s="62"/>
      <c r="H32" s="59"/>
      <c r="I32" s="62">
        <v>1</v>
      </c>
      <c r="J32" s="62"/>
      <c r="K32" s="59"/>
    </row>
    <row r="33" spans="1:11" ht="14.25" customHeight="1" thickTop="1" thickBot="1" x14ac:dyDescent="0.25">
      <c r="A33" s="607"/>
      <c r="B33" s="609"/>
      <c r="C33" s="611"/>
      <c r="D33" s="55"/>
      <c r="E33" s="60"/>
      <c r="F33" s="60"/>
      <c r="G33" s="60"/>
      <c r="H33" s="60"/>
      <c r="I33" s="60">
        <f>C32</f>
        <v>5780.1536521413673</v>
      </c>
      <c r="J33" s="60"/>
      <c r="K33" s="55"/>
    </row>
    <row r="34" spans="1:11" ht="14.25" customHeight="1" thickTop="1" thickBot="1" x14ac:dyDescent="0.25">
      <c r="A34" s="606">
        <v>9</v>
      </c>
      <c r="B34" s="608" t="s">
        <v>344</v>
      </c>
      <c r="C34" s="610">
        <f>'Planilha Orçamentaria'!H69</f>
        <v>72118.199539957917</v>
      </c>
      <c r="D34" s="59"/>
      <c r="E34" s="59"/>
      <c r="F34" s="59"/>
      <c r="G34" s="59"/>
      <c r="H34" s="59">
        <v>0.1</v>
      </c>
      <c r="I34" s="59">
        <v>0.6</v>
      </c>
      <c r="J34" s="59">
        <v>0.3</v>
      </c>
      <c r="K34" s="59"/>
    </row>
    <row r="35" spans="1:11" ht="14.25" customHeight="1" thickTop="1" thickBot="1" x14ac:dyDescent="0.25">
      <c r="A35" s="607"/>
      <c r="B35" s="609"/>
      <c r="C35" s="611"/>
      <c r="D35" s="55"/>
      <c r="E35" s="60"/>
      <c r="F35" s="60"/>
      <c r="G35" s="60"/>
      <c r="H35" s="60">
        <f>C34*0.1</f>
        <v>7211.8199539957923</v>
      </c>
      <c r="I35" s="60">
        <f>C34*0.6</f>
        <v>43270.919723974752</v>
      </c>
      <c r="J35" s="60">
        <f>C34*0.3</f>
        <v>21635.459861987376</v>
      </c>
      <c r="K35" s="60"/>
    </row>
    <row r="36" spans="1:11" ht="14.25" customHeight="1" thickTop="1" thickBot="1" x14ac:dyDescent="0.25">
      <c r="A36" s="606">
        <v>10</v>
      </c>
      <c r="B36" s="608" t="s">
        <v>87</v>
      </c>
      <c r="C36" s="610">
        <f>'Planilha Orçamentaria'!H79</f>
        <v>2866.6955747636648</v>
      </c>
      <c r="D36" s="59"/>
      <c r="E36" s="59"/>
      <c r="F36" s="59"/>
      <c r="G36" s="59"/>
      <c r="H36" s="59"/>
      <c r="I36" s="59"/>
      <c r="J36" s="59">
        <v>1</v>
      </c>
      <c r="K36" s="59"/>
    </row>
    <row r="37" spans="1:11" ht="14.25" customHeight="1" thickTop="1" thickBot="1" x14ac:dyDescent="0.25">
      <c r="A37" s="607"/>
      <c r="B37" s="609"/>
      <c r="C37" s="611"/>
      <c r="D37" s="55"/>
      <c r="E37" s="55"/>
      <c r="F37" s="55"/>
      <c r="G37" s="55"/>
      <c r="H37" s="55"/>
      <c r="I37" s="55"/>
      <c r="J37" s="55">
        <f>C36</f>
        <v>2866.6955747636648</v>
      </c>
      <c r="K37" s="60"/>
    </row>
    <row r="38" spans="1:11" ht="14.25" customHeight="1" thickTop="1" thickBot="1" x14ac:dyDescent="0.25">
      <c r="A38" s="606">
        <v>11</v>
      </c>
      <c r="B38" s="608" t="s">
        <v>345</v>
      </c>
      <c r="C38" s="610">
        <f>'Planilha Orçamentaria'!H82</f>
        <v>2565.7019613528</v>
      </c>
      <c r="D38" s="59"/>
      <c r="E38" s="59"/>
      <c r="F38" s="59"/>
      <c r="G38" s="59"/>
      <c r="H38" s="59"/>
      <c r="I38" s="59">
        <v>0.4</v>
      </c>
      <c r="J38" s="59">
        <v>0.6</v>
      </c>
      <c r="K38" s="59"/>
    </row>
    <row r="39" spans="1:11" ht="14.25" customHeight="1" thickTop="1" thickBot="1" x14ac:dyDescent="0.25">
      <c r="A39" s="607"/>
      <c r="B39" s="609"/>
      <c r="C39" s="611"/>
      <c r="D39" s="55"/>
      <c r="E39" s="60"/>
      <c r="F39" s="60"/>
      <c r="G39" s="60"/>
      <c r="H39" s="60"/>
      <c r="I39" s="60">
        <f>C38*I38</f>
        <v>1026.2807845411201</v>
      </c>
      <c r="J39" s="60">
        <f>C38*J38</f>
        <v>1539.42117681168</v>
      </c>
      <c r="K39" s="60"/>
    </row>
    <row r="40" spans="1:11" ht="14.25" customHeight="1" thickTop="1" thickBot="1" x14ac:dyDescent="0.25">
      <c r="A40" s="606">
        <v>12</v>
      </c>
      <c r="B40" s="608" t="s">
        <v>346</v>
      </c>
      <c r="C40" s="610">
        <f>'Planilha Orçamentaria'!H89</f>
        <v>62022.766251053581</v>
      </c>
      <c r="D40" s="59"/>
      <c r="E40" s="59"/>
      <c r="F40" s="59"/>
      <c r="G40" s="59"/>
      <c r="H40" s="59"/>
      <c r="I40" s="59"/>
      <c r="J40" s="59">
        <v>0.4</v>
      </c>
      <c r="K40" s="59">
        <v>0.6</v>
      </c>
    </row>
    <row r="41" spans="1:11" ht="14.25" customHeight="1" thickTop="1" thickBot="1" x14ac:dyDescent="0.25">
      <c r="A41" s="607"/>
      <c r="B41" s="609"/>
      <c r="C41" s="611"/>
      <c r="D41" s="55"/>
      <c r="E41" s="55"/>
      <c r="F41" s="55"/>
      <c r="G41" s="55"/>
      <c r="H41" s="55"/>
      <c r="I41" s="55"/>
      <c r="J41" s="55">
        <f>C40*0.4</f>
        <v>24809.106500421432</v>
      </c>
      <c r="K41" s="60">
        <f>C40*0.6</f>
        <v>37213.659750632149</v>
      </c>
    </row>
    <row r="42" spans="1:11" ht="14.25" customHeight="1" thickTop="1" thickBot="1" x14ac:dyDescent="0.25">
      <c r="A42" s="606">
        <v>13</v>
      </c>
      <c r="B42" s="608" t="s">
        <v>347</v>
      </c>
      <c r="C42" s="610">
        <f>'Planilha Orçamentaria'!H95</f>
        <v>4770.5656707749395</v>
      </c>
      <c r="D42" s="59"/>
      <c r="E42" s="59"/>
      <c r="F42" s="59"/>
      <c r="G42" s="59"/>
      <c r="H42" s="59"/>
      <c r="I42" s="59">
        <v>0.2</v>
      </c>
      <c r="J42" s="59">
        <v>0.2</v>
      </c>
      <c r="K42" s="59">
        <v>0.6</v>
      </c>
    </row>
    <row r="43" spans="1:11" ht="14.25" customHeight="1" thickTop="1" thickBot="1" x14ac:dyDescent="0.25">
      <c r="A43" s="607"/>
      <c r="B43" s="609"/>
      <c r="C43" s="611"/>
      <c r="D43" s="55"/>
      <c r="E43" s="60"/>
      <c r="F43" s="60"/>
      <c r="G43" s="60"/>
      <c r="H43" s="60"/>
      <c r="I43" s="60">
        <f>C42*I42</f>
        <v>954.11313415498796</v>
      </c>
      <c r="J43" s="60">
        <f>C42*0.2</f>
        <v>954.11313415498796</v>
      </c>
      <c r="K43" s="60">
        <f>C42*K42</f>
        <v>2862.3394024649638</v>
      </c>
    </row>
    <row r="44" spans="1:11" ht="14.25" customHeight="1" thickTop="1" thickBot="1" x14ac:dyDescent="0.25">
      <c r="A44" s="606">
        <v>14</v>
      </c>
      <c r="B44" s="608" t="s">
        <v>348</v>
      </c>
      <c r="C44" s="610">
        <f>'Planilha Orçamentaria'!H98</f>
        <v>87702.860569326294</v>
      </c>
      <c r="D44" s="59"/>
      <c r="E44" s="59"/>
      <c r="F44" s="59"/>
      <c r="G44" s="59"/>
      <c r="H44" s="59"/>
      <c r="I44" s="59">
        <v>0.5</v>
      </c>
      <c r="J44" s="59">
        <v>0.5</v>
      </c>
      <c r="K44" s="59"/>
    </row>
    <row r="45" spans="1:11" ht="14.25" customHeight="1" thickTop="1" thickBot="1" x14ac:dyDescent="0.25">
      <c r="A45" s="607"/>
      <c r="B45" s="609"/>
      <c r="C45" s="611"/>
      <c r="D45" s="55"/>
      <c r="E45" s="55"/>
      <c r="F45" s="55"/>
      <c r="G45" s="55"/>
      <c r="H45" s="55"/>
      <c r="I45" s="55">
        <f>C44*0.5</f>
        <v>43851.430284663147</v>
      </c>
      <c r="J45" s="55">
        <f>C44*0.5</f>
        <v>43851.430284663147</v>
      </c>
      <c r="K45" s="60"/>
    </row>
    <row r="46" spans="1:11" ht="14.25" customHeight="1" thickTop="1" thickBot="1" x14ac:dyDescent="0.25">
      <c r="A46" s="606">
        <v>15</v>
      </c>
      <c r="B46" s="608" t="s">
        <v>349</v>
      </c>
      <c r="C46" s="610">
        <f>'Planilha Orçamentaria'!H105</f>
        <v>16534.248285865277</v>
      </c>
      <c r="D46" s="59"/>
      <c r="E46" s="59"/>
      <c r="F46" s="59"/>
      <c r="G46" s="59"/>
      <c r="H46" s="59"/>
      <c r="I46" s="59">
        <v>0.4</v>
      </c>
      <c r="J46" s="59">
        <v>0.4</v>
      </c>
      <c r="K46" s="59">
        <v>0.2</v>
      </c>
    </row>
    <row r="47" spans="1:11" ht="14.25" customHeight="1" thickTop="1" thickBot="1" x14ac:dyDescent="0.25">
      <c r="A47" s="607"/>
      <c r="B47" s="609"/>
      <c r="C47" s="611"/>
      <c r="D47" s="55"/>
      <c r="E47" s="55"/>
      <c r="F47" s="55"/>
      <c r="G47" s="55"/>
      <c r="H47" s="55"/>
      <c r="I47" s="55">
        <f>C46*0.4</f>
        <v>6613.6993143461114</v>
      </c>
      <c r="J47" s="55">
        <f>C46*0.4</f>
        <v>6613.6993143461114</v>
      </c>
      <c r="K47" s="60">
        <f>C46*0.2</f>
        <v>3306.8496571730557</v>
      </c>
    </row>
    <row r="48" spans="1:11" ht="14.25" customHeight="1" thickTop="1" thickBot="1" x14ac:dyDescent="0.25">
      <c r="A48" s="606">
        <v>16</v>
      </c>
      <c r="B48" s="608" t="s">
        <v>350</v>
      </c>
      <c r="C48" s="610">
        <f>'Planilha Orçamentaria'!H109</f>
        <v>38732.742240953237</v>
      </c>
      <c r="D48" s="59"/>
      <c r="E48" s="59"/>
      <c r="F48" s="59"/>
      <c r="G48" s="59"/>
      <c r="H48" s="59"/>
      <c r="I48" s="59"/>
      <c r="J48" s="59"/>
      <c r="K48" s="59">
        <v>1</v>
      </c>
    </row>
    <row r="49" spans="1:11" ht="14.25" customHeight="1" thickTop="1" thickBot="1" x14ac:dyDescent="0.25">
      <c r="A49" s="607"/>
      <c r="B49" s="609"/>
      <c r="C49" s="611"/>
      <c r="D49" s="55"/>
      <c r="E49" s="55"/>
      <c r="F49" s="55"/>
      <c r="G49" s="55"/>
      <c r="H49" s="55"/>
      <c r="I49" s="55"/>
      <c r="J49" s="55"/>
      <c r="K49" s="60">
        <f>C48</f>
        <v>38732.742240953237</v>
      </c>
    </row>
    <row r="50" spans="1:11" ht="14.25" customHeight="1" thickTop="1" thickBot="1" x14ac:dyDescent="0.25">
      <c r="A50" s="606">
        <v>17</v>
      </c>
      <c r="B50" s="608" t="s">
        <v>351</v>
      </c>
      <c r="C50" s="610">
        <f>'Planilha Orçamentaria'!H119</f>
        <v>21844.875162552002</v>
      </c>
      <c r="D50" s="59"/>
      <c r="E50" s="59"/>
      <c r="F50" s="59"/>
      <c r="G50" s="59">
        <v>0.2</v>
      </c>
      <c r="H50" s="59">
        <v>0.4</v>
      </c>
      <c r="I50" s="59">
        <v>0.1</v>
      </c>
      <c r="J50" s="59">
        <v>0.2</v>
      </c>
      <c r="K50" s="59">
        <v>0.1</v>
      </c>
    </row>
    <row r="51" spans="1:11" ht="18.75" customHeight="1" thickTop="1" thickBot="1" x14ac:dyDescent="0.25">
      <c r="A51" s="607"/>
      <c r="B51" s="609"/>
      <c r="C51" s="611"/>
      <c r="D51" s="60"/>
      <c r="E51" s="60"/>
      <c r="F51" s="60"/>
      <c r="G51" s="60">
        <f>C50*0.2</f>
        <v>4368.9750325104005</v>
      </c>
      <c r="H51" s="60">
        <f>C50*0.4</f>
        <v>8737.950065020801</v>
      </c>
      <c r="I51" s="60">
        <f>C50*0.1</f>
        <v>2184.4875162552003</v>
      </c>
      <c r="J51" s="60">
        <f>C50*0.2</f>
        <v>4368.9750325104005</v>
      </c>
      <c r="K51" s="60">
        <f>C50*0.1</f>
        <v>2184.4875162552003</v>
      </c>
    </row>
    <row r="52" spans="1:11" ht="14.25" customHeight="1" thickTop="1" thickBot="1" x14ac:dyDescent="0.25">
      <c r="A52" s="606">
        <v>18</v>
      </c>
      <c r="B52" s="608" t="s">
        <v>352</v>
      </c>
      <c r="C52" s="610">
        <f>'Planilha Orçamentaria'!H130</f>
        <v>22434.547866054003</v>
      </c>
      <c r="D52" s="59"/>
      <c r="E52" s="59"/>
      <c r="F52" s="59"/>
      <c r="G52" s="59">
        <v>0.5</v>
      </c>
      <c r="H52" s="59">
        <v>0.5</v>
      </c>
      <c r="I52" s="59"/>
      <c r="J52" s="59"/>
      <c r="K52" s="59"/>
    </row>
    <row r="53" spans="1:11" ht="24" customHeight="1" thickTop="1" thickBot="1" x14ac:dyDescent="0.25">
      <c r="A53" s="607"/>
      <c r="B53" s="609"/>
      <c r="C53" s="611"/>
      <c r="D53" s="55"/>
      <c r="E53" s="60"/>
      <c r="F53" s="60"/>
      <c r="G53" s="60">
        <f>C52*0.5</f>
        <v>11217.273933027001</v>
      </c>
      <c r="H53" s="60">
        <f>C52*0.5</f>
        <v>11217.273933027001</v>
      </c>
      <c r="I53" s="60"/>
      <c r="J53" s="60"/>
      <c r="K53" s="60"/>
    </row>
    <row r="54" spans="1:11" ht="14.25" customHeight="1" thickTop="1" thickBot="1" x14ac:dyDescent="0.25">
      <c r="A54" s="606">
        <v>19</v>
      </c>
      <c r="B54" s="608" t="s">
        <v>354</v>
      </c>
      <c r="C54" s="610">
        <f>'Planilha Orçamentaria'!H142</f>
        <v>2608.1504476924802</v>
      </c>
      <c r="D54" s="59"/>
      <c r="E54" s="59"/>
      <c r="F54" s="59"/>
      <c r="G54" s="59"/>
      <c r="H54" s="59"/>
      <c r="I54" s="59"/>
      <c r="J54" s="59"/>
      <c r="K54" s="59">
        <v>1</v>
      </c>
    </row>
    <row r="55" spans="1:11" ht="21.75" customHeight="1" thickTop="1" thickBot="1" x14ac:dyDescent="0.25">
      <c r="A55" s="607"/>
      <c r="B55" s="609"/>
      <c r="C55" s="611"/>
      <c r="D55" s="55"/>
      <c r="E55" s="55"/>
      <c r="F55" s="55"/>
      <c r="G55" s="55"/>
      <c r="H55" s="55"/>
      <c r="I55" s="55"/>
      <c r="J55" s="55"/>
      <c r="K55" s="60">
        <f>C54</f>
        <v>2608.1504476924802</v>
      </c>
    </row>
    <row r="56" spans="1:11" ht="14.25" customHeight="1" thickTop="1" thickBot="1" x14ac:dyDescent="0.25">
      <c r="A56" s="606">
        <v>20</v>
      </c>
      <c r="B56" s="608" t="s">
        <v>353</v>
      </c>
      <c r="C56" s="610">
        <f>'Planilha Orçamentaria'!H147</f>
        <v>13736.601460510801</v>
      </c>
      <c r="D56" s="59"/>
      <c r="E56" s="59"/>
      <c r="F56" s="59"/>
      <c r="G56" s="59"/>
      <c r="H56" s="59"/>
      <c r="I56" s="59"/>
      <c r="J56" s="59"/>
      <c r="K56" s="59">
        <v>1</v>
      </c>
    </row>
    <row r="57" spans="1:11" ht="19.5" customHeight="1" thickTop="1" thickBot="1" x14ac:dyDescent="0.25">
      <c r="A57" s="607"/>
      <c r="B57" s="609"/>
      <c r="C57" s="611"/>
      <c r="D57" s="55"/>
      <c r="E57" s="55"/>
      <c r="F57" s="55"/>
      <c r="G57" s="55"/>
      <c r="H57" s="55"/>
      <c r="I57" s="55"/>
      <c r="J57" s="55"/>
      <c r="K57" s="60">
        <f>C56</f>
        <v>13736.601460510801</v>
      </c>
    </row>
    <row r="58" spans="1:11" ht="14.25" customHeight="1" thickTop="1" thickBot="1" x14ac:dyDescent="0.25">
      <c r="A58" s="606">
        <v>21</v>
      </c>
      <c r="B58" s="608" t="s">
        <v>359</v>
      </c>
      <c r="C58" s="610">
        <f>'Planilha Orçamentaria'!H159</f>
        <v>2248.5956588640001</v>
      </c>
      <c r="D58" s="59"/>
      <c r="E58" s="56"/>
      <c r="F58" s="56"/>
      <c r="G58" s="56"/>
      <c r="H58" s="56"/>
      <c r="I58" s="56"/>
      <c r="J58" s="56"/>
      <c r="K58" s="56">
        <v>1</v>
      </c>
    </row>
    <row r="59" spans="1:11" ht="14.25" customHeight="1" thickTop="1" thickBot="1" x14ac:dyDescent="0.25">
      <c r="A59" s="607"/>
      <c r="B59" s="609"/>
      <c r="C59" s="611"/>
      <c r="D59" s="55"/>
      <c r="E59" s="63"/>
      <c r="F59" s="63"/>
      <c r="G59" s="63"/>
      <c r="H59" s="63"/>
      <c r="I59" s="63"/>
      <c r="J59" s="63"/>
      <c r="K59" s="64">
        <f>C58</f>
        <v>2248.5956588640001</v>
      </c>
    </row>
    <row r="60" spans="1:11" ht="14.25" customHeight="1" thickTop="1" thickBot="1" x14ac:dyDescent="0.25">
      <c r="A60" s="606">
        <v>22</v>
      </c>
      <c r="B60" s="608" t="s">
        <v>361</v>
      </c>
      <c r="C60" s="610">
        <f>'Planilha Orçamentaria'!H162</f>
        <v>8629.729826968638</v>
      </c>
      <c r="D60" s="59"/>
      <c r="E60" s="59"/>
      <c r="F60" s="59"/>
      <c r="G60" s="59"/>
      <c r="H60" s="59"/>
      <c r="I60" s="59"/>
      <c r="J60" s="59"/>
      <c r="K60" s="62">
        <v>1</v>
      </c>
    </row>
    <row r="61" spans="1:11" ht="14.25" customHeight="1" thickTop="1" thickBot="1" x14ac:dyDescent="0.25">
      <c r="A61" s="607"/>
      <c r="B61" s="609"/>
      <c r="C61" s="611"/>
      <c r="D61" s="55"/>
      <c r="E61" s="63"/>
      <c r="F61" s="63"/>
      <c r="G61" s="63"/>
      <c r="H61" s="63"/>
      <c r="I61" s="63"/>
      <c r="J61" s="63"/>
      <c r="K61" s="64">
        <f>C60</f>
        <v>8629.729826968638</v>
      </c>
    </row>
    <row r="62" spans="1:11" ht="14.25" customHeight="1" thickTop="1" thickBot="1" x14ac:dyDescent="0.25">
      <c r="A62" s="606">
        <v>23</v>
      </c>
      <c r="B62" s="608" t="s">
        <v>360</v>
      </c>
      <c r="C62" s="610">
        <f>'Planilha Orçamentaria'!H165</f>
        <v>9161.8468602880002</v>
      </c>
      <c r="D62" s="59"/>
      <c r="E62" s="59"/>
      <c r="F62" s="59"/>
      <c r="G62" s="59"/>
      <c r="H62" s="59"/>
      <c r="I62" s="59">
        <v>0.5</v>
      </c>
      <c r="J62" s="59">
        <v>0.5</v>
      </c>
      <c r="K62" s="62"/>
    </row>
    <row r="63" spans="1:11" ht="14.25" customHeight="1" thickTop="1" thickBot="1" x14ac:dyDescent="0.25">
      <c r="A63" s="607"/>
      <c r="B63" s="609"/>
      <c r="C63" s="611"/>
      <c r="D63" s="55"/>
      <c r="E63" s="63"/>
      <c r="F63" s="63"/>
      <c r="G63" s="63"/>
      <c r="H63" s="63"/>
      <c r="I63" s="63">
        <f>C62/2</f>
        <v>4580.9234301440001</v>
      </c>
      <c r="J63" s="63">
        <f>C62/2</f>
        <v>4580.9234301440001</v>
      </c>
      <c r="K63" s="64"/>
    </row>
    <row r="64" spans="1:11" ht="14.25" customHeight="1" thickTop="1" thickBot="1" x14ac:dyDescent="0.25">
      <c r="A64" s="606">
        <v>24</v>
      </c>
      <c r="B64" s="608" t="s">
        <v>92</v>
      </c>
      <c r="C64" s="610">
        <f>'Planilha Orçamentaria'!H168</f>
        <v>5706.4439669951998</v>
      </c>
      <c r="D64" s="59"/>
      <c r="E64" s="59"/>
      <c r="F64" s="59"/>
      <c r="G64" s="59"/>
      <c r="H64" s="59"/>
      <c r="I64" s="59"/>
      <c r="J64" s="59"/>
      <c r="K64" s="62">
        <v>1</v>
      </c>
    </row>
    <row r="65" spans="1:11" ht="14.25" customHeight="1" thickTop="1" thickBot="1" x14ac:dyDescent="0.25">
      <c r="A65" s="607"/>
      <c r="B65" s="609"/>
      <c r="C65" s="611"/>
      <c r="D65" s="55"/>
      <c r="E65" s="63"/>
      <c r="F65" s="63"/>
      <c r="G65" s="63"/>
      <c r="H65" s="63"/>
      <c r="I65" s="63"/>
      <c r="J65" s="63"/>
      <c r="K65" s="68">
        <f>C64</f>
        <v>5706.4439669951998</v>
      </c>
    </row>
    <row r="66" spans="1:11" ht="14.25" customHeight="1" thickTop="1" thickBot="1" x14ac:dyDescent="0.25">
      <c r="A66" s="606">
        <v>25</v>
      </c>
      <c r="B66" s="608" t="s">
        <v>355</v>
      </c>
      <c r="C66" s="610">
        <f>'Planilha Orçamentaria'!H171</f>
        <v>26455.909756626534</v>
      </c>
      <c r="D66" s="59"/>
      <c r="E66" s="59"/>
      <c r="F66" s="59"/>
      <c r="G66" s="59"/>
      <c r="H66" s="59"/>
      <c r="I66" s="59"/>
      <c r="J66" s="59"/>
      <c r="K66" s="62"/>
    </row>
    <row r="67" spans="1:11" ht="14.25" customHeight="1" thickTop="1" thickBot="1" x14ac:dyDescent="0.25">
      <c r="A67" s="607"/>
      <c r="B67" s="609"/>
      <c r="C67" s="611"/>
      <c r="D67" s="55"/>
      <c r="E67" s="63"/>
      <c r="F67" s="63"/>
      <c r="G67" s="63"/>
      <c r="H67" s="63"/>
      <c r="I67" s="63">
        <f>C66/2</f>
        <v>13227.954878313267</v>
      </c>
      <c r="J67" s="63">
        <f>C66/2</f>
        <v>13227.954878313267</v>
      </c>
      <c r="K67" s="64"/>
    </row>
    <row r="68" spans="1:11" ht="14.25" customHeight="1" thickTop="1" thickBot="1" x14ac:dyDescent="0.25">
      <c r="A68" s="606">
        <v>26</v>
      </c>
      <c r="B68" s="608" t="s">
        <v>356</v>
      </c>
      <c r="C68" s="610">
        <f>'Planilha Orçamentaria'!H175</f>
        <v>5169.9139473093965</v>
      </c>
      <c r="D68" s="59"/>
      <c r="E68" s="59"/>
      <c r="F68" s="59"/>
      <c r="G68" s="59"/>
      <c r="H68" s="59"/>
      <c r="I68" s="59"/>
      <c r="J68" s="59"/>
      <c r="K68" s="59">
        <v>1</v>
      </c>
    </row>
    <row r="69" spans="1:11" ht="14.25" customHeight="1" thickTop="1" thickBot="1" x14ac:dyDescent="0.25">
      <c r="A69" s="607"/>
      <c r="B69" s="609"/>
      <c r="C69" s="611"/>
      <c r="D69" s="55"/>
      <c r="E69" s="55"/>
      <c r="F69" s="55"/>
      <c r="G69" s="55"/>
      <c r="H69" s="55"/>
      <c r="I69" s="55"/>
      <c r="J69" s="55"/>
      <c r="K69" s="60">
        <f>C68</f>
        <v>5169.9139473093965</v>
      </c>
    </row>
    <row r="70" spans="1:11" ht="20.25" thickTop="1" thickBot="1" x14ac:dyDescent="0.35">
      <c r="A70" s="601" t="s">
        <v>357</v>
      </c>
      <c r="B70" s="602"/>
      <c r="C70" s="603"/>
      <c r="D70" s="65">
        <f>D69+D61+D59+D57+D55+D53+D51+D49+D47+D45+D43+D41+D39+D37+D35+D33+D31+D29+D27+D25+D23+D21+D19+D63+D65+D67</f>
        <v>24409.465854163973</v>
      </c>
      <c r="E70" s="65">
        <f t="shared" ref="E70:K70" si="0">E69+E61+E59+E57+E55+E53+E51+E49+E47+E45+E43+E41+E39+E37+E35+E33+E31+E29+E27+E25+E23+E21+E19+E63+E65+E67</f>
        <v>47713.112527187339</v>
      </c>
      <c r="F70" s="65">
        <f t="shared" si="0"/>
        <v>17597.714949305457</v>
      </c>
      <c r="G70" s="65">
        <f t="shared" si="0"/>
        <v>64714.942183308653</v>
      </c>
      <c r="H70" s="65">
        <f t="shared" si="0"/>
        <v>58192.795844566172</v>
      </c>
      <c r="I70" s="65">
        <f t="shared" si="0"/>
        <v>162857.63190856407</v>
      </c>
      <c r="J70" s="65">
        <f t="shared" si="0"/>
        <v>124447.77918811607</v>
      </c>
      <c r="K70" s="65">
        <f t="shared" si="0"/>
        <v>122399.5138758191</v>
      </c>
    </row>
    <row r="71" spans="1:11" ht="29.25" thickTop="1" thickBot="1" x14ac:dyDescent="0.25">
      <c r="A71" s="604" t="s">
        <v>358</v>
      </c>
      <c r="B71" s="605"/>
      <c r="C71" s="605"/>
      <c r="D71" s="605"/>
      <c r="E71" s="605"/>
      <c r="F71" s="66"/>
      <c r="G71" s="66"/>
      <c r="H71" s="66"/>
      <c r="I71" s="66"/>
      <c r="J71" s="66"/>
      <c r="K71" s="67">
        <f>SUM(D70:K70)</f>
        <v>622332.95633103093</v>
      </c>
    </row>
    <row r="72" spans="1:11" ht="13.5" thickTop="1" x14ac:dyDescent="0.2"/>
  </sheetData>
  <mergeCells count="92">
    <mergeCell ref="A18:A19"/>
    <mergeCell ref="B18:B19"/>
    <mergeCell ref="C18:C19"/>
    <mergeCell ref="A14:K15"/>
    <mergeCell ref="A16:A17"/>
    <mergeCell ref="B16:B17"/>
    <mergeCell ref="C16:C17"/>
    <mergeCell ref="D16:K16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26:A27"/>
    <mergeCell ref="B26:B27"/>
    <mergeCell ref="C26:C27"/>
    <mergeCell ref="A28:A29"/>
    <mergeCell ref="B28:B29"/>
    <mergeCell ref="C28:C29"/>
    <mergeCell ref="A30:A31"/>
    <mergeCell ref="B30:B31"/>
    <mergeCell ref="C30:C31"/>
    <mergeCell ref="A32:A33"/>
    <mergeCell ref="B32:B33"/>
    <mergeCell ref="C32:C33"/>
    <mergeCell ref="A34:A35"/>
    <mergeCell ref="B34:B35"/>
    <mergeCell ref="C34:C35"/>
    <mergeCell ref="A36:A37"/>
    <mergeCell ref="B36:B37"/>
    <mergeCell ref="C36:C37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8:A69"/>
    <mergeCell ref="B68:B69"/>
    <mergeCell ref="C68:C69"/>
    <mergeCell ref="C64:C65"/>
    <mergeCell ref="A70:C70"/>
    <mergeCell ref="A71:E71"/>
    <mergeCell ref="A62:A63"/>
    <mergeCell ref="B62:B63"/>
    <mergeCell ref="C62:C63"/>
    <mergeCell ref="A66:A67"/>
    <mergeCell ref="B66:B67"/>
    <mergeCell ref="C66:C67"/>
    <mergeCell ref="A64:A65"/>
    <mergeCell ref="B64:B65"/>
    <mergeCell ref="A12:K12"/>
    <mergeCell ref="A13:K13"/>
    <mergeCell ref="A1:K7"/>
    <mergeCell ref="A8:K8"/>
    <mergeCell ref="A9:K9"/>
    <mergeCell ref="A10:K10"/>
    <mergeCell ref="A11:K11"/>
  </mergeCells>
  <pageMargins left="0.51181102362204722" right="0.51181102362204722" top="0.78740157480314965" bottom="0.78740157480314965" header="0.31496062992125984" footer="0.31496062992125984"/>
  <pageSetup paperSize="9"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view="pageBreakPreview" zoomScale="110" zoomScaleNormal="100" zoomScaleSheetLayoutView="110" workbookViewId="0">
      <selection activeCell="B58" sqref="B58"/>
    </sheetView>
  </sheetViews>
  <sheetFormatPr defaultRowHeight="12.75" x14ac:dyDescent="0.2"/>
  <cols>
    <col min="1" max="1" width="10.1640625" style="83" customWidth="1"/>
    <col min="2" max="2" width="69" style="83" customWidth="1"/>
    <col min="3" max="3" width="17.6640625" style="83" bestFit="1" customWidth="1"/>
    <col min="4" max="4" width="10.1640625" style="83" customWidth="1"/>
    <col min="5" max="11" width="9.33203125" style="83"/>
    <col min="12" max="12" width="22.6640625" style="83" bestFit="1" customWidth="1"/>
    <col min="13" max="256" width="9.33203125" style="83"/>
    <col min="257" max="257" width="10.1640625" style="83" customWidth="1"/>
    <col min="258" max="258" width="69" style="83" customWidth="1"/>
    <col min="259" max="259" width="16.6640625" style="83" bestFit="1" customWidth="1"/>
    <col min="260" max="260" width="10.1640625" style="83" customWidth="1"/>
    <col min="261" max="512" width="9.33203125" style="83"/>
    <col min="513" max="513" width="10.1640625" style="83" customWidth="1"/>
    <col min="514" max="514" width="69" style="83" customWidth="1"/>
    <col min="515" max="515" width="16.6640625" style="83" bestFit="1" customWidth="1"/>
    <col min="516" max="516" width="10.1640625" style="83" customWidth="1"/>
    <col min="517" max="768" width="9.33203125" style="83"/>
    <col min="769" max="769" width="10.1640625" style="83" customWidth="1"/>
    <col min="770" max="770" width="69" style="83" customWidth="1"/>
    <col min="771" max="771" width="16.6640625" style="83" bestFit="1" customWidth="1"/>
    <col min="772" max="772" width="10.1640625" style="83" customWidth="1"/>
    <col min="773" max="1024" width="9.33203125" style="83"/>
    <col min="1025" max="1025" width="10.1640625" style="83" customWidth="1"/>
    <col min="1026" max="1026" width="69" style="83" customWidth="1"/>
    <col min="1027" max="1027" width="16.6640625" style="83" bestFit="1" customWidth="1"/>
    <col min="1028" max="1028" width="10.1640625" style="83" customWidth="1"/>
    <col min="1029" max="1280" width="9.33203125" style="83"/>
    <col min="1281" max="1281" width="10.1640625" style="83" customWidth="1"/>
    <col min="1282" max="1282" width="69" style="83" customWidth="1"/>
    <col min="1283" max="1283" width="16.6640625" style="83" bestFit="1" customWidth="1"/>
    <col min="1284" max="1284" width="10.1640625" style="83" customWidth="1"/>
    <col min="1285" max="1536" width="9.33203125" style="83"/>
    <col min="1537" max="1537" width="10.1640625" style="83" customWidth="1"/>
    <col min="1538" max="1538" width="69" style="83" customWidth="1"/>
    <col min="1539" max="1539" width="16.6640625" style="83" bestFit="1" customWidth="1"/>
    <col min="1540" max="1540" width="10.1640625" style="83" customWidth="1"/>
    <col min="1541" max="1792" width="9.33203125" style="83"/>
    <col min="1793" max="1793" width="10.1640625" style="83" customWidth="1"/>
    <col min="1794" max="1794" width="69" style="83" customWidth="1"/>
    <col min="1795" max="1795" width="16.6640625" style="83" bestFit="1" customWidth="1"/>
    <col min="1796" max="1796" width="10.1640625" style="83" customWidth="1"/>
    <col min="1797" max="2048" width="9.33203125" style="83"/>
    <col min="2049" max="2049" width="10.1640625" style="83" customWidth="1"/>
    <col min="2050" max="2050" width="69" style="83" customWidth="1"/>
    <col min="2051" max="2051" width="16.6640625" style="83" bestFit="1" customWidth="1"/>
    <col min="2052" max="2052" width="10.1640625" style="83" customWidth="1"/>
    <col min="2053" max="2304" width="9.33203125" style="83"/>
    <col min="2305" max="2305" width="10.1640625" style="83" customWidth="1"/>
    <col min="2306" max="2306" width="69" style="83" customWidth="1"/>
    <col min="2307" max="2307" width="16.6640625" style="83" bestFit="1" customWidth="1"/>
    <col min="2308" max="2308" width="10.1640625" style="83" customWidth="1"/>
    <col min="2309" max="2560" width="9.33203125" style="83"/>
    <col min="2561" max="2561" width="10.1640625" style="83" customWidth="1"/>
    <col min="2562" max="2562" width="69" style="83" customWidth="1"/>
    <col min="2563" max="2563" width="16.6640625" style="83" bestFit="1" customWidth="1"/>
    <col min="2564" max="2564" width="10.1640625" style="83" customWidth="1"/>
    <col min="2565" max="2816" width="9.33203125" style="83"/>
    <col min="2817" max="2817" width="10.1640625" style="83" customWidth="1"/>
    <col min="2818" max="2818" width="69" style="83" customWidth="1"/>
    <col min="2819" max="2819" width="16.6640625" style="83" bestFit="1" customWidth="1"/>
    <col min="2820" max="2820" width="10.1640625" style="83" customWidth="1"/>
    <col min="2821" max="3072" width="9.33203125" style="83"/>
    <col min="3073" max="3073" width="10.1640625" style="83" customWidth="1"/>
    <col min="3074" max="3074" width="69" style="83" customWidth="1"/>
    <col min="3075" max="3075" width="16.6640625" style="83" bestFit="1" customWidth="1"/>
    <col min="3076" max="3076" width="10.1640625" style="83" customWidth="1"/>
    <col min="3077" max="3328" width="9.33203125" style="83"/>
    <col min="3329" max="3329" width="10.1640625" style="83" customWidth="1"/>
    <col min="3330" max="3330" width="69" style="83" customWidth="1"/>
    <col min="3331" max="3331" width="16.6640625" style="83" bestFit="1" customWidth="1"/>
    <col min="3332" max="3332" width="10.1640625" style="83" customWidth="1"/>
    <col min="3333" max="3584" width="9.33203125" style="83"/>
    <col min="3585" max="3585" width="10.1640625" style="83" customWidth="1"/>
    <col min="3586" max="3586" width="69" style="83" customWidth="1"/>
    <col min="3587" max="3587" width="16.6640625" style="83" bestFit="1" customWidth="1"/>
    <col min="3588" max="3588" width="10.1640625" style="83" customWidth="1"/>
    <col min="3589" max="3840" width="9.33203125" style="83"/>
    <col min="3841" max="3841" width="10.1640625" style="83" customWidth="1"/>
    <col min="3842" max="3842" width="69" style="83" customWidth="1"/>
    <col min="3843" max="3843" width="16.6640625" style="83" bestFit="1" customWidth="1"/>
    <col min="3844" max="3844" width="10.1640625" style="83" customWidth="1"/>
    <col min="3845" max="4096" width="9.33203125" style="83"/>
    <col min="4097" max="4097" width="10.1640625" style="83" customWidth="1"/>
    <col min="4098" max="4098" width="69" style="83" customWidth="1"/>
    <col min="4099" max="4099" width="16.6640625" style="83" bestFit="1" customWidth="1"/>
    <col min="4100" max="4100" width="10.1640625" style="83" customWidth="1"/>
    <col min="4101" max="4352" width="9.33203125" style="83"/>
    <col min="4353" max="4353" width="10.1640625" style="83" customWidth="1"/>
    <col min="4354" max="4354" width="69" style="83" customWidth="1"/>
    <col min="4355" max="4355" width="16.6640625" style="83" bestFit="1" customWidth="1"/>
    <col min="4356" max="4356" width="10.1640625" style="83" customWidth="1"/>
    <col min="4357" max="4608" width="9.33203125" style="83"/>
    <col min="4609" max="4609" width="10.1640625" style="83" customWidth="1"/>
    <col min="4610" max="4610" width="69" style="83" customWidth="1"/>
    <col min="4611" max="4611" width="16.6640625" style="83" bestFit="1" customWidth="1"/>
    <col min="4612" max="4612" width="10.1640625" style="83" customWidth="1"/>
    <col min="4613" max="4864" width="9.33203125" style="83"/>
    <col min="4865" max="4865" width="10.1640625" style="83" customWidth="1"/>
    <col min="4866" max="4866" width="69" style="83" customWidth="1"/>
    <col min="4867" max="4867" width="16.6640625" style="83" bestFit="1" customWidth="1"/>
    <col min="4868" max="4868" width="10.1640625" style="83" customWidth="1"/>
    <col min="4869" max="5120" width="9.33203125" style="83"/>
    <col min="5121" max="5121" width="10.1640625" style="83" customWidth="1"/>
    <col min="5122" max="5122" width="69" style="83" customWidth="1"/>
    <col min="5123" max="5123" width="16.6640625" style="83" bestFit="1" customWidth="1"/>
    <col min="5124" max="5124" width="10.1640625" style="83" customWidth="1"/>
    <col min="5125" max="5376" width="9.33203125" style="83"/>
    <col min="5377" max="5377" width="10.1640625" style="83" customWidth="1"/>
    <col min="5378" max="5378" width="69" style="83" customWidth="1"/>
    <col min="5379" max="5379" width="16.6640625" style="83" bestFit="1" customWidth="1"/>
    <col min="5380" max="5380" width="10.1640625" style="83" customWidth="1"/>
    <col min="5381" max="5632" width="9.33203125" style="83"/>
    <col min="5633" max="5633" width="10.1640625" style="83" customWidth="1"/>
    <col min="5634" max="5634" width="69" style="83" customWidth="1"/>
    <col min="5635" max="5635" width="16.6640625" style="83" bestFit="1" customWidth="1"/>
    <col min="5636" max="5636" width="10.1640625" style="83" customWidth="1"/>
    <col min="5637" max="5888" width="9.33203125" style="83"/>
    <col min="5889" max="5889" width="10.1640625" style="83" customWidth="1"/>
    <col min="5890" max="5890" width="69" style="83" customWidth="1"/>
    <col min="5891" max="5891" width="16.6640625" style="83" bestFit="1" customWidth="1"/>
    <col min="5892" max="5892" width="10.1640625" style="83" customWidth="1"/>
    <col min="5893" max="6144" width="9.33203125" style="83"/>
    <col min="6145" max="6145" width="10.1640625" style="83" customWidth="1"/>
    <col min="6146" max="6146" width="69" style="83" customWidth="1"/>
    <col min="6147" max="6147" width="16.6640625" style="83" bestFit="1" customWidth="1"/>
    <col min="6148" max="6148" width="10.1640625" style="83" customWidth="1"/>
    <col min="6149" max="6400" width="9.33203125" style="83"/>
    <col min="6401" max="6401" width="10.1640625" style="83" customWidth="1"/>
    <col min="6402" max="6402" width="69" style="83" customWidth="1"/>
    <col min="6403" max="6403" width="16.6640625" style="83" bestFit="1" customWidth="1"/>
    <col min="6404" max="6404" width="10.1640625" style="83" customWidth="1"/>
    <col min="6405" max="6656" width="9.33203125" style="83"/>
    <col min="6657" max="6657" width="10.1640625" style="83" customWidth="1"/>
    <col min="6658" max="6658" width="69" style="83" customWidth="1"/>
    <col min="6659" max="6659" width="16.6640625" style="83" bestFit="1" customWidth="1"/>
    <col min="6660" max="6660" width="10.1640625" style="83" customWidth="1"/>
    <col min="6661" max="6912" width="9.33203125" style="83"/>
    <col min="6913" max="6913" width="10.1640625" style="83" customWidth="1"/>
    <col min="6914" max="6914" width="69" style="83" customWidth="1"/>
    <col min="6915" max="6915" width="16.6640625" style="83" bestFit="1" customWidth="1"/>
    <col min="6916" max="6916" width="10.1640625" style="83" customWidth="1"/>
    <col min="6917" max="7168" width="9.33203125" style="83"/>
    <col min="7169" max="7169" width="10.1640625" style="83" customWidth="1"/>
    <col min="7170" max="7170" width="69" style="83" customWidth="1"/>
    <col min="7171" max="7171" width="16.6640625" style="83" bestFit="1" customWidth="1"/>
    <col min="7172" max="7172" width="10.1640625" style="83" customWidth="1"/>
    <col min="7173" max="7424" width="9.33203125" style="83"/>
    <col min="7425" max="7425" width="10.1640625" style="83" customWidth="1"/>
    <col min="7426" max="7426" width="69" style="83" customWidth="1"/>
    <col min="7427" max="7427" width="16.6640625" style="83" bestFit="1" customWidth="1"/>
    <col min="7428" max="7428" width="10.1640625" style="83" customWidth="1"/>
    <col min="7429" max="7680" width="9.33203125" style="83"/>
    <col min="7681" max="7681" width="10.1640625" style="83" customWidth="1"/>
    <col min="7682" max="7682" width="69" style="83" customWidth="1"/>
    <col min="7683" max="7683" width="16.6640625" style="83" bestFit="1" customWidth="1"/>
    <col min="7684" max="7684" width="10.1640625" style="83" customWidth="1"/>
    <col min="7685" max="7936" width="9.33203125" style="83"/>
    <col min="7937" max="7937" width="10.1640625" style="83" customWidth="1"/>
    <col min="7938" max="7938" width="69" style="83" customWidth="1"/>
    <col min="7939" max="7939" width="16.6640625" style="83" bestFit="1" customWidth="1"/>
    <col min="7940" max="7940" width="10.1640625" style="83" customWidth="1"/>
    <col min="7941" max="8192" width="9.33203125" style="83"/>
    <col min="8193" max="8193" width="10.1640625" style="83" customWidth="1"/>
    <col min="8194" max="8194" width="69" style="83" customWidth="1"/>
    <col min="8195" max="8195" width="16.6640625" style="83" bestFit="1" customWidth="1"/>
    <col min="8196" max="8196" width="10.1640625" style="83" customWidth="1"/>
    <col min="8197" max="8448" width="9.33203125" style="83"/>
    <col min="8449" max="8449" width="10.1640625" style="83" customWidth="1"/>
    <col min="8450" max="8450" width="69" style="83" customWidth="1"/>
    <col min="8451" max="8451" width="16.6640625" style="83" bestFit="1" customWidth="1"/>
    <col min="8452" max="8452" width="10.1640625" style="83" customWidth="1"/>
    <col min="8453" max="8704" width="9.33203125" style="83"/>
    <col min="8705" max="8705" width="10.1640625" style="83" customWidth="1"/>
    <col min="8706" max="8706" width="69" style="83" customWidth="1"/>
    <col min="8707" max="8707" width="16.6640625" style="83" bestFit="1" customWidth="1"/>
    <col min="8708" max="8708" width="10.1640625" style="83" customWidth="1"/>
    <col min="8709" max="8960" width="9.33203125" style="83"/>
    <col min="8961" max="8961" width="10.1640625" style="83" customWidth="1"/>
    <col min="8962" max="8962" width="69" style="83" customWidth="1"/>
    <col min="8963" max="8963" width="16.6640625" style="83" bestFit="1" customWidth="1"/>
    <col min="8964" max="8964" width="10.1640625" style="83" customWidth="1"/>
    <col min="8965" max="9216" width="9.33203125" style="83"/>
    <col min="9217" max="9217" width="10.1640625" style="83" customWidth="1"/>
    <col min="9218" max="9218" width="69" style="83" customWidth="1"/>
    <col min="9219" max="9219" width="16.6640625" style="83" bestFit="1" customWidth="1"/>
    <col min="9220" max="9220" width="10.1640625" style="83" customWidth="1"/>
    <col min="9221" max="9472" width="9.33203125" style="83"/>
    <col min="9473" max="9473" width="10.1640625" style="83" customWidth="1"/>
    <col min="9474" max="9474" width="69" style="83" customWidth="1"/>
    <col min="9475" max="9475" width="16.6640625" style="83" bestFit="1" customWidth="1"/>
    <col min="9476" max="9476" width="10.1640625" style="83" customWidth="1"/>
    <col min="9477" max="9728" width="9.33203125" style="83"/>
    <col min="9729" max="9729" width="10.1640625" style="83" customWidth="1"/>
    <col min="9730" max="9730" width="69" style="83" customWidth="1"/>
    <col min="9731" max="9731" width="16.6640625" style="83" bestFit="1" customWidth="1"/>
    <col min="9732" max="9732" width="10.1640625" style="83" customWidth="1"/>
    <col min="9733" max="9984" width="9.33203125" style="83"/>
    <col min="9985" max="9985" width="10.1640625" style="83" customWidth="1"/>
    <col min="9986" max="9986" width="69" style="83" customWidth="1"/>
    <col min="9987" max="9987" width="16.6640625" style="83" bestFit="1" customWidth="1"/>
    <col min="9988" max="9988" width="10.1640625" style="83" customWidth="1"/>
    <col min="9989" max="10240" width="9.33203125" style="83"/>
    <col min="10241" max="10241" width="10.1640625" style="83" customWidth="1"/>
    <col min="10242" max="10242" width="69" style="83" customWidth="1"/>
    <col min="10243" max="10243" width="16.6640625" style="83" bestFit="1" customWidth="1"/>
    <col min="10244" max="10244" width="10.1640625" style="83" customWidth="1"/>
    <col min="10245" max="10496" width="9.33203125" style="83"/>
    <col min="10497" max="10497" width="10.1640625" style="83" customWidth="1"/>
    <col min="10498" max="10498" width="69" style="83" customWidth="1"/>
    <col min="10499" max="10499" width="16.6640625" style="83" bestFit="1" customWidth="1"/>
    <col min="10500" max="10500" width="10.1640625" style="83" customWidth="1"/>
    <col min="10501" max="10752" width="9.33203125" style="83"/>
    <col min="10753" max="10753" width="10.1640625" style="83" customWidth="1"/>
    <col min="10754" max="10754" width="69" style="83" customWidth="1"/>
    <col min="10755" max="10755" width="16.6640625" style="83" bestFit="1" customWidth="1"/>
    <col min="10756" max="10756" width="10.1640625" style="83" customWidth="1"/>
    <col min="10757" max="11008" width="9.33203125" style="83"/>
    <col min="11009" max="11009" width="10.1640625" style="83" customWidth="1"/>
    <col min="11010" max="11010" width="69" style="83" customWidth="1"/>
    <col min="11011" max="11011" width="16.6640625" style="83" bestFit="1" customWidth="1"/>
    <col min="11012" max="11012" width="10.1640625" style="83" customWidth="1"/>
    <col min="11013" max="11264" width="9.33203125" style="83"/>
    <col min="11265" max="11265" width="10.1640625" style="83" customWidth="1"/>
    <col min="11266" max="11266" width="69" style="83" customWidth="1"/>
    <col min="11267" max="11267" width="16.6640625" style="83" bestFit="1" customWidth="1"/>
    <col min="11268" max="11268" width="10.1640625" style="83" customWidth="1"/>
    <col min="11269" max="11520" width="9.33203125" style="83"/>
    <col min="11521" max="11521" width="10.1640625" style="83" customWidth="1"/>
    <col min="11522" max="11522" width="69" style="83" customWidth="1"/>
    <col min="11523" max="11523" width="16.6640625" style="83" bestFit="1" customWidth="1"/>
    <col min="11524" max="11524" width="10.1640625" style="83" customWidth="1"/>
    <col min="11525" max="11776" width="9.33203125" style="83"/>
    <col min="11777" max="11777" width="10.1640625" style="83" customWidth="1"/>
    <col min="11778" max="11778" width="69" style="83" customWidth="1"/>
    <col min="11779" max="11779" width="16.6640625" style="83" bestFit="1" customWidth="1"/>
    <col min="11780" max="11780" width="10.1640625" style="83" customWidth="1"/>
    <col min="11781" max="12032" width="9.33203125" style="83"/>
    <col min="12033" max="12033" width="10.1640625" style="83" customWidth="1"/>
    <col min="12034" max="12034" width="69" style="83" customWidth="1"/>
    <col min="12035" max="12035" width="16.6640625" style="83" bestFit="1" customWidth="1"/>
    <col min="12036" max="12036" width="10.1640625" style="83" customWidth="1"/>
    <col min="12037" max="12288" width="9.33203125" style="83"/>
    <col min="12289" max="12289" width="10.1640625" style="83" customWidth="1"/>
    <col min="12290" max="12290" width="69" style="83" customWidth="1"/>
    <col min="12291" max="12291" width="16.6640625" style="83" bestFit="1" customWidth="1"/>
    <col min="12292" max="12292" width="10.1640625" style="83" customWidth="1"/>
    <col min="12293" max="12544" width="9.33203125" style="83"/>
    <col min="12545" max="12545" width="10.1640625" style="83" customWidth="1"/>
    <col min="12546" max="12546" width="69" style="83" customWidth="1"/>
    <col min="12547" max="12547" width="16.6640625" style="83" bestFit="1" customWidth="1"/>
    <col min="12548" max="12548" width="10.1640625" style="83" customWidth="1"/>
    <col min="12549" max="12800" width="9.33203125" style="83"/>
    <col min="12801" max="12801" width="10.1640625" style="83" customWidth="1"/>
    <col min="12802" max="12802" width="69" style="83" customWidth="1"/>
    <col min="12803" max="12803" width="16.6640625" style="83" bestFit="1" customWidth="1"/>
    <col min="12804" max="12804" width="10.1640625" style="83" customWidth="1"/>
    <col min="12805" max="13056" width="9.33203125" style="83"/>
    <col min="13057" max="13057" width="10.1640625" style="83" customWidth="1"/>
    <col min="13058" max="13058" width="69" style="83" customWidth="1"/>
    <col min="13059" max="13059" width="16.6640625" style="83" bestFit="1" customWidth="1"/>
    <col min="13060" max="13060" width="10.1640625" style="83" customWidth="1"/>
    <col min="13061" max="13312" width="9.33203125" style="83"/>
    <col min="13313" max="13313" width="10.1640625" style="83" customWidth="1"/>
    <col min="13314" max="13314" width="69" style="83" customWidth="1"/>
    <col min="13315" max="13315" width="16.6640625" style="83" bestFit="1" customWidth="1"/>
    <col min="13316" max="13316" width="10.1640625" style="83" customWidth="1"/>
    <col min="13317" max="13568" width="9.33203125" style="83"/>
    <col min="13569" max="13569" width="10.1640625" style="83" customWidth="1"/>
    <col min="13570" max="13570" width="69" style="83" customWidth="1"/>
    <col min="13571" max="13571" width="16.6640625" style="83" bestFit="1" customWidth="1"/>
    <col min="13572" max="13572" width="10.1640625" style="83" customWidth="1"/>
    <col min="13573" max="13824" width="9.33203125" style="83"/>
    <col min="13825" max="13825" width="10.1640625" style="83" customWidth="1"/>
    <col min="13826" max="13826" width="69" style="83" customWidth="1"/>
    <col min="13827" max="13827" width="16.6640625" style="83" bestFit="1" customWidth="1"/>
    <col min="13828" max="13828" width="10.1640625" style="83" customWidth="1"/>
    <col min="13829" max="14080" width="9.33203125" style="83"/>
    <col min="14081" max="14081" width="10.1640625" style="83" customWidth="1"/>
    <col min="14082" max="14082" width="69" style="83" customWidth="1"/>
    <col min="14083" max="14083" width="16.6640625" style="83" bestFit="1" customWidth="1"/>
    <col min="14084" max="14084" width="10.1640625" style="83" customWidth="1"/>
    <col min="14085" max="14336" width="9.33203125" style="83"/>
    <col min="14337" max="14337" width="10.1640625" style="83" customWidth="1"/>
    <col min="14338" max="14338" width="69" style="83" customWidth="1"/>
    <col min="14339" max="14339" width="16.6640625" style="83" bestFit="1" customWidth="1"/>
    <col min="14340" max="14340" width="10.1640625" style="83" customWidth="1"/>
    <col min="14341" max="14592" width="9.33203125" style="83"/>
    <col min="14593" max="14593" width="10.1640625" style="83" customWidth="1"/>
    <col min="14594" max="14594" width="69" style="83" customWidth="1"/>
    <col min="14595" max="14595" width="16.6640625" style="83" bestFit="1" customWidth="1"/>
    <col min="14596" max="14596" width="10.1640625" style="83" customWidth="1"/>
    <col min="14597" max="14848" width="9.33203125" style="83"/>
    <col min="14849" max="14849" width="10.1640625" style="83" customWidth="1"/>
    <col min="14850" max="14850" width="69" style="83" customWidth="1"/>
    <col min="14851" max="14851" width="16.6640625" style="83" bestFit="1" customWidth="1"/>
    <col min="14852" max="14852" width="10.1640625" style="83" customWidth="1"/>
    <col min="14853" max="15104" width="9.33203125" style="83"/>
    <col min="15105" max="15105" width="10.1640625" style="83" customWidth="1"/>
    <col min="15106" max="15106" width="69" style="83" customWidth="1"/>
    <col min="15107" max="15107" width="16.6640625" style="83" bestFit="1" customWidth="1"/>
    <col min="15108" max="15108" width="10.1640625" style="83" customWidth="1"/>
    <col min="15109" max="15360" width="9.33203125" style="83"/>
    <col min="15361" max="15361" width="10.1640625" style="83" customWidth="1"/>
    <col min="15362" max="15362" width="69" style="83" customWidth="1"/>
    <col min="15363" max="15363" width="16.6640625" style="83" bestFit="1" customWidth="1"/>
    <col min="15364" max="15364" width="10.1640625" style="83" customWidth="1"/>
    <col min="15365" max="15616" width="9.33203125" style="83"/>
    <col min="15617" max="15617" width="10.1640625" style="83" customWidth="1"/>
    <col min="15618" max="15618" width="69" style="83" customWidth="1"/>
    <col min="15619" max="15619" width="16.6640625" style="83" bestFit="1" customWidth="1"/>
    <col min="15620" max="15620" width="10.1640625" style="83" customWidth="1"/>
    <col min="15621" max="15872" width="9.33203125" style="83"/>
    <col min="15873" max="15873" width="10.1640625" style="83" customWidth="1"/>
    <col min="15874" max="15874" width="69" style="83" customWidth="1"/>
    <col min="15875" max="15875" width="16.6640625" style="83" bestFit="1" customWidth="1"/>
    <col min="15876" max="15876" width="10.1640625" style="83" customWidth="1"/>
    <col min="15877" max="16128" width="9.33203125" style="83"/>
    <col min="16129" max="16129" width="10.1640625" style="83" customWidth="1"/>
    <col min="16130" max="16130" width="69" style="83" customWidth="1"/>
    <col min="16131" max="16131" width="16.6640625" style="83" bestFit="1" customWidth="1"/>
    <col min="16132" max="16132" width="10.1640625" style="83" customWidth="1"/>
    <col min="16133" max="16384" width="9.33203125" style="83"/>
  </cols>
  <sheetData>
    <row r="1" spans="1:14" s="77" customFormat="1" ht="12.75" customHeight="1" x14ac:dyDescent="0.2">
      <c r="A1" s="635" t="str">
        <f>'Planilha Orçamentaria'!A1:H7</f>
        <v>TERPLANC - TERRAPLENAGEM  PLANEJAMENTO CONSTRUÇÃO E SEVIÇOS  EIRELE - EPP</v>
      </c>
      <c r="B1" s="635"/>
      <c r="C1" s="635"/>
      <c r="D1" s="635"/>
      <c r="E1" s="76"/>
      <c r="F1" s="76"/>
    </row>
    <row r="2" spans="1:14" s="77" customFormat="1" ht="12.75" customHeight="1" x14ac:dyDescent="0.2">
      <c r="A2" s="635"/>
      <c r="B2" s="635"/>
      <c r="C2" s="635"/>
      <c r="D2" s="635"/>
      <c r="E2" s="76"/>
      <c r="F2" s="76"/>
    </row>
    <row r="3" spans="1:14" s="77" customFormat="1" ht="12.75" customHeight="1" x14ac:dyDescent="0.2">
      <c r="A3" s="635"/>
      <c r="B3" s="635"/>
      <c r="C3" s="635"/>
      <c r="D3" s="635"/>
      <c r="E3" s="76"/>
      <c r="F3" s="76"/>
    </row>
    <row r="4" spans="1:14" s="77" customFormat="1" ht="12.75" customHeight="1" x14ac:dyDescent="0.2">
      <c r="A4" s="635"/>
      <c r="B4" s="635"/>
      <c r="C4" s="635"/>
      <c r="D4" s="635"/>
    </row>
    <row r="5" spans="1:14" s="77" customFormat="1" ht="12.75" customHeight="1" x14ac:dyDescent="0.2">
      <c r="A5" s="636"/>
      <c r="B5" s="637"/>
      <c r="C5" s="637"/>
      <c r="D5" s="637"/>
    </row>
    <row r="6" spans="1:14" s="77" customFormat="1" ht="12.75" customHeight="1" x14ac:dyDescent="0.2">
      <c r="A6" s="78"/>
      <c r="J6" s="638"/>
      <c r="K6" s="638"/>
      <c r="L6" s="79"/>
    </row>
    <row r="7" spans="1:14" s="77" customFormat="1" ht="15.75" customHeight="1" x14ac:dyDescent="0.2">
      <c r="A7" s="639" t="s">
        <v>394</v>
      </c>
      <c r="B7" s="639"/>
      <c r="C7" s="639"/>
      <c r="D7" s="639"/>
      <c r="L7" s="80"/>
    </row>
    <row r="8" spans="1:14" s="77" customFormat="1" ht="12.75" customHeight="1" x14ac:dyDescent="0.2">
      <c r="L8" s="81"/>
    </row>
    <row r="9" spans="1:14" s="77" customFormat="1" ht="12.75" customHeight="1" x14ac:dyDescent="0.2">
      <c r="A9" s="622" t="str">
        <f>'Planilha Orçamentaria'!A8</f>
        <v>PREFEITURA MUNICIPAL DE SÃO MIGUEL DO GUAMÁ</v>
      </c>
      <c r="B9" s="622"/>
    </row>
    <row r="10" spans="1:14" ht="16.5" customHeight="1" x14ac:dyDescent="0.2">
      <c r="A10" s="622" t="str">
        <f>'Planilha Orçamentaria'!A9</f>
        <v>OBRA: REFORMA E AMPLIAÇÃO</v>
      </c>
      <c r="B10" s="622"/>
      <c r="C10" s="622"/>
      <c r="D10" s="622"/>
      <c r="E10" s="82"/>
      <c r="F10" s="82"/>
      <c r="G10" s="82"/>
    </row>
    <row r="11" spans="1:14" ht="16.5" customHeight="1" x14ac:dyDescent="0.2">
      <c r="A11" s="622" t="str">
        <f>'Planilha Orçamentaria'!A10</f>
        <v>ESCOLA:  E.M.E.F. IZAURA DOMINGAS COSTA</v>
      </c>
      <c r="B11" s="622"/>
      <c r="C11" s="622"/>
      <c r="D11" s="622"/>
      <c r="E11" s="82"/>
      <c r="F11" s="82"/>
      <c r="G11" s="82"/>
    </row>
    <row r="12" spans="1:14" ht="24" customHeight="1" x14ac:dyDescent="0.2">
      <c r="A12" s="623" t="str">
        <f>'Planilha Orçamentaria'!A11</f>
        <v>LOCAL: BELA VISTA</v>
      </c>
      <c r="B12" s="623"/>
      <c r="C12" s="623"/>
      <c r="D12" s="623"/>
      <c r="E12" s="84"/>
      <c r="F12" s="84"/>
      <c r="G12" s="84"/>
    </row>
    <row r="13" spans="1:14" s="86" customFormat="1" x14ac:dyDescent="0.2">
      <c r="A13" s="624" t="str">
        <f>'Planilha Orçamentaria'!A12</f>
        <v>PRAZO DE EXECUÇÃO:  120 DIAS</v>
      </c>
      <c r="B13" s="624"/>
      <c r="C13" s="624"/>
      <c r="D13" s="624"/>
      <c r="E13" s="85"/>
      <c r="F13" s="85"/>
      <c r="G13" s="85"/>
      <c r="H13" s="85"/>
      <c r="I13" s="85"/>
      <c r="J13" s="85"/>
      <c r="K13" s="85"/>
      <c r="L13" s="85"/>
      <c r="M13" s="85"/>
      <c r="N13" s="85"/>
    </row>
    <row r="14" spans="1:14" ht="13.5" thickBot="1" x14ac:dyDescent="0.25"/>
    <row r="15" spans="1:14" x14ac:dyDescent="0.2">
      <c r="A15" s="625">
        <v>1</v>
      </c>
      <c r="B15" s="627" t="s">
        <v>395</v>
      </c>
      <c r="C15" s="630" t="s">
        <v>396</v>
      </c>
      <c r="D15" s="631"/>
    </row>
    <row r="16" spans="1:14" x14ac:dyDescent="0.2">
      <c r="A16" s="626"/>
      <c r="B16" s="628"/>
      <c r="C16" s="632" t="s">
        <v>397</v>
      </c>
      <c r="D16" s="633" t="s">
        <v>398</v>
      </c>
    </row>
    <row r="17" spans="1:4" x14ac:dyDescent="0.2">
      <c r="A17" s="626"/>
      <c r="B17" s="629"/>
      <c r="C17" s="629"/>
      <c r="D17" s="634"/>
    </row>
    <row r="18" spans="1:4" ht="39.75" customHeight="1" x14ac:dyDescent="0.2">
      <c r="A18" s="87" t="s">
        <v>185</v>
      </c>
      <c r="B18" s="88" t="s">
        <v>1778</v>
      </c>
      <c r="C18" s="89">
        <f>'Resumo Geral'!C41</f>
        <v>622332.95633103081</v>
      </c>
      <c r="D18" s="90">
        <f>'Resumo Geral'!D41</f>
        <v>1</v>
      </c>
    </row>
    <row r="19" spans="1:4" ht="13.5" thickBot="1" x14ac:dyDescent="0.25">
      <c r="A19" s="620" t="s">
        <v>399</v>
      </c>
      <c r="B19" s="621"/>
      <c r="C19" s="91">
        <f>'Resumo Geral'!C41</f>
        <v>622332.95633103081</v>
      </c>
      <c r="D19" s="92">
        <f>'Resumo Geral'!D41</f>
        <v>1</v>
      </c>
    </row>
    <row r="20" spans="1:4" x14ac:dyDescent="0.2">
      <c r="B20" s="584" t="s">
        <v>680</v>
      </c>
    </row>
    <row r="21" spans="1:4" x14ac:dyDescent="0.2">
      <c r="B21" s="93"/>
    </row>
    <row r="22" spans="1:4" x14ac:dyDescent="0.2">
      <c r="B22" s="93"/>
    </row>
    <row r="23" spans="1:4" x14ac:dyDescent="0.2">
      <c r="B23" s="93"/>
    </row>
    <row r="24" spans="1:4" x14ac:dyDescent="0.2">
      <c r="B24" s="93"/>
    </row>
  </sheetData>
  <mergeCells count="16">
    <mergeCell ref="A10:B10"/>
    <mergeCell ref="C10:D10"/>
    <mergeCell ref="A1:D4"/>
    <mergeCell ref="A5:D5"/>
    <mergeCell ref="J6:K6"/>
    <mergeCell ref="A7:D7"/>
    <mergeCell ref="A9:B9"/>
    <mergeCell ref="A19:B19"/>
    <mergeCell ref="A11:D11"/>
    <mergeCell ref="A12:D12"/>
    <mergeCell ref="A13:D13"/>
    <mergeCell ref="A15:A17"/>
    <mergeCell ref="B15:B17"/>
    <mergeCell ref="C15:D15"/>
    <mergeCell ref="C16:C17"/>
    <mergeCell ref="D16:D17"/>
  </mergeCells>
  <pageMargins left="0.511811024" right="0.511811024" top="0.78740157499999996" bottom="0.78740157499999996" header="0.31496062000000002" footer="0.31496062000000002"/>
  <pageSetup paperSize="9"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view="pageBreakPreview" topLeftCell="A23" zoomScale="90" zoomScaleNormal="100" zoomScaleSheetLayoutView="90" workbookViewId="0">
      <selection activeCell="B23" sqref="B23"/>
    </sheetView>
  </sheetViews>
  <sheetFormatPr defaultColWidth="11.5" defaultRowHeight="12.75" x14ac:dyDescent="0.2"/>
  <cols>
    <col min="1" max="1" width="9.83203125" style="110" bestFit="1" customWidth="1"/>
    <col min="2" max="2" width="72.1640625" style="111" customWidth="1"/>
    <col min="3" max="3" width="16.33203125" style="110" bestFit="1" customWidth="1"/>
    <col min="4" max="4" width="14.5" style="112" bestFit="1" customWidth="1"/>
    <col min="5" max="5" width="11.5" style="95"/>
    <col min="6" max="6" width="23.1640625" style="95" bestFit="1" customWidth="1"/>
    <col min="7" max="7" width="14.83203125" style="95" bestFit="1" customWidth="1"/>
    <col min="8" max="8" width="14.6640625" style="95" bestFit="1" customWidth="1"/>
    <col min="9" max="9" width="12.1640625" style="95" bestFit="1" customWidth="1"/>
    <col min="10" max="16384" width="11.5" style="95"/>
  </cols>
  <sheetData>
    <row r="1" spans="1:7" ht="15" customHeight="1" x14ac:dyDescent="0.2">
      <c r="A1" s="635" t="str">
        <f>Resumo!A1</f>
        <v>TERPLANC - TERRAPLENAGEM  PLANEJAMENTO CONSTRUÇÃO E SEVIÇOS  EIRELE - EPP</v>
      </c>
      <c r="B1" s="635"/>
      <c r="C1" s="635"/>
      <c r="D1" s="635"/>
      <c r="E1" s="94"/>
    </row>
    <row r="2" spans="1:7" x14ac:dyDescent="0.2">
      <c r="A2" s="635">
        <f>orçamento!A2</f>
        <v>0</v>
      </c>
      <c r="B2" s="635"/>
      <c r="C2" s="635"/>
      <c r="D2" s="635"/>
    </row>
    <row r="3" spans="1:7" ht="15" customHeight="1" x14ac:dyDescent="0.2">
      <c r="A3" s="635">
        <f>orçamento!A4</f>
        <v>0</v>
      </c>
      <c r="B3" s="635"/>
      <c r="C3" s="635"/>
      <c r="D3" s="635"/>
      <c r="E3" s="94"/>
    </row>
    <row r="4" spans="1:7" x14ac:dyDescent="0.2">
      <c r="A4" s="635"/>
      <c r="B4" s="635"/>
      <c r="C4" s="635"/>
      <c r="D4" s="635"/>
    </row>
    <row r="5" spans="1:7" ht="30.75" customHeight="1" x14ac:dyDescent="0.2">
      <c r="A5" s="652" t="str">
        <f>Resumo!A9</f>
        <v>PREFEITURA MUNICIPAL DE SÃO MIGUEL DO GUAMÁ</v>
      </c>
      <c r="B5" s="652"/>
      <c r="C5" s="652"/>
      <c r="D5" s="652"/>
    </row>
    <row r="6" spans="1:7" ht="14.25" x14ac:dyDescent="0.2">
      <c r="A6" s="652" t="str">
        <f>Resumo!A10</f>
        <v>OBRA: REFORMA E AMPLIAÇÃO</v>
      </c>
      <c r="B6" s="652"/>
      <c r="C6" s="96"/>
      <c r="D6" s="97"/>
    </row>
    <row r="7" spans="1:7" ht="14.25" customHeight="1" x14ac:dyDescent="0.2">
      <c r="A7" s="652" t="str">
        <f>Resumo!A11</f>
        <v>ESCOLA:  E.M.E.F. IZAURA DOMINGAS COSTA</v>
      </c>
      <c r="B7" s="652"/>
      <c r="C7" s="96"/>
      <c r="D7" s="97"/>
    </row>
    <row r="8" spans="1:7" ht="14.25" customHeight="1" x14ac:dyDescent="0.2">
      <c r="A8" s="652" t="str">
        <f>Resumo!A12</f>
        <v>LOCAL: BELA VISTA</v>
      </c>
      <c r="B8" s="652"/>
      <c r="C8" s="98"/>
      <c r="D8" s="99"/>
    </row>
    <row r="9" spans="1:7" ht="14.25" x14ac:dyDescent="0.2">
      <c r="A9" s="652"/>
      <c r="B9" s="652"/>
      <c r="C9" s="98"/>
      <c r="D9" s="99"/>
    </row>
    <row r="10" spans="1:7" ht="16.5" customHeight="1" x14ac:dyDescent="0.2">
      <c r="A10" s="642" t="str">
        <f>Resumo!A13</f>
        <v>PRAZO DE EXECUÇÃO:  120 DIAS</v>
      </c>
      <c r="B10" s="642"/>
      <c r="C10" s="642"/>
      <c r="D10" s="642"/>
    </row>
    <row r="11" spans="1:7" ht="16.5" customHeight="1" x14ac:dyDescent="0.25">
      <c r="A11" s="643" t="s">
        <v>400</v>
      </c>
      <c r="B11" s="643"/>
      <c r="C11" s="643"/>
      <c r="D11" s="643"/>
    </row>
    <row r="12" spans="1:7" ht="14.25" customHeight="1" x14ac:dyDescent="0.2">
      <c r="A12" s="644"/>
      <c r="B12" s="645"/>
      <c r="C12" s="98"/>
      <c r="D12" s="99"/>
    </row>
    <row r="13" spans="1:7" ht="12.75" customHeight="1" x14ac:dyDescent="0.2">
      <c r="A13" s="646" t="s">
        <v>325</v>
      </c>
      <c r="B13" s="648" t="s">
        <v>401</v>
      </c>
      <c r="C13" s="646" t="s">
        <v>402</v>
      </c>
      <c r="D13" s="650" t="s">
        <v>403</v>
      </c>
    </row>
    <row r="14" spans="1:7" ht="12.75" customHeight="1" x14ac:dyDescent="0.2">
      <c r="A14" s="647"/>
      <c r="B14" s="649"/>
      <c r="C14" s="647"/>
      <c r="D14" s="651"/>
    </row>
    <row r="15" spans="1:7" s="106" customFormat="1" ht="15" x14ac:dyDescent="0.2">
      <c r="A15" s="100">
        <v>1</v>
      </c>
      <c r="B15" s="101" t="str">
        <f>'Planilha Orçamentaria'!C17</f>
        <v>SERVIÇOS PRELIMINARES</v>
      </c>
      <c r="C15" s="579">
        <f>'Planilha Orçamentaria'!H17</f>
        <v>15310.926476552075</v>
      </c>
      <c r="D15" s="102">
        <f>C15/C41</f>
        <v>2.4602467731771382E-2</v>
      </c>
      <c r="E15" s="103"/>
      <c r="F15" s="104"/>
      <c r="G15" s="105"/>
    </row>
    <row r="16" spans="1:7" s="106" customFormat="1" ht="15" x14ac:dyDescent="0.2">
      <c r="A16" s="100">
        <v>2</v>
      </c>
      <c r="B16" s="101" t="str">
        <f>'Planilha Orçamentaria'!C24</f>
        <v>DEMOLIÇÕES E RETIRADAS</v>
      </c>
      <c r="C16" s="579">
        <f>'Planilha Orçamentaria'!H24</f>
        <v>7924.6448285808547</v>
      </c>
      <c r="D16" s="102">
        <f>C16/C41</f>
        <v>1.2733770159466831E-2</v>
      </c>
      <c r="F16" s="104"/>
      <c r="G16" s="105"/>
    </row>
    <row r="17" spans="1:7" s="106" customFormat="1" ht="15" x14ac:dyDescent="0.2">
      <c r="A17" s="100">
        <v>3</v>
      </c>
      <c r="B17" s="101" t="str">
        <f>'Planilha Orçamentaria'!C37</f>
        <v>MOVIMENTO DE TERRA</v>
      </c>
      <c r="C17" s="579">
        <f>'Planilha Orçamentaria'!H37</f>
        <v>1173.8945490310443</v>
      </c>
      <c r="D17" s="102">
        <f>C17/C41</f>
        <v>1.8862805465931767E-3</v>
      </c>
      <c r="F17" s="104"/>
      <c r="G17" s="105"/>
    </row>
    <row r="18" spans="1:7" s="106" customFormat="1" ht="15" x14ac:dyDescent="0.2">
      <c r="A18" s="100">
        <v>4</v>
      </c>
      <c r="B18" s="101" t="str">
        <f>'Planilha Orçamentaria'!C40</f>
        <v>FUNDAÇÕES</v>
      </c>
      <c r="C18" s="579">
        <f>'Planilha Orçamentaria'!H40</f>
        <v>42184.025128047666</v>
      </c>
      <c r="D18" s="102">
        <f>C18/C41</f>
        <v>6.7783691509355287E-2</v>
      </c>
      <c r="F18" s="104"/>
      <c r="G18" s="105"/>
    </row>
    <row r="19" spans="1:7" s="106" customFormat="1" ht="15" x14ac:dyDescent="0.2">
      <c r="A19" s="100">
        <v>5</v>
      </c>
      <c r="B19" s="101" t="str">
        <f>'Planilha Orçamentaria'!C44</f>
        <v>ESTRUTURA</v>
      </c>
      <c r="C19" s="579">
        <f>'Planilha Orçamentaria'!H44</f>
        <v>11058.174798279346</v>
      </c>
      <c r="D19" s="102">
        <f>C19/C41</f>
        <v>1.776890438756917E-2</v>
      </c>
      <c r="F19" s="104"/>
      <c r="G19" s="107"/>
    </row>
    <row r="20" spans="1:7" s="106" customFormat="1" ht="15" x14ac:dyDescent="0.2">
      <c r="A20" s="100">
        <v>6</v>
      </c>
      <c r="B20" s="583" t="s">
        <v>680</v>
      </c>
      <c r="C20" s="579">
        <f>'Planilha Orçamentaria'!H48</f>
        <v>30171.568875414458</v>
      </c>
      <c r="D20" s="102">
        <f>C20/C41</f>
        <v>4.8481393389948682E-2</v>
      </c>
      <c r="F20" s="104"/>
      <c r="G20" s="105"/>
    </row>
    <row r="21" spans="1:7" s="106" customFormat="1" ht="15" x14ac:dyDescent="0.2">
      <c r="A21" s="100">
        <v>7</v>
      </c>
      <c r="B21" s="101" t="str">
        <f>'Planilha Orçamentaria'!C51</f>
        <v>COBERTURA</v>
      </c>
      <c r="C21" s="579">
        <f>'Planilha Orçamentaria'!H51</f>
        <v>103419.17297507526</v>
      </c>
      <c r="D21" s="102">
        <f>C21/C41</f>
        <v>0.16617981086006414</v>
      </c>
      <c r="F21" s="104"/>
      <c r="G21" s="105"/>
    </row>
    <row r="22" spans="1:7" s="106" customFormat="1" ht="15" x14ac:dyDescent="0.2">
      <c r="A22" s="100">
        <v>8</v>
      </c>
      <c r="B22" s="101" t="str">
        <f>'Planilha Orçamentaria'!C65</f>
        <v>IMPERMEABILIZAÇÕES /TRATAMENTOS</v>
      </c>
      <c r="C22" s="579">
        <f>'Planilha Orçamentaria'!H65</f>
        <v>5780.1536521413673</v>
      </c>
      <c r="D22" s="102">
        <f>C22/C41</f>
        <v>9.2878797327692747E-3</v>
      </c>
      <c r="F22" s="104"/>
      <c r="G22" s="105"/>
    </row>
    <row r="23" spans="1:7" s="106" customFormat="1" ht="15" x14ac:dyDescent="0.2">
      <c r="A23" s="100">
        <v>9</v>
      </c>
      <c r="B23" s="101" t="str">
        <f>'Planilha Orçamentaria'!C69</f>
        <v>ESQUADRIAS</v>
      </c>
      <c r="C23" s="579">
        <f>'Planilha Orçamentaria'!H69</f>
        <v>72118.199539957917</v>
      </c>
      <c r="D23" s="102">
        <f>C23/C41</f>
        <v>0.1158836259694993</v>
      </c>
      <c r="F23" s="104"/>
      <c r="G23" s="105"/>
    </row>
    <row r="24" spans="1:7" s="106" customFormat="1" ht="15" x14ac:dyDescent="0.2">
      <c r="A24" s="100">
        <v>10</v>
      </c>
      <c r="B24" s="101" t="str">
        <f>'Planilha Orçamentaria'!C79</f>
        <v>VIDROS</v>
      </c>
      <c r="C24" s="579">
        <f>'Planilha Orçamentaria'!H79</f>
        <v>2866.6955747636648</v>
      </c>
      <c r="D24" s="102">
        <f>C24/C41</f>
        <v>4.606369541578342E-3</v>
      </c>
      <c r="F24" s="104"/>
      <c r="G24" s="105"/>
    </row>
    <row r="25" spans="1:7" s="106" customFormat="1" ht="15" x14ac:dyDescent="0.2">
      <c r="A25" s="100">
        <v>11</v>
      </c>
      <c r="B25" s="101" t="str">
        <f>'Planilha Orçamentaria'!C82</f>
        <v>FERRAGENS</v>
      </c>
      <c r="C25" s="579">
        <f>'Planilha Orçamentaria'!H82</f>
        <v>2565.7019613528</v>
      </c>
      <c r="D25" s="102">
        <f>C25/C41</f>
        <v>4.1227158794207488E-3</v>
      </c>
      <c r="F25" s="104"/>
      <c r="G25" s="105"/>
    </row>
    <row r="26" spans="1:7" s="106" customFormat="1" ht="15" x14ac:dyDescent="0.2">
      <c r="A26" s="100">
        <v>12</v>
      </c>
      <c r="B26" s="101" t="str">
        <f>'Planilha Orçamentaria'!C89</f>
        <v>REVESTIMENTOS</v>
      </c>
      <c r="C26" s="579">
        <f>'Planilha Orçamentaria'!H89</f>
        <v>62022.766251053581</v>
      </c>
      <c r="D26" s="102">
        <f>C26/C41</f>
        <v>9.9661709411485E-2</v>
      </c>
      <c r="F26" s="104"/>
      <c r="G26" s="105"/>
    </row>
    <row r="27" spans="1:7" s="106" customFormat="1" ht="15" x14ac:dyDescent="0.2">
      <c r="A27" s="100">
        <v>13</v>
      </c>
      <c r="B27" s="101" t="str">
        <f>'Planilha Orçamentaria'!C95</f>
        <v>RODAPES, SOLEIRAS E PEITORIS</v>
      </c>
      <c r="C27" s="579">
        <f>'Planilha Orçamentaria'!H95</f>
        <v>4770.5656707749395</v>
      </c>
      <c r="D27" s="102">
        <f>C27/C41</f>
        <v>7.6656163268290492E-3</v>
      </c>
      <c r="F27" s="104"/>
      <c r="G27" s="105"/>
    </row>
    <row r="28" spans="1:7" s="106" customFormat="1" ht="15" x14ac:dyDescent="0.2">
      <c r="A28" s="100">
        <v>14</v>
      </c>
      <c r="B28" s="101" t="str">
        <f>'Planilha Orçamentaria'!C98</f>
        <v>PISOS</v>
      </c>
      <c r="C28" s="579">
        <f>'Planilha Orçamentaria'!H98</f>
        <v>87702.860569326294</v>
      </c>
      <c r="D28" s="102">
        <f>C28/C41</f>
        <v>0.14092594595404243</v>
      </c>
      <c r="F28" s="104"/>
      <c r="G28" s="105"/>
    </row>
    <row r="29" spans="1:7" s="106" customFormat="1" ht="15" x14ac:dyDescent="0.2">
      <c r="A29" s="100">
        <v>15</v>
      </c>
      <c r="B29" s="101" t="str">
        <f>'Planilha Orçamentaria'!C105</f>
        <v>FORROS</v>
      </c>
      <c r="C29" s="579">
        <f>'Planilha Orçamentaria'!H105</f>
        <v>16534.248285865277</v>
      </c>
      <c r="D29" s="102">
        <f>C29/C41</f>
        <v>2.6568170812201683E-2</v>
      </c>
      <c r="F29" s="104"/>
      <c r="G29" s="105"/>
    </row>
    <row r="30" spans="1:7" s="106" customFormat="1" ht="15" x14ac:dyDescent="0.2">
      <c r="A30" s="100">
        <v>16</v>
      </c>
      <c r="B30" s="101" t="str">
        <f>'Planilha Orçamentaria'!C109</f>
        <v>PINTURAS</v>
      </c>
      <c r="C30" s="579">
        <f>'Planilha Orçamentaria'!H109</f>
        <v>38732.742240953237</v>
      </c>
      <c r="D30" s="102">
        <f>C30/C41</f>
        <v>6.2237973815981791E-2</v>
      </c>
      <c r="F30" s="104"/>
      <c r="G30" s="105"/>
    </row>
    <row r="31" spans="1:7" s="106" customFormat="1" ht="15" x14ac:dyDescent="0.2">
      <c r="A31" s="100">
        <v>17</v>
      </c>
      <c r="B31" s="101" t="str">
        <f>'Planilha Orçamentaria'!C119</f>
        <v>INSTALAÇÕES ELÉTRICAS</v>
      </c>
      <c r="C31" s="579">
        <f>'Planilha Orçamentaria'!H119</f>
        <v>21844.875162552002</v>
      </c>
      <c r="D31" s="102">
        <f>C31/C41</f>
        <v>3.5101588209852562E-2</v>
      </c>
      <c r="F31" s="104"/>
      <c r="G31" s="105"/>
    </row>
    <row r="32" spans="1:7" s="106" customFormat="1" ht="15" x14ac:dyDescent="0.2">
      <c r="A32" s="100">
        <v>18</v>
      </c>
      <c r="B32" s="101" t="str">
        <f>'Planilha Orçamentaria'!C130</f>
        <v>INSTALAÇÕES HIDR0SSANITÁRIAS</v>
      </c>
      <c r="C32" s="579">
        <f>'Planilha Orçamentaria'!H130</f>
        <v>22434.547866054003</v>
      </c>
      <c r="D32" s="102">
        <f>C32/C41</f>
        <v>3.6049107857499735E-2</v>
      </c>
      <c r="F32" s="104"/>
      <c r="G32" s="105"/>
    </row>
    <row r="33" spans="1:10" s="106" customFormat="1" ht="15" x14ac:dyDescent="0.2">
      <c r="A33" s="100">
        <v>19</v>
      </c>
      <c r="B33" s="101" t="str">
        <f>'Planilha Orçamentaria'!C142</f>
        <v>INSTALAÇÕES DE PROTEÇÃO/COMBATE A INCÊNDIO</v>
      </c>
      <c r="C33" s="579">
        <f>'Planilha Orçamentaria'!H142</f>
        <v>2608.1504476924802</v>
      </c>
      <c r="D33" s="102">
        <f>C33/C41</f>
        <v>4.1909245222506823E-3</v>
      </c>
      <c r="F33" s="104"/>
      <c r="G33" s="105"/>
    </row>
    <row r="34" spans="1:10" s="106" customFormat="1" ht="15" x14ac:dyDescent="0.2">
      <c r="A34" s="100">
        <v>20</v>
      </c>
      <c r="B34" s="101" t="str">
        <f>'Planilha Orçamentaria'!C147</f>
        <v>APARELHOS, LOUÇAS, METAIS E ACESSÓRIOS SANITÁRIOS</v>
      </c>
      <c r="C34" s="579">
        <f>'Planilha Orçamentaria'!H147</f>
        <v>13736.601460510801</v>
      </c>
      <c r="D34" s="102">
        <f>C34/C41</f>
        <v>2.2072752729495559E-2</v>
      </c>
      <c r="F34" s="104"/>
      <c r="G34" s="105"/>
    </row>
    <row r="35" spans="1:10" s="106" customFormat="1" ht="15" x14ac:dyDescent="0.2">
      <c r="A35" s="100">
        <v>21</v>
      </c>
      <c r="B35" s="101" t="str">
        <f>'Planilha Orçamentaria'!C159</f>
        <v>SERRALHERIA</v>
      </c>
      <c r="C35" s="579">
        <f>'Planilha Orçamentaria'!H159</f>
        <v>2248.5956588640001</v>
      </c>
      <c r="D35" s="102">
        <f>C35/C41</f>
        <v>3.6131714317696024E-3</v>
      </c>
      <c r="F35" s="104"/>
      <c r="G35" s="105"/>
    </row>
    <row r="36" spans="1:10" s="106" customFormat="1" ht="15" x14ac:dyDescent="0.2">
      <c r="A36" s="100">
        <v>22</v>
      </c>
      <c r="B36" s="101" t="str">
        <f>'Planilha Orçamentaria'!C162</f>
        <v>ELEMENTOS DE ESCOLA</v>
      </c>
      <c r="C36" s="579">
        <f>'Planilha Orçamentaria'!H162</f>
        <v>8629.729826968638</v>
      </c>
      <c r="D36" s="102">
        <f>C36/C41</f>
        <v>1.3866740848572897E-2</v>
      </c>
      <c r="F36" s="104"/>
      <c r="G36" s="105"/>
    </row>
    <row r="37" spans="1:10" s="106" customFormat="1" ht="15" x14ac:dyDescent="0.2">
      <c r="A37" s="100">
        <v>23</v>
      </c>
      <c r="B37" s="101" t="str">
        <f>'Planilha Orçamentaria'!C165</f>
        <v>PEQUENAS OBRAS</v>
      </c>
      <c r="C37" s="579">
        <f>'Planilha Orçamentaria'!H165</f>
        <v>9161.8468602880002</v>
      </c>
      <c r="D37" s="102">
        <f>C37/C41</f>
        <v>1.4721776770913348E-2</v>
      </c>
      <c r="F37" s="104"/>
      <c r="G37" s="105"/>
    </row>
    <row r="38" spans="1:10" s="106" customFormat="1" ht="15" x14ac:dyDescent="0.2">
      <c r="A38" s="100">
        <v>24</v>
      </c>
      <c r="B38" s="101" t="str">
        <f>'Planilha Orçamentaria'!C168</f>
        <v>OUTROS ELEMENTOS</v>
      </c>
      <c r="C38" s="579">
        <f>'Planilha Orçamentaria'!H168</f>
        <v>5706.4439669951998</v>
      </c>
      <c r="D38" s="102">
        <f>C38/C41</f>
        <v>9.1694388171849172E-3</v>
      </c>
      <c r="F38" s="104"/>
      <c r="G38" s="105"/>
    </row>
    <row r="39" spans="1:10" s="106" customFormat="1" ht="15" x14ac:dyDescent="0.2">
      <c r="A39" s="100">
        <v>25</v>
      </c>
      <c r="B39" s="101" t="str">
        <f>'Planilha Orçamentaria'!C171</f>
        <v>URBANIZAÇÃO</v>
      </c>
      <c r="C39" s="579">
        <f>'Planilha Orçamentaria'!H171</f>
        <v>26455.909756626534</v>
      </c>
      <c r="D39" s="102">
        <f>C39/C41</f>
        <v>4.2510860926597192E-2</v>
      </c>
      <c r="F39" s="104"/>
      <c r="G39" s="105"/>
    </row>
    <row r="40" spans="1:10" s="106" customFormat="1" ht="15" x14ac:dyDescent="0.2">
      <c r="A40" s="100">
        <v>26</v>
      </c>
      <c r="B40" s="101" t="str">
        <f>'Planilha Orçamentaria'!C175</f>
        <v>LIMPEZA FINAL</v>
      </c>
      <c r="C40" s="579">
        <f>'Planilha Orçamentaria'!H175</f>
        <v>5169.9139473093965</v>
      </c>
      <c r="D40" s="102">
        <f>C40/C41</f>
        <v>8.3073118572872424E-3</v>
      </c>
      <c r="F40" s="104"/>
      <c r="G40" s="105"/>
    </row>
    <row r="41" spans="1:10" x14ac:dyDescent="0.2">
      <c r="A41" s="640" t="s">
        <v>404</v>
      </c>
      <c r="B41" s="641"/>
      <c r="C41" s="108">
        <f>SUM(C15:C40)</f>
        <v>622332.95633103081</v>
      </c>
      <c r="D41" s="109">
        <f>SUM(D15:D40)</f>
        <v>1</v>
      </c>
    </row>
    <row r="42" spans="1:10" x14ac:dyDescent="0.2">
      <c r="H42" s="113"/>
      <c r="I42" s="113"/>
      <c r="J42" s="114"/>
    </row>
    <row r="45" spans="1:10" x14ac:dyDescent="0.2">
      <c r="C45" s="115"/>
    </row>
    <row r="46" spans="1:10" x14ac:dyDescent="0.2">
      <c r="C46" s="116"/>
    </row>
    <row r="47" spans="1:10" x14ac:dyDescent="0.2">
      <c r="C47" s="117"/>
    </row>
  </sheetData>
  <mergeCells count="14">
    <mergeCell ref="A8:B9"/>
    <mergeCell ref="A1:D4"/>
    <mergeCell ref="A5:B5"/>
    <mergeCell ref="C5:D5"/>
    <mergeCell ref="A6:B6"/>
    <mergeCell ref="A7:B7"/>
    <mergeCell ref="A41:B41"/>
    <mergeCell ref="A10:D10"/>
    <mergeCell ref="A11:D11"/>
    <mergeCell ref="A12:B12"/>
    <mergeCell ref="A13:A14"/>
    <mergeCell ref="B13:B14"/>
    <mergeCell ref="C13:C14"/>
    <mergeCell ref="D13:D14"/>
  </mergeCells>
  <pageMargins left="0.78740157480314965" right="0.39370078740157483" top="0.39370078740157483" bottom="0.59055118110236227" header="0.31496062992125984" footer="0.31496062992125984"/>
  <pageSetup paperSize="9" scale="89" fitToHeight="0" orientation="portrait" r:id="rId1"/>
  <ignoredErrors>
    <ignoredError sqref="D15:D41 C4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2"/>
  <sheetViews>
    <sheetView showGridLines="0" view="pageBreakPreview" topLeftCell="A1106" zoomScaleNormal="100" zoomScaleSheetLayoutView="100" zoomScalePageLayoutView="90" workbookViewId="0">
      <selection activeCell="B58" sqref="B58"/>
    </sheetView>
  </sheetViews>
  <sheetFormatPr defaultRowHeight="15" x14ac:dyDescent="0.25"/>
  <cols>
    <col min="1" max="1" width="13.5" style="160" bestFit="1" customWidth="1"/>
    <col min="2" max="2" width="13.83203125" style="124" bestFit="1" customWidth="1"/>
    <col min="3" max="3" width="63.33203125" style="189" customWidth="1"/>
    <col min="4" max="4" width="7.1640625" style="196" bestFit="1" customWidth="1"/>
    <col min="5" max="5" width="10.6640625" style="192" customWidth="1"/>
    <col min="6" max="6" width="10.5" style="190" hidden="1" customWidth="1"/>
    <col min="7" max="7" width="12.33203125" style="191" customWidth="1"/>
    <col min="8" max="8" width="9.83203125" style="192" bestFit="1" customWidth="1"/>
    <col min="9" max="9" width="11.6640625" style="192" bestFit="1" customWidth="1"/>
    <col min="10" max="10" width="7.33203125" style="193" customWidth="1"/>
    <col min="11" max="11" width="8.6640625" style="240" bestFit="1" customWidth="1"/>
    <col min="12" max="12" width="12.1640625" style="241" bestFit="1" customWidth="1"/>
    <col min="13" max="13" width="12.1640625" style="194" bestFit="1" customWidth="1"/>
    <col min="14" max="14" width="14" style="194" bestFit="1" customWidth="1"/>
    <col min="15" max="15" width="14.1640625" style="194" bestFit="1" customWidth="1"/>
    <col min="16" max="259" width="9.33203125" style="194"/>
    <col min="260" max="260" width="36.1640625" style="194" customWidth="1"/>
    <col min="261" max="261" width="16.33203125" style="194" customWidth="1"/>
    <col min="262" max="262" width="9.33203125" style="194"/>
    <col min="263" max="263" width="15" style="194" bestFit="1" customWidth="1"/>
    <col min="264" max="264" width="22.33203125" style="194" customWidth="1"/>
    <col min="265" max="265" width="9.33203125" style="194"/>
    <col min="266" max="266" width="14.5" style="194" bestFit="1" customWidth="1"/>
    <col min="267" max="267" width="12.1640625" style="194" bestFit="1" customWidth="1"/>
    <col min="268" max="268" width="6.6640625" style="194" bestFit="1" customWidth="1"/>
    <col min="269" max="269" width="14.1640625" style="194" bestFit="1" customWidth="1"/>
    <col min="270" max="270" width="11.5" style="194" bestFit="1" customWidth="1"/>
    <col min="271" max="515" width="9.33203125" style="194"/>
    <col min="516" max="516" width="36.1640625" style="194" customWidth="1"/>
    <col min="517" max="517" width="16.33203125" style="194" customWidth="1"/>
    <col min="518" max="518" width="9.33203125" style="194"/>
    <col min="519" max="519" width="15" style="194" bestFit="1" customWidth="1"/>
    <col min="520" max="520" width="22.33203125" style="194" customWidth="1"/>
    <col min="521" max="521" width="9.33203125" style="194"/>
    <col min="522" max="522" width="14.5" style="194" bestFit="1" customWidth="1"/>
    <col min="523" max="523" width="12.1640625" style="194" bestFit="1" customWidth="1"/>
    <col min="524" max="524" width="6.6640625" style="194" bestFit="1" customWidth="1"/>
    <col min="525" max="525" width="14.1640625" style="194" bestFit="1" customWidth="1"/>
    <col min="526" max="526" width="11.5" style="194" bestFit="1" customWidth="1"/>
    <col min="527" max="771" width="9.33203125" style="194"/>
    <col min="772" max="772" width="36.1640625" style="194" customWidth="1"/>
    <col min="773" max="773" width="16.33203125" style="194" customWidth="1"/>
    <col min="774" max="774" width="9.33203125" style="194"/>
    <col min="775" max="775" width="15" style="194" bestFit="1" customWidth="1"/>
    <col min="776" max="776" width="22.33203125" style="194" customWidth="1"/>
    <col min="777" max="777" width="9.33203125" style="194"/>
    <col min="778" max="778" width="14.5" style="194" bestFit="1" customWidth="1"/>
    <col min="779" max="779" width="12.1640625" style="194" bestFit="1" customWidth="1"/>
    <col min="780" max="780" width="6.6640625" style="194" bestFit="1" customWidth="1"/>
    <col min="781" max="781" width="14.1640625" style="194" bestFit="1" customWidth="1"/>
    <col min="782" max="782" width="11.5" style="194" bestFit="1" customWidth="1"/>
    <col min="783" max="1027" width="9.33203125" style="194"/>
    <col min="1028" max="1028" width="36.1640625" style="194" customWidth="1"/>
    <col min="1029" max="1029" width="16.33203125" style="194" customWidth="1"/>
    <col min="1030" max="1030" width="9.33203125" style="194"/>
    <col min="1031" max="1031" width="15" style="194" bestFit="1" customWidth="1"/>
    <col min="1032" max="1032" width="22.33203125" style="194" customWidth="1"/>
    <col min="1033" max="1033" width="9.33203125" style="194"/>
    <col min="1034" max="1034" width="14.5" style="194" bestFit="1" customWidth="1"/>
    <col min="1035" max="1035" width="12.1640625" style="194" bestFit="1" customWidth="1"/>
    <col min="1036" max="1036" width="6.6640625" style="194" bestFit="1" customWidth="1"/>
    <col min="1037" max="1037" width="14.1640625" style="194" bestFit="1" customWidth="1"/>
    <col min="1038" max="1038" width="11.5" style="194" bestFit="1" customWidth="1"/>
    <col min="1039" max="1283" width="9.33203125" style="194"/>
    <col min="1284" max="1284" width="36.1640625" style="194" customWidth="1"/>
    <col min="1285" max="1285" width="16.33203125" style="194" customWidth="1"/>
    <col min="1286" max="1286" width="9.33203125" style="194"/>
    <col min="1287" max="1287" width="15" style="194" bestFit="1" customWidth="1"/>
    <col min="1288" max="1288" width="22.33203125" style="194" customWidth="1"/>
    <col min="1289" max="1289" width="9.33203125" style="194"/>
    <col min="1290" max="1290" width="14.5" style="194" bestFit="1" customWidth="1"/>
    <col min="1291" max="1291" width="12.1640625" style="194" bestFit="1" customWidth="1"/>
    <col min="1292" max="1292" width="6.6640625" style="194" bestFit="1" customWidth="1"/>
    <col min="1293" max="1293" width="14.1640625" style="194" bestFit="1" customWidth="1"/>
    <col min="1294" max="1294" width="11.5" style="194" bestFit="1" customWidth="1"/>
    <col min="1295" max="1539" width="9.33203125" style="194"/>
    <col min="1540" max="1540" width="36.1640625" style="194" customWidth="1"/>
    <col min="1541" max="1541" width="16.33203125" style="194" customWidth="1"/>
    <col min="1542" max="1542" width="9.33203125" style="194"/>
    <col min="1543" max="1543" width="15" style="194" bestFit="1" customWidth="1"/>
    <col min="1544" max="1544" width="22.33203125" style="194" customWidth="1"/>
    <col min="1545" max="1545" width="9.33203125" style="194"/>
    <col min="1546" max="1546" width="14.5" style="194" bestFit="1" customWidth="1"/>
    <col min="1547" max="1547" width="12.1640625" style="194" bestFit="1" customWidth="1"/>
    <col min="1548" max="1548" width="6.6640625" style="194" bestFit="1" customWidth="1"/>
    <col min="1549" max="1549" width="14.1640625" style="194" bestFit="1" customWidth="1"/>
    <col min="1550" max="1550" width="11.5" style="194" bestFit="1" customWidth="1"/>
    <col min="1551" max="1795" width="9.33203125" style="194"/>
    <col min="1796" max="1796" width="36.1640625" style="194" customWidth="1"/>
    <col min="1797" max="1797" width="16.33203125" style="194" customWidth="1"/>
    <col min="1798" max="1798" width="9.33203125" style="194"/>
    <col min="1799" max="1799" width="15" style="194" bestFit="1" customWidth="1"/>
    <col min="1800" max="1800" width="22.33203125" style="194" customWidth="1"/>
    <col min="1801" max="1801" width="9.33203125" style="194"/>
    <col min="1802" max="1802" width="14.5" style="194" bestFit="1" customWidth="1"/>
    <col min="1803" max="1803" width="12.1640625" style="194" bestFit="1" customWidth="1"/>
    <col min="1804" max="1804" width="6.6640625" style="194" bestFit="1" customWidth="1"/>
    <col min="1805" max="1805" width="14.1640625" style="194" bestFit="1" customWidth="1"/>
    <col min="1806" max="1806" width="11.5" style="194" bestFit="1" customWidth="1"/>
    <col min="1807" max="2051" width="9.33203125" style="194"/>
    <col min="2052" max="2052" width="36.1640625" style="194" customWidth="1"/>
    <col min="2053" max="2053" width="16.33203125" style="194" customWidth="1"/>
    <col min="2054" max="2054" width="9.33203125" style="194"/>
    <col min="2055" max="2055" width="15" style="194" bestFit="1" customWidth="1"/>
    <col min="2056" max="2056" width="22.33203125" style="194" customWidth="1"/>
    <col min="2057" max="2057" width="9.33203125" style="194"/>
    <col min="2058" max="2058" width="14.5" style="194" bestFit="1" customWidth="1"/>
    <col min="2059" max="2059" width="12.1640625" style="194" bestFit="1" customWidth="1"/>
    <col min="2060" max="2060" width="6.6640625" style="194" bestFit="1" customWidth="1"/>
    <col min="2061" max="2061" width="14.1640625" style="194" bestFit="1" customWidth="1"/>
    <col min="2062" max="2062" width="11.5" style="194" bestFit="1" customWidth="1"/>
    <col min="2063" max="2307" width="9.33203125" style="194"/>
    <col min="2308" max="2308" width="36.1640625" style="194" customWidth="1"/>
    <col min="2309" max="2309" width="16.33203125" style="194" customWidth="1"/>
    <col min="2310" max="2310" width="9.33203125" style="194"/>
    <col min="2311" max="2311" width="15" style="194" bestFit="1" customWidth="1"/>
    <col min="2312" max="2312" width="22.33203125" style="194" customWidth="1"/>
    <col min="2313" max="2313" width="9.33203125" style="194"/>
    <col min="2314" max="2314" width="14.5" style="194" bestFit="1" customWidth="1"/>
    <col min="2315" max="2315" width="12.1640625" style="194" bestFit="1" customWidth="1"/>
    <col min="2316" max="2316" width="6.6640625" style="194" bestFit="1" customWidth="1"/>
    <col min="2317" max="2317" width="14.1640625" style="194" bestFit="1" customWidth="1"/>
    <col min="2318" max="2318" width="11.5" style="194" bestFit="1" customWidth="1"/>
    <col min="2319" max="2563" width="9.33203125" style="194"/>
    <col min="2564" max="2564" width="36.1640625" style="194" customWidth="1"/>
    <col min="2565" max="2565" width="16.33203125" style="194" customWidth="1"/>
    <col min="2566" max="2566" width="9.33203125" style="194"/>
    <col min="2567" max="2567" width="15" style="194" bestFit="1" customWidth="1"/>
    <col min="2568" max="2568" width="22.33203125" style="194" customWidth="1"/>
    <col min="2569" max="2569" width="9.33203125" style="194"/>
    <col min="2570" max="2570" width="14.5" style="194" bestFit="1" customWidth="1"/>
    <col min="2571" max="2571" width="12.1640625" style="194" bestFit="1" customWidth="1"/>
    <col min="2572" max="2572" width="6.6640625" style="194" bestFit="1" customWidth="1"/>
    <col min="2573" max="2573" width="14.1640625" style="194" bestFit="1" customWidth="1"/>
    <col min="2574" max="2574" width="11.5" style="194" bestFit="1" customWidth="1"/>
    <col min="2575" max="2819" width="9.33203125" style="194"/>
    <col min="2820" max="2820" width="36.1640625" style="194" customWidth="1"/>
    <col min="2821" max="2821" width="16.33203125" style="194" customWidth="1"/>
    <col min="2822" max="2822" width="9.33203125" style="194"/>
    <col min="2823" max="2823" width="15" style="194" bestFit="1" customWidth="1"/>
    <col min="2824" max="2824" width="22.33203125" style="194" customWidth="1"/>
    <col min="2825" max="2825" width="9.33203125" style="194"/>
    <col min="2826" max="2826" width="14.5" style="194" bestFit="1" customWidth="1"/>
    <col min="2827" max="2827" width="12.1640625" style="194" bestFit="1" customWidth="1"/>
    <col min="2828" max="2828" width="6.6640625" style="194" bestFit="1" customWidth="1"/>
    <col min="2829" max="2829" width="14.1640625" style="194" bestFit="1" customWidth="1"/>
    <col min="2830" max="2830" width="11.5" style="194" bestFit="1" customWidth="1"/>
    <col min="2831" max="3075" width="9.33203125" style="194"/>
    <col min="3076" max="3076" width="36.1640625" style="194" customWidth="1"/>
    <col min="3077" max="3077" width="16.33203125" style="194" customWidth="1"/>
    <col min="3078" max="3078" width="9.33203125" style="194"/>
    <col min="3079" max="3079" width="15" style="194" bestFit="1" customWidth="1"/>
    <col min="3080" max="3080" width="22.33203125" style="194" customWidth="1"/>
    <col min="3081" max="3081" width="9.33203125" style="194"/>
    <col min="3082" max="3082" width="14.5" style="194" bestFit="1" customWidth="1"/>
    <col min="3083" max="3083" width="12.1640625" style="194" bestFit="1" customWidth="1"/>
    <col min="3084" max="3084" width="6.6640625" style="194" bestFit="1" customWidth="1"/>
    <col min="3085" max="3085" width="14.1640625" style="194" bestFit="1" customWidth="1"/>
    <col min="3086" max="3086" width="11.5" style="194" bestFit="1" customWidth="1"/>
    <col min="3087" max="3331" width="9.33203125" style="194"/>
    <col min="3332" max="3332" width="36.1640625" style="194" customWidth="1"/>
    <col min="3333" max="3333" width="16.33203125" style="194" customWidth="1"/>
    <col min="3334" max="3334" width="9.33203125" style="194"/>
    <col min="3335" max="3335" width="15" style="194" bestFit="1" customWidth="1"/>
    <col min="3336" max="3336" width="22.33203125" style="194" customWidth="1"/>
    <col min="3337" max="3337" width="9.33203125" style="194"/>
    <col min="3338" max="3338" width="14.5" style="194" bestFit="1" customWidth="1"/>
    <col min="3339" max="3339" width="12.1640625" style="194" bestFit="1" customWidth="1"/>
    <col min="3340" max="3340" width="6.6640625" style="194" bestFit="1" customWidth="1"/>
    <col min="3341" max="3341" width="14.1640625" style="194" bestFit="1" customWidth="1"/>
    <col min="3342" max="3342" width="11.5" style="194" bestFit="1" customWidth="1"/>
    <col min="3343" max="3587" width="9.33203125" style="194"/>
    <col min="3588" max="3588" width="36.1640625" style="194" customWidth="1"/>
    <col min="3589" max="3589" width="16.33203125" style="194" customWidth="1"/>
    <col min="3590" max="3590" width="9.33203125" style="194"/>
    <col min="3591" max="3591" width="15" style="194" bestFit="1" customWidth="1"/>
    <col min="3592" max="3592" width="22.33203125" style="194" customWidth="1"/>
    <col min="3593" max="3593" width="9.33203125" style="194"/>
    <col min="3594" max="3594" width="14.5" style="194" bestFit="1" customWidth="1"/>
    <col min="3595" max="3595" width="12.1640625" style="194" bestFit="1" customWidth="1"/>
    <col min="3596" max="3596" width="6.6640625" style="194" bestFit="1" customWidth="1"/>
    <col min="3597" max="3597" width="14.1640625" style="194" bestFit="1" customWidth="1"/>
    <col min="3598" max="3598" width="11.5" style="194" bestFit="1" customWidth="1"/>
    <col min="3599" max="3843" width="9.33203125" style="194"/>
    <col min="3844" max="3844" width="36.1640625" style="194" customWidth="1"/>
    <col min="3845" max="3845" width="16.33203125" style="194" customWidth="1"/>
    <col min="3846" max="3846" width="9.33203125" style="194"/>
    <col min="3847" max="3847" width="15" style="194" bestFit="1" customWidth="1"/>
    <col min="3848" max="3848" width="22.33203125" style="194" customWidth="1"/>
    <col min="3849" max="3849" width="9.33203125" style="194"/>
    <col min="3850" max="3850" width="14.5" style="194" bestFit="1" customWidth="1"/>
    <col min="3851" max="3851" width="12.1640625" style="194" bestFit="1" customWidth="1"/>
    <col min="3852" max="3852" width="6.6640625" style="194" bestFit="1" customWidth="1"/>
    <col min="3853" max="3853" width="14.1640625" style="194" bestFit="1" customWidth="1"/>
    <col min="3854" max="3854" width="11.5" style="194" bestFit="1" customWidth="1"/>
    <col min="3855" max="4099" width="9.33203125" style="194"/>
    <col min="4100" max="4100" width="36.1640625" style="194" customWidth="1"/>
    <col min="4101" max="4101" width="16.33203125" style="194" customWidth="1"/>
    <col min="4102" max="4102" width="9.33203125" style="194"/>
    <col min="4103" max="4103" width="15" style="194" bestFit="1" customWidth="1"/>
    <col min="4104" max="4104" width="22.33203125" style="194" customWidth="1"/>
    <col min="4105" max="4105" width="9.33203125" style="194"/>
    <col min="4106" max="4106" width="14.5" style="194" bestFit="1" customWidth="1"/>
    <col min="4107" max="4107" width="12.1640625" style="194" bestFit="1" customWidth="1"/>
    <col min="4108" max="4108" width="6.6640625" style="194" bestFit="1" customWidth="1"/>
    <col min="4109" max="4109" width="14.1640625" style="194" bestFit="1" customWidth="1"/>
    <col min="4110" max="4110" width="11.5" style="194" bestFit="1" customWidth="1"/>
    <col min="4111" max="4355" width="9.33203125" style="194"/>
    <col min="4356" max="4356" width="36.1640625" style="194" customWidth="1"/>
    <col min="4357" max="4357" width="16.33203125" style="194" customWidth="1"/>
    <col min="4358" max="4358" width="9.33203125" style="194"/>
    <col min="4359" max="4359" width="15" style="194" bestFit="1" customWidth="1"/>
    <col min="4360" max="4360" width="22.33203125" style="194" customWidth="1"/>
    <col min="4361" max="4361" width="9.33203125" style="194"/>
    <col min="4362" max="4362" width="14.5" style="194" bestFit="1" customWidth="1"/>
    <col min="4363" max="4363" width="12.1640625" style="194" bestFit="1" customWidth="1"/>
    <col min="4364" max="4364" width="6.6640625" style="194" bestFit="1" customWidth="1"/>
    <col min="4365" max="4365" width="14.1640625" style="194" bestFit="1" customWidth="1"/>
    <col min="4366" max="4366" width="11.5" style="194" bestFit="1" customWidth="1"/>
    <col min="4367" max="4611" width="9.33203125" style="194"/>
    <col min="4612" max="4612" width="36.1640625" style="194" customWidth="1"/>
    <col min="4613" max="4613" width="16.33203125" style="194" customWidth="1"/>
    <col min="4614" max="4614" width="9.33203125" style="194"/>
    <col min="4615" max="4615" width="15" style="194" bestFit="1" customWidth="1"/>
    <col min="4616" max="4616" width="22.33203125" style="194" customWidth="1"/>
    <col min="4617" max="4617" width="9.33203125" style="194"/>
    <col min="4618" max="4618" width="14.5" style="194" bestFit="1" customWidth="1"/>
    <col min="4619" max="4619" width="12.1640625" style="194" bestFit="1" customWidth="1"/>
    <col min="4620" max="4620" width="6.6640625" style="194" bestFit="1" customWidth="1"/>
    <col min="4621" max="4621" width="14.1640625" style="194" bestFit="1" customWidth="1"/>
    <col min="4622" max="4622" width="11.5" style="194" bestFit="1" customWidth="1"/>
    <col min="4623" max="4867" width="9.33203125" style="194"/>
    <col min="4868" max="4868" width="36.1640625" style="194" customWidth="1"/>
    <col min="4869" max="4869" width="16.33203125" style="194" customWidth="1"/>
    <col min="4870" max="4870" width="9.33203125" style="194"/>
    <col min="4871" max="4871" width="15" style="194" bestFit="1" customWidth="1"/>
    <col min="4872" max="4872" width="22.33203125" style="194" customWidth="1"/>
    <col min="4873" max="4873" width="9.33203125" style="194"/>
    <col min="4874" max="4874" width="14.5" style="194" bestFit="1" customWidth="1"/>
    <col min="4875" max="4875" width="12.1640625" style="194" bestFit="1" customWidth="1"/>
    <col min="4876" max="4876" width="6.6640625" style="194" bestFit="1" customWidth="1"/>
    <col min="4877" max="4877" width="14.1640625" style="194" bestFit="1" customWidth="1"/>
    <col min="4878" max="4878" width="11.5" style="194" bestFit="1" customWidth="1"/>
    <col min="4879" max="5123" width="9.33203125" style="194"/>
    <col min="5124" max="5124" width="36.1640625" style="194" customWidth="1"/>
    <col min="5125" max="5125" width="16.33203125" style="194" customWidth="1"/>
    <col min="5126" max="5126" width="9.33203125" style="194"/>
    <col min="5127" max="5127" width="15" style="194" bestFit="1" customWidth="1"/>
    <col min="5128" max="5128" width="22.33203125" style="194" customWidth="1"/>
    <col min="5129" max="5129" width="9.33203125" style="194"/>
    <col min="5130" max="5130" width="14.5" style="194" bestFit="1" customWidth="1"/>
    <col min="5131" max="5131" width="12.1640625" style="194" bestFit="1" customWidth="1"/>
    <col min="5132" max="5132" width="6.6640625" style="194" bestFit="1" customWidth="1"/>
    <col min="5133" max="5133" width="14.1640625" style="194" bestFit="1" customWidth="1"/>
    <col min="5134" max="5134" width="11.5" style="194" bestFit="1" customWidth="1"/>
    <col min="5135" max="5379" width="9.33203125" style="194"/>
    <col min="5380" max="5380" width="36.1640625" style="194" customWidth="1"/>
    <col min="5381" max="5381" width="16.33203125" style="194" customWidth="1"/>
    <col min="5382" max="5382" width="9.33203125" style="194"/>
    <col min="5383" max="5383" width="15" style="194" bestFit="1" customWidth="1"/>
    <col min="5384" max="5384" width="22.33203125" style="194" customWidth="1"/>
    <col min="5385" max="5385" width="9.33203125" style="194"/>
    <col min="5386" max="5386" width="14.5" style="194" bestFit="1" customWidth="1"/>
    <col min="5387" max="5387" width="12.1640625" style="194" bestFit="1" customWidth="1"/>
    <col min="5388" max="5388" width="6.6640625" style="194" bestFit="1" customWidth="1"/>
    <col min="5389" max="5389" width="14.1640625" style="194" bestFit="1" customWidth="1"/>
    <col min="5390" max="5390" width="11.5" style="194" bestFit="1" customWidth="1"/>
    <col min="5391" max="5635" width="9.33203125" style="194"/>
    <col min="5636" max="5636" width="36.1640625" style="194" customWidth="1"/>
    <col min="5637" max="5637" width="16.33203125" style="194" customWidth="1"/>
    <col min="5638" max="5638" width="9.33203125" style="194"/>
    <col min="5639" max="5639" width="15" style="194" bestFit="1" customWidth="1"/>
    <col min="5640" max="5640" width="22.33203125" style="194" customWidth="1"/>
    <col min="5641" max="5641" width="9.33203125" style="194"/>
    <col min="5642" max="5642" width="14.5" style="194" bestFit="1" customWidth="1"/>
    <col min="5643" max="5643" width="12.1640625" style="194" bestFit="1" customWidth="1"/>
    <col min="5644" max="5644" width="6.6640625" style="194" bestFit="1" customWidth="1"/>
    <col min="5645" max="5645" width="14.1640625" style="194" bestFit="1" customWidth="1"/>
    <col min="5646" max="5646" width="11.5" style="194" bestFit="1" customWidth="1"/>
    <col min="5647" max="5891" width="9.33203125" style="194"/>
    <col min="5892" max="5892" width="36.1640625" style="194" customWidth="1"/>
    <col min="5893" max="5893" width="16.33203125" style="194" customWidth="1"/>
    <col min="5894" max="5894" width="9.33203125" style="194"/>
    <col min="5895" max="5895" width="15" style="194" bestFit="1" customWidth="1"/>
    <col min="5896" max="5896" width="22.33203125" style="194" customWidth="1"/>
    <col min="5897" max="5897" width="9.33203125" style="194"/>
    <col min="5898" max="5898" width="14.5" style="194" bestFit="1" customWidth="1"/>
    <col min="5899" max="5899" width="12.1640625" style="194" bestFit="1" customWidth="1"/>
    <col min="5900" max="5900" width="6.6640625" style="194" bestFit="1" customWidth="1"/>
    <col min="5901" max="5901" width="14.1640625" style="194" bestFit="1" customWidth="1"/>
    <col min="5902" max="5902" width="11.5" style="194" bestFit="1" customWidth="1"/>
    <col min="5903" max="6147" width="9.33203125" style="194"/>
    <col min="6148" max="6148" width="36.1640625" style="194" customWidth="1"/>
    <col min="6149" max="6149" width="16.33203125" style="194" customWidth="1"/>
    <col min="6150" max="6150" width="9.33203125" style="194"/>
    <col min="6151" max="6151" width="15" style="194" bestFit="1" customWidth="1"/>
    <col min="6152" max="6152" width="22.33203125" style="194" customWidth="1"/>
    <col min="6153" max="6153" width="9.33203125" style="194"/>
    <col min="6154" max="6154" width="14.5" style="194" bestFit="1" customWidth="1"/>
    <col min="6155" max="6155" width="12.1640625" style="194" bestFit="1" customWidth="1"/>
    <col min="6156" max="6156" width="6.6640625" style="194" bestFit="1" customWidth="1"/>
    <col min="6157" max="6157" width="14.1640625" style="194" bestFit="1" customWidth="1"/>
    <col min="6158" max="6158" width="11.5" style="194" bestFit="1" customWidth="1"/>
    <col min="6159" max="6403" width="9.33203125" style="194"/>
    <col min="6404" max="6404" width="36.1640625" style="194" customWidth="1"/>
    <col min="6405" max="6405" width="16.33203125" style="194" customWidth="1"/>
    <col min="6406" max="6406" width="9.33203125" style="194"/>
    <col min="6407" max="6407" width="15" style="194" bestFit="1" customWidth="1"/>
    <col min="6408" max="6408" width="22.33203125" style="194" customWidth="1"/>
    <col min="6409" max="6409" width="9.33203125" style="194"/>
    <col min="6410" max="6410" width="14.5" style="194" bestFit="1" customWidth="1"/>
    <col min="6411" max="6411" width="12.1640625" style="194" bestFit="1" customWidth="1"/>
    <col min="6412" max="6412" width="6.6640625" style="194" bestFit="1" customWidth="1"/>
    <col min="6413" max="6413" width="14.1640625" style="194" bestFit="1" customWidth="1"/>
    <col min="6414" max="6414" width="11.5" style="194" bestFit="1" customWidth="1"/>
    <col min="6415" max="6659" width="9.33203125" style="194"/>
    <col min="6660" max="6660" width="36.1640625" style="194" customWidth="1"/>
    <col min="6661" max="6661" width="16.33203125" style="194" customWidth="1"/>
    <col min="6662" max="6662" width="9.33203125" style="194"/>
    <col min="6663" max="6663" width="15" style="194" bestFit="1" customWidth="1"/>
    <col min="6664" max="6664" width="22.33203125" style="194" customWidth="1"/>
    <col min="6665" max="6665" width="9.33203125" style="194"/>
    <col min="6666" max="6666" width="14.5" style="194" bestFit="1" customWidth="1"/>
    <col min="6667" max="6667" width="12.1640625" style="194" bestFit="1" customWidth="1"/>
    <col min="6668" max="6668" width="6.6640625" style="194" bestFit="1" customWidth="1"/>
    <col min="6669" max="6669" width="14.1640625" style="194" bestFit="1" customWidth="1"/>
    <col min="6670" max="6670" width="11.5" style="194" bestFit="1" customWidth="1"/>
    <col min="6671" max="6915" width="9.33203125" style="194"/>
    <col min="6916" max="6916" width="36.1640625" style="194" customWidth="1"/>
    <col min="6917" max="6917" width="16.33203125" style="194" customWidth="1"/>
    <col min="6918" max="6918" width="9.33203125" style="194"/>
    <col min="6919" max="6919" width="15" style="194" bestFit="1" customWidth="1"/>
    <col min="6920" max="6920" width="22.33203125" style="194" customWidth="1"/>
    <col min="6921" max="6921" width="9.33203125" style="194"/>
    <col min="6922" max="6922" width="14.5" style="194" bestFit="1" customWidth="1"/>
    <col min="6923" max="6923" width="12.1640625" style="194" bestFit="1" customWidth="1"/>
    <col min="6924" max="6924" width="6.6640625" style="194" bestFit="1" customWidth="1"/>
    <col min="6925" max="6925" width="14.1640625" style="194" bestFit="1" customWidth="1"/>
    <col min="6926" max="6926" width="11.5" style="194" bestFit="1" customWidth="1"/>
    <col min="6927" max="7171" width="9.33203125" style="194"/>
    <col min="7172" max="7172" width="36.1640625" style="194" customWidth="1"/>
    <col min="7173" max="7173" width="16.33203125" style="194" customWidth="1"/>
    <col min="7174" max="7174" width="9.33203125" style="194"/>
    <col min="7175" max="7175" width="15" style="194" bestFit="1" customWidth="1"/>
    <col min="7176" max="7176" width="22.33203125" style="194" customWidth="1"/>
    <col min="7177" max="7177" width="9.33203125" style="194"/>
    <col min="7178" max="7178" width="14.5" style="194" bestFit="1" customWidth="1"/>
    <col min="7179" max="7179" width="12.1640625" style="194" bestFit="1" customWidth="1"/>
    <col min="7180" max="7180" width="6.6640625" style="194" bestFit="1" customWidth="1"/>
    <col min="7181" max="7181" width="14.1640625" style="194" bestFit="1" customWidth="1"/>
    <col min="7182" max="7182" width="11.5" style="194" bestFit="1" customWidth="1"/>
    <col min="7183" max="7427" width="9.33203125" style="194"/>
    <col min="7428" max="7428" width="36.1640625" style="194" customWidth="1"/>
    <col min="7429" max="7429" width="16.33203125" style="194" customWidth="1"/>
    <col min="7430" max="7430" width="9.33203125" style="194"/>
    <col min="7431" max="7431" width="15" style="194" bestFit="1" customWidth="1"/>
    <col min="7432" max="7432" width="22.33203125" style="194" customWidth="1"/>
    <col min="7433" max="7433" width="9.33203125" style="194"/>
    <col min="7434" max="7434" width="14.5" style="194" bestFit="1" customWidth="1"/>
    <col min="7435" max="7435" width="12.1640625" style="194" bestFit="1" customWidth="1"/>
    <col min="7436" max="7436" width="6.6640625" style="194" bestFit="1" customWidth="1"/>
    <col min="7437" max="7437" width="14.1640625" style="194" bestFit="1" customWidth="1"/>
    <col min="7438" max="7438" width="11.5" style="194" bestFit="1" customWidth="1"/>
    <col min="7439" max="7683" width="9.33203125" style="194"/>
    <col min="7684" max="7684" width="36.1640625" style="194" customWidth="1"/>
    <col min="7685" max="7685" width="16.33203125" style="194" customWidth="1"/>
    <col min="7686" max="7686" width="9.33203125" style="194"/>
    <col min="7687" max="7687" width="15" style="194" bestFit="1" customWidth="1"/>
    <col min="7688" max="7688" width="22.33203125" style="194" customWidth="1"/>
    <col min="7689" max="7689" width="9.33203125" style="194"/>
    <col min="7690" max="7690" width="14.5" style="194" bestFit="1" customWidth="1"/>
    <col min="7691" max="7691" width="12.1640625" style="194" bestFit="1" customWidth="1"/>
    <col min="7692" max="7692" width="6.6640625" style="194" bestFit="1" customWidth="1"/>
    <col min="7693" max="7693" width="14.1640625" style="194" bestFit="1" customWidth="1"/>
    <col min="7694" max="7694" width="11.5" style="194" bestFit="1" customWidth="1"/>
    <col min="7695" max="7939" width="9.33203125" style="194"/>
    <col min="7940" max="7940" width="36.1640625" style="194" customWidth="1"/>
    <col min="7941" max="7941" width="16.33203125" style="194" customWidth="1"/>
    <col min="7942" max="7942" width="9.33203125" style="194"/>
    <col min="7943" max="7943" width="15" style="194" bestFit="1" customWidth="1"/>
    <col min="7944" max="7944" width="22.33203125" style="194" customWidth="1"/>
    <col min="7945" max="7945" width="9.33203125" style="194"/>
    <col min="7946" max="7946" width="14.5" style="194" bestFit="1" customWidth="1"/>
    <col min="7947" max="7947" width="12.1640625" style="194" bestFit="1" customWidth="1"/>
    <col min="7948" max="7948" width="6.6640625" style="194" bestFit="1" customWidth="1"/>
    <col min="7949" max="7949" width="14.1640625" style="194" bestFit="1" customWidth="1"/>
    <col min="7950" max="7950" width="11.5" style="194" bestFit="1" customWidth="1"/>
    <col min="7951" max="8195" width="9.33203125" style="194"/>
    <col min="8196" max="8196" width="36.1640625" style="194" customWidth="1"/>
    <col min="8197" max="8197" width="16.33203125" style="194" customWidth="1"/>
    <col min="8198" max="8198" width="9.33203125" style="194"/>
    <col min="8199" max="8199" width="15" style="194" bestFit="1" customWidth="1"/>
    <col min="8200" max="8200" width="22.33203125" style="194" customWidth="1"/>
    <col min="8201" max="8201" width="9.33203125" style="194"/>
    <col min="8202" max="8202" width="14.5" style="194" bestFit="1" customWidth="1"/>
    <col min="8203" max="8203" width="12.1640625" style="194" bestFit="1" customWidth="1"/>
    <col min="8204" max="8204" width="6.6640625" style="194" bestFit="1" customWidth="1"/>
    <col min="8205" max="8205" width="14.1640625" style="194" bestFit="1" customWidth="1"/>
    <col min="8206" max="8206" width="11.5" style="194" bestFit="1" customWidth="1"/>
    <col min="8207" max="8451" width="9.33203125" style="194"/>
    <col min="8452" max="8452" width="36.1640625" style="194" customWidth="1"/>
    <col min="8453" max="8453" width="16.33203125" style="194" customWidth="1"/>
    <col min="8454" max="8454" width="9.33203125" style="194"/>
    <col min="8455" max="8455" width="15" style="194" bestFit="1" customWidth="1"/>
    <col min="8456" max="8456" width="22.33203125" style="194" customWidth="1"/>
    <col min="8457" max="8457" width="9.33203125" style="194"/>
    <col min="8458" max="8458" width="14.5" style="194" bestFit="1" customWidth="1"/>
    <col min="8459" max="8459" width="12.1640625" style="194" bestFit="1" customWidth="1"/>
    <col min="8460" max="8460" width="6.6640625" style="194" bestFit="1" customWidth="1"/>
    <col min="8461" max="8461" width="14.1640625" style="194" bestFit="1" customWidth="1"/>
    <col min="8462" max="8462" width="11.5" style="194" bestFit="1" customWidth="1"/>
    <col min="8463" max="8707" width="9.33203125" style="194"/>
    <col min="8708" max="8708" width="36.1640625" style="194" customWidth="1"/>
    <col min="8709" max="8709" width="16.33203125" style="194" customWidth="1"/>
    <col min="8710" max="8710" width="9.33203125" style="194"/>
    <col min="8711" max="8711" width="15" style="194" bestFit="1" customWidth="1"/>
    <col min="8712" max="8712" width="22.33203125" style="194" customWidth="1"/>
    <col min="8713" max="8713" width="9.33203125" style="194"/>
    <col min="8714" max="8714" width="14.5" style="194" bestFit="1" customWidth="1"/>
    <col min="8715" max="8715" width="12.1640625" style="194" bestFit="1" customWidth="1"/>
    <col min="8716" max="8716" width="6.6640625" style="194" bestFit="1" customWidth="1"/>
    <col min="8717" max="8717" width="14.1640625" style="194" bestFit="1" customWidth="1"/>
    <col min="8718" max="8718" width="11.5" style="194" bestFit="1" customWidth="1"/>
    <col min="8719" max="8963" width="9.33203125" style="194"/>
    <col min="8964" max="8964" width="36.1640625" style="194" customWidth="1"/>
    <col min="8965" max="8965" width="16.33203125" style="194" customWidth="1"/>
    <col min="8966" max="8966" width="9.33203125" style="194"/>
    <col min="8967" max="8967" width="15" style="194" bestFit="1" customWidth="1"/>
    <col min="8968" max="8968" width="22.33203125" style="194" customWidth="1"/>
    <col min="8969" max="8969" width="9.33203125" style="194"/>
    <col min="8970" max="8970" width="14.5" style="194" bestFit="1" customWidth="1"/>
    <col min="8971" max="8971" width="12.1640625" style="194" bestFit="1" customWidth="1"/>
    <col min="8972" max="8972" width="6.6640625" style="194" bestFit="1" customWidth="1"/>
    <col min="8973" max="8973" width="14.1640625" style="194" bestFit="1" customWidth="1"/>
    <col min="8974" max="8974" width="11.5" style="194" bestFit="1" customWidth="1"/>
    <col min="8975" max="9219" width="9.33203125" style="194"/>
    <col min="9220" max="9220" width="36.1640625" style="194" customWidth="1"/>
    <col min="9221" max="9221" width="16.33203125" style="194" customWidth="1"/>
    <col min="9222" max="9222" width="9.33203125" style="194"/>
    <col min="9223" max="9223" width="15" style="194" bestFit="1" customWidth="1"/>
    <col min="9224" max="9224" width="22.33203125" style="194" customWidth="1"/>
    <col min="9225" max="9225" width="9.33203125" style="194"/>
    <col min="9226" max="9226" width="14.5" style="194" bestFit="1" customWidth="1"/>
    <col min="9227" max="9227" width="12.1640625" style="194" bestFit="1" customWidth="1"/>
    <col min="9228" max="9228" width="6.6640625" style="194" bestFit="1" customWidth="1"/>
    <col min="9229" max="9229" width="14.1640625" style="194" bestFit="1" customWidth="1"/>
    <col min="9230" max="9230" width="11.5" style="194" bestFit="1" customWidth="1"/>
    <col min="9231" max="9475" width="9.33203125" style="194"/>
    <col min="9476" max="9476" width="36.1640625" style="194" customWidth="1"/>
    <col min="9477" max="9477" width="16.33203125" style="194" customWidth="1"/>
    <col min="9478" max="9478" width="9.33203125" style="194"/>
    <col min="9479" max="9479" width="15" style="194" bestFit="1" customWidth="1"/>
    <col min="9480" max="9480" width="22.33203125" style="194" customWidth="1"/>
    <col min="9481" max="9481" width="9.33203125" style="194"/>
    <col min="9482" max="9482" width="14.5" style="194" bestFit="1" customWidth="1"/>
    <col min="9483" max="9483" width="12.1640625" style="194" bestFit="1" customWidth="1"/>
    <col min="9484" max="9484" width="6.6640625" style="194" bestFit="1" customWidth="1"/>
    <col min="9485" max="9485" width="14.1640625" style="194" bestFit="1" customWidth="1"/>
    <col min="9486" max="9486" width="11.5" style="194" bestFit="1" customWidth="1"/>
    <col min="9487" max="9731" width="9.33203125" style="194"/>
    <col min="9732" max="9732" width="36.1640625" style="194" customWidth="1"/>
    <col min="9733" max="9733" width="16.33203125" style="194" customWidth="1"/>
    <col min="9734" max="9734" width="9.33203125" style="194"/>
    <col min="9735" max="9735" width="15" style="194" bestFit="1" customWidth="1"/>
    <col min="9736" max="9736" width="22.33203125" style="194" customWidth="1"/>
    <col min="9737" max="9737" width="9.33203125" style="194"/>
    <col min="9738" max="9738" width="14.5" style="194" bestFit="1" customWidth="1"/>
    <col min="9739" max="9739" width="12.1640625" style="194" bestFit="1" customWidth="1"/>
    <col min="9740" max="9740" width="6.6640625" style="194" bestFit="1" customWidth="1"/>
    <col min="9741" max="9741" width="14.1640625" style="194" bestFit="1" customWidth="1"/>
    <col min="9742" max="9742" width="11.5" style="194" bestFit="1" customWidth="1"/>
    <col min="9743" max="9987" width="9.33203125" style="194"/>
    <col min="9988" max="9988" width="36.1640625" style="194" customWidth="1"/>
    <col min="9989" max="9989" width="16.33203125" style="194" customWidth="1"/>
    <col min="9990" max="9990" width="9.33203125" style="194"/>
    <col min="9991" max="9991" width="15" style="194" bestFit="1" customWidth="1"/>
    <col min="9992" max="9992" width="22.33203125" style="194" customWidth="1"/>
    <col min="9993" max="9993" width="9.33203125" style="194"/>
    <col min="9994" max="9994" width="14.5" style="194" bestFit="1" customWidth="1"/>
    <col min="9995" max="9995" width="12.1640625" style="194" bestFit="1" customWidth="1"/>
    <col min="9996" max="9996" width="6.6640625" style="194" bestFit="1" customWidth="1"/>
    <col min="9997" max="9997" width="14.1640625" style="194" bestFit="1" customWidth="1"/>
    <col min="9998" max="9998" width="11.5" style="194" bestFit="1" customWidth="1"/>
    <col min="9999" max="10243" width="9.33203125" style="194"/>
    <col min="10244" max="10244" width="36.1640625" style="194" customWidth="1"/>
    <col min="10245" max="10245" width="16.33203125" style="194" customWidth="1"/>
    <col min="10246" max="10246" width="9.33203125" style="194"/>
    <col min="10247" max="10247" width="15" style="194" bestFit="1" customWidth="1"/>
    <col min="10248" max="10248" width="22.33203125" style="194" customWidth="1"/>
    <col min="10249" max="10249" width="9.33203125" style="194"/>
    <col min="10250" max="10250" width="14.5" style="194" bestFit="1" customWidth="1"/>
    <col min="10251" max="10251" width="12.1640625" style="194" bestFit="1" customWidth="1"/>
    <col min="10252" max="10252" width="6.6640625" style="194" bestFit="1" customWidth="1"/>
    <col min="10253" max="10253" width="14.1640625" style="194" bestFit="1" customWidth="1"/>
    <col min="10254" max="10254" width="11.5" style="194" bestFit="1" customWidth="1"/>
    <col min="10255" max="10499" width="9.33203125" style="194"/>
    <col min="10500" max="10500" width="36.1640625" style="194" customWidth="1"/>
    <col min="10501" max="10501" width="16.33203125" style="194" customWidth="1"/>
    <col min="10502" max="10502" width="9.33203125" style="194"/>
    <col min="10503" max="10503" width="15" style="194" bestFit="1" customWidth="1"/>
    <col min="10504" max="10504" width="22.33203125" style="194" customWidth="1"/>
    <col min="10505" max="10505" width="9.33203125" style="194"/>
    <col min="10506" max="10506" width="14.5" style="194" bestFit="1" customWidth="1"/>
    <col min="10507" max="10507" width="12.1640625" style="194" bestFit="1" customWidth="1"/>
    <col min="10508" max="10508" width="6.6640625" style="194" bestFit="1" customWidth="1"/>
    <col min="10509" max="10509" width="14.1640625" style="194" bestFit="1" customWidth="1"/>
    <col min="10510" max="10510" width="11.5" style="194" bestFit="1" customWidth="1"/>
    <col min="10511" max="10755" width="9.33203125" style="194"/>
    <col min="10756" max="10756" width="36.1640625" style="194" customWidth="1"/>
    <col min="10757" max="10757" width="16.33203125" style="194" customWidth="1"/>
    <col min="10758" max="10758" width="9.33203125" style="194"/>
    <col min="10759" max="10759" width="15" style="194" bestFit="1" customWidth="1"/>
    <col min="10760" max="10760" width="22.33203125" style="194" customWidth="1"/>
    <col min="10761" max="10761" width="9.33203125" style="194"/>
    <col min="10762" max="10762" width="14.5" style="194" bestFit="1" customWidth="1"/>
    <col min="10763" max="10763" width="12.1640625" style="194" bestFit="1" customWidth="1"/>
    <col min="10764" max="10764" width="6.6640625" style="194" bestFit="1" customWidth="1"/>
    <col min="10765" max="10765" width="14.1640625" style="194" bestFit="1" customWidth="1"/>
    <col min="10766" max="10766" width="11.5" style="194" bestFit="1" customWidth="1"/>
    <col min="10767" max="11011" width="9.33203125" style="194"/>
    <col min="11012" max="11012" width="36.1640625" style="194" customWidth="1"/>
    <col min="11013" max="11013" width="16.33203125" style="194" customWidth="1"/>
    <col min="11014" max="11014" width="9.33203125" style="194"/>
    <col min="11015" max="11015" width="15" style="194" bestFit="1" customWidth="1"/>
    <col min="11016" max="11016" width="22.33203125" style="194" customWidth="1"/>
    <col min="11017" max="11017" width="9.33203125" style="194"/>
    <col min="11018" max="11018" width="14.5" style="194" bestFit="1" customWidth="1"/>
    <col min="11019" max="11019" width="12.1640625" style="194" bestFit="1" customWidth="1"/>
    <col min="11020" max="11020" width="6.6640625" style="194" bestFit="1" customWidth="1"/>
    <col min="11021" max="11021" width="14.1640625" style="194" bestFit="1" customWidth="1"/>
    <col min="11022" max="11022" width="11.5" style="194" bestFit="1" customWidth="1"/>
    <col min="11023" max="11267" width="9.33203125" style="194"/>
    <col min="11268" max="11268" width="36.1640625" style="194" customWidth="1"/>
    <col min="11269" max="11269" width="16.33203125" style="194" customWidth="1"/>
    <col min="11270" max="11270" width="9.33203125" style="194"/>
    <col min="11271" max="11271" width="15" style="194" bestFit="1" customWidth="1"/>
    <col min="11272" max="11272" width="22.33203125" style="194" customWidth="1"/>
    <col min="11273" max="11273" width="9.33203125" style="194"/>
    <col min="11274" max="11274" width="14.5" style="194" bestFit="1" customWidth="1"/>
    <col min="11275" max="11275" width="12.1640625" style="194" bestFit="1" customWidth="1"/>
    <col min="11276" max="11276" width="6.6640625" style="194" bestFit="1" customWidth="1"/>
    <col min="11277" max="11277" width="14.1640625" style="194" bestFit="1" customWidth="1"/>
    <col min="11278" max="11278" width="11.5" style="194" bestFit="1" customWidth="1"/>
    <col min="11279" max="11523" width="9.33203125" style="194"/>
    <col min="11524" max="11524" width="36.1640625" style="194" customWidth="1"/>
    <col min="11525" max="11525" width="16.33203125" style="194" customWidth="1"/>
    <col min="11526" max="11526" width="9.33203125" style="194"/>
    <col min="11527" max="11527" width="15" style="194" bestFit="1" customWidth="1"/>
    <col min="11528" max="11528" width="22.33203125" style="194" customWidth="1"/>
    <col min="11529" max="11529" width="9.33203125" style="194"/>
    <col min="11530" max="11530" width="14.5" style="194" bestFit="1" customWidth="1"/>
    <col min="11531" max="11531" width="12.1640625" style="194" bestFit="1" customWidth="1"/>
    <col min="11532" max="11532" width="6.6640625" style="194" bestFit="1" customWidth="1"/>
    <col min="11533" max="11533" width="14.1640625" style="194" bestFit="1" customWidth="1"/>
    <col min="11534" max="11534" width="11.5" style="194" bestFit="1" customWidth="1"/>
    <col min="11535" max="11779" width="9.33203125" style="194"/>
    <col min="11780" max="11780" width="36.1640625" style="194" customWidth="1"/>
    <col min="11781" max="11781" width="16.33203125" style="194" customWidth="1"/>
    <col min="11782" max="11782" width="9.33203125" style="194"/>
    <col min="11783" max="11783" width="15" style="194" bestFit="1" customWidth="1"/>
    <col min="11784" max="11784" width="22.33203125" style="194" customWidth="1"/>
    <col min="11785" max="11785" width="9.33203125" style="194"/>
    <col min="11786" max="11786" width="14.5" style="194" bestFit="1" customWidth="1"/>
    <col min="11787" max="11787" width="12.1640625" style="194" bestFit="1" customWidth="1"/>
    <col min="11788" max="11788" width="6.6640625" style="194" bestFit="1" customWidth="1"/>
    <col min="11789" max="11789" width="14.1640625" style="194" bestFit="1" customWidth="1"/>
    <col min="11790" max="11790" width="11.5" style="194" bestFit="1" customWidth="1"/>
    <col min="11791" max="12035" width="9.33203125" style="194"/>
    <col min="12036" max="12036" width="36.1640625" style="194" customWidth="1"/>
    <col min="12037" max="12037" width="16.33203125" style="194" customWidth="1"/>
    <col min="12038" max="12038" width="9.33203125" style="194"/>
    <col min="12039" max="12039" width="15" style="194" bestFit="1" customWidth="1"/>
    <col min="12040" max="12040" width="22.33203125" style="194" customWidth="1"/>
    <col min="12041" max="12041" width="9.33203125" style="194"/>
    <col min="12042" max="12042" width="14.5" style="194" bestFit="1" customWidth="1"/>
    <col min="12043" max="12043" width="12.1640625" style="194" bestFit="1" customWidth="1"/>
    <col min="12044" max="12044" width="6.6640625" style="194" bestFit="1" customWidth="1"/>
    <col min="12045" max="12045" width="14.1640625" style="194" bestFit="1" customWidth="1"/>
    <col min="12046" max="12046" width="11.5" style="194" bestFit="1" customWidth="1"/>
    <col min="12047" max="12291" width="9.33203125" style="194"/>
    <col min="12292" max="12292" width="36.1640625" style="194" customWidth="1"/>
    <col min="12293" max="12293" width="16.33203125" style="194" customWidth="1"/>
    <col min="12294" max="12294" width="9.33203125" style="194"/>
    <col min="12295" max="12295" width="15" style="194" bestFit="1" customWidth="1"/>
    <col min="12296" max="12296" width="22.33203125" style="194" customWidth="1"/>
    <col min="12297" max="12297" width="9.33203125" style="194"/>
    <col min="12298" max="12298" width="14.5" style="194" bestFit="1" customWidth="1"/>
    <col min="12299" max="12299" width="12.1640625" style="194" bestFit="1" customWidth="1"/>
    <col min="12300" max="12300" width="6.6640625" style="194" bestFit="1" customWidth="1"/>
    <col min="12301" max="12301" width="14.1640625" style="194" bestFit="1" customWidth="1"/>
    <col min="12302" max="12302" width="11.5" style="194" bestFit="1" customWidth="1"/>
    <col min="12303" max="12547" width="9.33203125" style="194"/>
    <col min="12548" max="12548" width="36.1640625" style="194" customWidth="1"/>
    <col min="12549" max="12549" width="16.33203125" style="194" customWidth="1"/>
    <col min="12550" max="12550" width="9.33203125" style="194"/>
    <col min="12551" max="12551" width="15" style="194" bestFit="1" customWidth="1"/>
    <col min="12552" max="12552" width="22.33203125" style="194" customWidth="1"/>
    <col min="12553" max="12553" width="9.33203125" style="194"/>
    <col min="12554" max="12554" width="14.5" style="194" bestFit="1" customWidth="1"/>
    <col min="12555" max="12555" width="12.1640625" style="194" bestFit="1" customWidth="1"/>
    <col min="12556" max="12556" width="6.6640625" style="194" bestFit="1" customWidth="1"/>
    <col min="12557" max="12557" width="14.1640625" style="194" bestFit="1" customWidth="1"/>
    <col min="12558" max="12558" width="11.5" style="194" bestFit="1" customWidth="1"/>
    <col min="12559" max="12803" width="9.33203125" style="194"/>
    <col min="12804" max="12804" width="36.1640625" style="194" customWidth="1"/>
    <col min="12805" max="12805" width="16.33203125" style="194" customWidth="1"/>
    <col min="12806" max="12806" width="9.33203125" style="194"/>
    <col min="12807" max="12807" width="15" style="194" bestFit="1" customWidth="1"/>
    <col min="12808" max="12808" width="22.33203125" style="194" customWidth="1"/>
    <col min="12809" max="12809" width="9.33203125" style="194"/>
    <col min="12810" max="12810" width="14.5" style="194" bestFit="1" customWidth="1"/>
    <col min="12811" max="12811" width="12.1640625" style="194" bestFit="1" customWidth="1"/>
    <col min="12812" max="12812" width="6.6640625" style="194" bestFit="1" customWidth="1"/>
    <col min="12813" max="12813" width="14.1640625" style="194" bestFit="1" customWidth="1"/>
    <col min="12814" max="12814" width="11.5" style="194" bestFit="1" customWidth="1"/>
    <col min="12815" max="13059" width="9.33203125" style="194"/>
    <col min="13060" max="13060" width="36.1640625" style="194" customWidth="1"/>
    <col min="13061" max="13061" width="16.33203125" style="194" customWidth="1"/>
    <col min="13062" max="13062" width="9.33203125" style="194"/>
    <col min="13063" max="13063" width="15" style="194" bestFit="1" customWidth="1"/>
    <col min="13064" max="13064" width="22.33203125" style="194" customWidth="1"/>
    <col min="13065" max="13065" width="9.33203125" style="194"/>
    <col min="13066" max="13066" width="14.5" style="194" bestFit="1" customWidth="1"/>
    <col min="13067" max="13067" width="12.1640625" style="194" bestFit="1" customWidth="1"/>
    <col min="13068" max="13068" width="6.6640625" style="194" bestFit="1" customWidth="1"/>
    <col min="13069" max="13069" width="14.1640625" style="194" bestFit="1" customWidth="1"/>
    <col min="13070" max="13070" width="11.5" style="194" bestFit="1" customWidth="1"/>
    <col min="13071" max="13315" width="9.33203125" style="194"/>
    <col min="13316" max="13316" width="36.1640625" style="194" customWidth="1"/>
    <col min="13317" max="13317" width="16.33203125" style="194" customWidth="1"/>
    <col min="13318" max="13318" width="9.33203125" style="194"/>
    <col min="13319" max="13319" width="15" style="194" bestFit="1" customWidth="1"/>
    <col min="13320" max="13320" width="22.33203125" style="194" customWidth="1"/>
    <col min="13321" max="13321" width="9.33203125" style="194"/>
    <col min="13322" max="13322" width="14.5" style="194" bestFit="1" customWidth="1"/>
    <col min="13323" max="13323" width="12.1640625" style="194" bestFit="1" customWidth="1"/>
    <col min="13324" max="13324" width="6.6640625" style="194" bestFit="1" customWidth="1"/>
    <col min="13325" max="13325" width="14.1640625" style="194" bestFit="1" customWidth="1"/>
    <col min="13326" max="13326" width="11.5" style="194" bestFit="1" customWidth="1"/>
    <col min="13327" max="13571" width="9.33203125" style="194"/>
    <col min="13572" max="13572" width="36.1640625" style="194" customWidth="1"/>
    <col min="13573" max="13573" width="16.33203125" style="194" customWidth="1"/>
    <col min="13574" max="13574" width="9.33203125" style="194"/>
    <col min="13575" max="13575" width="15" style="194" bestFit="1" customWidth="1"/>
    <col min="13576" max="13576" width="22.33203125" style="194" customWidth="1"/>
    <col min="13577" max="13577" width="9.33203125" style="194"/>
    <col min="13578" max="13578" width="14.5" style="194" bestFit="1" customWidth="1"/>
    <col min="13579" max="13579" width="12.1640625" style="194" bestFit="1" customWidth="1"/>
    <col min="13580" max="13580" width="6.6640625" style="194" bestFit="1" customWidth="1"/>
    <col min="13581" max="13581" width="14.1640625" style="194" bestFit="1" customWidth="1"/>
    <col min="13582" max="13582" width="11.5" style="194" bestFit="1" customWidth="1"/>
    <col min="13583" max="13827" width="9.33203125" style="194"/>
    <col min="13828" max="13828" width="36.1640625" style="194" customWidth="1"/>
    <col min="13829" max="13829" width="16.33203125" style="194" customWidth="1"/>
    <col min="13830" max="13830" width="9.33203125" style="194"/>
    <col min="13831" max="13831" width="15" style="194" bestFit="1" customWidth="1"/>
    <col min="13832" max="13832" width="22.33203125" style="194" customWidth="1"/>
    <col min="13833" max="13833" width="9.33203125" style="194"/>
    <col min="13834" max="13834" width="14.5" style="194" bestFit="1" customWidth="1"/>
    <col min="13835" max="13835" width="12.1640625" style="194" bestFit="1" customWidth="1"/>
    <col min="13836" max="13836" width="6.6640625" style="194" bestFit="1" customWidth="1"/>
    <col min="13837" max="13837" width="14.1640625" style="194" bestFit="1" customWidth="1"/>
    <col min="13838" max="13838" width="11.5" style="194" bestFit="1" customWidth="1"/>
    <col min="13839" max="14083" width="9.33203125" style="194"/>
    <col min="14084" max="14084" width="36.1640625" style="194" customWidth="1"/>
    <col min="14085" max="14085" width="16.33203125" style="194" customWidth="1"/>
    <col min="14086" max="14086" width="9.33203125" style="194"/>
    <col min="14087" max="14087" width="15" style="194" bestFit="1" customWidth="1"/>
    <col min="14088" max="14088" width="22.33203125" style="194" customWidth="1"/>
    <col min="14089" max="14089" width="9.33203125" style="194"/>
    <col min="14090" max="14090" width="14.5" style="194" bestFit="1" customWidth="1"/>
    <col min="14091" max="14091" width="12.1640625" style="194" bestFit="1" customWidth="1"/>
    <col min="14092" max="14092" width="6.6640625" style="194" bestFit="1" customWidth="1"/>
    <col min="14093" max="14093" width="14.1640625" style="194" bestFit="1" customWidth="1"/>
    <col min="14094" max="14094" width="11.5" style="194" bestFit="1" customWidth="1"/>
    <col min="14095" max="14339" width="9.33203125" style="194"/>
    <col min="14340" max="14340" width="36.1640625" style="194" customWidth="1"/>
    <col min="14341" max="14341" width="16.33203125" style="194" customWidth="1"/>
    <col min="14342" max="14342" width="9.33203125" style="194"/>
    <col min="14343" max="14343" width="15" style="194" bestFit="1" customWidth="1"/>
    <col min="14344" max="14344" width="22.33203125" style="194" customWidth="1"/>
    <col min="14345" max="14345" width="9.33203125" style="194"/>
    <col min="14346" max="14346" width="14.5" style="194" bestFit="1" customWidth="1"/>
    <col min="14347" max="14347" width="12.1640625" style="194" bestFit="1" customWidth="1"/>
    <col min="14348" max="14348" width="6.6640625" style="194" bestFit="1" customWidth="1"/>
    <col min="14349" max="14349" width="14.1640625" style="194" bestFit="1" customWidth="1"/>
    <col min="14350" max="14350" width="11.5" style="194" bestFit="1" customWidth="1"/>
    <col min="14351" max="14595" width="9.33203125" style="194"/>
    <col min="14596" max="14596" width="36.1640625" style="194" customWidth="1"/>
    <col min="14597" max="14597" width="16.33203125" style="194" customWidth="1"/>
    <col min="14598" max="14598" width="9.33203125" style="194"/>
    <col min="14599" max="14599" width="15" style="194" bestFit="1" customWidth="1"/>
    <col min="14600" max="14600" width="22.33203125" style="194" customWidth="1"/>
    <col min="14601" max="14601" width="9.33203125" style="194"/>
    <col min="14602" max="14602" width="14.5" style="194" bestFit="1" customWidth="1"/>
    <col min="14603" max="14603" width="12.1640625" style="194" bestFit="1" customWidth="1"/>
    <col min="14604" max="14604" width="6.6640625" style="194" bestFit="1" customWidth="1"/>
    <col min="14605" max="14605" width="14.1640625" style="194" bestFit="1" customWidth="1"/>
    <col min="14606" max="14606" width="11.5" style="194" bestFit="1" customWidth="1"/>
    <col min="14607" max="14851" width="9.33203125" style="194"/>
    <col min="14852" max="14852" width="36.1640625" style="194" customWidth="1"/>
    <col min="14853" max="14853" width="16.33203125" style="194" customWidth="1"/>
    <col min="14854" max="14854" width="9.33203125" style="194"/>
    <col min="14855" max="14855" width="15" style="194" bestFit="1" customWidth="1"/>
    <col min="14856" max="14856" width="22.33203125" style="194" customWidth="1"/>
    <col min="14857" max="14857" width="9.33203125" style="194"/>
    <col min="14858" max="14858" width="14.5" style="194" bestFit="1" customWidth="1"/>
    <col min="14859" max="14859" width="12.1640625" style="194" bestFit="1" customWidth="1"/>
    <col min="14860" max="14860" width="6.6640625" style="194" bestFit="1" customWidth="1"/>
    <col min="14861" max="14861" width="14.1640625" style="194" bestFit="1" customWidth="1"/>
    <col min="14862" max="14862" width="11.5" style="194" bestFit="1" customWidth="1"/>
    <col min="14863" max="15107" width="9.33203125" style="194"/>
    <col min="15108" max="15108" width="36.1640625" style="194" customWidth="1"/>
    <col min="15109" max="15109" width="16.33203125" style="194" customWidth="1"/>
    <col min="15110" max="15110" width="9.33203125" style="194"/>
    <col min="15111" max="15111" width="15" style="194" bestFit="1" customWidth="1"/>
    <col min="15112" max="15112" width="22.33203125" style="194" customWidth="1"/>
    <col min="15113" max="15113" width="9.33203125" style="194"/>
    <col min="15114" max="15114" width="14.5" style="194" bestFit="1" customWidth="1"/>
    <col min="15115" max="15115" width="12.1640625" style="194" bestFit="1" customWidth="1"/>
    <col min="15116" max="15116" width="6.6640625" style="194" bestFit="1" customWidth="1"/>
    <col min="15117" max="15117" width="14.1640625" style="194" bestFit="1" customWidth="1"/>
    <col min="15118" max="15118" width="11.5" style="194" bestFit="1" customWidth="1"/>
    <col min="15119" max="15363" width="9.33203125" style="194"/>
    <col min="15364" max="15364" width="36.1640625" style="194" customWidth="1"/>
    <col min="15365" max="15365" width="16.33203125" style="194" customWidth="1"/>
    <col min="15366" max="15366" width="9.33203125" style="194"/>
    <col min="15367" max="15367" width="15" style="194" bestFit="1" customWidth="1"/>
    <col min="15368" max="15368" width="22.33203125" style="194" customWidth="1"/>
    <col min="15369" max="15369" width="9.33203125" style="194"/>
    <col min="15370" max="15370" width="14.5" style="194" bestFit="1" customWidth="1"/>
    <col min="15371" max="15371" width="12.1640625" style="194" bestFit="1" customWidth="1"/>
    <col min="15372" max="15372" width="6.6640625" style="194" bestFit="1" customWidth="1"/>
    <col min="15373" max="15373" width="14.1640625" style="194" bestFit="1" customWidth="1"/>
    <col min="15374" max="15374" width="11.5" style="194" bestFit="1" customWidth="1"/>
    <col min="15375" max="15619" width="9.33203125" style="194"/>
    <col min="15620" max="15620" width="36.1640625" style="194" customWidth="1"/>
    <col min="15621" max="15621" width="16.33203125" style="194" customWidth="1"/>
    <col min="15622" max="15622" width="9.33203125" style="194"/>
    <col min="15623" max="15623" width="15" style="194" bestFit="1" customWidth="1"/>
    <col min="15624" max="15624" width="22.33203125" style="194" customWidth="1"/>
    <col min="15625" max="15625" width="9.33203125" style="194"/>
    <col min="15626" max="15626" width="14.5" style="194" bestFit="1" customWidth="1"/>
    <col min="15627" max="15627" width="12.1640625" style="194" bestFit="1" customWidth="1"/>
    <col min="15628" max="15628" width="6.6640625" style="194" bestFit="1" customWidth="1"/>
    <col min="15629" max="15629" width="14.1640625" style="194" bestFit="1" customWidth="1"/>
    <col min="15630" max="15630" width="11.5" style="194" bestFit="1" customWidth="1"/>
    <col min="15631" max="15875" width="9.33203125" style="194"/>
    <col min="15876" max="15876" width="36.1640625" style="194" customWidth="1"/>
    <col min="15877" max="15877" width="16.33203125" style="194" customWidth="1"/>
    <col min="15878" max="15878" width="9.33203125" style="194"/>
    <col min="15879" max="15879" width="15" style="194" bestFit="1" customWidth="1"/>
    <col min="15880" max="15880" width="22.33203125" style="194" customWidth="1"/>
    <col min="15881" max="15881" width="9.33203125" style="194"/>
    <col min="15882" max="15882" width="14.5" style="194" bestFit="1" customWidth="1"/>
    <col min="15883" max="15883" width="12.1640625" style="194" bestFit="1" customWidth="1"/>
    <col min="15884" max="15884" width="6.6640625" style="194" bestFit="1" customWidth="1"/>
    <col min="15885" max="15885" width="14.1640625" style="194" bestFit="1" customWidth="1"/>
    <col min="15886" max="15886" width="11.5" style="194" bestFit="1" customWidth="1"/>
    <col min="15887" max="16131" width="9.33203125" style="194"/>
    <col min="16132" max="16132" width="36.1640625" style="194" customWidth="1"/>
    <col min="16133" max="16133" width="16.33203125" style="194" customWidth="1"/>
    <col min="16134" max="16134" width="9.33203125" style="194"/>
    <col min="16135" max="16135" width="15" style="194" bestFit="1" customWidth="1"/>
    <col min="16136" max="16136" width="22.33203125" style="194" customWidth="1"/>
    <col min="16137" max="16137" width="9.33203125" style="194"/>
    <col min="16138" max="16138" width="14.5" style="194" bestFit="1" customWidth="1"/>
    <col min="16139" max="16139" width="12.1640625" style="194" bestFit="1" customWidth="1"/>
    <col min="16140" max="16140" width="6.6640625" style="194" bestFit="1" customWidth="1"/>
    <col min="16141" max="16141" width="14.1640625" style="194" bestFit="1" customWidth="1"/>
    <col min="16142" max="16142" width="11.5" style="194" bestFit="1" customWidth="1"/>
    <col min="16143" max="16384" width="9.33203125" style="194"/>
  </cols>
  <sheetData>
    <row r="1" spans="1:14" s="122" customFormat="1" ht="15" customHeight="1" x14ac:dyDescent="0.2">
      <c r="A1" s="118"/>
      <c r="B1" s="657" t="s">
        <v>1749</v>
      </c>
      <c r="C1" s="657"/>
      <c r="D1" s="657"/>
      <c r="E1" s="657"/>
      <c r="F1" s="657"/>
      <c r="G1" s="657"/>
      <c r="H1" s="657"/>
      <c r="I1" s="657"/>
      <c r="J1" s="119"/>
      <c r="K1" s="120"/>
      <c r="L1" s="121"/>
    </row>
    <row r="2" spans="1:14" s="122" customFormat="1" ht="15" customHeight="1" x14ac:dyDescent="0.2">
      <c r="A2" s="118"/>
      <c r="B2" s="657"/>
      <c r="C2" s="657"/>
      <c r="D2" s="657"/>
      <c r="E2" s="657"/>
      <c r="F2" s="657"/>
      <c r="G2" s="657"/>
      <c r="H2" s="657"/>
      <c r="I2" s="657"/>
      <c r="J2" s="119"/>
      <c r="K2" s="120"/>
      <c r="L2" s="121"/>
    </row>
    <row r="3" spans="1:14" s="122" customFormat="1" ht="15" customHeight="1" x14ac:dyDescent="0.2">
      <c r="A3" s="118"/>
      <c r="B3" s="657"/>
      <c r="C3" s="657"/>
      <c r="D3" s="657"/>
      <c r="E3" s="657"/>
      <c r="F3" s="657"/>
      <c r="G3" s="657"/>
      <c r="H3" s="657"/>
      <c r="I3" s="657"/>
      <c r="J3" s="119"/>
      <c r="K3" s="120"/>
      <c r="L3" s="121"/>
    </row>
    <row r="4" spans="1:14" s="122" customFormat="1" ht="12.75" x14ac:dyDescent="0.2">
      <c r="A4" s="118"/>
      <c r="B4" s="657"/>
      <c r="C4" s="657"/>
      <c r="D4" s="657"/>
      <c r="E4" s="657"/>
      <c r="F4" s="657"/>
      <c r="G4" s="657"/>
      <c r="H4" s="657"/>
      <c r="I4" s="657"/>
      <c r="J4" s="123"/>
      <c r="K4" s="120"/>
      <c r="L4" s="121"/>
    </row>
    <row r="5" spans="1:14" s="122" customFormat="1" ht="12.75" x14ac:dyDescent="0.2">
      <c r="A5" s="118"/>
      <c r="B5" s="124"/>
      <c r="C5" s="125" t="str">
        <f>'Planilha Orçamentaria'!A8</f>
        <v>PREFEITURA MUNICIPAL DE SÃO MIGUEL DO GUAMÁ</v>
      </c>
      <c r="D5" s="126"/>
      <c r="E5" s="127"/>
      <c r="F5" s="128"/>
      <c r="G5" s="129"/>
      <c r="H5" s="127"/>
      <c r="I5" s="127"/>
      <c r="J5" s="130"/>
      <c r="K5" s="120"/>
      <c r="L5" s="121"/>
    </row>
    <row r="6" spans="1:14" s="122" customFormat="1" ht="12.75" x14ac:dyDescent="0.2">
      <c r="A6" s="118"/>
      <c r="B6" s="124"/>
      <c r="C6" s="125" t="str">
        <f>'Planilha Orçamentaria'!A9</f>
        <v>OBRA: REFORMA E AMPLIAÇÃO</v>
      </c>
      <c r="D6" s="126"/>
      <c r="E6" s="127"/>
      <c r="F6" s="128"/>
      <c r="G6" s="129"/>
      <c r="H6" s="127"/>
      <c r="I6" s="127"/>
      <c r="J6" s="130"/>
      <c r="K6" s="120"/>
      <c r="L6" s="121"/>
    </row>
    <row r="7" spans="1:14" s="122" customFormat="1" ht="12.75" x14ac:dyDescent="0.2">
      <c r="A7" s="118"/>
      <c r="B7" s="124"/>
      <c r="C7" s="125" t="str">
        <f>'Planilha Orçamentaria'!A10</f>
        <v>ESCOLA:  E.M.E.F. IZAURA DOMINGAS COSTA</v>
      </c>
      <c r="D7" s="126"/>
      <c r="E7" s="127"/>
      <c r="F7" s="128"/>
      <c r="G7" s="129"/>
      <c r="H7" s="127"/>
      <c r="I7" s="127"/>
      <c r="J7" s="130"/>
      <c r="K7" s="120"/>
      <c r="L7" s="121"/>
    </row>
    <row r="8" spans="1:14" s="122" customFormat="1" ht="12.75" x14ac:dyDescent="0.2">
      <c r="A8" s="118"/>
      <c r="B8" s="124"/>
      <c r="C8" s="125" t="str">
        <f>'Planilha Orçamentaria'!A11</f>
        <v>LOCAL: BELA VISTA</v>
      </c>
      <c r="D8" s="126"/>
      <c r="E8" s="127"/>
      <c r="F8" s="128"/>
      <c r="G8" s="129"/>
      <c r="H8" s="127"/>
      <c r="I8" s="127"/>
      <c r="J8" s="130"/>
      <c r="K8" s="120"/>
      <c r="L8" s="121"/>
    </row>
    <row r="9" spans="1:14" s="122" customFormat="1" ht="15" customHeight="1" x14ac:dyDescent="0.2">
      <c r="A9" s="118"/>
      <c r="B9" s="124"/>
      <c r="C9" s="125" t="str">
        <f>'Planilha Orçamentaria'!A12</f>
        <v>PRAZO DE EXECUÇÃO:  120 DIAS</v>
      </c>
      <c r="D9" s="131"/>
      <c r="E9" s="132"/>
      <c r="F9" s="133"/>
      <c r="G9" s="134"/>
      <c r="H9" s="135"/>
      <c r="I9" s="135"/>
      <c r="J9" s="136"/>
      <c r="K9" s="120"/>
      <c r="L9" s="121"/>
      <c r="N9" s="122">
        <v>0.125</v>
      </c>
    </row>
    <row r="10" spans="1:14" s="122" customFormat="1" ht="15" customHeight="1" x14ac:dyDescent="0.2">
      <c r="A10" s="118"/>
      <c r="B10" s="124"/>
      <c r="C10" s="125"/>
      <c r="D10" s="131"/>
      <c r="E10" s="132"/>
      <c r="F10" s="133"/>
      <c r="G10" s="134"/>
      <c r="H10" s="135"/>
      <c r="I10" s="135"/>
      <c r="J10" s="136"/>
      <c r="K10" s="120"/>
      <c r="L10" s="121"/>
    </row>
    <row r="11" spans="1:14" s="122" customFormat="1" ht="15" customHeight="1" x14ac:dyDescent="0.2">
      <c r="A11" s="118"/>
      <c r="B11" s="124"/>
      <c r="C11" s="658" t="s">
        <v>405</v>
      </c>
      <c r="D11" s="658"/>
      <c r="E11" s="658"/>
      <c r="F11" s="658"/>
      <c r="G11" s="658"/>
      <c r="H11" s="658"/>
      <c r="I11" s="658"/>
      <c r="J11" s="136"/>
      <c r="K11" s="120"/>
      <c r="L11" s="121"/>
      <c r="N11" s="137">
        <v>1</v>
      </c>
    </row>
    <row r="12" spans="1:14" s="147" customFormat="1" ht="9.75" customHeight="1" x14ac:dyDescent="0.2">
      <c r="A12" s="138"/>
      <c r="B12" s="124"/>
      <c r="C12" s="139"/>
      <c r="D12" s="140"/>
      <c r="E12" s="141"/>
      <c r="F12" s="142"/>
      <c r="G12" s="143"/>
      <c r="H12" s="141"/>
      <c r="I12" s="141"/>
      <c r="J12" s="144"/>
      <c r="K12" s="145">
        <v>0.23400000000000001</v>
      </c>
      <c r="L12" s="146">
        <f>'Enc. Soc. (Horista)'!C50</f>
        <v>148.42458427956456</v>
      </c>
    </row>
    <row r="13" spans="1:14" s="138" customFormat="1" ht="25.5" customHeight="1" x14ac:dyDescent="0.2">
      <c r="A13" s="659"/>
      <c r="B13" s="660" t="s">
        <v>325</v>
      </c>
      <c r="C13" s="661" t="s">
        <v>406</v>
      </c>
      <c r="D13" s="662" t="s">
        <v>407</v>
      </c>
      <c r="E13" s="663" t="s">
        <v>408</v>
      </c>
      <c r="F13" s="149"/>
      <c r="G13" s="664" t="s">
        <v>409</v>
      </c>
      <c r="H13" s="665" t="s">
        <v>410</v>
      </c>
      <c r="I13" s="665"/>
      <c r="J13" s="150"/>
      <c r="K13" s="150" t="s">
        <v>411</v>
      </c>
      <c r="L13" s="151" t="s">
        <v>412</v>
      </c>
    </row>
    <row r="14" spans="1:14" s="147" customFormat="1" x14ac:dyDescent="0.2">
      <c r="A14" s="659"/>
      <c r="B14" s="660"/>
      <c r="C14" s="661"/>
      <c r="D14" s="662"/>
      <c r="E14" s="663"/>
      <c r="F14" s="149"/>
      <c r="G14" s="664"/>
      <c r="H14" s="152" t="s">
        <v>413</v>
      </c>
      <c r="I14" s="152" t="s">
        <v>414</v>
      </c>
      <c r="J14" s="144"/>
      <c r="K14" s="159">
        <v>0.23400000000000001</v>
      </c>
      <c r="L14" s="153">
        <v>1.4842</v>
      </c>
    </row>
    <row r="15" spans="1:14" s="147" customFormat="1" x14ac:dyDescent="0.2">
      <c r="A15" s="188"/>
      <c r="B15" s="174" t="str">
        <f>'Planilha Orçamentaria'!A18</f>
        <v>1.1</v>
      </c>
      <c r="C15" s="156" t="str">
        <f>'Planilha Orçamentaria'!C18</f>
        <v>Barracão de madeira (incl. instalações)</v>
      </c>
      <c r="D15" s="228" t="s">
        <v>1</v>
      </c>
      <c r="E15" s="135"/>
      <c r="F15" s="133"/>
      <c r="G15" s="158"/>
      <c r="H15" s="135"/>
      <c r="I15" s="135"/>
      <c r="J15" s="144"/>
      <c r="K15" s="159">
        <v>0.23400000000000001</v>
      </c>
      <c r="L15" s="167">
        <f t="shared" ref="L15:L51" si="0">L14</f>
        <v>1.4842</v>
      </c>
    </row>
    <row r="16" spans="1:14" s="147" customFormat="1" ht="25.5" x14ac:dyDescent="0.2">
      <c r="A16" s="138"/>
      <c r="B16" s="124"/>
      <c r="C16" s="169" t="s">
        <v>441</v>
      </c>
      <c r="D16" s="157" t="s">
        <v>442</v>
      </c>
      <c r="E16" s="135">
        <f>F16*N11</f>
        <v>365.63400000000001</v>
      </c>
      <c r="F16" s="133">
        <v>365.63400000000001</v>
      </c>
      <c r="G16" s="158">
        <v>1.4999999999999999E-2</v>
      </c>
      <c r="H16" s="135"/>
      <c r="I16" s="135">
        <f>E16*G16</f>
        <v>5.4845100000000002</v>
      </c>
      <c r="J16" s="144"/>
      <c r="K16" s="159">
        <v>0.23400000000000001</v>
      </c>
      <c r="L16" s="167">
        <f t="shared" si="0"/>
        <v>1.4842</v>
      </c>
    </row>
    <row r="17" spans="1:12" s="147" customFormat="1" x14ac:dyDescent="0.2">
      <c r="A17" s="138"/>
      <c r="B17" s="124"/>
      <c r="C17" s="169" t="s">
        <v>443</v>
      </c>
      <c r="D17" s="157" t="s">
        <v>444</v>
      </c>
      <c r="E17" s="135">
        <f>F17*N11</f>
        <v>30.9</v>
      </c>
      <c r="F17" s="133">
        <v>30.9</v>
      </c>
      <c r="G17" s="158">
        <v>1.02</v>
      </c>
      <c r="H17" s="135"/>
      <c r="I17" s="135">
        <f>E17*G17</f>
        <v>31.518000000000001</v>
      </c>
      <c r="J17" s="144"/>
      <c r="K17" s="159">
        <v>0.23400000000000001</v>
      </c>
      <c r="L17" s="167">
        <f t="shared" si="0"/>
        <v>1.4842</v>
      </c>
    </row>
    <row r="18" spans="1:12" s="147" customFormat="1" ht="25.5" x14ac:dyDescent="0.2">
      <c r="A18" s="138"/>
      <c r="B18" s="124"/>
      <c r="C18" s="169" t="s">
        <v>445</v>
      </c>
      <c r="D18" s="157" t="s">
        <v>444</v>
      </c>
      <c r="E18" s="135">
        <f>F18*N11</f>
        <v>27.46</v>
      </c>
      <c r="F18" s="133">
        <v>27.46</v>
      </c>
      <c r="G18" s="158">
        <v>1</v>
      </c>
      <c r="H18" s="135"/>
      <c r="I18" s="135">
        <f>E18*G18</f>
        <v>27.46</v>
      </c>
      <c r="J18" s="144"/>
      <c r="K18" s="159">
        <v>0.23400000000000001</v>
      </c>
      <c r="L18" s="167">
        <f t="shared" si="0"/>
        <v>1.4842</v>
      </c>
    </row>
    <row r="19" spans="1:12" s="147" customFormat="1" x14ac:dyDescent="0.2">
      <c r="A19" s="138"/>
      <c r="B19" s="124"/>
      <c r="C19" s="169" t="s">
        <v>446</v>
      </c>
      <c r="D19" s="157" t="s">
        <v>442</v>
      </c>
      <c r="E19" s="135">
        <f>F19*N11</f>
        <v>82.16</v>
      </c>
      <c r="F19" s="133">
        <v>82.16</v>
      </c>
      <c r="G19" s="158">
        <v>1.4999999999999999E-2</v>
      </c>
      <c r="H19" s="135"/>
      <c r="I19" s="135">
        <f>E19*G19</f>
        <v>1.2323999999999999</v>
      </c>
      <c r="J19" s="144"/>
      <c r="K19" s="159">
        <v>0.23400000000000001</v>
      </c>
      <c r="L19" s="167">
        <f t="shared" si="0"/>
        <v>1.4842</v>
      </c>
    </row>
    <row r="20" spans="1:12" s="147" customFormat="1" ht="25.5" x14ac:dyDescent="0.2">
      <c r="A20" s="138"/>
      <c r="B20" s="582" t="s">
        <v>680</v>
      </c>
      <c r="C20" s="169" t="s">
        <v>447</v>
      </c>
      <c r="D20" s="157" t="s">
        <v>444</v>
      </c>
      <c r="E20" s="135">
        <f>F20*N11</f>
        <v>19.34</v>
      </c>
      <c r="F20" s="133">
        <v>19.34</v>
      </c>
      <c r="G20" s="158">
        <v>0.38600000000000001</v>
      </c>
      <c r="H20" s="135"/>
      <c r="I20" s="135">
        <f t="shared" ref="I20:I28" si="1">E20*G19</f>
        <v>0.29009999999999997</v>
      </c>
      <c r="J20" s="144"/>
      <c r="K20" s="159">
        <v>0.23400000000000001</v>
      </c>
      <c r="L20" s="167">
        <f t="shared" si="0"/>
        <v>1.4842</v>
      </c>
    </row>
    <row r="21" spans="1:12" s="147" customFormat="1" ht="38.25" x14ac:dyDescent="0.2">
      <c r="A21" s="138"/>
      <c r="B21" s="124"/>
      <c r="C21" s="169" t="s">
        <v>448</v>
      </c>
      <c r="D21" s="157" t="s">
        <v>5</v>
      </c>
      <c r="E21" s="135">
        <f>F21*N11</f>
        <v>0.14000000000000001</v>
      </c>
      <c r="F21" s="133">
        <v>0.14000000000000001</v>
      </c>
      <c r="G21" s="158">
        <v>0.214</v>
      </c>
      <c r="H21" s="135"/>
      <c r="I21" s="135">
        <f t="shared" si="1"/>
        <v>5.4040000000000005E-2</v>
      </c>
      <c r="J21" s="144"/>
      <c r="K21" s="159">
        <v>0.23400000000000001</v>
      </c>
      <c r="L21" s="167">
        <f t="shared" si="0"/>
        <v>1.4842</v>
      </c>
    </row>
    <row r="22" spans="1:12" s="147" customFormat="1" x14ac:dyDescent="0.2">
      <c r="A22" s="138"/>
      <c r="B22" s="124"/>
      <c r="C22" s="169" t="s">
        <v>449</v>
      </c>
      <c r="D22" s="157" t="s">
        <v>97</v>
      </c>
      <c r="E22" s="135">
        <f>F22*N11</f>
        <v>7.69</v>
      </c>
      <c r="F22" s="133">
        <v>7.69</v>
      </c>
      <c r="G22" s="158">
        <v>5.7000000000000002E-3</v>
      </c>
      <c r="H22" s="135"/>
      <c r="I22" s="135">
        <f t="shared" si="1"/>
        <v>1.6456600000000001</v>
      </c>
      <c r="J22" s="144"/>
      <c r="K22" s="159">
        <v>0.23400000000000001</v>
      </c>
      <c r="L22" s="167">
        <f t="shared" si="0"/>
        <v>1.4842</v>
      </c>
    </row>
    <row r="23" spans="1:12" s="147" customFormat="1" ht="25.5" x14ac:dyDescent="0.2">
      <c r="A23" s="138"/>
      <c r="B23" s="124"/>
      <c r="C23" s="169" t="s">
        <v>450</v>
      </c>
      <c r="D23" s="157" t="s">
        <v>2</v>
      </c>
      <c r="E23" s="135">
        <f>F23*N11</f>
        <v>6.07</v>
      </c>
      <c r="F23" s="133">
        <v>6.07</v>
      </c>
      <c r="G23" s="158">
        <v>0.7</v>
      </c>
      <c r="H23" s="135"/>
      <c r="I23" s="135">
        <f t="shared" si="1"/>
        <v>3.4599000000000005E-2</v>
      </c>
      <c r="J23" s="144"/>
      <c r="K23" s="159">
        <v>0.23400000000000001</v>
      </c>
      <c r="L23" s="167">
        <f t="shared" si="0"/>
        <v>1.4842</v>
      </c>
    </row>
    <row r="24" spans="1:12" s="147" customFormat="1" ht="38.25" x14ac:dyDescent="0.2">
      <c r="A24" s="138"/>
      <c r="B24" s="124"/>
      <c r="C24" s="169" t="s">
        <v>451</v>
      </c>
      <c r="D24" s="157" t="s">
        <v>2</v>
      </c>
      <c r="E24" s="135">
        <f>F24*N11</f>
        <v>3.32</v>
      </c>
      <c r="F24" s="133">
        <v>3.32</v>
      </c>
      <c r="G24" s="158">
        <v>0.9</v>
      </c>
      <c r="H24" s="135"/>
      <c r="I24" s="135">
        <f t="shared" si="1"/>
        <v>2.3239999999999998</v>
      </c>
      <c r="J24" s="144"/>
      <c r="K24" s="159">
        <v>0.23400000000000001</v>
      </c>
      <c r="L24" s="167">
        <f t="shared" si="0"/>
        <v>1.4842</v>
      </c>
    </row>
    <row r="25" spans="1:12" s="147" customFormat="1" x14ac:dyDescent="0.2">
      <c r="A25" s="138"/>
      <c r="B25" s="124"/>
      <c r="C25" s="169" t="s">
        <v>422</v>
      </c>
      <c r="D25" s="157" t="s">
        <v>452</v>
      </c>
      <c r="E25" s="135">
        <f>F25*N11</f>
        <v>7.21</v>
      </c>
      <c r="F25" s="133">
        <v>7.21</v>
      </c>
      <c r="G25" s="158">
        <v>0.1</v>
      </c>
      <c r="H25" s="135"/>
      <c r="I25" s="135">
        <f t="shared" si="1"/>
        <v>6.4889999999999999</v>
      </c>
      <c r="J25" s="144"/>
      <c r="K25" s="159">
        <v>0.23400000000000001</v>
      </c>
      <c r="L25" s="167">
        <f t="shared" si="0"/>
        <v>1.4842</v>
      </c>
    </row>
    <row r="26" spans="1:12" s="147" customFormat="1" ht="25.5" x14ac:dyDescent="0.2">
      <c r="A26" s="138"/>
      <c r="B26" s="124"/>
      <c r="C26" s="169" t="s">
        <v>453</v>
      </c>
      <c r="D26" s="157" t="s">
        <v>97</v>
      </c>
      <c r="E26" s="135">
        <f>F26*N11</f>
        <v>17.62</v>
      </c>
      <c r="F26" s="133">
        <v>17.62</v>
      </c>
      <c r="G26" s="158">
        <v>5.7999999999999996E-3</v>
      </c>
      <c r="H26" s="135"/>
      <c r="I26" s="135">
        <f t="shared" si="1"/>
        <v>1.7620000000000002</v>
      </c>
      <c r="J26" s="144"/>
      <c r="K26" s="159">
        <v>0.23400000000000001</v>
      </c>
      <c r="L26" s="167">
        <f t="shared" si="0"/>
        <v>1.4842</v>
      </c>
    </row>
    <row r="27" spans="1:12" s="147" customFormat="1" x14ac:dyDescent="0.2">
      <c r="A27" s="138"/>
      <c r="B27" s="124"/>
      <c r="C27" s="169" t="s">
        <v>454</v>
      </c>
      <c r="D27" s="157" t="s">
        <v>97</v>
      </c>
      <c r="E27" s="135">
        <f>F27*N11</f>
        <v>5.28</v>
      </c>
      <c r="F27" s="133">
        <v>5.28</v>
      </c>
      <c r="G27" s="158">
        <v>5.7999999999999996E-3</v>
      </c>
      <c r="H27" s="135"/>
      <c r="I27" s="135">
        <f t="shared" si="1"/>
        <v>3.0623999999999998E-2</v>
      </c>
      <c r="J27" s="144"/>
      <c r="K27" s="159">
        <v>0.23400000000000001</v>
      </c>
      <c r="L27" s="167">
        <f t="shared" si="0"/>
        <v>1.4842</v>
      </c>
    </row>
    <row r="28" spans="1:12" s="147" customFormat="1" ht="25.5" x14ac:dyDescent="0.2">
      <c r="A28" s="138"/>
      <c r="B28" s="124"/>
      <c r="C28" s="169" t="s">
        <v>455</v>
      </c>
      <c r="D28" s="157" t="s">
        <v>1</v>
      </c>
      <c r="E28" s="135">
        <f>F28*N11</f>
        <v>20.82</v>
      </c>
      <c r="F28" s="133">
        <v>20.82</v>
      </c>
      <c r="G28" s="158">
        <v>0.318</v>
      </c>
      <c r="H28" s="135"/>
      <c r="I28" s="135">
        <f t="shared" si="1"/>
        <v>0.12075599999999999</v>
      </c>
      <c r="J28" s="144"/>
      <c r="K28" s="159">
        <v>0.23400000000000001</v>
      </c>
      <c r="L28" s="167">
        <f t="shared" si="0"/>
        <v>1.4842</v>
      </c>
    </row>
    <row r="29" spans="1:12" s="147" customFormat="1" x14ac:dyDescent="0.2">
      <c r="A29" s="138"/>
      <c r="B29" s="124"/>
      <c r="C29" s="169" t="s">
        <v>456</v>
      </c>
      <c r="D29" s="157" t="s">
        <v>444</v>
      </c>
      <c r="E29" s="135">
        <f>F29*N11</f>
        <v>60.5</v>
      </c>
      <c r="F29" s="133">
        <v>60.5</v>
      </c>
      <c r="G29" s="158">
        <v>2.3E-2</v>
      </c>
      <c r="H29" s="135"/>
      <c r="I29" s="135">
        <f t="shared" ref="I29:I41" si="2">E29*G25</f>
        <v>6.0500000000000007</v>
      </c>
      <c r="J29" s="144"/>
      <c r="K29" s="159">
        <v>0.23400000000000001</v>
      </c>
      <c r="L29" s="167">
        <f t="shared" si="0"/>
        <v>1.4842</v>
      </c>
    </row>
    <row r="30" spans="1:12" s="147" customFormat="1" ht="25.5" x14ac:dyDescent="0.2">
      <c r="A30" s="138"/>
      <c r="B30" s="124"/>
      <c r="C30" s="169" t="s">
        <v>457</v>
      </c>
      <c r="D30" s="157" t="s">
        <v>97</v>
      </c>
      <c r="E30" s="135">
        <f>F30*N11</f>
        <v>76.38</v>
      </c>
      <c r="F30" s="133">
        <v>76.38</v>
      </c>
      <c r="G30" s="158">
        <v>1.15E-2</v>
      </c>
      <c r="H30" s="135"/>
      <c r="I30" s="135">
        <f t="shared" si="2"/>
        <v>0.44300399999999995</v>
      </c>
      <c r="J30" s="144"/>
      <c r="K30" s="159">
        <v>0.23400000000000001</v>
      </c>
      <c r="L30" s="167">
        <f t="shared" si="0"/>
        <v>1.4842</v>
      </c>
    </row>
    <row r="31" spans="1:12" s="147" customFormat="1" ht="25.5" x14ac:dyDescent="0.2">
      <c r="A31" s="138"/>
      <c r="B31" s="124"/>
      <c r="C31" s="169" t="s">
        <v>458</v>
      </c>
      <c r="D31" s="157" t="s">
        <v>2</v>
      </c>
      <c r="E31" s="135">
        <f>F31*N11</f>
        <v>4.9400000000000004</v>
      </c>
      <c r="F31" s="133">
        <v>4.9400000000000004</v>
      </c>
      <c r="G31" s="158">
        <v>0.25</v>
      </c>
      <c r="H31" s="135"/>
      <c r="I31" s="135">
        <f t="shared" si="2"/>
        <v>2.8652E-2</v>
      </c>
      <c r="J31" s="144"/>
      <c r="K31" s="159">
        <v>0.23400000000000001</v>
      </c>
      <c r="L31" s="167">
        <f t="shared" si="0"/>
        <v>1.4842</v>
      </c>
    </row>
    <row r="32" spans="1:12" s="147" customFormat="1" ht="24" customHeight="1" x14ac:dyDescent="0.2">
      <c r="A32" s="138"/>
      <c r="B32" s="124"/>
      <c r="C32" s="169" t="s">
        <v>459</v>
      </c>
      <c r="D32" s="157" t="s">
        <v>452</v>
      </c>
      <c r="E32" s="135">
        <f>F32*N11</f>
        <v>3.18</v>
      </c>
      <c r="F32" s="133">
        <v>3.18</v>
      </c>
      <c r="G32" s="158">
        <v>0.30299999999999999</v>
      </c>
      <c r="H32" s="135"/>
      <c r="I32" s="135">
        <f t="shared" si="2"/>
        <v>1.0112400000000001</v>
      </c>
      <c r="J32" s="144"/>
      <c r="K32" s="159">
        <v>0.23400000000000001</v>
      </c>
      <c r="L32" s="167">
        <f t="shared" si="0"/>
        <v>1.4842</v>
      </c>
    </row>
    <row r="33" spans="1:12" s="147" customFormat="1" ht="25.5" x14ac:dyDescent="0.2">
      <c r="A33" s="138"/>
      <c r="B33" s="124"/>
      <c r="C33" s="169" t="s">
        <v>460</v>
      </c>
      <c r="D33" s="157" t="s">
        <v>97</v>
      </c>
      <c r="E33" s="135">
        <f>F33*N11</f>
        <v>0.04</v>
      </c>
      <c r="F33" s="133">
        <v>0.04</v>
      </c>
      <c r="G33" s="158">
        <v>1.28</v>
      </c>
      <c r="H33" s="135"/>
      <c r="I33" s="135">
        <f t="shared" si="2"/>
        <v>9.2000000000000003E-4</v>
      </c>
      <c r="J33" s="144"/>
      <c r="K33" s="159">
        <v>0.23400000000000001</v>
      </c>
      <c r="L33" s="167">
        <f t="shared" si="0"/>
        <v>1.4842</v>
      </c>
    </row>
    <row r="34" spans="1:12" s="147" customFormat="1" x14ac:dyDescent="0.2">
      <c r="A34" s="138"/>
      <c r="B34" s="124"/>
      <c r="C34" s="169" t="s">
        <v>461</v>
      </c>
      <c r="D34" s="157" t="s">
        <v>97</v>
      </c>
      <c r="E34" s="135">
        <f>F34*N11</f>
        <v>3.42</v>
      </c>
      <c r="F34" s="133">
        <v>3.42</v>
      </c>
      <c r="G34" s="158">
        <v>3.4599999999999999E-2</v>
      </c>
      <c r="H34" s="135"/>
      <c r="I34" s="135">
        <f t="shared" si="2"/>
        <v>3.9329999999999997E-2</v>
      </c>
      <c r="J34" s="144"/>
      <c r="K34" s="159">
        <v>0.23400000000000001</v>
      </c>
      <c r="L34" s="167">
        <f t="shared" si="0"/>
        <v>1.4842</v>
      </c>
    </row>
    <row r="35" spans="1:12" s="147" customFormat="1" ht="19.5" customHeight="1" x14ac:dyDescent="0.2">
      <c r="A35" s="138"/>
      <c r="B35" s="124"/>
      <c r="C35" s="169" t="s">
        <v>462</v>
      </c>
      <c r="D35" s="157" t="s">
        <v>97</v>
      </c>
      <c r="E35" s="135">
        <f>F35*N11</f>
        <v>8.99</v>
      </c>
      <c r="F35" s="133">
        <v>8.99</v>
      </c>
      <c r="G35" s="158">
        <v>5.7999999999999996E-3</v>
      </c>
      <c r="H35" s="135"/>
      <c r="I35" s="135">
        <f t="shared" si="2"/>
        <v>2.2475000000000001</v>
      </c>
      <c r="J35" s="144"/>
      <c r="K35" s="159">
        <v>0.23400000000000001</v>
      </c>
      <c r="L35" s="167">
        <f t="shared" si="0"/>
        <v>1.4842</v>
      </c>
    </row>
    <row r="36" spans="1:12" s="147" customFormat="1" ht="25.5" x14ac:dyDescent="0.2">
      <c r="A36" s="138"/>
      <c r="B36" s="124"/>
      <c r="C36" s="169" t="s">
        <v>463</v>
      </c>
      <c r="D36" s="157" t="s">
        <v>2</v>
      </c>
      <c r="E36" s="135">
        <f>F36*N11</f>
        <v>2.52</v>
      </c>
      <c r="F36" s="133">
        <v>2.52</v>
      </c>
      <c r="G36" s="143">
        <v>0.53600000000000003</v>
      </c>
      <c r="H36" s="135"/>
      <c r="I36" s="135">
        <f t="shared" si="2"/>
        <v>0.76356000000000002</v>
      </c>
      <c r="J36" s="144"/>
      <c r="K36" s="159">
        <v>0.23400000000000001</v>
      </c>
      <c r="L36" s="167">
        <f t="shared" si="0"/>
        <v>1.4842</v>
      </c>
    </row>
    <row r="37" spans="1:12" s="147" customFormat="1" ht="25.5" x14ac:dyDescent="0.2">
      <c r="A37" s="138"/>
      <c r="B37" s="124"/>
      <c r="C37" s="169" t="s">
        <v>464</v>
      </c>
      <c r="D37" s="157" t="s">
        <v>97</v>
      </c>
      <c r="E37" s="135">
        <f>F37*N11</f>
        <v>3.75</v>
      </c>
      <c r="F37" s="133">
        <v>3.75</v>
      </c>
      <c r="G37" s="143">
        <v>2.3E-2</v>
      </c>
      <c r="H37" s="135"/>
      <c r="I37" s="135">
        <f t="shared" si="2"/>
        <v>4.8</v>
      </c>
      <c r="J37" s="144"/>
      <c r="K37" s="159">
        <v>0.23400000000000001</v>
      </c>
      <c r="L37" s="167">
        <f t="shared" si="0"/>
        <v>1.4842</v>
      </c>
    </row>
    <row r="38" spans="1:12" s="147" customFormat="1" ht="25.5" x14ac:dyDescent="0.2">
      <c r="A38" s="138"/>
      <c r="B38" s="124"/>
      <c r="C38" s="169" t="s">
        <v>465</v>
      </c>
      <c r="D38" s="157" t="s">
        <v>97</v>
      </c>
      <c r="E38" s="135">
        <f>F38*N11</f>
        <v>8.49</v>
      </c>
      <c r="F38" s="133">
        <v>8.49</v>
      </c>
      <c r="G38" s="143">
        <v>2.1999999999999999E-2</v>
      </c>
      <c r="H38" s="135"/>
      <c r="I38" s="135">
        <f t="shared" si="2"/>
        <v>0.29375400000000002</v>
      </c>
      <c r="J38" s="144"/>
      <c r="K38" s="159">
        <v>0.23400000000000001</v>
      </c>
      <c r="L38" s="167">
        <f t="shared" si="0"/>
        <v>1.4842</v>
      </c>
    </row>
    <row r="39" spans="1:12" s="147" customFormat="1" x14ac:dyDescent="0.2">
      <c r="A39" s="138"/>
      <c r="B39" s="124"/>
      <c r="C39" s="169" t="s">
        <v>466</v>
      </c>
      <c r="D39" s="157" t="s">
        <v>97</v>
      </c>
      <c r="E39" s="135">
        <f>F39*N11</f>
        <v>2.2599999999999998</v>
      </c>
      <c r="F39" s="133">
        <v>2.2599999999999998</v>
      </c>
      <c r="G39" s="143">
        <v>4.6100000000000002E-2</v>
      </c>
      <c r="H39" s="135"/>
      <c r="I39" s="135">
        <f t="shared" si="2"/>
        <v>1.3107999999999998E-2</v>
      </c>
      <c r="J39" s="144"/>
      <c r="K39" s="159">
        <v>0.23400000000000001</v>
      </c>
      <c r="L39" s="167">
        <f t="shared" si="0"/>
        <v>1.4842</v>
      </c>
    </row>
    <row r="40" spans="1:12" s="147" customFormat="1" x14ac:dyDescent="0.2">
      <c r="A40" s="138"/>
      <c r="B40" s="124"/>
      <c r="C40" s="169" t="s">
        <v>467</v>
      </c>
      <c r="D40" s="157" t="s">
        <v>97</v>
      </c>
      <c r="E40" s="135">
        <f>F40*N11</f>
        <v>11.73</v>
      </c>
      <c r="F40" s="133">
        <v>11.73</v>
      </c>
      <c r="G40" s="158">
        <v>4.6100000000000002E-2</v>
      </c>
      <c r="H40" s="135"/>
      <c r="I40" s="135">
        <f t="shared" si="2"/>
        <v>6.2872800000000009</v>
      </c>
      <c r="J40" s="144"/>
      <c r="K40" s="159">
        <v>0.23400000000000001</v>
      </c>
      <c r="L40" s="167">
        <f t="shared" si="0"/>
        <v>1.4842</v>
      </c>
    </row>
    <row r="41" spans="1:12" x14ac:dyDescent="0.25">
      <c r="C41" s="189" t="s">
        <v>468</v>
      </c>
      <c r="D41" s="157" t="s">
        <v>97</v>
      </c>
      <c r="E41" s="135">
        <f>F41*N11</f>
        <v>1.22</v>
      </c>
      <c r="F41" s="190">
        <v>1.22</v>
      </c>
      <c r="G41" s="191">
        <v>2.4E-2</v>
      </c>
      <c r="I41" s="135">
        <f t="shared" si="2"/>
        <v>2.8059999999999998E-2</v>
      </c>
      <c r="K41" s="159">
        <v>0.23400000000000001</v>
      </c>
      <c r="L41" s="167">
        <f t="shared" si="0"/>
        <v>1.4842</v>
      </c>
    </row>
    <row r="42" spans="1:12" s="147" customFormat="1" x14ac:dyDescent="0.2">
      <c r="A42" s="138"/>
      <c r="B42" s="124"/>
      <c r="C42" s="169" t="s">
        <v>432</v>
      </c>
      <c r="D42" s="157" t="s">
        <v>425</v>
      </c>
      <c r="E42" s="135">
        <f>5.21*N11</f>
        <v>5.21</v>
      </c>
      <c r="F42" s="133"/>
      <c r="G42" s="158">
        <v>4.4790000000000001</v>
      </c>
      <c r="H42" s="135">
        <f>E42*G42</f>
        <v>23.33559</v>
      </c>
      <c r="I42" s="141"/>
      <c r="J42" s="144"/>
      <c r="K42" s="159">
        <v>0.23400000000000001</v>
      </c>
      <c r="L42" s="167">
        <f t="shared" si="0"/>
        <v>1.4842</v>
      </c>
    </row>
    <row r="43" spans="1:12" s="147" customFormat="1" x14ac:dyDescent="0.2">
      <c r="A43" s="138"/>
      <c r="B43" s="124"/>
      <c r="C43" s="169" t="s">
        <v>469</v>
      </c>
      <c r="D43" s="157" t="s">
        <v>425</v>
      </c>
      <c r="E43" s="135">
        <f>5.21*N11</f>
        <v>5.21</v>
      </c>
      <c r="F43" s="133"/>
      <c r="G43" s="158">
        <v>2.2999999999999998</v>
      </c>
      <c r="H43" s="135">
        <f>E43*G43</f>
        <v>11.982999999999999</v>
      </c>
      <c r="I43" s="141"/>
      <c r="J43" s="144"/>
      <c r="K43" s="159">
        <v>0.23400000000000001</v>
      </c>
      <c r="L43" s="167">
        <f t="shared" si="0"/>
        <v>1.4842</v>
      </c>
    </row>
    <row r="44" spans="1:12" s="147" customFormat="1" x14ac:dyDescent="0.2">
      <c r="A44" s="138"/>
      <c r="B44" s="124"/>
      <c r="C44" s="169" t="s">
        <v>470</v>
      </c>
      <c r="D44" s="157" t="s">
        <v>425</v>
      </c>
      <c r="E44" s="135">
        <f>5.21*N11</f>
        <v>5.21</v>
      </c>
      <c r="F44" s="133"/>
      <c r="G44" s="158">
        <v>2.2999999999999998</v>
      </c>
      <c r="H44" s="135">
        <f>E44*G44</f>
        <v>11.982999999999999</v>
      </c>
      <c r="I44" s="141"/>
      <c r="J44" s="144"/>
      <c r="K44" s="159">
        <v>0.23400000000000001</v>
      </c>
      <c r="L44" s="167">
        <f t="shared" si="0"/>
        <v>1.4842</v>
      </c>
    </row>
    <row r="45" spans="1:12" s="147" customFormat="1" x14ac:dyDescent="0.2">
      <c r="A45" s="138"/>
      <c r="B45" s="124"/>
      <c r="C45" s="169" t="s">
        <v>471</v>
      </c>
      <c r="D45" s="157" t="s">
        <v>425</v>
      </c>
      <c r="E45" s="135">
        <f>4.15*N11</f>
        <v>4.1500000000000004</v>
      </c>
      <c r="F45" s="133"/>
      <c r="G45" s="158">
        <v>2.2999999999999998</v>
      </c>
      <c r="H45" s="135">
        <f>E45*G45</f>
        <v>9.5449999999999999</v>
      </c>
      <c r="I45" s="141"/>
      <c r="J45" s="144"/>
      <c r="K45" s="159">
        <v>0.23400000000000001</v>
      </c>
      <c r="L45" s="167">
        <f t="shared" si="0"/>
        <v>1.4842</v>
      </c>
    </row>
    <row r="46" spans="1:12" s="147" customFormat="1" x14ac:dyDescent="0.2">
      <c r="A46" s="138"/>
      <c r="B46" s="124"/>
      <c r="C46" s="169" t="s">
        <v>434</v>
      </c>
      <c r="D46" s="157" t="s">
        <v>425</v>
      </c>
      <c r="E46" s="135">
        <f>3.77*N11</f>
        <v>3.77</v>
      </c>
      <c r="F46" s="133"/>
      <c r="G46" s="158">
        <v>4.47</v>
      </c>
      <c r="H46" s="135">
        <f>E46*G46</f>
        <v>16.851900000000001</v>
      </c>
      <c r="I46" s="141"/>
      <c r="J46" s="144"/>
      <c r="K46" s="159">
        <v>0.23400000000000001</v>
      </c>
      <c r="L46" s="167">
        <f t="shared" si="0"/>
        <v>1.4842</v>
      </c>
    </row>
    <row r="47" spans="1:12" s="147" customFormat="1" x14ac:dyDescent="0.2">
      <c r="A47" s="138"/>
      <c r="B47" s="124"/>
      <c r="C47" s="169"/>
      <c r="D47" s="157"/>
      <c r="E47" s="135"/>
      <c r="F47" s="133"/>
      <c r="G47" s="158"/>
      <c r="H47" s="135"/>
      <c r="I47" s="135"/>
      <c r="J47" s="144"/>
      <c r="K47" s="159">
        <v>0.23400000000000001</v>
      </c>
      <c r="L47" s="167">
        <f t="shared" si="0"/>
        <v>1.4842</v>
      </c>
    </row>
    <row r="48" spans="1:12" s="147" customFormat="1" x14ac:dyDescent="0.2">
      <c r="A48" s="138"/>
      <c r="B48" s="124"/>
      <c r="C48" s="169"/>
      <c r="D48" s="157"/>
      <c r="E48" s="653" t="s">
        <v>427</v>
      </c>
      <c r="F48" s="653"/>
      <c r="G48" s="653"/>
      <c r="H48" s="172">
        <f>SUM(H16:H47)</f>
        <v>73.698489999999993</v>
      </c>
      <c r="I48" s="172">
        <f>SUM(I16:I47)</f>
        <v>100.45209700000001</v>
      </c>
      <c r="J48" s="144"/>
      <c r="K48" s="159">
        <v>0.23400000000000001</v>
      </c>
      <c r="L48" s="167">
        <f t="shared" si="0"/>
        <v>1.4842</v>
      </c>
    </row>
    <row r="49" spans="1:14" s="147" customFormat="1" x14ac:dyDescent="0.2">
      <c r="A49" s="138"/>
      <c r="B49" s="124"/>
      <c r="C49" s="169"/>
      <c r="D49" s="157"/>
      <c r="E49" s="653" t="s">
        <v>428</v>
      </c>
      <c r="F49" s="653"/>
      <c r="G49" s="653"/>
      <c r="H49" s="135">
        <f>H48*L49</f>
        <v>109.38329885799999</v>
      </c>
      <c r="I49" s="141"/>
      <c r="J49" s="144"/>
      <c r="K49" s="159">
        <v>0.23400000000000001</v>
      </c>
      <c r="L49" s="167">
        <f t="shared" si="0"/>
        <v>1.4842</v>
      </c>
    </row>
    <row r="50" spans="1:14" s="147" customFormat="1" x14ac:dyDescent="0.2">
      <c r="A50" s="138"/>
      <c r="B50" s="124"/>
      <c r="C50" s="169"/>
      <c r="D50" s="157"/>
      <c r="E50" s="653" t="s">
        <v>1769</v>
      </c>
      <c r="F50" s="653"/>
      <c r="G50" s="653"/>
      <c r="H50" s="654">
        <f>(H48+I48+H49)*K50</f>
        <v>66.346929290771996</v>
      </c>
      <c r="I50" s="654"/>
      <c r="J50" s="144"/>
      <c r="K50" s="159">
        <v>0.23400000000000001</v>
      </c>
      <c r="L50" s="167">
        <f t="shared" si="0"/>
        <v>1.4842</v>
      </c>
    </row>
    <row r="51" spans="1:14" s="147" customFormat="1" x14ac:dyDescent="0.2">
      <c r="A51" s="138"/>
      <c r="B51" s="124"/>
      <c r="C51" s="169"/>
      <c r="D51" s="157"/>
      <c r="E51" s="653" t="s">
        <v>429</v>
      </c>
      <c r="F51" s="653"/>
      <c r="G51" s="653"/>
      <c r="H51" s="135"/>
      <c r="I51" s="172">
        <f>(H48+I48+H49+H50)</f>
        <v>349.88081514877194</v>
      </c>
      <c r="J51" s="144"/>
      <c r="K51" s="159">
        <v>0.23400000000000001</v>
      </c>
      <c r="L51" s="167">
        <f t="shared" si="0"/>
        <v>1.4842</v>
      </c>
      <c r="N51" s="531">
        <v>349.88081514877194</v>
      </c>
    </row>
    <row r="52" spans="1:14" s="147" customFormat="1" x14ac:dyDescent="0.2">
      <c r="A52" s="529"/>
      <c r="B52" s="124"/>
      <c r="C52" s="156"/>
      <c r="D52" s="228"/>
      <c r="E52" s="152"/>
      <c r="F52" s="149"/>
      <c r="G52" s="530"/>
      <c r="H52" s="152"/>
      <c r="I52" s="152"/>
      <c r="J52" s="144"/>
      <c r="K52" s="159">
        <v>0.23400000000000001</v>
      </c>
      <c r="L52" s="153">
        <v>1.4842</v>
      </c>
    </row>
    <row r="53" spans="1:14" s="147" customFormat="1" x14ac:dyDescent="0.2">
      <c r="A53" s="188"/>
      <c r="B53" s="155" t="str">
        <f>'Planilha Orçamentaria'!A19</f>
        <v>1.2</v>
      </c>
      <c r="C53" s="156" t="str">
        <f>'Planilha Orçamentaria'!C19</f>
        <v>Locação da obra a trena</v>
      </c>
      <c r="D53" s="228" t="s">
        <v>1</v>
      </c>
      <c r="E53" s="135"/>
      <c r="F53" s="133"/>
      <c r="G53" s="158"/>
      <c r="H53" s="135"/>
      <c r="I53" s="135"/>
      <c r="J53" s="144"/>
      <c r="K53" s="159">
        <v>0.23400000000000001</v>
      </c>
      <c r="L53" s="167">
        <f t="shared" ref="L53:L64" si="3">L52</f>
        <v>1.4842</v>
      </c>
    </row>
    <row r="54" spans="1:14" s="147" customFormat="1" x14ac:dyDescent="0.2">
      <c r="A54" s="138"/>
      <c r="B54" s="124"/>
      <c r="C54" s="169" t="s">
        <v>472</v>
      </c>
      <c r="D54" s="157" t="s">
        <v>473</v>
      </c>
      <c r="E54" s="135">
        <f>F54*N11</f>
        <v>6.98</v>
      </c>
      <c r="F54" s="133">
        <v>6.98</v>
      </c>
      <c r="G54" s="143">
        <v>0.02</v>
      </c>
      <c r="H54" s="135"/>
      <c r="I54" s="135">
        <f>E54*G54</f>
        <v>0.1396</v>
      </c>
      <c r="J54" s="144"/>
      <c r="K54" s="159">
        <v>0.23400000000000001</v>
      </c>
      <c r="L54" s="167">
        <f t="shared" si="3"/>
        <v>1.4842</v>
      </c>
    </row>
    <row r="55" spans="1:14" s="147" customFormat="1" ht="25.5" x14ac:dyDescent="0.2">
      <c r="A55" s="138"/>
      <c r="B55" s="124"/>
      <c r="C55" s="169" t="s">
        <v>474</v>
      </c>
      <c r="D55" s="157" t="s">
        <v>2</v>
      </c>
      <c r="E55" s="135">
        <f>F55*N11</f>
        <v>3.32</v>
      </c>
      <c r="F55" s="133">
        <v>3.32</v>
      </c>
      <c r="G55" s="158">
        <v>3.5999999999999997E-2</v>
      </c>
      <c r="H55" s="135"/>
      <c r="I55" s="135">
        <f>E55*G55</f>
        <v>0.11951999999999999</v>
      </c>
      <c r="J55" s="144"/>
      <c r="K55" s="159">
        <v>0.23400000000000001</v>
      </c>
      <c r="L55" s="167">
        <f t="shared" si="3"/>
        <v>1.4842</v>
      </c>
    </row>
    <row r="56" spans="1:14" s="147" customFormat="1" x14ac:dyDescent="0.2">
      <c r="A56" s="138"/>
      <c r="B56" s="124"/>
      <c r="C56" s="169" t="s">
        <v>475</v>
      </c>
      <c r="D56" s="157" t="s">
        <v>473</v>
      </c>
      <c r="E56" s="135">
        <f>F56*N11</f>
        <v>7.75</v>
      </c>
      <c r="F56" s="133">
        <v>7.75</v>
      </c>
      <c r="G56" s="158">
        <v>0.01</v>
      </c>
      <c r="H56" s="135"/>
      <c r="I56" s="135">
        <f>E56*G56</f>
        <v>7.7499999999999999E-2</v>
      </c>
      <c r="J56" s="144"/>
      <c r="K56" s="159">
        <v>0.23400000000000001</v>
      </c>
      <c r="L56" s="167">
        <f t="shared" si="3"/>
        <v>1.4842</v>
      </c>
    </row>
    <row r="57" spans="1:14" ht="26.25" x14ac:dyDescent="0.25">
      <c r="A57" s="195"/>
      <c r="B57" s="185"/>
      <c r="C57" s="189" t="s">
        <v>458</v>
      </c>
      <c r="D57" s="196" t="s">
        <v>2</v>
      </c>
      <c r="E57" s="135">
        <f>F57*N11</f>
        <v>4.9400000000000004</v>
      </c>
      <c r="F57" s="197">
        <v>4.9400000000000004</v>
      </c>
      <c r="G57" s="191">
        <v>1.9E-2</v>
      </c>
      <c r="H57" s="198"/>
      <c r="I57" s="135">
        <f>E57*G57</f>
        <v>9.3859999999999999E-2</v>
      </c>
      <c r="J57" s="199"/>
      <c r="K57" s="159">
        <v>0.23400000000000001</v>
      </c>
      <c r="L57" s="167">
        <f t="shared" si="3"/>
        <v>1.4842</v>
      </c>
    </row>
    <row r="58" spans="1:14" s="147" customFormat="1" x14ac:dyDescent="0.2">
      <c r="A58" s="138"/>
      <c r="B58" s="124"/>
      <c r="C58" s="169" t="s">
        <v>432</v>
      </c>
      <c r="D58" s="157" t="s">
        <v>425</v>
      </c>
      <c r="E58" s="135">
        <f>5.21*N11</f>
        <v>5.21</v>
      </c>
      <c r="F58" s="133"/>
      <c r="G58" s="158">
        <v>0.1</v>
      </c>
      <c r="H58" s="135">
        <v>0.52100000000000002</v>
      </c>
      <c r="I58" s="141"/>
      <c r="J58" s="144"/>
      <c r="K58" s="159">
        <v>0.23400000000000001</v>
      </c>
      <c r="L58" s="167">
        <f t="shared" si="3"/>
        <v>1.4842</v>
      </c>
    </row>
    <row r="59" spans="1:14" s="147" customFormat="1" x14ac:dyDescent="0.2">
      <c r="A59" s="138"/>
      <c r="B59" s="124"/>
      <c r="C59" s="169" t="s">
        <v>434</v>
      </c>
      <c r="D59" s="157" t="s">
        <v>425</v>
      </c>
      <c r="E59" s="135">
        <f>3.77*N11</f>
        <v>3.77</v>
      </c>
      <c r="F59" s="133"/>
      <c r="G59" s="158">
        <v>0.1</v>
      </c>
      <c r="H59" s="135">
        <v>0.377</v>
      </c>
      <c r="I59" s="141"/>
      <c r="J59" s="144"/>
      <c r="K59" s="159">
        <v>0.23400000000000001</v>
      </c>
      <c r="L59" s="167">
        <f t="shared" si="3"/>
        <v>1.4842</v>
      </c>
    </row>
    <row r="60" spans="1:14" s="147" customFormat="1" x14ac:dyDescent="0.2">
      <c r="A60" s="138"/>
      <c r="B60" s="124"/>
      <c r="C60" s="169"/>
      <c r="D60" s="157"/>
      <c r="E60" s="135"/>
      <c r="F60" s="133"/>
      <c r="G60" s="158"/>
      <c r="H60" s="135"/>
      <c r="I60" s="135"/>
      <c r="J60" s="144"/>
      <c r="K60" s="159">
        <v>0.23400000000000001</v>
      </c>
      <c r="L60" s="167">
        <f t="shared" si="3"/>
        <v>1.4842</v>
      </c>
    </row>
    <row r="61" spans="1:14" s="147" customFormat="1" x14ac:dyDescent="0.2">
      <c r="A61" s="138"/>
      <c r="B61" s="124"/>
      <c r="C61" s="169"/>
      <c r="D61" s="157"/>
      <c r="E61" s="653" t="str">
        <f>E48</f>
        <v>Custo Direto</v>
      </c>
      <c r="F61" s="653"/>
      <c r="G61" s="653"/>
      <c r="H61" s="172">
        <f>SUM(H54:H60)</f>
        <v>0.89800000000000002</v>
      </c>
      <c r="I61" s="172">
        <f>SUM(I54:I60)</f>
        <v>0.43048000000000003</v>
      </c>
      <c r="J61" s="144"/>
      <c r="K61" s="159">
        <v>0.23400000000000001</v>
      </c>
      <c r="L61" s="167">
        <f t="shared" si="3"/>
        <v>1.4842</v>
      </c>
    </row>
    <row r="62" spans="1:14" s="147" customFormat="1" x14ac:dyDescent="0.2">
      <c r="A62" s="138"/>
      <c r="B62" s="124"/>
      <c r="C62" s="169"/>
      <c r="D62" s="157"/>
      <c r="E62" s="653" t="str">
        <f>E49</f>
        <v>LS(%): 148,42</v>
      </c>
      <c r="F62" s="653"/>
      <c r="G62" s="653"/>
      <c r="H62" s="135">
        <f>H61*L62</f>
        <v>1.3328116000000001</v>
      </c>
      <c r="I62" s="141"/>
      <c r="J62" s="144"/>
      <c r="K62" s="159">
        <v>0.23400000000000001</v>
      </c>
      <c r="L62" s="167">
        <f t="shared" si="3"/>
        <v>1.4842</v>
      </c>
    </row>
    <row r="63" spans="1:14" s="147" customFormat="1" x14ac:dyDescent="0.2">
      <c r="A63" s="138"/>
      <c r="B63" s="124"/>
      <c r="C63" s="169"/>
      <c r="D63" s="157"/>
      <c r="E63" s="653" t="str">
        <f>E50</f>
        <v>BDI (%): 23,40</v>
      </c>
      <c r="F63" s="653"/>
      <c r="G63" s="653"/>
      <c r="H63" s="654">
        <f>(H61+I61+H62)*K63</f>
        <v>0.62274223440000009</v>
      </c>
      <c r="I63" s="654"/>
      <c r="J63" s="144"/>
      <c r="K63" s="159">
        <v>0.23400000000000001</v>
      </c>
      <c r="L63" s="167">
        <f t="shared" si="3"/>
        <v>1.4842</v>
      </c>
    </row>
    <row r="64" spans="1:14" s="147" customFormat="1" x14ac:dyDescent="0.2">
      <c r="A64" s="138"/>
      <c r="B64" s="124"/>
      <c r="C64" s="169"/>
      <c r="D64" s="157"/>
      <c r="E64" s="653" t="str">
        <f>E51</f>
        <v>Valor Total c/ Taxas</v>
      </c>
      <c r="F64" s="653"/>
      <c r="G64" s="653"/>
      <c r="H64" s="135"/>
      <c r="I64" s="172">
        <f>(H61+I61+H62+H63)</f>
        <v>3.2840338344000002</v>
      </c>
      <c r="J64" s="144"/>
      <c r="K64" s="159">
        <v>0.23400000000000001</v>
      </c>
      <c r="L64" s="167">
        <f t="shared" si="3"/>
        <v>1.4842</v>
      </c>
      <c r="N64" s="531">
        <v>3.2840338344000002</v>
      </c>
    </row>
    <row r="65" spans="1:14" s="147" customFormat="1" x14ac:dyDescent="0.2">
      <c r="A65" s="529"/>
      <c r="B65" s="124"/>
      <c r="C65" s="156"/>
      <c r="D65" s="228"/>
      <c r="E65" s="152"/>
      <c r="F65" s="149"/>
      <c r="G65" s="530"/>
      <c r="H65" s="152"/>
      <c r="I65" s="152"/>
      <c r="J65" s="144"/>
      <c r="K65" s="159">
        <v>0.23400000000000001</v>
      </c>
      <c r="L65" s="153">
        <v>1.4842</v>
      </c>
    </row>
    <row r="66" spans="1:14" s="180" customFormat="1" x14ac:dyDescent="0.2">
      <c r="A66" s="177"/>
      <c r="B66" s="178" t="str">
        <f>'Planilha Orçamentaria'!A20</f>
        <v>1.3</v>
      </c>
      <c r="C66" s="156" t="str">
        <f>'Planilha Orçamentaria'!C20</f>
        <v>Mobilização e Desmobilização de pessoal e equipamentos</v>
      </c>
      <c r="D66" s="228" t="s">
        <v>435</v>
      </c>
      <c r="E66" s="135"/>
      <c r="F66" s="133"/>
      <c r="G66" s="158"/>
      <c r="H66" s="135"/>
      <c r="I66" s="135"/>
      <c r="J66" s="179"/>
      <c r="K66" s="159">
        <v>0.23400000000000001</v>
      </c>
      <c r="L66" s="167">
        <f t="shared" ref="L66:L75" si="4">L65</f>
        <v>1.4842</v>
      </c>
    </row>
    <row r="67" spans="1:14" s="147" customFormat="1" x14ac:dyDescent="0.2">
      <c r="A67" s="138"/>
      <c r="B67" s="124"/>
      <c r="C67" s="169" t="str">
        <f>C66</f>
        <v>Mobilização e Desmobilização de pessoal e equipamentos</v>
      </c>
      <c r="D67" s="157" t="s">
        <v>437</v>
      </c>
      <c r="E67" s="135">
        <v>3354.605</v>
      </c>
      <c r="F67" s="133">
        <v>403</v>
      </c>
      <c r="G67" s="158">
        <v>1</v>
      </c>
      <c r="H67" s="135"/>
      <c r="I67" s="135">
        <f>E67*G67</f>
        <v>3354.605</v>
      </c>
      <c r="J67" s="144"/>
      <c r="K67" s="159">
        <v>0.23400000000000001</v>
      </c>
      <c r="L67" s="167">
        <f t="shared" si="4"/>
        <v>1.4842</v>
      </c>
    </row>
    <row r="68" spans="1:14" s="147" customFormat="1" x14ac:dyDescent="0.2">
      <c r="A68" s="138"/>
      <c r="B68" s="124"/>
      <c r="C68" s="169" t="s">
        <v>1770</v>
      </c>
      <c r="D68" s="157" t="s">
        <v>425</v>
      </c>
      <c r="E68" s="135">
        <f>5.21*N11</f>
        <v>5.21</v>
      </c>
      <c r="F68" s="133"/>
      <c r="G68" s="158">
        <v>24</v>
      </c>
      <c r="H68" s="135">
        <f>E68*G68</f>
        <v>125.03999999999999</v>
      </c>
      <c r="I68" s="141"/>
      <c r="J68" s="144"/>
      <c r="K68" s="159">
        <v>0.23400000000000001</v>
      </c>
      <c r="L68" s="167">
        <f t="shared" si="4"/>
        <v>1.4842</v>
      </c>
    </row>
    <row r="69" spans="1:14" s="147" customFormat="1" hidden="1" x14ac:dyDescent="0.2">
      <c r="A69" s="138"/>
      <c r="B69" s="124"/>
      <c r="C69" s="169" t="s">
        <v>439</v>
      </c>
      <c r="D69" s="157" t="s">
        <v>425</v>
      </c>
      <c r="E69" s="135">
        <f>E59</f>
        <v>3.77</v>
      </c>
      <c r="F69" s="133"/>
      <c r="G69" s="158">
        <v>3</v>
      </c>
      <c r="H69" s="135">
        <f>E69*G69</f>
        <v>11.31</v>
      </c>
      <c r="I69" s="141"/>
      <c r="J69" s="144"/>
      <c r="K69" s="159">
        <v>0.23400000000000001</v>
      </c>
      <c r="L69" s="167">
        <f t="shared" si="4"/>
        <v>1.4842</v>
      </c>
    </row>
    <row r="70" spans="1:14" s="147" customFormat="1" x14ac:dyDescent="0.2">
      <c r="A70" s="138"/>
      <c r="B70" s="124"/>
      <c r="C70" s="169" t="s">
        <v>426</v>
      </c>
      <c r="D70" s="157" t="s">
        <v>425</v>
      </c>
      <c r="E70" s="135">
        <f>3.77*N11</f>
        <v>3.77</v>
      </c>
      <c r="F70" s="133"/>
      <c r="G70" s="158">
        <v>24</v>
      </c>
      <c r="H70" s="135">
        <f>E70*G70</f>
        <v>90.48</v>
      </c>
      <c r="I70" s="141"/>
      <c r="J70" s="144"/>
      <c r="K70" s="159">
        <v>0.23400000000000001</v>
      </c>
      <c r="L70" s="167">
        <f t="shared" si="4"/>
        <v>1.4842</v>
      </c>
    </row>
    <row r="71" spans="1:14" s="147" customFormat="1" x14ac:dyDescent="0.2">
      <c r="A71" s="138"/>
      <c r="B71" s="124"/>
      <c r="C71" s="169"/>
      <c r="D71" s="157"/>
      <c r="E71" s="135"/>
      <c r="F71" s="133"/>
      <c r="G71" s="158"/>
      <c r="H71" s="135"/>
      <c r="I71" s="135"/>
      <c r="J71" s="144"/>
      <c r="K71" s="159">
        <v>0.23400000000000001</v>
      </c>
      <c r="L71" s="167">
        <f t="shared" si="4"/>
        <v>1.4842</v>
      </c>
    </row>
    <row r="72" spans="1:14" s="147" customFormat="1" x14ac:dyDescent="0.2">
      <c r="A72" s="138"/>
      <c r="B72" s="124"/>
      <c r="C72" s="169"/>
      <c r="D72" s="157"/>
      <c r="E72" s="653" t="str">
        <f>E61</f>
        <v>Custo Direto</v>
      </c>
      <c r="F72" s="653"/>
      <c r="G72" s="653"/>
      <c r="H72" s="172">
        <f>H68+H70</f>
        <v>215.51999999999998</v>
      </c>
      <c r="I72" s="172">
        <f>SUM(I67:I71)</f>
        <v>3354.605</v>
      </c>
      <c r="J72" s="144"/>
      <c r="K72" s="159">
        <v>0.23400000000000001</v>
      </c>
      <c r="L72" s="167">
        <f t="shared" si="4"/>
        <v>1.4842</v>
      </c>
    </row>
    <row r="73" spans="1:14" s="147" customFormat="1" x14ac:dyDescent="0.2">
      <c r="A73" s="138"/>
      <c r="B73" s="124"/>
      <c r="C73" s="169"/>
      <c r="D73" s="157"/>
      <c r="E73" s="653" t="str">
        <f>E62</f>
        <v>LS(%): 148,42</v>
      </c>
      <c r="F73" s="653"/>
      <c r="G73" s="653"/>
      <c r="H73" s="135">
        <f>H72*L73</f>
        <v>319.87478399999998</v>
      </c>
      <c r="I73" s="141"/>
      <c r="J73" s="144"/>
      <c r="K73" s="159">
        <v>0.23400000000000001</v>
      </c>
      <c r="L73" s="167">
        <f t="shared" si="4"/>
        <v>1.4842</v>
      </c>
    </row>
    <row r="74" spans="1:14" s="147" customFormat="1" x14ac:dyDescent="0.2">
      <c r="A74" s="138"/>
      <c r="B74" s="124"/>
      <c r="C74" s="169"/>
      <c r="D74" s="157"/>
      <c r="E74" s="653" t="str">
        <f>E63</f>
        <v>BDI (%): 23,40</v>
      </c>
      <c r="F74" s="653"/>
      <c r="G74" s="653"/>
      <c r="H74" s="654">
        <f>(H72+I72+H73)*K74</f>
        <v>910.25994945600007</v>
      </c>
      <c r="I74" s="654"/>
      <c r="J74" s="144"/>
      <c r="K74" s="159">
        <v>0.23400000000000001</v>
      </c>
      <c r="L74" s="167">
        <f t="shared" si="4"/>
        <v>1.4842</v>
      </c>
    </row>
    <row r="75" spans="1:14" s="147" customFormat="1" x14ac:dyDescent="0.2">
      <c r="A75" s="138"/>
      <c r="B75" s="124"/>
      <c r="C75" s="169"/>
      <c r="D75" s="157"/>
      <c r="E75" s="653" t="str">
        <f>E64</f>
        <v>Valor Total c/ Taxas</v>
      </c>
      <c r="F75" s="653"/>
      <c r="G75" s="653"/>
      <c r="H75" s="135"/>
      <c r="I75" s="135">
        <f>(H72+I72+H73+H74)</f>
        <v>4800.2597334560005</v>
      </c>
      <c r="J75" s="144"/>
      <c r="K75" s="159">
        <v>0.23400000000000001</v>
      </c>
      <c r="L75" s="167">
        <f t="shared" si="4"/>
        <v>1.4842</v>
      </c>
      <c r="N75" s="531">
        <v>4800.2597334560005</v>
      </c>
    </row>
    <row r="76" spans="1:14" s="147" customFormat="1" x14ac:dyDescent="0.2">
      <c r="A76" s="529"/>
      <c r="B76" s="124"/>
      <c r="C76" s="156"/>
      <c r="D76" s="228"/>
      <c r="E76" s="152"/>
      <c r="F76" s="149"/>
      <c r="G76" s="530"/>
      <c r="H76" s="152"/>
      <c r="I76" s="152"/>
      <c r="J76" s="144"/>
      <c r="K76" s="159">
        <v>0.23400000000000001</v>
      </c>
      <c r="L76" s="153">
        <v>1.4842</v>
      </c>
    </row>
    <row r="77" spans="1:14" s="147" customFormat="1" x14ac:dyDescent="0.2">
      <c r="A77" s="154"/>
      <c r="B77" s="155" t="str">
        <f>'Planilha Orçamentaria'!A21</f>
        <v>1.4</v>
      </c>
      <c r="C77" s="156" t="str">
        <f>'Planilha Orçamentaria'!C21</f>
        <v>Placa da obra em chapa galvanizada</v>
      </c>
      <c r="D77" s="228" t="s">
        <v>1</v>
      </c>
      <c r="E77" s="135"/>
      <c r="F77" s="133"/>
      <c r="G77" s="158"/>
      <c r="H77" s="135"/>
      <c r="I77" s="135"/>
      <c r="J77" s="144"/>
      <c r="K77" s="159">
        <v>0.23400000000000001</v>
      </c>
      <c r="L77" s="153">
        <v>1.4842</v>
      </c>
    </row>
    <row r="78" spans="1:14" s="168" customFormat="1" x14ac:dyDescent="0.25">
      <c r="A78" s="160"/>
      <c r="B78" s="124"/>
      <c r="C78" s="161" t="s">
        <v>415</v>
      </c>
      <c r="D78" s="162" t="s">
        <v>416</v>
      </c>
      <c r="E78" s="163">
        <f>F78*N11</f>
        <v>283.99720000000002</v>
      </c>
      <c r="F78" s="164">
        <v>283.99720000000002</v>
      </c>
      <c r="G78" s="165">
        <v>0.01</v>
      </c>
      <c r="H78" s="163"/>
      <c r="I78" s="163">
        <f>E78*G78</f>
        <v>2.8399720000000004</v>
      </c>
      <c r="J78" s="166"/>
      <c r="K78" s="159">
        <v>0.23400000000000001</v>
      </c>
      <c r="L78" s="167">
        <f>L77</f>
        <v>1.4842</v>
      </c>
    </row>
    <row r="79" spans="1:14" s="168" customFormat="1" ht="26.25" x14ac:dyDescent="0.25">
      <c r="A79" s="160"/>
      <c r="B79" s="124"/>
      <c r="C79" s="161" t="s">
        <v>417</v>
      </c>
      <c r="D79" s="162" t="s">
        <v>418</v>
      </c>
      <c r="E79" s="163">
        <f>F79*N11</f>
        <v>4.5228000000000002</v>
      </c>
      <c r="F79" s="164">
        <v>4.5228000000000002</v>
      </c>
      <c r="G79" s="165">
        <v>1</v>
      </c>
      <c r="H79" s="163"/>
      <c r="I79" s="163">
        <f>E79*G79</f>
        <v>4.5228000000000002</v>
      </c>
      <c r="J79" s="166"/>
      <c r="K79" s="159">
        <v>0.23400000000000001</v>
      </c>
      <c r="L79" s="167">
        <f t="shared" ref="L79:L142" si="5">L78</f>
        <v>1.4842</v>
      </c>
    </row>
    <row r="80" spans="1:14" s="168" customFormat="1" ht="26.25" x14ac:dyDescent="0.25">
      <c r="A80" s="160"/>
      <c r="B80" s="124"/>
      <c r="C80" s="161" t="s">
        <v>419</v>
      </c>
      <c r="D80" s="162" t="s">
        <v>418</v>
      </c>
      <c r="E80" s="163">
        <f>F80*N11</f>
        <v>3.3201000000000001</v>
      </c>
      <c r="F80" s="164">
        <v>3.3201000000000001</v>
      </c>
      <c r="G80" s="165">
        <v>4</v>
      </c>
      <c r="H80" s="163"/>
      <c r="I80" s="163">
        <f>E80*G80</f>
        <v>13.2804</v>
      </c>
      <c r="J80" s="166"/>
      <c r="K80" s="159">
        <v>0.23400000000000001</v>
      </c>
      <c r="L80" s="167">
        <f t="shared" si="5"/>
        <v>1.4842</v>
      </c>
    </row>
    <row r="81" spans="1:14" s="147" customFormat="1" ht="25.5" x14ac:dyDescent="0.2">
      <c r="A81" s="138"/>
      <c r="B81" s="124"/>
      <c r="C81" s="169" t="s">
        <v>420</v>
      </c>
      <c r="D81" s="157" t="s">
        <v>421</v>
      </c>
      <c r="E81" s="135">
        <f>F81*N11</f>
        <v>203</v>
      </c>
      <c r="F81" s="133">
        <v>203</v>
      </c>
      <c r="G81" s="158">
        <v>1</v>
      </c>
      <c r="H81" s="135"/>
      <c r="I81" s="135">
        <f>E81*G81</f>
        <v>203</v>
      </c>
      <c r="J81" s="144"/>
      <c r="K81" s="159">
        <v>0.23400000000000001</v>
      </c>
      <c r="L81" s="167">
        <f t="shared" si="5"/>
        <v>1.4842</v>
      </c>
    </row>
    <row r="82" spans="1:14" s="168" customFormat="1" x14ac:dyDescent="0.25">
      <c r="A82" s="160"/>
      <c r="B82" s="124"/>
      <c r="C82" s="161" t="s">
        <v>422</v>
      </c>
      <c r="D82" s="162" t="s">
        <v>423</v>
      </c>
      <c r="E82" s="163">
        <f>F82*N11</f>
        <v>7.21</v>
      </c>
      <c r="F82" s="164">
        <v>7.21</v>
      </c>
      <c r="G82" s="165">
        <v>0.11</v>
      </c>
      <c r="H82" s="163"/>
      <c r="I82" s="163">
        <f>E82*G82</f>
        <v>0.79310000000000003</v>
      </c>
      <c r="J82" s="166"/>
      <c r="K82" s="159">
        <v>0.23400000000000001</v>
      </c>
      <c r="L82" s="167">
        <f t="shared" si="5"/>
        <v>1.4842</v>
      </c>
    </row>
    <row r="83" spans="1:14" s="168" customFormat="1" x14ac:dyDescent="0.25">
      <c r="A83" s="160"/>
      <c r="B83" s="124"/>
      <c r="C83" s="161" t="s">
        <v>424</v>
      </c>
      <c r="D83" s="162" t="s">
        <v>425</v>
      </c>
      <c r="E83" s="163">
        <f>5.21*N11</f>
        <v>5.21</v>
      </c>
      <c r="F83" s="164"/>
      <c r="G83" s="165">
        <v>0.50900000000000001</v>
      </c>
      <c r="H83" s="163">
        <f>E83*G83</f>
        <v>2.6518899999999999</v>
      </c>
      <c r="I83" s="170"/>
      <c r="J83" s="166"/>
      <c r="K83" s="159">
        <v>0.23400000000000001</v>
      </c>
      <c r="L83" s="167">
        <f t="shared" si="5"/>
        <v>1.4842</v>
      </c>
    </row>
    <row r="84" spans="1:14" s="168" customFormat="1" x14ac:dyDescent="0.25">
      <c r="A84" s="160"/>
      <c r="B84" s="124"/>
      <c r="C84" s="161" t="s">
        <v>426</v>
      </c>
      <c r="D84" s="162" t="s">
        <v>425</v>
      </c>
      <c r="E84" s="163">
        <f>3.77*N11</f>
        <v>3.77</v>
      </c>
      <c r="F84" s="164"/>
      <c r="G84" s="165">
        <v>0.04</v>
      </c>
      <c r="H84" s="163">
        <f>E84*G84</f>
        <v>0.15080000000000002</v>
      </c>
      <c r="I84" s="170"/>
      <c r="J84" s="166"/>
      <c r="K84" s="159">
        <v>0.23400000000000001</v>
      </c>
      <c r="L84" s="167">
        <f t="shared" si="5"/>
        <v>1.4842</v>
      </c>
    </row>
    <row r="85" spans="1:14" s="147" customFormat="1" x14ac:dyDescent="0.2">
      <c r="A85" s="138"/>
      <c r="B85" s="124"/>
      <c r="C85" s="169"/>
      <c r="D85" s="157"/>
      <c r="E85" s="653" t="s">
        <v>427</v>
      </c>
      <c r="F85" s="653"/>
      <c r="G85" s="653"/>
      <c r="H85" s="172">
        <f>SUM(H78:H84)</f>
        <v>2.8026899999999997</v>
      </c>
      <c r="I85" s="172">
        <f>SUM(I78:I84)</f>
        <v>224.436272</v>
      </c>
      <c r="J85" s="144"/>
      <c r="K85" s="159">
        <v>0.23400000000000001</v>
      </c>
      <c r="L85" s="167">
        <f t="shared" si="5"/>
        <v>1.4842</v>
      </c>
    </row>
    <row r="86" spans="1:14" s="147" customFormat="1" x14ac:dyDescent="0.2">
      <c r="A86" s="138"/>
      <c r="B86" s="124"/>
      <c r="C86" s="169"/>
      <c r="D86" s="157"/>
      <c r="E86" s="653" t="s">
        <v>428</v>
      </c>
      <c r="F86" s="653"/>
      <c r="G86" s="653"/>
      <c r="H86" s="135">
        <f>H85*L86</f>
        <v>4.1597524979999996</v>
      </c>
      <c r="I86" s="141"/>
      <c r="J86" s="144"/>
      <c r="K86" s="159">
        <v>0.23400000000000001</v>
      </c>
      <c r="L86" s="167">
        <f t="shared" si="5"/>
        <v>1.4842</v>
      </c>
    </row>
    <row r="87" spans="1:14" s="147" customFormat="1" ht="15" customHeight="1" x14ac:dyDescent="0.2">
      <c r="A87" s="138"/>
      <c r="B87" s="124"/>
      <c r="C87" s="169"/>
      <c r="D87" s="157"/>
      <c r="E87" s="653" t="str">
        <f>E74</f>
        <v>BDI (%): 23,40</v>
      </c>
      <c r="F87" s="653"/>
      <c r="G87" s="653"/>
      <c r="H87" s="654">
        <f>(H85+I85+H86)*K87</f>
        <v>54.147299192532003</v>
      </c>
      <c r="I87" s="654"/>
      <c r="J87" s="144"/>
      <c r="K87" s="159">
        <v>0.23400000000000001</v>
      </c>
      <c r="L87" s="167">
        <f t="shared" si="5"/>
        <v>1.4842</v>
      </c>
    </row>
    <row r="88" spans="1:14" s="147" customFormat="1" ht="15" customHeight="1" x14ac:dyDescent="0.2">
      <c r="A88" s="138"/>
      <c r="B88" s="124"/>
      <c r="C88" s="169"/>
      <c r="D88" s="157"/>
      <c r="E88" s="653" t="s">
        <v>429</v>
      </c>
      <c r="F88" s="653"/>
      <c r="G88" s="653"/>
      <c r="H88" s="135"/>
      <c r="I88" s="172">
        <f>(H85+I85+H86+H87)</f>
        <v>285.54601369053199</v>
      </c>
      <c r="J88" s="144"/>
      <c r="K88" s="159">
        <v>0.23400000000000001</v>
      </c>
      <c r="L88" s="167">
        <f t="shared" si="5"/>
        <v>1.4842</v>
      </c>
      <c r="N88" s="531">
        <v>285.54601369053199</v>
      </c>
    </row>
    <row r="89" spans="1:14" s="147" customFormat="1" x14ac:dyDescent="0.2">
      <c r="A89" s="138"/>
      <c r="B89" s="124"/>
      <c r="C89" s="169"/>
      <c r="D89" s="157"/>
      <c r="E89" s="135"/>
      <c r="F89" s="133"/>
      <c r="G89" s="158"/>
      <c r="H89" s="135"/>
      <c r="I89" s="135"/>
      <c r="J89" s="144"/>
      <c r="K89" s="159">
        <v>0.23400000000000001</v>
      </c>
      <c r="L89" s="167">
        <f t="shared" si="5"/>
        <v>1.4842</v>
      </c>
    </row>
    <row r="90" spans="1:14" s="176" customFormat="1" hidden="1" x14ac:dyDescent="0.2">
      <c r="A90" s="173"/>
      <c r="B90" s="174" t="str">
        <f>orçamento!C15</f>
        <v>1.2</v>
      </c>
      <c r="C90" s="156" t="str">
        <f>orçamento!D15</f>
        <v>Instalação provisória de água</v>
      </c>
      <c r="D90" s="157" t="s">
        <v>1</v>
      </c>
      <c r="E90" s="135"/>
      <c r="F90" s="133"/>
      <c r="G90" s="158"/>
      <c r="H90" s="135"/>
      <c r="I90" s="135"/>
      <c r="J90" s="175"/>
      <c r="K90" s="159">
        <v>0.23400000000000001</v>
      </c>
      <c r="L90" s="167">
        <f t="shared" si="5"/>
        <v>1.4842</v>
      </c>
    </row>
    <row r="91" spans="1:14" s="147" customFormat="1" hidden="1" x14ac:dyDescent="0.2">
      <c r="A91" s="138"/>
      <c r="B91" s="124"/>
      <c r="C91" s="169" t="s">
        <v>430</v>
      </c>
      <c r="D91" s="157" t="s">
        <v>421</v>
      </c>
      <c r="E91" s="135">
        <f>F91*N11</f>
        <v>200</v>
      </c>
      <c r="F91" s="133">
        <v>200</v>
      </c>
      <c r="G91" s="158">
        <v>1</v>
      </c>
      <c r="H91" s="135"/>
      <c r="I91" s="135">
        <f>E91*G91</f>
        <v>200</v>
      </c>
      <c r="J91" s="144"/>
      <c r="K91" s="159">
        <v>0.23400000000000001</v>
      </c>
      <c r="L91" s="167">
        <f t="shared" si="5"/>
        <v>1.4842</v>
      </c>
    </row>
    <row r="92" spans="1:14" s="147" customFormat="1" hidden="1" x14ac:dyDescent="0.2">
      <c r="A92" s="138"/>
      <c r="B92" s="124"/>
      <c r="C92" s="169" t="s">
        <v>431</v>
      </c>
      <c r="D92" s="157" t="s">
        <v>425</v>
      </c>
      <c r="E92" s="135">
        <f>5.21*N11</f>
        <v>5.21</v>
      </c>
      <c r="F92" s="133"/>
      <c r="G92" s="158">
        <v>0.9</v>
      </c>
      <c r="H92" s="135">
        <f>E92*G92</f>
        <v>4.6890000000000001</v>
      </c>
      <c r="I92" s="141"/>
      <c r="J92" s="144"/>
      <c r="K92" s="159">
        <v>0.23400000000000001</v>
      </c>
      <c r="L92" s="167">
        <f t="shared" si="5"/>
        <v>1.4842</v>
      </c>
    </row>
    <row r="93" spans="1:14" s="147" customFormat="1" hidden="1" x14ac:dyDescent="0.2">
      <c r="A93" s="138"/>
      <c r="B93" s="124"/>
      <c r="C93" s="169" t="s">
        <v>432</v>
      </c>
      <c r="D93" s="157" t="s">
        <v>425</v>
      </c>
      <c r="E93" s="163">
        <f>5.21*N11</f>
        <v>5.21</v>
      </c>
      <c r="F93" s="133"/>
      <c r="G93" s="158">
        <v>0.9</v>
      </c>
      <c r="H93" s="135">
        <f>E93*G93</f>
        <v>4.6890000000000001</v>
      </c>
      <c r="I93" s="141"/>
      <c r="J93" s="144"/>
      <c r="K93" s="159">
        <v>0.23400000000000001</v>
      </c>
      <c r="L93" s="167">
        <f t="shared" si="5"/>
        <v>1.4842</v>
      </c>
    </row>
    <row r="94" spans="1:14" s="147" customFormat="1" hidden="1" x14ac:dyDescent="0.2">
      <c r="A94" s="138"/>
      <c r="B94" s="124"/>
      <c r="C94" s="169" t="s">
        <v>433</v>
      </c>
      <c r="D94" s="157" t="s">
        <v>425</v>
      </c>
      <c r="E94" s="135">
        <f>5.21*N11</f>
        <v>5.21</v>
      </c>
      <c r="F94" s="133"/>
      <c r="G94" s="158">
        <v>0.9</v>
      </c>
      <c r="H94" s="135">
        <f>E94*G94</f>
        <v>4.6890000000000001</v>
      </c>
      <c r="I94" s="141"/>
      <c r="J94" s="144"/>
      <c r="K94" s="159">
        <v>0.23400000000000001</v>
      </c>
      <c r="L94" s="167">
        <f t="shared" si="5"/>
        <v>1.4842</v>
      </c>
    </row>
    <row r="95" spans="1:14" s="147" customFormat="1" hidden="1" x14ac:dyDescent="0.2">
      <c r="A95" s="138"/>
      <c r="B95" s="124"/>
      <c r="C95" s="169" t="s">
        <v>434</v>
      </c>
      <c r="D95" s="157" t="s">
        <v>425</v>
      </c>
      <c r="E95" s="135">
        <f>3.77*N11</f>
        <v>3.77</v>
      </c>
      <c r="F95" s="133"/>
      <c r="G95" s="158">
        <v>2</v>
      </c>
      <c r="H95" s="135">
        <f>E95*G95</f>
        <v>7.54</v>
      </c>
      <c r="I95" s="141"/>
      <c r="J95" s="144"/>
      <c r="K95" s="159">
        <v>0.23400000000000001</v>
      </c>
      <c r="L95" s="167">
        <f t="shared" si="5"/>
        <v>1.4842</v>
      </c>
    </row>
    <row r="96" spans="1:14" s="147" customFormat="1" hidden="1" x14ac:dyDescent="0.2">
      <c r="A96" s="138"/>
      <c r="B96" s="124"/>
      <c r="C96" s="169"/>
      <c r="D96" s="157"/>
      <c r="E96" s="135"/>
      <c r="F96" s="133"/>
      <c r="G96" s="158"/>
      <c r="H96" s="135"/>
      <c r="I96" s="135"/>
      <c r="J96" s="144"/>
      <c r="K96" s="159">
        <v>0.23400000000000001</v>
      </c>
      <c r="L96" s="167">
        <f t="shared" si="5"/>
        <v>1.4842</v>
      </c>
    </row>
    <row r="97" spans="1:12" s="147" customFormat="1" hidden="1" x14ac:dyDescent="0.2">
      <c r="A97" s="138"/>
      <c r="B97" s="124"/>
      <c r="C97" s="169"/>
      <c r="D97" s="157"/>
      <c r="E97" s="653" t="s">
        <v>427</v>
      </c>
      <c r="F97" s="653"/>
      <c r="G97" s="653"/>
      <c r="H97" s="172">
        <f>SUM(H91:H96)</f>
        <v>21.606999999999999</v>
      </c>
      <c r="I97" s="172">
        <f>SUM(I91:I96)</f>
        <v>200</v>
      </c>
      <c r="J97" s="144"/>
      <c r="K97" s="159">
        <v>0.23400000000000001</v>
      </c>
      <c r="L97" s="167">
        <f t="shared" si="5"/>
        <v>1.4842</v>
      </c>
    </row>
    <row r="98" spans="1:12" s="147" customFormat="1" hidden="1" x14ac:dyDescent="0.2">
      <c r="A98" s="138"/>
      <c r="B98" s="124"/>
      <c r="C98" s="169"/>
      <c r="D98" s="157"/>
      <c r="E98" s="653" t="str">
        <f>E86</f>
        <v>LS(%): 148,42</v>
      </c>
      <c r="F98" s="653"/>
      <c r="G98" s="653"/>
      <c r="H98" s="135">
        <f>H97*L98</f>
        <v>32.069109399999995</v>
      </c>
      <c r="I98" s="141"/>
      <c r="J98" s="144"/>
      <c r="K98" s="159">
        <v>0.23400000000000001</v>
      </c>
      <c r="L98" s="167">
        <f t="shared" si="5"/>
        <v>1.4842</v>
      </c>
    </row>
    <row r="99" spans="1:12" s="147" customFormat="1" hidden="1" x14ac:dyDescent="0.2">
      <c r="A99" s="138"/>
      <c r="B99" s="124"/>
      <c r="C99" s="169"/>
      <c r="D99" s="157"/>
      <c r="E99" s="653" t="str">
        <f>E87</f>
        <v>BDI (%): 23,40</v>
      </c>
      <c r="F99" s="653"/>
      <c r="G99" s="653"/>
      <c r="H99" s="654">
        <f>(H97+I97+H98)*K99</f>
        <v>59.360209599600005</v>
      </c>
      <c r="I99" s="654"/>
      <c r="J99" s="144"/>
      <c r="K99" s="159">
        <v>0.23400000000000001</v>
      </c>
      <c r="L99" s="167">
        <f t="shared" si="5"/>
        <v>1.4842</v>
      </c>
    </row>
    <row r="100" spans="1:12" s="147" customFormat="1" hidden="1" x14ac:dyDescent="0.2">
      <c r="A100" s="138"/>
      <c r="B100" s="124"/>
      <c r="C100" s="169"/>
      <c r="D100" s="157"/>
      <c r="E100" s="653" t="s">
        <v>429</v>
      </c>
      <c r="F100" s="653"/>
      <c r="G100" s="653"/>
      <c r="H100" s="135"/>
      <c r="I100" s="172">
        <f>(H97+I97+H98+H99)</f>
        <v>313.03631899959998</v>
      </c>
      <c r="J100" s="144"/>
      <c r="K100" s="159">
        <v>0.23400000000000001</v>
      </c>
      <c r="L100" s="167">
        <f t="shared" si="5"/>
        <v>1.4842</v>
      </c>
    </row>
    <row r="101" spans="1:12" s="147" customFormat="1" ht="15" hidden="1" customHeight="1" x14ac:dyDescent="0.2">
      <c r="A101" s="138"/>
      <c r="B101" s="124"/>
      <c r="C101" s="169"/>
      <c r="D101" s="157"/>
      <c r="E101" s="135"/>
      <c r="F101" s="133"/>
      <c r="G101" s="158"/>
      <c r="H101" s="135"/>
      <c r="I101" s="135"/>
      <c r="J101" s="144"/>
      <c r="K101" s="159">
        <v>0.23400000000000001</v>
      </c>
      <c r="L101" s="167">
        <f t="shared" si="5"/>
        <v>1.4842</v>
      </c>
    </row>
    <row r="102" spans="1:12" s="180" customFormat="1" hidden="1" x14ac:dyDescent="0.2">
      <c r="A102" s="177"/>
      <c r="B102" s="178" t="str">
        <f>orçamento!C16</f>
        <v>1.3</v>
      </c>
      <c r="C102" s="156" t="str">
        <f>orçamento!D16</f>
        <v>Instalação provisória de energia elétrica em baixa tensão</v>
      </c>
      <c r="D102" s="157" t="s">
        <v>435</v>
      </c>
      <c r="E102" s="135"/>
      <c r="F102" s="133"/>
      <c r="G102" s="158"/>
      <c r="H102" s="135"/>
      <c r="I102" s="135"/>
      <c r="J102" s="179"/>
      <c r="K102" s="159">
        <v>0.23400000000000001</v>
      </c>
      <c r="L102" s="167">
        <f t="shared" si="5"/>
        <v>1.4842</v>
      </c>
    </row>
    <row r="103" spans="1:12" s="147" customFormat="1" hidden="1" x14ac:dyDescent="0.2">
      <c r="A103" s="138"/>
      <c r="B103" s="124"/>
      <c r="C103" s="169" t="s">
        <v>436</v>
      </c>
      <c r="D103" s="157" t="s">
        <v>437</v>
      </c>
      <c r="E103" s="135">
        <f>F103*N11</f>
        <v>403</v>
      </c>
      <c r="F103" s="133">
        <v>403</v>
      </c>
      <c r="G103" s="158">
        <v>1</v>
      </c>
      <c r="H103" s="135"/>
      <c r="I103" s="135">
        <f>E103*G103</f>
        <v>403</v>
      </c>
      <c r="J103" s="144"/>
      <c r="K103" s="159">
        <v>0.23400000000000001</v>
      </c>
      <c r="L103" s="167">
        <f t="shared" si="5"/>
        <v>1.4842</v>
      </c>
    </row>
    <row r="104" spans="1:12" s="147" customFormat="1" hidden="1" x14ac:dyDescent="0.2">
      <c r="A104" s="138"/>
      <c r="B104" s="124"/>
      <c r="C104" s="169" t="s">
        <v>438</v>
      </c>
      <c r="D104" s="157" t="s">
        <v>425</v>
      </c>
      <c r="E104" s="135">
        <f>5.21*N11</f>
        <v>5.21</v>
      </c>
      <c r="F104" s="133"/>
      <c r="G104" s="158">
        <v>16</v>
      </c>
      <c r="H104" s="135">
        <f>E104*G104</f>
        <v>83.36</v>
      </c>
      <c r="I104" s="141"/>
      <c r="J104" s="144"/>
      <c r="K104" s="159">
        <v>0.23400000000000001</v>
      </c>
      <c r="L104" s="167">
        <f t="shared" si="5"/>
        <v>1.4842</v>
      </c>
    </row>
    <row r="105" spans="1:12" s="147" customFormat="1" hidden="1" x14ac:dyDescent="0.2">
      <c r="A105" s="138"/>
      <c r="B105" s="124"/>
      <c r="C105" s="169" t="s">
        <v>439</v>
      </c>
      <c r="D105" s="157" t="s">
        <v>425</v>
      </c>
      <c r="E105" s="135">
        <f>E95</f>
        <v>3.77</v>
      </c>
      <c r="F105" s="133"/>
      <c r="G105" s="158">
        <v>3</v>
      </c>
      <c r="H105" s="135">
        <f>E105*G105</f>
        <v>11.31</v>
      </c>
      <c r="I105" s="141"/>
      <c r="J105" s="144"/>
      <c r="K105" s="159">
        <v>0.23400000000000001</v>
      </c>
      <c r="L105" s="167">
        <f t="shared" si="5"/>
        <v>1.4842</v>
      </c>
    </row>
    <row r="106" spans="1:12" s="147" customFormat="1" hidden="1" x14ac:dyDescent="0.2">
      <c r="A106" s="138"/>
      <c r="B106" s="124"/>
      <c r="C106" s="169" t="s">
        <v>426</v>
      </c>
      <c r="D106" s="157" t="s">
        <v>425</v>
      </c>
      <c r="E106" s="135">
        <f>3.77*N11</f>
        <v>3.77</v>
      </c>
      <c r="F106" s="133"/>
      <c r="G106" s="158">
        <v>16</v>
      </c>
      <c r="H106" s="135">
        <f>E106*G106</f>
        <v>60.32</v>
      </c>
      <c r="I106" s="141"/>
      <c r="J106" s="144"/>
      <c r="K106" s="159">
        <v>0.23400000000000001</v>
      </c>
      <c r="L106" s="167">
        <f t="shared" si="5"/>
        <v>1.4842</v>
      </c>
    </row>
    <row r="107" spans="1:12" s="147" customFormat="1" hidden="1" x14ac:dyDescent="0.2">
      <c r="A107" s="138"/>
      <c r="B107" s="124"/>
      <c r="C107" s="169"/>
      <c r="D107" s="157"/>
      <c r="E107" s="135"/>
      <c r="F107" s="133"/>
      <c r="G107" s="158"/>
      <c r="H107" s="135"/>
      <c r="I107" s="135"/>
      <c r="J107" s="144"/>
      <c r="K107" s="159">
        <v>0.23400000000000001</v>
      </c>
      <c r="L107" s="167">
        <f t="shared" si="5"/>
        <v>1.4842</v>
      </c>
    </row>
    <row r="108" spans="1:12" s="147" customFormat="1" hidden="1" x14ac:dyDescent="0.2">
      <c r="A108" s="138"/>
      <c r="B108" s="124"/>
      <c r="C108" s="169"/>
      <c r="D108" s="157"/>
      <c r="E108" s="653" t="str">
        <f>E97</f>
        <v>Custo Direto</v>
      </c>
      <c r="F108" s="653"/>
      <c r="G108" s="653"/>
      <c r="H108" s="172">
        <f>H104+H106</f>
        <v>143.68</v>
      </c>
      <c r="I108" s="172">
        <f>SUM(I103:I107)</f>
        <v>403</v>
      </c>
      <c r="J108" s="144"/>
      <c r="K108" s="159">
        <v>0.23400000000000001</v>
      </c>
      <c r="L108" s="167">
        <f t="shared" si="5"/>
        <v>1.4842</v>
      </c>
    </row>
    <row r="109" spans="1:12" s="147" customFormat="1" hidden="1" x14ac:dyDescent="0.2">
      <c r="A109" s="138"/>
      <c r="B109" s="124"/>
      <c r="C109" s="169"/>
      <c r="D109" s="157"/>
      <c r="E109" s="653" t="str">
        <f>E98</f>
        <v>LS(%): 148,42</v>
      </c>
      <c r="F109" s="653"/>
      <c r="G109" s="653"/>
      <c r="H109" s="135">
        <f>H108*L109</f>
        <v>213.24985599999999</v>
      </c>
      <c r="I109" s="141"/>
      <c r="J109" s="144"/>
      <c r="K109" s="159">
        <v>0.23400000000000001</v>
      </c>
      <c r="L109" s="167">
        <f t="shared" si="5"/>
        <v>1.4842</v>
      </c>
    </row>
    <row r="110" spans="1:12" s="147" customFormat="1" hidden="1" x14ac:dyDescent="0.2">
      <c r="A110" s="138"/>
      <c r="B110" s="124"/>
      <c r="C110" s="169"/>
      <c r="D110" s="157"/>
      <c r="E110" s="653" t="str">
        <f>E99</f>
        <v>BDI (%): 23,40</v>
      </c>
      <c r="F110" s="653"/>
      <c r="G110" s="653"/>
      <c r="H110" s="654">
        <f>(H108+I108+H109)*K110</f>
        <v>177.82358630400003</v>
      </c>
      <c r="I110" s="654"/>
      <c r="J110" s="144"/>
      <c r="K110" s="159">
        <v>0.23400000000000001</v>
      </c>
      <c r="L110" s="167">
        <f t="shared" si="5"/>
        <v>1.4842</v>
      </c>
    </row>
    <row r="111" spans="1:12" s="147" customFormat="1" hidden="1" x14ac:dyDescent="0.2">
      <c r="A111" s="138"/>
      <c r="B111" s="124"/>
      <c r="C111" s="169"/>
      <c r="D111" s="157"/>
      <c r="E111" s="653" t="str">
        <f>E100</f>
        <v>Valor Total c/ Taxas</v>
      </c>
      <c r="F111" s="653"/>
      <c r="G111" s="653"/>
      <c r="H111" s="135"/>
      <c r="I111" s="135">
        <f>(H108+I108+H109+H110)</f>
        <v>937.75344230400015</v>
      </c>
      <c r="J111" s="144"/>
      <c r="K111" s="159">
        <v>0.23400000000000001</v>
      </c>
      <c r="L111" s="167">
        <f t="shared" si="5"/>
        <v>1.4842</v>
      </c>
    </row>
    <row r="112" spans="1:12" s="147" customFormat="1" hidden="1" x14ac:dyDescent="0.2">
      <c r="A112" s="138"/>
      <c r="B112" s="124"/>
      <c r="C112" s="169"/>
      <c r="D112" s="157"/>
      <c r="E112" s="132"/>
      <c r="F112" s="133"/>
      <c r="G112" s="181"/>
      <c r="H112" s="135"/>
      <c r="I112" s="135"/>
      <c r="J112" s="144"/>
      <c r="K112" s="159">
        <v>0.23400000000000001</v>
      </c>
      <c r="L112" s="167">
        <f t="shared" si="5"/>
        <v>1.4842</v>
      </c>
    </row>
    <row r="113" spans="1:12" s="176" customFormat="1" ht="15" hidden="1" customHeight="1" x14ac:dyDescent="0.2">
      <c r="A113" s="182"/>
      <c r="B113" s="178" t="str">
        <f>orçamento!C17</f>
        <v>1.4</v>
      </c>
      <c r="C113" s="156" t="str">
        <f>orçamento!D17</f>
        <v>Instalações provisórias de esgoto</v>
      </c>
      <c r="D113" s="183" t="str">
        <f>orçamento!E17</f>
        <v>m²</v>
      </c>
      <c r="E113" s="135"/>
      <c r="F113" s="133"/>
      <c r="G113" s="158"/>
      <c r="H113" s="135"/>
      <c r="I113" s="135"/>
      <c r="J113" s="175"/>
      <c r="K113" s="159">
        <v>0.23400000000000001</v>
      </c>
      <c r="L113" s="167">
        <f t="shared" si="5"/>
        <v>1.4842</v>
      </c>
    </row>
    <row r="114" spans="1:12" s="186" customFormat="1" ht="15" hidden="1" customHeight="1" x14ac:dyDescent="0.2">
      <c r="A114" s="184"/>
      <c r="B114" s="185"/>
      <c r="C114" s="169" t="s">
        <v>440</v>
      </c>
      <c r="D114" s="157" t="s">
        <v>435</v>
      </c>
      <c r="E114" s="135">
        <f>F114*N11</f>
        <v>234.387</v>
      </c>
      <c r="F114" s="133">
        <v>234.387</v>
      </c>
      <c r="G114" s="158">
        <v>1</v>
      </c>
      <c r="H114" s="135"/>
      <c r="I114" s="135">
        <f>E114*G114</f>
        <v>234.387</v>
      </c>
      <c r="J114" s="144"/>
      <c r="K114" s="159">
        <v>0.23400000000000001</v>
      </c>
      <c r="L114" s="167">
        <f t="shared" si="5"/>
        <v>1.4842</v>
      </c>
    </row>
    <row r="115" spans="1:12" s="147" customFormat="1" hidden="1" x14ac:dyDescent="0.2">
      <c r="A115" s="138"/>
      <c r="B115" s="124"/>
      <c r="C115" s="169" t="s">
        <v>431</v>
      </c>
      <c r="D115" s="157" t="s">
        <v>425</v>
      </c>
      <c r="E115" s="135">
        <f>5.21*N11</f>
        <v>5.21</v>
      </c>
      <c r="F115" s="133"/>
      <c r="G115" s="158">
        <v>4</v>
      </c>
      <c r="H115" s="135">
        <f>E115*G115</f>
        <v>20.84</v>
      </c>
      <c r="I115" s="187"/>
      <c r="J115" s="144"/>
      <c r="K115" s="159">
        <v>0.23400000000000001</v>
      </c>
      <c r="L115" s="167">
        <f t="shared" si="5"/>
        <v>1.4842</v>
      </c>
    </row>
    <row r="116" spans="1:12" s="147" customFormat="1" hidden="1" x14ac:dyDescent="0.2">
      <c r="A116" s="138"/>
      <c r="B116" s="124"/>
      <c r="C116" s="169" t="s">
        <v>432</v>
      </c>
      <c r="D116" s="157" t="s">
        <v>425</v>
      </c>
      <c r="E116" s="135">
        <f>5.21*N11</f>
        <v>5.21</v>
      </c>
      <c r="F116" s="133"/>
      <c r="G116" s="158">
        <v>4</v>
      </c>
      <c r="H116" s="135">
        <f>E116*G116</f>
        <v>20.84</v>
      </c>
      <c r="I116" s="141"/>
      <c r="J116" s="144"/>
      <c r="K116" s="159">
        <v>0.23400000000000001</v>
      </c>
      <c r="L116" s="167">
        <f t="shared" si="5"/>
        <v>1.4842</v>
      </c>
    </row>
    <row r="117" spans="1:12" s="186" customFormat="1" ht="15" hidden="1" customHeight="1" x14ac:dyDescent="0.2">
      <c r="A117" s="184"/>
      <c r="B117" s="185"/>
      <c r="C117" s="169" t="s">
        <v>433</v>
      </c>
      <c r="D117" s="157" t="s">
        <v>425</v>
      </c>
      <c r="E117" s="135">
        <f>5.21*N11</f>
        <v>5.21</v>
      </c>
      <c r="F117" s="133"/>
      <c r="G117" s="158">
        <v>4</v>
      </c>
      <c r="H117" s="135">
        <f>E117*G117</f>
        <v>20.84</v>
      </c>
      <c r="I117" s="135"/>
      <c r="J117" s="144"/>
      <c r="K117" s="159">
        <v>0.23400000000000001</v>
      </c>
      <c r="L117" s="167">
        <f t="shared" si="5"/>
        <v>1.4842</v>
      </c>
    </row>
    <row r="118" spans="1:12" s="147" customFormat="1" hidden="1" x14ac:dyDescent="0.2">
      <c r="A118" s="138"/>
      <c r="B118" s="124"/>
      <c r="C118" s="169" t="s">
        <v>434</v>
      </c>
      <c r="D118" s="157" t="s">
        <v>425</v>
      </c>
      <c r="E118" s="135">
        <f>3.77*N11</f>
        <v>3.77</v>
      </c>
      <c r="F118" s="133"/>
      <c r="G118" s="158">
        <v>6.06</v>
      </c>
      <c r="H118" s="135">
        <f>E118*G118</f>
        <v>22.8462</v>
      </c>
      <c r="I118" s="141"/>
      <c r="J118" s="144"/>
      <c r="K118" s="159">
        <v>0.23400000000000001</v>
      </c>
      <c r="L118" s="167">
        <f t="shared" si="5"/>
        <v>1.4842</v>
      </c>
    </row>
    <row r="119" spans="1:12" s="147" customFormat="1" hidden="1" x14ac:dyDescent="0.2">
      <c r="A119" s="138"/>
      <c r="B119" s="124"/>
      <c r="C119" s="169"/>
      <c r="D119" s="157"/>
      <c r="E119" s="135"/>
      <c r="F119" s="133"/>
      <c r="G119" s="158"/>
      <c r="H119" s="135"/>
      <c r="I119" s="135"/>
      <c r="J119" s="144"/>
      <c r="K119" s="159">
        <v>0.23400000000000001</v>
      </c>
      <c r="L119" s="167">
        <f t="shared" si="5"/>
        <v>1.4842</v>
      </c>
    </row>
    <row r="120" spans="1:12" s="147" customFormat="1" hidden="1" x14ac:dyDescent="0.2">
      <c r="A120" s="138"/>
      <c r="B120" s="124"/>
      <c r="C120" s="169"/>
      <c r="D120" s="157"/>
      <c r="E120" s="653" t="str">
        <f>E108</f>
        <v>Custo Direto</v>
      </c>
      <c r="F120" s="653"/>
      <c r="G120" s="653"/>
      <c r="H120" s="172">
        <f>SUM(H114:H119)</f>
        <v>85.366199999999992</v>
      </c>
      <c r="I120" s="172">
        <f>SUM(I114:I119)</f>
        <v>234.387</v>
      </c>
      <c r="J120" s="144"/>
      <c r="K120" s="159">
        <v>0.23400000000000001</v>
      </c>
      <c r="L120" s="167">
        <f t="shared" si="5"/>
        <v>1.4842</v>
      </c>
    </row>
    <row r="121" spans="1:12" s="147" customFormat="1" hidden="1" x14ac:dyDescent="0.2">
      <c r="A121" s="138"/>
      <c r="B121" s="124"/>
      <c r="C121" s="169"/>
      <c r="D121" s="157"/>
      <c r="E121" s="653" t="str">
        <f>E109</f>
        <v>LS(%): 148,42</v>
      </c>
      <c r="F121" s="653"/>
      <c r="G121" s="653"/>
      <c r="H121" s="135">
        <f>H120*L121</f>
        <v>126.70051403999999</v>
      </c>
      <c r="I121" s="141"/>
      <c r="J121" s="144"/>
      <c r="K121" s="159">
        <v>0.23400000000000001</v>
      </c>
      <c r="L121" s="167">
        <f t="shared" si="5"/>
        <v>1.4842</v>
      </c>
    </row>
    <row r="122" spans="1:12" s="147" customFormat="1" hidden="1" x14ac:dyDescent="0.2">
      <c r="A122" s="138"/>
      <c r="B122" s="124"/>
      <c r="C122" s="169"/>
      <c r="D122" s="157"/>
      <c r="E122" s="653" t="str">
        <f>E110</f>
        <v>BDI (%): 23,40</v>
      </c>
      <c r="F122" s="653"/>
      <c r="G122" s="653"/>
      <c r="H122" s="654">
        <f>(H120+I120+H121)*K122</f>
        <v>104.47016908536</v>
      </c>
      <c r="I122" s="654"/>
      <c r="J122" s="144"/>
      <c r="K122" s="159">
        <v>0.23400000000000001</v>
      </c>
      <c r="L122" s="167">
        <f t="shared" si="5"/>
        <v>1.4842</v>
      </c>
    </row>
    <row r="123" spans="1:12" s="147" customFormat="1" hidden="1" x14ac:dyDescent="0.2">
      <c r="A123" s="138"/>
      <c r="B123" s="124"/>
      <c r="C123" s="169"/>
      <c r="D123" s="157"/>
      <c r="E123" s="653" t="str">
        <f>E111</f>
        <v>Valor Total c/ Taxas</v>
      </c>
      <c r="F123" s="653"/>
      <c r="G123" s="653"/>
      <c r="H123" s="135"/>
      <c r="I123" s="135">
        <f>(H120+I120+H121+H122)</f>
        <v>550.92388312535991</v>
      </c>
      <c r="J123" s="144"/>
      <c r="K123" s="159">
        <v>0.23400000000000001</v>
      </c>
      <c r="L123" s="167">
        <f t="shared" si="5"/>
        <v>1.4842</v>
      </c>
    </row>
    <row r="124" spans="1:12" s="147" customFormat="1" hidden="1" x14ac:dyDescent="0.2">
      <c r="A124" s="138"/>
      <c r="B124" s="124"/>
      <c r="C124" s="169"/>
      <c r="D124" s="157"/>
      <c r="E124" s="135"/>
      <c r="F124" s="133"/>
      <c r="G124" s="158"/>
      <c r="H124" s="135"/>
      <c r="I124" s="135"/>
      <c r="J124" s="144"/>
      <c r="K124" s="159">
        <v>0.23400000000000001</v>
      </c>
      <c r="L124" s="167">
        <f t="shared" si="5"/>
        <v>1.4842</v>
      </c>
    </row>
    <row r="125" spans="1:12" s="147" customFormat="1" hidden="1" x14ac:dyDescent="0.2">
      <c r="A125" s="138"/>
      <c r="B125" s="124"/>
      <c r="C125" s="169"/>
      <c r="D125" s="157"/>
      <c r="E125" s="135"/>
      <c r="F125" s="133"/>
      <c r="G125" s="158"/>
      <c r="H125" s="135"/>
      <c r="I125" s="135"/>
      <c r="J125" s="144"/>
      <c r="K125" s="159">
        <v>0.23400000000000001</v>
      </c>
      <c r="L125" s="167">
        <f t="shared" si="5"/>
        <v>1.4842</v>
      </c>
    </row>
    <row r="126" spans="1:12" s="147" customFormat="1" ht="25.5" hidden="1" x14ac:dyDescent="0.2">
      <c r="A126" s="188"/>
      <c r="B126" s="174" t="str">
        <f>orçamento!C18</f>
        <v>1.5</v>
      </c>
      <c r="C126" s="156" t="str">
        <f>orçamento!D18</f>
        <v>Barracões provisórios (depósito, escritório, vestiário e refeitório) com piso cimentado</v>
      </c>
      <c r="D126" s="157" t="s">
        <v>1</v>
      </c>
      <c r="E126" s="135"/>
      <c r="F126" s="133"/>
      <c r="G126" s="158"/>
      <c r="H126" s="135"/>
      <c r="I126" s="135"/>
      <c r="J126" s="144"/>
      <c r="K126" s="159">
        <v>0.23400000000000001</v>
      </c>
      <c r="L126" s="167">
        <f t="shared" si="5"/>
        <v>1.4842</v>
      </c>
    </row>
    <row r="127" spans="1:12" s="147" customFormat="1" ht="25.5" hidden="1" x14ac:dyDescent="0.2">
      <c r="A127" s="138"/>
      <c r="B127" s="124"/>
      <c r="C127" s="169" t="s">
        <v>441</v>
      </c>
      <c r="D127" s="157" t="s">
        <v>442</v>
      </c>
      <c r="E127" s="135">
        <f>F127*N11</f>
        <v>365.63400000000001</v>
      </c>
      <c r="F127" s="133">
        <v>365.63400000000001</v>
      </c>
      <c r="G127" s="158">
        <v>1.4999999999999999E-2</v>
      </c>
      <c r="H127" s="135"/>
      <c r="I127" s="135">
        <f>E127*G127</f>
        <v>5.4845100000000002</v>
      </c>
      <c r="J127" s="144"/>
      <c r="K127" s="159">
        <v>0.23400000000000001</v>
      </c>
      <c r="L127" s="167">
        <f t="shared" si="5"/>
        <v>1.4842</v>
      </c>
    </row>
    <row r="128" spans="1:12" s="147" customFormat="1" hidden="1" x14ac:dyDescent="0.2">
      <c r="A128" s="138"/>
      <c r="B128" s="124"/>
      <c r="C128" s="169" t="s">
        <v>443</v>
      </c>
      <c r="D128" s="157" t="s">
        <v>444</v>
      </c>
      <c r="E128" s="135">
        <f>F128*N11</f>
        <v>30.9</v>
      </c>
      <c r="F128" s="133">
        <v>30.9</v>
      </c>
      <c r="G128" s="158">
        <v>1.02</v>
      </c>
      <c r="H128" s="135"/>
      <c r="I128" s="135">
        <f>E128*G128</f>
        <v>31.518000000000001</v>
      </c>
      <c r="J128" s="144"/>
      <c r="K128" s="159">
        <v>0.23400000000000001</v>
      </c>
      <c r="L128" s="167">
        <f t="shared" si="5"/>
        <v>1.4842</v>
      </c>
    </row>
    <row r="129" spans="1:12" s="147" customFormat="1" ht="25.5" hidden="1" x14ac:dyDescent="0.2">
      <c r="A129" s="138"/>
      <c r="B129" s="124"/>
      <c r="C129" s="169" t="s">
        <v>445</v>
      </c>
      <c r="D129" s="157" t="s">
        <v>444</v>
      </c>
      <c r="E129" s="135">
        <f>F129*N11</f>
        <v>27.46</v>
      </c>
      <c r="F129" s="133">
        <v>27.46</v>
      </c>
      <c r="G129" s="158">
        <v>1</v>
      </c>
      <c r="H129" s="135"/>
      <c r="I129" s="135">
        <f>E129*G129</f>
        <v>27.46</v>
      </c>
      <c r="J129" s="144"/>
      <c r="K129" s="159">
        <v>0.23400000000000001</v>
      </c>
      <c r="L129" s="167">
        <f t="shared" si="5"/>
        <v>1.4842</v>
      </c>
    </row>
    <row r="130" spans="1:12" s="147" customFormat="1" hidden="1" x14ac:dyDescent="0.2">
      <c r="A130" s="138"/>
      <c r="B130" s="124"/>
      <c r="C130" s="169" t="s">
        <v>446</v>
      </c>
      <c r="D130" s="157" t="s">
        <v>442</v>
      </c>
      <c r="E130" s="135">
        <f>F130*N11</f>
        <v>82.16</v>
      </c>
      <c r="F130" s="133">
        <v>82.16</v>
      </c>
      <c r="G130" s="158">
        <v>1.4999999999999999E-2</v>
      </c>
      <c r="H130" s="135"/>
      <c r="I130" s="135">
        <f>E130*G130</f>
        <v>1.2323999999999999</v>
      </c>
      <c r="J130" s="144"/>
      <c r="K130" s="159">
        <v>0.23400000000000001</v>
      </c>
      <c r="L130" s="167">
        <f t="shared" si="5"/>
        <v>1.4842</v>
      </c>
    </row>
    <row r="131" spans="1:12" s="147" customFormat="1" ht="25.5" hidden="1" x14ac:dyDescent="0.2">
      <c r="A131" s="138"/>
      <c r="B131" s="124"/>
      <c r="C131" s="169" t="s">
        <v>447</v>
      </c>
      <c r="D131" s="157" t="s">
        <v>444</v>
      </c>
      <c r="E131" s="135">
        <f>F131*N11</f>
        <v>19.34</v>
      </c>
      <c r="F131" s="133">
        <v>19.34</v>
      </c>
      <c r="G131" s="158">
        <v>0.38600000000000001</v>
      </c>
      <c r="H131" s="135"/>
      <c r="I131" s="135">
        <f t="shared" ref="I131:I139" si="6">E131*G130</f>
        <v>0.29009999999999997</v>
      </c>
      <c r="J131" s="144"/>
      <c r="K131" s="159">
        <v>0.23400000000000001</v>
      </c>
      <c r="L131" s="167">
        <f t="shared" si="5"/>
        <v>1.4842</v>
      </c>
    </row>
    <row r="132" spans="1:12" s="147" customFormat="1" ht="38.25" hidden="1" x14ac:dyDescent="0.2">
      <c r="A132" s="138"/>
      <c r="B132" s="124"/>
      <c r="C132" s="169" t="s">
        <v>448</v>
      </c>
      <c r="D132" s="157" t="s">
        <v>5</v>
      </c>
      <c r="E132" s="135">
        <f>F132*N11</f>
        <v>0.14000000000000001</v>
      </c>
      <c r="F132" s="133">
        <v>0.14000000000000001</v>
      </c>
      <c r="G132" s="158">
        <v>0.214</v>
      </c>
      <c r="H132" s="135"/>
      <c r="I132" s="135">
        <f t="shared" si="6"/>
        <v>5.4040000000000005E-2</v>
      </c>
      <c r="J132" s="144"/>
      <c r="K132" s="159">
        <v>0.23400000000000001</v>
      </c>
      <c r="L132" s="167">
        <f t="shared" si="5"/>
        <v>1.4842</v>
      </c>
    </row>
    <row r="133" spans="1:12" s="147" customFormat="1" hidden="1" x14ac:dyDescent="0.2">
      <c r="A133" s="138"/>
      <c r="B133" s="124"/>
      <c r="C133" s="169" t="s">
        <v>449</v>
      </c>
      <c r="D133" s="157" t="s">
        <v>97</v>
      </c>
      <c r="E133" s="135">
        <f>F133*N11</f>
        <v>7.69</v>
      </c>
      <c r="F133" s="133">
        <v>7.69</v>
      </c>
      <c r="G133" s="158">
        <v>5.7000000000000002E-3</v>
      </c>
      <c r="H133" s="135"/>
      <c r="I133" s="135">
        <f t="shared" si="6"/>
        <v>1.6456600000000001</v>
      </c>
      <c r="J133" s="144"/>
      <c r="K133" s="159">
        <v>0.23400000000000001</v>
      </c>
      <c r="L133" s="167">
        <f t="shared" si="5"/>
        <v>1.4842</v>
      </c>
    </row>
    <row r="134" spans="1:12" s="147" customFormat="1" ht="25.5" hidden="1" x14ac:dyDescent="0.2">
      <c r="A134" s="138"/>
      <c r="B134" s="124"/>
      <c r="C134" s="169" t="s">
        <v>450</v>
      </c>
      <c r="D134" s="157" t="s">
        <v>2</v>
      </c>
      <c r="E134" s="135">
        <f>F134*N11</f>
        <v>6.07</v>
      </c>
      <c r="F134" s="133">
        <v>6.07</v>
      </c>
      <c r="G134" s="158">
        <v>0.7</v>
      </c>
      <c r="H134" s="135"/>
      <c r="I134" s="135">
        <f t="shared" si="6"/>
        <v>3.4599000000000005E-2</v>
      </c>
      <c r="J134" s="144"/>
      <c r="K134" s="159">
        <v>0.23400000000000001</v>
      </c>
      <c r="L134" s="167">
        <f t="shared" si="5"/>
        <v>1.4842</v>
      </c>
    </row>
    <row r="135" spans="1:12" s="147" customFormat="1" ht="38.25" hidden="1" x14ac:dyDescent="0.2">
      <c r="A135" s="138"/>
      <c r="B135" s="124"/>
      <c r="C135" s="169" t="s">
        <v>451</v>
      </c>
      <c r="D135" s="157" t="s">
        <v>2</v>
      </c>
      <c r="E135" s="135">
        <f>F135*N11</f>
        <v>3.32</v>
      </c>
      <c r="F135" s="133">
        <v>3.32</v>
      </c>
      <c r="G135" s="158">
        <v>0.9</v>
      </c>
      <c r="H135" s="135"/>
      <c r="I135" s="135">
        <f t="shared" si="6"/>
        <v>2.3239999999999998</v>
      </c>
      <c r="J135" s="144"/>
      <c r="K135" s="159">
        <v>0.23400000000000001</v>
      </c>
      <c r="L135" s="167">
        <f t="shared" si="5"/>
        <v>1.4842</v>
      </c>
    </row>
    <row r="136" spans="1:12" s="147" customFormat="1" hidden="1" x14ac:dyDescent="0.2">
      <c r="A136" s="138"/>
      <c r="B136" s="124"/>
      <c r="C136" s="169" t="s">
        <v>422</v>
      </c>
      <c r="D136" s="157" t="s">
        <v>452</v>
      </c>
      <c r="E136" s="135">
        <f>F136*N11</f>
        <v>7.21</v>
      </c>
      <c r="F136" s="133">
        <v>7.21</v>
      </c>
      <c r="G136" s="158">
        <v>0.1</v>
      </c>
      <c r="H136" s="135"/>
      <c r="I136" s="135">
        <f t="shared" si="6"/>
        <v>6.4889999999999999</v>
      </c>
      <c r="J136" s="144"/>
      <c r="K136" s="159">
        <v>0.23400000000000001</v>
      </c>
      <c r="L136" s="167">
        <f t="shared" si="5"/>
        <v>1.4842</v>
      </c>
    </row>
    <row r="137" spans="1:12" s="147" customFormat="1" ht="25.5" hidden="1" x14ac:dyDescent="0.2">
      <c r="A137" s="138"/>
      <c r="B137" s="124"/>
      <c r="C137" s="169" t="s">
        <v>453</v>
      </c>
      <c r="D137" s="157" t="s">
        <v>97</v>
      </c>
      <c r="E137" s="135">
        <f>F137*N11</f>
        <v>17.62</v>
      </c>
      <c r="F137" s="133">
        <v>17.62</v>
      </c>
      <c r="G137" s="158">
        <v>5.7999999999999996E-3</v>
      </c>
      <c r="H137" s="135"/>
      <c r="I137" s="135">
        <f t="shared" si="6"/>
        <v>1.7620000000000002</v>
      </c>
      <c r="J137" s="144"/>
      <c r="K137" s="159">
        <v>0.23400000000000001</v>
      </c>
      <c r="L137" s="167">
        <f t="shared" si="5"/>
        <v>1.4842</v>
      </c>
    </row>
    <row r="138" spans="1:12" s="147" customFormat="1" hidden="1" x14ac:dyDescent="0.2">
      <c r="A138" s="138"/>
      <c r="B138" s="124"/>
      <c r="C138" s="169" t="s">
        <v>454</v>
      </c>
      <c r="D138" s="157" t="s">
        <v>97</v>
      </c>
      <c r="E138" s="135">
        <f>F138*N11</f>
        <v>5.28</v>
      </c>
      <c r="F138" s="133">
        <v>5.28</v>
      </c>
      <c r="G138" s="158">
        <v>5.7999999999999996E-3</v>
      </c>
      <c r="H138" s="135"/>
      <c r="I138" s="135">
        <f t="shared" si="6"/>
        <v>3.0623999999999998E-2</v>
      </c>
      <c r="J138" s="144"/>
      <c r="K138" s="159">
        <v>0.23400000000000001</v>
      </c>
      <c r="L138" s="167">
        <f t="shared" si="5"/>
        <v>1.4842</v>
      </c>
    </row>
    <row r="139" spans="1:12" s="147" customFormat="1" ht="25.5" hidden="1" x14ac:dyDescent="0.2">
      <c r="A139" s="138"/>
      <c r="B139" s="124"/>
      <c r="C139" s="169" t="s">
        <v>455</v>
      </c>
      <c r="D139" s="157" t="s">
        <v>1</v>
      </c>
      <c r="E139" s="135">
        <f>F139*N11</f>
        <v>20.82</v>
      </c>
      <c r="F139" s="133">
        <v>20.82</v>
      </c>
      <c r="G139" s="158">
        <v>0.318</v>
      </c>
      <c r="H139" s="135"/>
      <c r="I139" s="135">
        <f t="shared" si="6"/>
        <v>0.12075599999999999</v>
      </c>
      <c r="J139" s="144"/>
      <c r="K139" s="159">
        <v>0.23400000000000001</v>
      </c>
      <c r="L139" s="167">
        <f t="shared" si="5"/>
        <v>1.4842</v>
      </c>
    </row>
    <row r="140" spans="1:12" s="147" customFormat="1" hidden="1" x14ac:dyDescent="0.2">
      <c r="A140" s="138"/>
      <c r="B140" s="124"/>
      <c r="C140" s="169" t="s">
        <v>456</v>
      </c>
      <c r="D140" s="157" t="s">
        <v>444</v>
      </c>
      <c r="E140" s="135">
        <f>F140*N11</f>
        <v>60.5</v>
      </c>
      <c r="F140" s="133">
        <v>60.5</v>
      </c>
      <c r="G140" s="158">
        <v>2.3E-2</v>
      </c>
      <c r="H140" s="135"/>
      <c r="I140" s="135">
        <f t="shared" ref="I140:I152" si="7">E140*G136</f>
        <v>6.0500000000000007</v>
      </c>
      <c r="J140" s="144"/>
      <c r="K140" s="159">
        <v>0.23400000000000001</v>
      </c>
      <c r="L140" s="167">
        <f t="shared" si="5"/>
        <v>1.4842</v>
      </c>
    </row>
    <row r="141" spans="1:12" s="147" customFormat="1" ht="25.5" hidden="1" x14ac:dyDescent="0.2">
      <c r="A141" s="138"/>
      <c r="B141" s="124"/>
      <c r="C141" s="169" t="s">
        <v>457</v>
      </c>
      <c r="D141" s="157" t="s">
        <v>97</v>
      </c>
      <c r="E141" s="135">
        <f>F141*N11</f>
        <v>76.38</v>
      </c>
      <c r="F141" s="133">
        <v>76.38</v>
      </c>
      <c r="G141" s="158">
        <v>1.15E-2</v>
      </c>
      <c r="H141" s="135"/>
      <c r="I141" s="135">
        <f t="shared" si="7"/>
        <v>0.44300399999999995</v>
      </c>
      <c r="J141" s="144"/>
      <c r="K141" s="159">
        <v>0.23400000000000001</v>
      </c>
      <c r="L141" s="167">
        <f t="shared" si="5"/>
        <v>1.4842</v>
      </c>
    </row>
    <row r="142" spans="1:12" s="147" customFormat="1" ht="25.5" hidden="1" x14ac:dyDescent="0.2">
      <c r="A142" s="138"/>
      <c r="B142" s="124"/>
      <c r="C142" s="169" t="s">
        <v>458</v>
      </c>
      <c r="D142" s="157" t="s">
        <v>2</v>
      </c>
      <c r="E142" s="135">
        <f>F142*N11</f>
        <v>4.9400000000000004</v>
      </c>
      <c r="F142" s="133">
        <v>4.9400000000000004</v>
      </c>
      <c r="G142" s="158">
        <v>0.25</v>
      </c>
      <c r="H142" s="135"/>
      <c r="I142" s="135">
        <f t="shared" si="7"/>
        <v>2.8652E-2</v>
      </c>
      <c r="J142" s="144"/>
      <c r="K142" s="159">
        <v>0.23400000000000001</v>
      </c>
      <c r="L142" s="167">
        <f t="shared" si="5"/>
        <v>1.4842</v>
      </c>
    </row>
    <row r="143" spans="1:12" s="147" customFormat="1" ht="24" hidden="1" customHeight="1" x14ac:dyDescent="0.2">
      <c r="A143" s="138"/>
      <c r="B143" s="124"/>
      <c r="C143" s="169" t="s">
        <v>459</v>
      </c>
      <c r="D143" s="157" t="s">
        <v>452</v>
      </c>
      <c r="E143" s="135">
        <f>F143*N11</f>
        <v>3.18</v>
      </c>
      <c r="F143" s="133">
        <v>3.18</v>
      </c>
      <c r="G143" s="158">
        <v>0.30299999999999999</v>
      </c>
      <c r="H143" s="135"/>
      <c r="I143" s="135">
        <f t="shared" si="7"/>
        <v>1.0112400000000001</v>
      </c>
      <c r="J143" s="144"/>
      <c r="K143" s="159">
        <v>0.23400000000000001</v>
      </c>
      <c r="L143" s="167">
        <f t="shared" ref="L143:L206" si="8">L142</f>
        <v>1.4842</v>
      </c>
    </row>
    <row r="144" spans="1:12" s="147" customFormat="1" ht="25.5" hidden="1" x14ac:dyDescent="0.2">
      <c r="A144" s="138"/>
      <c r="B144" s="124"/>
      <c r="C144" s="169" t="s">
        <v>460</v>
      </c>
      <c r="D144" s="157" t="s">
        <v>97</v>
      </c>
      <c r="E144" s="135">
        <f>F144*N11</f>
        <v>0.04</v>
      </c>
      <c r="F144" s="133">
        <v>0.04</v>
      </c>
      <c r="G144" s="158">
        <v>1.28</v>
      </c>
      <c r="H144" s="135"/>
      <c r="I144" s="135">
        <f t="shared" si="7"/>
        <v>9.2000000000000003E-4</v>
      </c>
      <c r="J144" s="144"/>
      <c r="K144" s="159">
        <v>0.23400000000000001</v>
      </c>
      <c r="L144" s="167">
        <f t="shared" si="8"/>
        <v>1.4842</v>
      </c>
    </row>
    <row r="145" spans="1:12" s="147" customFormat="1" hidden="1" x14ac:dyDescent="0.2">
      <c r="A145" s="138"/>
      <c r="B145" s="124"/>
      <c r="C145" s="169" t="s">
        <v>461</v>
      </c>
      <c r="D145" s="157" t="s">
        <v>97</v>
      </c>
      <c r="E145" s="135">
        <f>F145*N11</f>
        <v>3.42</v>
      </c>
      <c r="F145" s="133">
        <v>3.42</v>
      </c>
      <c r="G145" s="158">
        <v>3.4599999999999999E-2</v>
      </c>
      <c r="H145" s="135"/>
      <c r="I145" s="135">
        <f t="shared" si="7"/>
        <v>3.9329999999999997E-2</v>
      </c>
      <c r="J145" s="144"/>
      <c r="K145" s="159">
        <v>0.23400000000000001</v>
      </c>
      <c r="L145" s="167">
        <f t="shared" si="8"/>
        <v>1.4842</v>
      </c>
    </row>
    <row r="146" spans="1:12" s="147" customFormat="1" ht="19.5" hidden="1" customHeight="1" x14ac:dyDescent="0.2">
      <c r="A146" s="138"/>
      <c r="B146" s="124"/>
      <c r="C146" s="169" t="s">
        <v>462</v>
      </c>
      <c r="D146" s="157" t="s">
        <v>97</v>
      </c>
      <c r="E146" s="135">
        <f>F146*N11</f>
        <v>8.99</v>
      </c>
      <c r="F146" s="133">
        <v>8.99</v>
      </c>
      <c r="G146" s="158">
        <v>5.7999999999999996E-3</v>
      </c>
      <c r="H146" s="135"/>
      <c r="I146" s="135">
        <f t="shared" si="7"/>
        <v>2.2475000000000001</v>
      </c>
      <c r="J146" s="144"/>
      <c r="K146" s="159">
        <v>0.23400000000000001</v>
      </c>
      <c r="L146" s="167">
        <f t="shared" si="8"/>
        <v>1.4842</v>
      </c>
    </row>
    <row r="147" spans="1:12" s="147" customFormat="1" ht="25.5" hidden="1" x14ac:dyDescent="0.2">
      <c r="A147" s="138"/>
      <c r="B147" s="124"/>
      <c r="C147" s="169" t="s">
        <v>463</v>
      </c>
      <c r="D147" s="157" t="s">
        <v>2</v>
      </c>
      <c r="E147" s="135">
        <f>F147*N11</f>
        <v>2.52</v>
      </c>
      <c r="F147" s="133">
        <v>2.52</v>
      </c>
      <c r="G147" s="143">
        <v>0.53600000000000003</v>
      </c>
      <c r="H147" s="135"/>
      <c r="I147" s="135">
        <f t="shared" si="7"/>
        <v>0.76356000000000002</v>
      </c>
      <c r="J147" s="144"/>
      <c r="K147" s="159">
        <v>0.23400000000000001</v>
      </c>
      <c r="L147" s="167">
        <f t="shared" si="8"/>
        <v>1.4842</v>
      </c>
    </row>
    <row r="148" spans="1:12" s="147" customFormat="1" ht="25.5" hidden="1" x14ac:dyDescent="0.2">
      <c r="A148" s="138"/>
      <c r="B148" s="124"/>
      <c r="C148" s="169" t="s">
        <v>464</v>
      </c>
      <c r="D148" s="157" t="s">
        <v>97</v>
      </c>
      <c r="E148" s="135">
        <f>F148*N11</f>
        <v>3.75</v>
      </c>
      <c r="F148" s="133">
        <v>3.75</v>
      </c>
      <c r="G148" s="143">
        <v>2.3E-2</v>
      </c>
      <c r="H148" s="135"/>
      <c r="I148" s="135">
        <f t="shared" si="7"/>
        <v>4.8</v>
      </c>
      <c r="J148" s="144"/>
      <c r="K148" s="159">
        <v>0.23400000000000001</v>
      </c>
      <c r="L148" s="167">
        <f t="shared" si="8"/>
        <v>1.4842</v>
      </c>
    </row>
    <row r="149" spans="1:12" s="147" customFormat="1" ht="25.5" hidden="1" x14ac:dyDescent="0.2">
      <c r="A149" s="138"/>
      <c r="B149" s="124"/>
      <c r="C149" s="169" t="s">
        <v>465</v>
      </c>
      <c r="D149" s="157" t="s">
        <v>97</v>
      </c>
      <c r="E149" s="135">
        <f>F149*N11</f>
        <v>8.49</v>
      </c>
      <c r="F149" s="133">
        <v>8.49</v>
      </c>
      <c r="G149" s="143">
        <v>2.1999999999999999E-2</v>
      </c>
      <c r="H149" s="135"/>
      <c r="I149" s="135">
        <f t="shared" si="7"/>
        <v>0.29375400000000002</v>
      </c>
      <c r="J149" s="144"/>
      <c r="K149" s="159">
        <v>0.23400000000000001</v>
      </c>
      <c r="L149" s="167">
        <f t="shared" si="8"/>
        <v>1.4842</v>
      </c>
    </row>
    <row r="150" spans="1:12" s="147" customFormat="1" hidden="1" x14ac:dyDescent="0.2">
      <c r="A150" s="138"/>
      <c r="B150" s="124"/>
      <c r="C150" s="169" t="s">
        <v>466</v>
      </c>
      <c r="D150" s="157" t="s">
        <v>97</v>
      </c>
      <c r="E150" s="135">
        <f>F150*N11</f>
        <v>2.2599999999999998</v>
      </c>
      <c r="F150" s="133">
        <v>2.2599999999999998</v>
      </c>
      <c r="G150" s="143">
        <v>4.6100000000000002E-2</v>
      </c>
      <c r="H150" s="135"/>
      <c r="I150" s="135">
        <f t="shared" si="7"/>
        <v>1.3107999999999998E-2</v>
      </c>
      <c r="J150" s="144"/>
      <c r="K150" s="159">
        <v>0.23400000000000001</v>
      </c>
      <c r="L150" s="167">
        <f t="shared" si="8"/>
        <v>1.4842</v>
      </c>
    </row>
    <row r="151" spans="1:12" s="147" customFormat="1" hidden="1" x14ac:dyDescent="0.2">
      <c r="A151" s="138"/>
      <c r="B151" s="124"/>
      <c r="C151" s="169" t="s">
        <v>467</v>
      </c>
      <c r="D151" s="157" t="s">
        <v>97</v>
      </c>
      <c r="E151" s="135">
        <f>F151*N11</f>
        <v>11.73</v>
      </c>
      <c r="F151" s="133">
        <v>11.73</v>
      </c>
      <c r="G151" s="158">
        <v>4.6100000000000002E-2</v>
      </c>
      <c r="H151" s="135"/>
      <c r="I151" s="135">
        <f t="shared" si="7"/>
        <v>6.2872800000000009</v>
      </c>
      <c r="J151" s="144"/>
      <c r="K151" s="159">
        <v>0.23400000000000001</v>
      </c>
      <c r="L151" s="167">
        <f t="shared" si="8"/>
        <v>1.4842</v>
      </c>
    </row>
    <row r="152" spans="1:12" hidden="1" x14ac:dyDescent="0.25">
      <c r="C152" s="189" t="s">
        <v>468</v>
      </c>
      <c r="D152" s="157" t="s">
        <v>97</v>
      </c>
      <c r="E152" s="135">
        <f>F152*N11</f>
        <v>1.22</v>
      </c>
      <c r="F152" s="190">
        <v>1.22</v>
      </c>
      <c r="G152" s="191">
        <v>2.4E-2</v>
      </c>
      <c r="I152" s="135">
        <f t="shared" si="7"/>
        <v>2.8059999999999998E-2</v>
      </c>
      <c r="K152" s="159">
        <v>0.23400000000000001</v>
      </c>
      <c r="L152" s="167">
        <f t="shared" si="8"/>
        <v>1.4842</v>
      </c>
    </row>
    <row r="153" spans="1:12" s="147" customFormat="1" hidden="1" x14ac:dyDescent="0.2">
      <c r="A153" s="138"/>
      <c r="B153" s="124"/>
      <c r="C153" s="169" t="s">
        <v>432</v>
      </c>
      <c r="D153" s="157" t="s">
        <v>425</v>
      </c>
      <c r="E153" s="135">
        <f>5.21*N11</f>
        <v>5.21</v>
      </c>
      <c r="F153" s="133"/>
      <c r="G153" s="158">
        <v>4.34</v>
      </c>
      <c r="H153" s="135">
        <f>E153*G153</f>
        <v>22.6114</v>
      </c>
      <c r="I153" s="141"/>
      <c r="J153" s="144"/>
      <c r="K153" s="159">
        <v>0.23400000000000001</v>
      </c>
      <c r="L153" s="167">
        <f t="shared" si="8"/>
        <v>1.4842</v>
      </c>
    </row>
    <row r="154" spans="1:12" s="147" customFormat="1" hidden="1" x14ac:dyDescent="0.2">
      <c r="A154" s="138"/>
      <c r="B154" s="124"/>
      <c r="C154" s="169" t="s">
        <v>469</v>
      </c>
      <c r="D154" s="157" t="s">
        <v>425</v>
      </c>
      <c r="E154" s="135">
        <f>5.21*N11</f>
        <v>5.21</v>
      </c>
      <c r="F154" s="133"/>
      <c r="G154" s="158">
        <v>0.01</v>
      </c>
      <c r="H154" s="135">
        <f>E154*G154</f>
        <v>5.21E-2</v>
      </c>
      <c r="I154" s="141"/>
      <c r="J154" s="144"/>
      <c r="K154" s="159">
        <v>0.23400000000000001</v>
      </c>
      <c r="L154" s="167">
        <f t="shared" si="8"/>
        <v>1.4842</v>
      </c>
    </row>
    <row r="155" spans="1:12" s="147" customFormat="1" hidden="1" x14ac:dyDescent="0.2">
      <c r="A155" s="138"/>
      <c r="B155" s="124"/>
      <c r="C155" s="169" t="s">
        <v>470</v>
      </c>
      <c r="D155" s="157" t="s">
        <v>425</v>
      </c>
      <c r="E155" s="135">
        <f>5.21*N11</f>
        <v>5.21</v>
      </c>
      <c r="F155" s="133"/>
      <c r="G155" s="158">
        <v>8.9999999999999993E-3</v>
      </c>
      <c r="H155" s="135">
        <f>E155*G155</f>
        <v>4.6889999999999994E-2</v>
      </c>
      <c r="I155" s="141"/>
      <c r="J155" s="144"/>
      <c r="K155" s="159">
        <v>0.23400000000000001</v>
      </c>
      <c r="L155" s="167">
        <f t="shared" si="8"/>
        <v>1.4842</v>
      </c>
    </row>
    <row r="156" spans="1:12" s="147" customFormat="1" hidden="1" x14ac:dyDescent="0.2">
      <c r="A156" s="138"/>
      <c r="B156" s="124"/>
      <c r="C156" s="169" t="s">
        <v>471</v>
      </c>
      <c r="D156" s="157" t="s">
        <v>425</v>
      </c>
      <c r="E156" s="135">
        <f>4.15*N11</f>
        <v>4.1500000000000004</v>
      </c>
      <c r="F156" s="133"/>
      <c r="G156" s="158">
        <v>0.01</v>
      </c>
      <c r="H156" s="135">
        <f>E156*G156</f>
        <v>4.1500000000000002E-2</v>
      </c>
      <c r="I156" s="141"/>
      <c r="J156" s="144"/>
      <c r="K156" s="159">
        <v>0.23400000000000001</v>
      </c>
      <c r="L156" s="167">
        <f t="shared" si="8"/>
        <v>1.4842</v>
      </c>
    </row>
    <row r="157" spans="1:12" s="147" customFormat="1" hidden="1" x14ac:dyDescent="0.2">
      <c r="A157" s="138"/>
      <c r="B157" s="124"/>
      <c r="C157" s="169" t="s">
        <v>434</v>
      </c>
      <c r="D157" s="157" t="s">
        <v>425</v>
      </c>
      <c r="E157" s="135">
        <f>3.77*N11</f>
        <v>3.77</v>
      </c>
      <c r="F157" s="133"/>
      <c r="G157" s="158">
        <v>4.34</v>
      </c>
      <c r="H157" s="135">
        <f>E157*G157</f>
        <v>16.361799999999999</v>
      </c>
      <c r="I157" s="141"/>
      <c r="J157" s="144"/>
      <c r="K157" s="159">
        <v>0.23400000000000001</v>
      </c>
      <c r="L157" s="167">
        <f t="shared" si="8"/>
        <v>1.4842</v>
      </c>
    </row>
    <row r="158" spans="1:12" s="147" customFormat="1" hidden="1" x14ac:dyDescent="0.2">
      <c r="A158" s="138"/>
      <c r="B158" s="124"/>
      <c r="C158" s="169"/>
      <c r="D158" s="157"/>
      <c r="E158" s="135"/>
      <c r="F158" s="133"/>
      <c r="G158" s="158"/>
      <c r="H158" s="135"/>
      <c r="I158" s="135"/>
      <c r="J158" s="144"/>
      <c r="K158" s="159">
        <v>0.23400000000000001</v>
      </c>
      <c r="L158" s="167">
        <f t="shared" si="8"/>
        <v>1.4842</v>
      </c>
    </row>
    <row r="159" spans="1:12" s="147" customFormat="1" hidden="1" x14ac:dyDescent="0.2">
      <c r="A159" s="138"/>
      <c r="B159" s="124"/>
      <c r="C159" s="169"/>
      <c r="D159" s="157"/>
      <c r="E159" s="653" t="str">
        <f>E120</f>
        <v>Custo Direto</v>
      </c>
      <c r="F159" s="653"/>
      <c r="G159" s="653"/>
      <c r="H159" s="172">
        <f>SUM(H127:H158)</f>
        <v>39.113689999999998</v>
      </c>
      <c r="I159" s="172">
        <f>SUM(I127:I158)</f>
        <v>100.45209700000001</v>
      </c>
      <c r="J159" s="144"/>
      <c r="K159" s="159">
        <v>0.23400000000000001</v>
      </c>
      <c r="L159" s="167">
        <f t="shared" si="8"/>
        <v>1.4842</v>
      </c>
    </row>
    <row r="160" spans="1:12" s="147" customFormat="1" hidden="1" x14ac:dyDescent="0.2">
      <c r="A160" s="138"/>
      <c r="B160" s="124"/>
      <c r="C160" s="169"/>
      <c r="D160" s="157"/>
      <c r="E160" s="653" t="str">
        <f>E121</f>
        <v>LS(%): 148,42</v>
      </c>
      <c r="F160" s="653"/>
      <c r="G160" s="653"/>
      <c r="H160" s="135">
        <f>H159*L160</f>
        <v>58.052538697999999</v>
      </c>
      <c r="I160" s="141"/>
      <c r="J160" s="144"/>
      <c r="K160" s="159">
        <v>0.23400000000000001</v>
      </c>
      <c r="L160" s="167">
        <f t="shared" si="8"/>
        <v>1.4842</v>
      </c>
    </row>
    <row r="161" spans="1:12" s="147" customFormat="1" hidden="1" x14ac:dyDescent="0.2">
      <c r="A161" s="138"/>
      <c r="B161" s="124"/>
      <c r="C161" s="169"/>
      <c r="D161" s="157"/>
      <c r="E161" s="653" t="str">
        <f>E122</f>
        <v>BDI (%): 23,40</v>
      </c>
      <c r="F161" s="653"/>
      <c r="G161" s="653"/>
      <c r="H161" s="654">
        <f>(H159+I159+H160)*K161</f>
        <v>46.242688213332002</v>
      </c>
      <c r="I161" s="654"/>
      <c r="J161" s="144"/>
      <c r="K161" s="159">
        <v>0.23400000000000001</v>
      </c>
      <c r="L161" s="167">
        <f t="shared" si="8"/>
        <v>1.4842</v>
      </c>
    </row>
    <row r="162" spans="1:12" s="147" customFormat="1" hidden="1" x14ac:dyDescent="0.2">
      <c r="A162" s="138"/>
      <c r="B162" s="124"/>
      <c r="C162" s="169"/>
      <c r="D162" s="157"/>
      <c r="E162" s="653" t="str">
        <f>E123</f>
        <v>Valor Total c/ Taxas</v>
      </c>
      <c r="F162" s="653"/>
      <c r="G162" s="653"/>
      <c r="H162" s="135"/>
      <c r="I162" s="172">
        <f>(H159+I159+H160+H161)</f>
        <v>243.86101391133201</v>
      </c>
      <c r="J162" s="144"/>
      <c r="K162" s="159">
        <v>0.23400000000000001</v>
      </c>
      <c r="L162" s="167">
        <f t="shared" si="8"/>
        <v>1.4842</v>
      </c>
    </row>
    <row r="163" spans="1:12" s="147" customFormat="1" hidden="1" x14ac:dyDescent="0.2">
      <c r="A163" s="138"/>
      <c r="B163" s="124"/>
      <c r="C163" s="169"/>
      <c r="D163" s="157"/>
      <c r="E163" s="135"/>
      <c r="F163" s="133"/>
      <c r="G163" s="158"/>
      <c r="H163" s="135"/>
      <c r="I163" s="135"/>
      <c r="J163" s="144"/>
      <c r="K163" s="159">
        <v>0.23400000000000001</v>
      </c>
      <c r="L163" s="167">
        <f>L162</f>
        <v>1.4842</v>
      </c>
    </row>
    <row r="164" spans="1:12" s="147" customFormat="1" hidden="1" x14ac:dyDescent="0.2">
      <c r="A164" s="188"/>
      <c r="B164" s="155" t="str">
        <f>orçamento!C19</f>
        <v>1.6</v>
      </c>
      <c r="C164" s="156" t="str">
        <f>orçamento!D19</f>
        <v>Locação da obra (execução de gabarito)</v>
      </c>
      <c r="D164" s="157" t="s">
        <v>1</v>
      </c>
      <c r="E164" s="135"/>
      <c r="F164" s="133"/>
      <c r="G164" s="158"/>
      <c r="H164" s="135"/>
      <c r="I164" s="135"/>
      <c r="J164" s="144"/>
      <c r="K164" s="159">
        <v>0.23400000000000001</v>
      </c>
      <c r="L164" s="167">
        <f t="shared" si="8"/>
        <v>1.4842</v>
      </c>
    </row>
    <row r="165" spans="1:12" s="147" customFormat="1" hidden="1" x14ac:dyDescent="0.2">
      <c r="A165" s="138"/>
      <c r="B165" s="124"/>
      <c r="C165" s="169" t="s">
        <v>472</v>
      </c>
      <c r="D165" s="157" t="s">
        <v>473</v>
      </c>
      <c r="E165" s="135">
        <f>F165*N11</f>
        <v>6.98</v>
      </c>
      <c r="F165" s="133">
        <v>6.98</v>
      </c>
      <c r="G165" s="143">
        <v>0.02</v>
      </c>
      <c r="H165" s="135"/>
      <c r="I165" s="135">
        <f>E165*G165</f>
        <v>0.1396</v>
      </c>
      <c r="J165" s="144"/>
      <c r="K165" s="159">
        <v>0.23400000000000001</v>
      </c>
      <c r="L165" s="167">
        <f t="shared" si="8"/>
        <v>1.4842</v>
      </c>
    </row>
    <row r="166" spans="1:12" s="147" customFormat="1" ht="25.5" hidden="1" x14ac:dyDescent="0.2">
      <c r="A166" s="138"/>
      <c r="B166" s="124"/>
      <c r="C166" s="169" t="s">
        <v>474</v>
      </c>
      <c r="D166" s="157" t="s">
        <v>2</v>
      </c>
      <c r="E166" s="135">
        <f>F166*N11</f>
        <v>3.32</v>
      </c>
      <c r="F166" s="133">
        <v>3.32</v>
      </c>
      <c r="G166" s="158">
        <v>3.5999999999999997E-2</v>
      </c>
      <c r="H166" s="135"/>
      <c r="I166" s="135">
        <f>E166*G166</f>
        <v>0.11951999999999999</v>
      </c>
      <c r="J166" s="144"/>
      <c r="K166" s="159">
        <v>0.23400000000000001</v>
      </c>
      <c r="L166" s="167">
        <f t="shared" si="8"/>
        <v>1.4842</v>
      </c>
    </row>
    <row r="167" spans="1:12" s="147" customFormat="1" hidden="1" x14ac:dyDescent="0.2">
      <c r="A167" s="138"/>
      <c r="B167" s="124"/>
      <c r="C167" s="169" t="s">
        <v>475</v>
      </c>
      <c r="D167" s="157" t="s">
        <v>473</v>
      </c>
      <c r="E167" s="135">
        <f>F167*N11</f>
        <v>7.75</v>
      </c>
      <c r="F167" s="133">
        <v>7.75</v>
      </c>
      <c r="G167" s="158">
        <v>0.01</v>
      </c>
      <c r="H167" s="135"/>
      <c r="I167" s="135">
        <f>E167*G167</f>
        <v>7.7499999999999999E-2</v>
      </c>
      <c r="J167" s="144"/>
      <c r="K167" s="159">
        <v>0.23400000000000001</v>
      </c>
      <c r="L167" s="167">
        <f t="shared" si="8"/>
        <v>1.4842</v>
      </c>
    </row>
    <row r="168" spans="1:12" ht="26.25" hidden="1" x14ac:dyDescent="0.25">
      <c r="A168" s="195"/>
      <c r="B168" s="185"/>
      <c r="C168" s="189" t="s">
        <v>458</v>
      </c>
      <c r="D168" s="196" t="s">
        <v>2</v>
      </c>
      <c r="E168" s="135">
        <f>F168*N11</f>
        <v>4.9400000000000004</v>
      </c>
      <c r="F168" s="197">
        <v>4.9400000000000004</v>
      </c>
      <c r="G168" s="191">
        <v>3.2000000000000001E-2</v>
      </c>
      <c r="H168" s="198"/>
      <c r="I168" s="135">
        <f>E168*G168</f>
        <v>0.15808000000000003</v>
      </c>
      <c r="J168" s="199"/>
      <c r="K168" s="159">
        <v>0.23400000000000001</v>
      </c>
      <c r="L168" s="167">
        <f t="shared" si="8"/>
        <v>1.4842</v>
      </c>
    </row>
    <row r="169" spans="1:12" s="147" customFormat="1" hidden="1" x14ac:dyDescent="0.2">
      <c r="A169" s="138"/>
      <c r="B169" s="124"/>
      <c r="C169" s="169" t="s">
        <v>432</v>
      </c>
      <c r="D169" s="157" t="s">
        <v>425</v>
      </c>
      <c r="E169" s="135">
        <f>5.21*N11</f>
        <v>5.21</v>
      </c>
      <c r="F169" s="133"/>
      <c r="G169" s="158">
        <v>0.1</v>
      </c>
      <c r="H169" s="135">
        <v>0.52100000000000002</v>
      </c>
      <c r="I169" s="141"/>
      <c r="J169" s="144"/>
      <c r="K169" s="159">
        <v>0.23400000000000001</v>
      </c>
      <c r="L169" s="167">
        <f t="shared" si="8"/>
        <v>1.4842</v>
      </c>
    </row>
    <row r="170" spans="1:12" s="147" customFormat="1" hidden="1" x14ac:dyDescent="0.2">
      <c r="A170" s="138"/>
      <c r="B170" s="124"/>
      <c r="C170" s="169" t="s">
        <v>434</v>
      </c>
      <c r="D170" s="157" t="s">
        <v>425</v>
      </c>
      <c r="E170" s="135">
        <f>3.77*N11</f>
        <v>3.77</v>
      </c>
      <c r="F170" s="133"/>
      <c r="G170" s="158">
        <v>0.1</v>
      </c>
      <c r="H170" s="135">
        <v>0.377</v>
      </c>
      <c r="I170" s="141"/>
      <c r="J170" s="144"/>
      <c r="K170" s="159">
        <v>0.23400000000000001</v>
      </c>
      <c r="L170" s="167">
        <f t="shared" si="8"/>
        <v>1.4842</v>
      </c>
    </row>
    <row r="171" spans="1:12" s="147" customFormat="1" hidden="1" x14ac:dyDescent="0.2">
      <c r="A171" s="138"/>
      <c r="B171" s="124"/>
      <c r="C171" s="169"/>
      <c r="D171" s="157"/>
      <c r="E171" s="135"/>
      <c r="F171" s="133"/>
      <c r="G171" s="158"/>
      <c r="H171" s="135"/>
      <c r="I171" s="135"/>
      <c r="J171" s="144"/>
      <c r="K171" s="159">
        <v>0.23400000000000001</v>
      </c>
      <c r="L171" s="167">
        <f t="shared" si="8"/>
        <v>1.4842</v>
      </c>
    </row>
    <row r="172" spans="1:12" s="147" customFormat="1" hidden="1" x14ac:dyDescent="0.2">
      <c r="A172" s="138"/>
      <c r="B172" s="124"/>
      <c r="C172" s="169"/>
      <c r="D172" s="157"/>
      <c r="E172" s="653" t="str">
        <f>E159</f>
        <v>Custo Direto</v>
      </c>
      <c r="F172" s="653"/>
      <c r="G172" s="653"/>
      <c r="H172" s="172">
        <f>SUM(H165:H171)</f>
        <v>0.89800000000000002</v>
      </c>
      <c r="I172" s="172">
        <f>SUM(I165:I171)</f>
        <v>0.49470000000000003</v>
      </c>
      <c r="J172" s="144"/>
      <c r="K172" s="159">
        <v>0.23400000000000001</v>
      </c>
      <c r="L172" s="167">
        <f t="shared" si="8"/>
        <v>1.4842</v>
      </c>
    </row>
    <row r="173" spans="1:12" s="147" customFormat="1" hidden="1" x14ac:dyDescent="0.2">
      <c r="A173" s="138"/>
      <c r="B173" s="124"/>
      <c r="C173" s="169"/>
      <c r="D173" s="157"/>
      <c r="E173" s="653" t="str">
        <f>E160</f>
        <v>LS(%): 148,42</v>
      </c>
      <c r="F173" s="653"/>
      <c r="G173" s="653"/>
      <c r="H173" s="135">
        <f>H172*L173</f>
        <v>1.3328116000000001</v>
      </c>
      <c r="I173" s="141"/>
      <c r="J173" s="144"/>
      <c r="K173" s="159">
        <v>0.23400000000000001</v>
      </c>
      <c r="L173" s="167">
        <f t="shared" si="8"/>
        <v>1.4842</v>
      </c>
    </row>
    <row r="174" spans="1:12" s="147" customFormat="1" hidden="1" x14ac:dyDescent="0.2">
      <c r="A174" s="138"/>
      <c r="B174" s="124"/>
      <c r="C174" s="169"/>
      <c r="D174" s="157"/>
      <c r="E174" s="653" t="str">
        <f>E161</f>
        <v>BDI (%): 23,40</v>
      </c>
      <c r="F174" s="653"/>
      <c r="G174" s="653"/>
      <c r="H174" s="654">
        <f>(H172+I172+H173)*K174</f>
        <v>0.63776971439999997</v>
      </c>
      <c r="I174" s="654"/>
      <c r="J174" s="144"/>
      <c r="K174" s="159">
        <v>0.23400000000000001</v>
      </c>
      <c r="L174" s="167">
        <f t="shared" si="8"/>
        <v>1.4842</v>
      </c>
    </row>
    <row r="175" spans="1:12" s="147" customFormat="1" hidden="1" x14ac:dyDescent="0.2">
      <c r="A175" s="138"/>
      <c r="B175" s="124"/>
      <c r="C175" s="169"/>
      <c r="D175" s="157"/>
      <c r="E175" s="653" t="str">
        <f>E162</f>
        <v>Valor Total c/ Taxas</v>
      </c>
      <c r="F175" s="653"/>
      <c r="G175" s="653"/>
      <c r="H175" s="135"/>
      <c r="I175" s="172">
        <f>(H172+I172+H173+H174)</f>
        <v>3.3632813144</v>
      </c>
      <c r="J175" s="144"/>
      <c r="K175" s="159">
        <v>0.23400000000000001</v>
      </c>
      <c r="L175" s="167">
        <f t="shared" si="8"/>
        <v>1.4842</v>
      </c>
    </row>
    <row r="176" spans="1:12" s="147" customFormat="1" hidden="1" x14ac:dyDescent="0.2">
      <c r="A176" s="138"/>
      <c r="B176" s="124"/>
      <c r="C176" s="169"/>
      <c r="D176" s="157"/>
      <c r="E176" s="135"/>
      <c r="F176" s="133"/>
      <c r="G176" s="158"/>
      <c r="H176" s="135"/>
      <c r="I176" s="135"/>
      <c r="J176" s="144"/>
      <c r="K176" s="159">
        <v>0.23400000000000001</v>
      </c>
      <c r="L176" s="167">
        <f t="shared" si="8"/>
        <v>1.4842</v>
      </c>
    </row>
    <row r="177" spans="1:12" s="176" customFormat="1" hidden="1" x14ac:dyDescent="0.2">
      <c r="A177" s="200"/>
      <c r="B177" s="155" t="str">
        <f>orçamento!C20</f>
        <v>1.7</v>
      </c>
      <c r="C177" s="156" t="str">
        <f>orçamento!D20</f>
        <v>Sondagem do terreno ( um furo de 7m a cada 200 m²)</v>
      </c>
      <c r="D177" s="157" t="s">
        <v>2</v>
      </c>
      <c r="E177" s="135"/>
      <c r="F177" s="133"/>
      <c r="G177" s="158"/>
      <c r="H177" s="135"/>
      <c r="I177" s="135"/>
      <c r="J177" s="175"/>
      <c r="K177" s="159">
        <v>0.23400000000000001</v>
      </c>
      <c r="L177" s="167">
        <f t="shared" si="8"/>
        <v>1.4842</v>
      </c>
    </row>
    <row r="178" spans="1:12" s="147" customFormat="1" hidden="1" x14ac:dyDescent="0.2">
      <c r="A178" s="138"/>
      <c r="B178" s="124"/>
      <c r="C178" s="169" t="s">
        <v>476</v>
      </c>
      <c r="D178" s="157" t="s">
        <v>2</v>
      </c>
      <c r="E178" s="135">
        <f>F178*N11</f>
        <v>70.45</v>
      </c>
      <c r="F178" s="133">
        <v>70.45</v>
      </c>
      <c r="G178" s="143">
        <v>1</v>
      </c>
      <c r="H178" s="135"/>
      <c r="I178" s="135">
        <f>E178*G178</f>
        <v>70.45</v>
      </c>
      <c r="J178" s="144"/>
      <c r="K178" s="159">
        <v>0.23400000000000001</v>
      </c>
      <c r="L178" s="167">
        <f t="shared" si="8"/>
        <v>1.4842</v>
      </c>
    </row>
    <row r="179" spans="1:12" s="147" customFormat="1" hidden="1" x14ac:dyDescent="0.2">
      <c r="A179" s="138"/>
      <c r="B179" s="124"/>
      <c r="C179" s="169"/>
      <c r="D179" s="157"/>
      <c r="E179" s="135"/>
      <c r="F179" s="133"/>
      <c r="G179" s="158"/>
      <c r="H179" s="135"/>
      <c r="I179" s="135"/>
      <c r="J179" s="144"/>
      <c r="K179" s="159">
        <v>0.23400000000000001</v>
      </c>
      <c r="L179" s="167">
        <f t="shared" si="8"/>
        <v>1.4842</v>
      </c>
    </row>
    <row r="180" spans="1:12" s="147" customFormat="1" hidden="1" x14ac:dyDescent="0.2">
      <c r="A180" s="138"/>
      <c r="B180" s="124"/>
      <c r="C180" s="169"/>
      <c r="D180" s="157"/>
      <c r="E180" s="653" t="str">
        <f>E172</f>
        <v>Custo Direto</v>
      </c>
      <c r="F180" s="653"/>
      <c r="G180" s="653"/>
      <c r="H180" s="172"/>
      <c r="I180" s="172">
        <f>SUM(I178:I179)</f>
        <v>70.45</v>
      </c>
      <c r="J180" s="144"/>
      <c r="K180" s="159">
        <v>0.23400000000000001</v>
      </c>
      <c r="L180" s="167">
        <f t="shared" si="8"/>
        <v>1.4842</v>
      </c>
    </row>
    <row r="181" spans="1:12" s="147" customFormat="1" hidden="1" x14ac:dyDescent="0.2">
      <c r="A181" s="138"/>
      <c r="B181" s="124"/>
      <c r="C181" s="169"/>
      <c r="D181" s="157"/>
      <c r="E181" s="653" t="str">
        <f>E173</f>
        <v>LS(%): 148,42</v>
      </c>
      <c r="F181" s="653"/>
      <c r="G181" s="653"/>
      <c r="H181" s="135"/>
      <c r="I181" s="141"/>
      <c r="J181" s="144"/>
      <c r="K181" s="159">
        <v>0.23400000000000001</v>
      </c>
      <c r="L181" s="167">
        <f t="shared" si="8"/>
        <v>1.4842</v>
      </c>
    </row>
    <row r="182" spans="1:12" s="147" customFormat="1" hidden="1" x14ac:dyDescent="0.2">
      <c r="A182" s="138"/>
      <c r="B182" s="124"/>
      <c r="C182" s="169"/>
      <c r="D182" s="157"/>
      <c r="E182" s="653" t="str">
        <f>E174</f>
        <v>BDI (%): 23,40</v>
      </c>
      <c r="F182" s="653"/>
      <c r="G182" s="653"/>
      <c r="H182" s="654">
        <f>(H180+I180+H181)*K182</f>
        <v>16.485300000000002</v>
      </c>
      <c r="I182" s="654"/>
      <c r="J182" s="144"/>
      <c r="K182" s="159">
        <v>0.23400000000000001</v>
      </c>
      <c r="L182" s="167">
        <f t="shared" si="8"/>
        <v>1.4842</v>
      </c>
    </row>
    <row r="183" spans="1:12" s="147" customFormat="1" hidden="1" x14ac:dyDescent="0.2">
      <c r="A183" s="138"/>
      <c r="B183" s="124"/>
      <c r="C183" s="169"/>
      <c r="D183" s="157"/>
      <c r="E183" s="653" t="str">
        <f>E175</f>
        <v>Valor Total c/ Taxas</v>
      </c>
      <c r="F183" s="653"/>
      <c r="G183" s="653"/>
      <c r="H183" s="135"/>
      <c r="I183" s="172">
        <f>(H180+I180+H181+H182)</f>
        <v>86.935300000000012</v>
      </c>
      <c r="J183" s="144"/>
      <c r="K183" s="159">
        <v>0.23400000000000001</v>
      </c>
      <c r="L183" s="167">
        <f t="shared" si="8"/>
        <v>1.4842</v>
      </c>
    </row>
    <row r="184" spans="1:12" s="147" customFormat="1" hidden="1" x14ac:dyDescent="0.2">
      <c r="A184" s="138"/>
      <c r="B184" s="124"/>
      <c r="C184" s="169"/>
      <c r="D184" s="157"/>
      <c r="E184" s="135"/>
      <c r="F184" s="133"/>
      <c r="G184" s="158"/>
      <c r="H184" s="135"/>
      <c r="I184" s="135"/>
      <c r="J184" s="144"/>
      <c r="K184" s="159">
        <v>0.23400000000000001</v>
      </c>
      <c r="L184" s="167">
        <f t="shared" si="8"/>
        <v>1.4842</v>
      </c>
    </row>
    <row r="185" spans="1:12" s="180" customFormat="1" x14ac:dyDescent="0.2">
      <c r="A185" s="188"/>
      <c r="B185" s="174" t="str">
        <f>'Planilha Orçamentaria'!A22</f>
        <v>1.5</v>
      </c>
      <c r="C185" s="156" t="str">
        <f>'Planilha Orçamentaria'!C22</f>
        <v>Tapume c/ chapa de madeirit e=10mm (h=2.20m)</v>
      </c>
      <c r="D185" s="228" t="s">
        <v>1</v>
      </c>
      <c r="E185" s="135"/>
      <c r="F185" s="133"/>
      <c r="G185" s="158"/>
      <c r="H185" s="135"/>
      <c r="I185" s="135"/>
      <c r="J185" s="179"/>
      <c r="K185" s="159">
        <v>0.23400000000000001</v>
      </c>
      <c r="L185" s="167">
        <f t="shared" si="8"/>
        <v>1.4842</v>
      </c>
    </row>
    <row r="186" spans="1:12" s="147" customFormat="1" x14ac:dyDescent="0.2">
      <c r="A186" s="138"/>
      <c r="B186" s="124"/>
      <c r="C186" s="169" t="s">
        <v>477</v>
      </c>
      <c r="D186" s="157" t="s">
        <v>473</v>
      </c>
      <c r="E186" s="135">
        <f>F186*N11</f>
        <v>0.85</v>
      </c>
      <c r="F186" s="133">
        <v>0.85</v>
      </c>
      <c r="G186" s="143">
        <v>0.6</v>
      </c>
      <c r="H186" s="135"/>
      <c r="I186" s="135">
        <f>E186*G186</f>
        <v>0.51</v>
      </c>
      <c r="J186" s="144"/>
      <c r="K186" s="159">
        <v>0.23400000000000001</v>
      </c>
      <c r="L186" s="167">
        <f t="shared" si="8"/>
        <v>1.4842</v>
      </c>
    </row>
    <row r="187" spans="1:12" s="147" customFormat="1" ht="25.5" x14ac:dyDescent="0.2">
      <c r="A187" s="138"/>
      <c r="B187" s="124"/>
      <c r="C187" s="169" t="s">
        <v>478</v>
      </c>
      <c r="D187" s="157" t="s">
        <v>435</v>
      </c>
      <c r="E187" s="135">
        <f>F187*N11</f>
        <v>20.56</v>
      </c>
      <c r="F187" s="133">
        <v>20.56</v>
      </c>
      <c r="G187" s="158">
        <v>0.2273</v>
      </c>
      <c r="H187" s="135"/>
      <c r="I187" s="135">
        <f>E187*G187</f>
        <v>4.6732879999999994</v>
      </c>
      <c r="J187" s="144"/>
      <c r="K187" s="159">
        <v>0.23400000000000001</v>
      </c>
      <c r="L187" s="167">
        <f t="shared" si="8"/>
        <v>1.4842</v>
      </c>
    </row>
    <row r="188" spans="1:12" s="147" customFormat="1" ht="25.5" x14ac:dyDescent="0.2">
      <c r="A188" s="138"/>
      <c r="B188" s="124"/>
      <c r="C188" s="169" t="s">
        <v>474</v>
      </c>
      <c r="D188" s="157" t="s">
        <v>2</v>
      </c>
      <c r="E188" s="135">
        <f>F188*N11</f>
        <v>3.32</v>
      </c>
      <c r="F188" s="133">
        <v>3.32</v>
      </c>
      <c r="G188" s="158">
        <v>1.58</v>
      </c>
      <c r="H188" s="135"/>
      <c r="I188" s="135">
        <f>E188*G188</f>
        <v>5.2455999999999996</v>
      </c>
      <c r="J188" s="144"/>
      <c r="K188" s="159">
        <v>0.23400000000000001</v>
      </c>
      <c r="L188" s="167">
        <f t="shared" si="8"/>
        <v>1.4842</v>
      </c>
    </row>
    <row r="189" spans="1:12" s="147" customFormat="1" x14ac:dyDescent="0.2">
      <c r="A189" s="138"/>
      <c r="B189" s="124"/>
      <c r="C189" s="169" t="s">
        <v>475</v>
      </c>
      <c r="D189" s="157" t="s">
        <v>473</v>
      </c>
      <c r="E189" s="135">
        <f>F189*N11</f>
        <v>7.75</v>
      </c>
      <c r="F189" s="133">
        <v>7.75</v>
      </c>
      <c r="G189" s="158">
        <v>0.15</v>
      </c>
      <c r="H189" s="135"/>
      <c r="I189" s="135">
        <f>E189*G189</f>
        <v>1.1624999999999999</v>
      </c>
      <c r="J189" s="144"/>
      <c r="K189" s="159">
        <v>0.23400000000000001</v>
      </c>
      <c r="L189" s="167">
        <f t="shared" si="8"/>
        <v>1.4842</v>
      </c>
    </row>
    <row r="190" spans="1:12" x14ac:dyDescent="0.25">
      <c r="A190" s="195"/>
      <c r="B190" s="185"/>
      <c r="C190" s="189" t="s">
        <v>479</v>
      </c>
      <c r="D190" s="196" t="s">
        <v>480</v>
      </c>
      <c r="E190" s="135">
        <f>F190*N11</f>
        <v>15.19</v>
      </c>
      <c r="F190" s="197">
        <v>15.19</v>
      </c>
      <c r="G190" s="191">
        <v>0.22</v>
      </c>
      <c r="H190" s="198"/>
      <c r="I190" s="135">
        <f>E190*G190</f>
        <v>3.3418000000000001</v>
      </c>
      <c r="J190" s="199"/>
      <c r="K190" s="159">
        <v>0.23400000000000001</v>
      </c>
      <c r="L190" s="167">
        <f t="shared" si="8"/>
        <v>1.4842</v>
      </c>
    </row>
    <row r="191" spans="1:12" s="147" customFormat="1" x14ac:dyDescent="0.2">
      <c r="A191" s="138"/>
      <c r="B191" s="124"/>
      <c r="C191" s="169" t="s">
        <v>432</v>
      </c>
      <c r="D191" s="157" t="s">
        <v>425</v>
      </c>
      <c r="E191" s="135">
        <f>5.21*N11</f>
        <v>5.21</v>
      </c>
      <c r="F191" s="133"/>
      <c r="G191" s="158">
        <v>1.1020000000000001</v>
      </c>
      <c r="H191" s="135">
        <f>E191*G191</f>
        <v>5.7414200000000006</v>
      </c>
      <c r="I191" s="141"/>
      <c r="J191" s="144"/>
      <c r="K191" s="159">
        <v>0.23400000000000001</v>
      </c>
      <c r="L191" s="167">
        <f t="shared" si="8"/>
        <v>1.4842</v>
      </c>
    </row>
    <row r="192" spans="1:12" s="147" customFormat="1" x14ac:dyDescent="0.2">
      <c r="A192" s="138"/>
      <c r="B192" s="124"/>
      <c r="C192" s="169" t="s">
        <v>481</v>
      </c>
      <c r="D192" s="157" t="s">
        <v>425</v>
      </c>
      <c r="E192" s="135">
        <f>5.21*N11</f>
        <v>5.21</v>
      </c>
      <c r="F192" s="133"/>
      <c r="G192" s="158">
        <v>1.1020000000000001</v>
      </c>
      <c r="H192" s="135">
        <f>E192*G192</f>
        <v>5.7414200000000006</v>
      </c>
      <c r="I192" s="141"/>
      <c r="J192" s="144"/>
      <c r="K192" s="159">
        <v>0.23400000000000001</v>
      </c>
      <c r="L192" s="167">
        <f t="shared" si="8"/>
        <v>1.4842</v>
      </c>
    </row>
    <row r="193" spans="1:14" s="147" customFormat="1" x14ac:dyDescent="0.2">
      <c r="A193" s="138"/>
      <c r="B193" s="124"/>
      <c r="C193" s="169" t="s">
        <v>434</v>
      </c>
      <c r="D193" s="157" t="s">
        <v>425</v>
      </c>
      <c r="E193" s="135">
        <f>3.77*N11</f>
        <v>3.77</v>
      </c>
      <c r="F193" s="133"/>
      <c r="G193" s="158">
        <v>1.1000000000000001</v>
      </c>
      <c r="H193" s="135">
        <f>E193*G193</f>
        <v>4.1470000000000002</v>
      </c>
      <c r="I193" s="141"/>
      <c r="J193" s="144"/>
      <c r="K193" s="159">
        <v>0.23400000000000001</v>
      </c>
      <c r="L193" s="167">
        <f t="shared" si="8"/>
        <v>1.4842</v>
      </c>
    </row>
    <row r="194" spans="1:14" s="147" customFormat="1" x14ac:dyDescent="0.2">
      <c r="A194" s="138"/>
      <c r="B194" s="124"/>
      <c r="C194" s="169"/>
      <c r="D194" s="157"/>
      <c r="E194" s="135"/>
      <c r="F194" s="133"/>
      <c r="G194" s="158"/>
      <c r="H194" s="135"/>
      <c r="I194" s="135"/>
      <c r="J194" s="144"/>
      <c r="K194" s="159">
        <v>0.23400000000000001</v>
      </c>
      <c r="L194" s="167">
        <f t="shared" si="8"/>
        <v>1.4842</v>
      </c>
    </row>
    <row r="195" spans="1:14" s="147" customFormat="1" x14ac:dyDescent="0.2">
      <c r="A195" s="138"/>
      <c r="B195" s="124"/>
      <c r="C195" s="169"/>
      <c r="D195" s="157"/>
      <c r="E195" s="653" t="str">
        <f>E180</f>
        <v>Custo Direto</v>
      </c>
      <c r="F195" s="653"/>
      <c r="G195" s="653"/>
      <c r="H195" s="172">
        <f>SUM(H186:H194)</f>
        <v>15.629840000000002</v>
      </c>
      <c r="I195" s="172">
        <f>SUM(I186:I194)</f>
        <v>14.933187999999998</v>
      </c>
      <c r="J195" s="144"/>
      <c r="K195" s="159">
        <v>0.23400000000000001</v>
      </c>
      <c r="L195" s="167">
        <f t="shared" si="8"/>
        <v>1.4842</v>
      </c>
    </row>
    <row r="196" spans="1:14" s="147" customFormat="1" x14ac:dyDescent="0.2">
      <c r="A196" s="138"/>
      <c r="B196" s="124"/>
      <c r="C196" s="169"/>
      <c r="D196" s="157"/>
      <c r="E196" s="653" t="str">
        <f>E181</f>
        <v>LS(%): 148,42</v>
      </c>
      <c r="F196" s="653"/>
      <c r="G196" s="653"/>
      <c r="H196" s="135">
        <f>H195*L196</f>
        <v>23.197808528000003</v>
      </c>
      <c r="I196" s="141"/>
      <c r="J196" s="144"/>
      <c r="K196" s="159">
        <v>0.23400000000000001</v>
      </c>
      <c r="L196" s="167">
        <f t="shared" si="8"/>
        <v>1.4842</v>
      </c>
    </row>
    <row r="197" spans="1:14" s="147" customFormat="1" x14ac:dyDescent="0.2">
      <c r="A197" s="138"/>
      <c r="B197" s="124"/>
      <c r="C197" s="169"/>
      <c r="D197" s="157"/>
      <c r="E197" s="653" t="str">
        <f>E182</f>
        <v>BDI (%): 23,40</v>
      </c>
      <c r="F197" s="653"/>
      <c r="G197" s="653"/>
      <c r="H197" s="654">
        <f>(H195+I195+H196)*K197</f>
        <v>12.580035747552001</v>
      </c>
      <c r="I197" s="654"/>
      <c r="J197" s="144"/>
      <c r="K197" s="159">
        <v>0.23400000000000001</v>
      </c>
      <c r="L197" s="167">
        <f t="shared" si="8"/>
        <v>1.4842</v>
      </c>
    </row>
    <row r="198" spans="1:14" s="147" customFormat="1" x14ac:dyDescent="0.2">
      <c r="A198" s="138"/>
      <c r="B198" s="124"/>
      <c r="C198" s="169"/>
      <c r="D198" s="157"/>
      <c r="E198" s="653" t="str">
        <f>E183</f>
        <v>Valor Total c/ Taxas</v>
      </c>
      <c r="F198" s="653"/>
      <c r="G198" s="653"/>
      <c r="H198" s="135"/>
      <c r="I198" s="172">
        <f>(H195+I195+H196+H197)</f>
        <v>66.340872275552002</v>
      </c>
      <c r="J198" s="144"/>
      <c r="K198" s="159">
        <v>0.23400000000000001</v>
      </c>
      <c r="L198" s="167">
        <f t="shared" si="8"/>
        <v>1.4842</v>
      </c>
      <c r="N198" s="531">
        <v>66.340872275552002</v>
      </c>
    </row>
    <row r="199" spans="1:14" s="147" customFormat="1" x14ac:dyDescent="0.2">
      <c r="A199" s="138"/>
      <c r="B199" s="124"/>
      <c r="C199" s="169"/>
      <c r="D199" s="157"/>
      <c r="E199" s="135"/>
      <c r="F199" s="133"/>
      <c r="G199" s="158"/>
      <c r="H199" s="135"/>
      <c r="I199" s="135"/>
      <c r="J199" s="144"/>
      <c r="K199" s="159">
        <v>0.23400000000000001</v>
      </c>
      <c r="L199" s="167">
        <f t="shared" si="8"/>
        <v>1.4842</v>
      </c>
    </row>
    <row r="200" spans="1:14" s="147" customFormat="1" x14ac:dyDescent="0.2">
      <c r="A200" s="138"/>
      <c r="B200" s="124" t="str">
        <f>orçamento!C23</f>
        <v>2.1</v>
      </c>
      <c r="C200" s="156" t="str">
        <f>'Planilha Orçamentaria'!C25</f>
        <v>Demolição de piso incl. camada impermeabilizadora</v>
      </c>
      <c r="D200" s="228" t="str">
        <f>'Planilha Orçamentaria'!D25</f>
        <v>M2</v>
      </c>
      <c r="E200" s="135"/>
      <c r="F200" s="133"/>
      <c r="G200" s="158"/>
      <c r="H200" s="135"/>
      <c r="I200" s="135"/>
      <c r="J200" s="144"/>
      <c r="K200" s="159">
        <v>0.23400000000000001</v>
      </c>
      <c r="L200" s="167">
        <f t="shared" si="8"/>
        <v>1.4842</v>
      </c>
    </row>
    <row r="201" spans="1:14" s="147" customFormat="1" x14ac:dyDescent="0.2">
      <c r="A201" s="138"/>
      <c r="B201" s="124"/>
      <c r="C201" s="169" t="str">
        <f>C200</f>
        <v>Demolição de piso incl. camada impermeabilizadora</v>
      </c>
      <c r="D201" s="157" t="str">
        <f>D200</f>
        <v>M2</v>
      </c>
      <c r="E201" s="135">
        <f>F201*N11</f>
        <v>2.7</v>
      </c>
      <c r="F201" s="133">
        <v>2.7</v>
      </c>
      <c r="G201" s="158">
        <v>0.38250000000000001</v>
      </c>
      <c r="H201" s="135"/>
      <c r="I201" s="135">
        <f>E201*G201</f>
        <v>1.0327500000000001</v>
      </c>
      <c r="J201" s="144"/>
      <c r="K201" s="159">
        <v>0.23400000000000001</v>
      </c>
      <c r="L201" s="167">
        <f t="shared" si="8"/>
        <v>1.4842</v>
      </c>
    </row>
    <row r="202" spans="1:14" s="147" customFormat="1" x14ac:dyDescent="0.2">
      <c r="A202" s="138"/>
      <c r="B202" s="124"/>
      <c r="C202" s="169" t="s">
        <v>426</v>
      </c>
      <c r="D202" s="157" t="s">
        <v>425</v>
      </c>
      <c r="E202" s="135">
        <f>3.77*N11</f>
        <v>3.77</v>
      </c>
      <c r="F202" s="133"/>
      <c r="G202" s="158">
        <v>0.51080000000000003</v>
      </c>
      <c r="H202" s="135">
        <f>E202*G202</f>
        <v>1.9257160000000002</v>
      </c>
      <c r="I202" s="135"/>
      <c r="J202" s="144"/>
      <c r="K202" s="159">
        <v>0.23400000000000001</v>
      </c>
      <c r="L202" s="167">
        <f t="shared" si="8"/>
        <v>1.4842</v>
      </c>
    </row>
    <row r="203" spans="1:14" s="147" customFormat="1" x14ac:dyDescent="0.2">
      <c r="A203" s="138"/>
      <c r="B203" s="124"/>
      <c r="C203" s="169"/>
      <c r="D203" s="157"/>
      <c r="E203" s="135"/>
      <c r="F203" s="133"/>
      <c r="G203" s="158"/>
      <c r="H203" s="135"/>
      <c r="I203" s="135"/>
      <c r="J203" s="144"/>
      <c r="K203" s="159">
        <v>0.23400000000000001</v>
      </c>
      <c r="L203" s="167">
        <f t="shared" si="8"/>
        <v>1.4842</v>
      </c>
    </row>
    <row r="204" spans="1:14" s="147" customFormat="1" x14ac:dyDescent="0.2">
      <c r="A204" s="138"/>
      <c r="B204" s="124"/>
      <c r="C204" s="169"/>
      <c r="D204" s="157"/>
      <c r="E204" s="653" t="str">
        <f>E195</f>
        <v>Custo Direto</v>
      </c>
      <c r="F204" s="653"/>
      <c r="G204" s="653"/>
      <c r="H204" s="172">
        <f>SUM(H201:H202)</f>
        <v>1.9257160000000002</v>
      </c>
      <c r="I204" s="172">
        <f>SUM(I201:I202)</f>
        <v>1.0327500000000001</v>
      </c>
      <c r="J204" s="144"/>
      <c r="K204" s="159">
        <v>0.23400000000000001</v>
      </c>
      <c r="L204" s="167">
        <f t="shared" si="8"/>
        <v>1.4842</v>
      </c>
    </row>
    <row r="205" spans="1:14" s="147" customFormat="1" x14ac:dyDescent="0.2">
      <c r="A205" s="138"/>
      <c r="B205" s="124"/>
      <c r="C205" s="169"/>
      <c r="D205" s="157"/>
      <c r="E205" s="653" t="str">
        <f>E196</f>
        <v>LS(%): 148,42</v>
      </c>
      <c r="F205" s="653"/>
      <c r="G205" s="653"/>
      <c r="H205" s="135">
        <f>H204*L205</f>
        <v>2.8581476872000002</v>
      </c>
      <c r="I205" s="141"/>
      <c r="J205" s="144"/>
      <c r="K205" s="159">
        <v>0.23400000000000001</v>
      </c>
      <c r="L205" s="167">
        <f t="shared" si="8"/>
        <v>1.4842</v>
      </c>
    </row>
    <row r="206" spans="1:14" s="147" customFormat="1" x14ac:dyDescent="0.2">
      <c r="A206" s="138"/>
      <c r="B206" s="124"/>
      <c r="C206" s="169"/>
      <c r="D206" s="157"/>
      <c r="E206" s="653" t="str">
        <f>E197</f>
        <v>BDI (%): 23,40</v>
      </c>
      <c r="F206" s="653"/>
      <c r="G206" s="653"/>
      <c r="H206" s="654">
        <f>(H204+I204+H205)*K206</f>
        <v>1.3610876028048002</v>
      </c>
      <c r="I206" s="654"/>
      <c r="J206" s="144"/>
      <c r="K206" s="159">
        <v>0.23400000000000001</v>
      </c>
      <c r="L206" s="167">
        <f t="shared" si="8"/>
        <v>1.4842</v>
      </c>
    </row>
    <row r="207" spans="1:14" s="147" customFormat="1" x14ac:dyDescent="0.2">
      <c r="A207" s="138"/>
      <c r="B207" s="124"/>
      <c r="C207" s="169"/>
      <c r="D207" s="157"/>
      <c r="E207" s="653" t="str">
        <f>E198</f>
        <v>Valor Total c/ Taxas</v>
      </c>
      <c r="F207" s="653"/>
      <c r="G207" s="653"/>
      <c r="H207" s="135"/>
      <c r="I207" s="172">
        <f>(H204+I204+H205+H206)</f>
        <v>7.1777012900048005</v>
      </c>
      <c r="J207" s="144"/>
      <c r="K207" s="159">
        <v>0.23400000000000001</v>
      </c>
      <c r="L207" s="167">
        <f t="shared" ref="L207:L376" si="9">L206</f>
        <v>1.4842</v>
      </c>
      <c r="N207" s="531">
        <v>7.1777012900048005</v>
      </c>
    </row>
    <row r="208" spans="1:14" s="147" customFormat="1" x14ac:dyDescent="0.2">
      <c r="A208" s="138"/>
      <c r="B208" s="124"/>
      <c r="C208" s="169"/>
      <c r="D208" s="157"/>
      <c r="E208" s="135"/>
      <c r="F208" s="133"/>
      <c r="G208" s="158"/>
      <c r="H208" s="135"/>
      <c r="I208" s="135"/>
      <c r="J208" s="144"/>
      <c r="K208" s="159">
        <v>0.23400000000000001</v>
      </c>
      <c r="L208" s="167">
        <f t="shared" si="9"/>
        <v>1.4842</v>
      </c>
    </row>
    <row r="209" spans="1:14" s="147" customFormat="1" x14ac:dyDescent="0.2">
      <c r="A209" s="138"/>
      <c r="B209" s="124" t="str">
        <f>'Planilha Orçamentaria'!A26</f>
        <v>2.2</v>
      </c>
      <c r="C209" s="156" t="str">
        <f>'Planilha Orçamentaria'!C26</f>
        <v>Demolição manual de alvenaria de tijolo</v>
      </c>
      <c r="D209" s="228" t="str">
        <f>'Planilha Orçamentaria'!D26</f>
        <v>M3</v>
      </c>
      <c r="E209" s="135"/>
      <c r="F209" s="133"/>
      <c r="G209" s="158"/>
      <c r="H209" s="135"/>
      <c r="I209" s="135"/>
      <c r="J209" s="144"/>
      <c r="K209" s="159">
        <v>0.23400000000000001</v>
      </c>
      <c r="L209" s="167">
        <f t="shared" si="9"/>
        <v>1.4842</v>
      </c>
    </row>
    <row r="210" spans="1:14" s="147" customFormat="1" x14ac:dyDescent="0.2">
      <c r="A210" s="138"/>
      <c r="B210" s="124"/>
      <c r="C210" s="169" t="str">
        <f>C209</f>
        <v>Demolição manual de alvenaria de tijolo</v>
      </c>
      <c r="D210" s="228" t="str">
        <f>D209</f>
        <v>M3</v>
      </c>
      <c r="E210" s="135">
        <f>F210*N11</f>
        <v>2.7</v>
      </c>
      <c r="F210" s="133">
        <v>2.7</v>
      </c>
      <c r="G210" s="158">
        <v>0.38250000000000001</v>
      </c>
      <c r="H210" s="135"/>
      <c r="I210" s="135">
        <f>E210*G210</f>
        <v>1.0327500000000001</v>
      </c>
      <c r="J210" s="144"/>
      <c r="K210" s="159"/>
      <c r="L210" s="167"/>
    </row>
    <row r="211" spans="1:14" s="147" customFormat="1" x14ac:dyDescent="0.2">
      <c r="A211" s="138"/>
      <c r="B211" s="124"/>
      <c r="C211" s="169" t="s">
        <v>426</v>
      </c>
      <c r="D211" s="157" t="s">
        <v>425</v>
      </c>
      <c r="E211" s="135">
        <f>3.77*N11</f>
        <v>3.77</v>
      </c>
      <c r="F211" s="133"/>
      <c r="G211" s="158">
        <v>2.6240000000000001</v>
      </c>
      <c r="H211" s="135">
        <f>E211*G211</f>
        <v>9.8924800000000008</v>
      </c>
      <c r="I211" s="135"/>
      <c r="J211" s="144"/>
      <c r="K211" s="159">
        <v>0.23400000000000001</v>
      </c>
      <c r="L211" s="167">
        <f>L209</f>
        <v>1.4842</v>
      </c>
    </row>
    <row r="212" spans="1:14" s="147" customFormat="1" x14ac:dyDescent="0.2">
      <c r="A212" s="138"/>
      <c r="B212" s="124"/>
      <c r="C212" s="169"/>
      <c r="D212" s="157"/>
      <c r="E212" s="135"/>
      <c r="F212" s="133"/>
      <c r="G212" s="158"/>
      <c r="H212" s="135"/>
      <c r="I212" s="135"/>
      <c r="J212" s="144"/>
      <c r="K212" s="159">
        <v>0.23400000000000001</v>
      </c>
      <c r="L212" s="167">
        <f t="shared" si="9"/>
        <v>1.4842</v>
      </c>
    </row>
    <row r="213" spans="1:14" s="147" customFormat="1" x14ac:dyDescent="0.2">
      <c r="A213" s="138"/>
      <c r="B213" s="124"/>
      <c r="C213" s="169"/>
      <c r="D213" s="157"/>
      <c r="E213" s="653" t="str">
        <f>E204</f>
        <v>Custo Direto</v>
      </c>
      <c r="F213" s="653"/>
      <c r="G213" s="653"/>
      <c r="H213" s="172">
        <f>SUM(H209:H211)</f>
        <v>9.8924800000000008</v>
      </c>
      <c r="I213" s="172">
        <f>SUM(I210:I211)</f>
        <v>1.0327500000000001</v>
      </c>
      <c r="J213" s="144"/>
      <c r="K213" s="159">
        <v>0.23400000000000001</v>
      </c>
      <c r="L213" s="167">
        <f t="shared" si="9"/>
        <v>1.4842</v>
      </c>
    </row>
    <row r="214" spans="1:14" s="147" customFormat="1" x14ac:dyDescent="0.2">
      <c r="A214" s="138"/>
      <c r="B214" s="124"/>
      <c r="C214" s="169"/>
      <c r="D214" s="157"/>
      <c r="E214" s="653" t="str">
        <f>E205</f>
        <v>LS(%): 148,42</v>
      </c>
      <c r="F214" s="653"/>
      <c r="G214" s="653"/>
      <c r="H214" s="135">
        <f>H213*L214</f>
        <v>14.682418816</v>
      </c>
      <c r="I214" s="141"/>
      <c r="J214" s="144"/>
      <c r="K214" s="159">
        <v>0.23400000000000001</v>
      </c>
      <c r="L214" s="167">
        <f t="shared" si="9"/>
        <v>1.4842</v>
      </c>
    </row>
    <row r="215" spans="1:14" s="147" customFormat="1" x14ac:dyDescent="0.2">
      <c r="A215" s="138"/>
      <c r="B215" s="124"/>
      <c r="C215" s="169"/>
      <c r="D215" s="157"/>
      <c r="E215" s="653" t="str">
        <f>E206</f>
        <v>BDI (%): 23,40</v>
      </c>
      <c r="F215" s="653"/>
      <c r="G215" s="653"/>
      <c r="H215" s="654">
        <f>(H213+I213+H214)*K215</f>
        <v>5.9921898229440007</v>
      </c>
      <c r="I215" s="654"/>
      <c r="J215" s="144"/>
      <c r="K215" s="159">
        <v>0.23400000000000001</v>
      </c>
      <c r="L215" s="167">
        <f t="shared" si="9"/>
        <v>1.4842</v>
      </c>
    </row>
    <row r="216" spans="1:14" s="147" customFormat="1" x14ac:dyDescent="0.2">
      <c r="A216" s="138"/>
      <c r="B216" s="124"/>
      <c r="C216" s="169"/>
      <c r="D216" s="157"/>
      <c r="E216" s="653" t="str">
        <f>E207</f>
        <v>Valor Total c/ Taxas</v>
      </c>
      <c r="F216" s="653"/>
      <c r="G216" s="653"/>
      <c r="H216" s="135"/>
      <c r="I216" s="172">
        <f>(H213+I213+H214+H215)</f>
        <v>31.599838638944</v>
      </c>
      <c r="J216" s="144"/>
      <c r="K216" s="159">
        <v>0.23400000000000001</v>
      </c>
      <c r="L216" s="167">
        <f t="shared" si="9"/>
        <v>1.4842</v>
      </c>
      <c r="N216" s="531">
        <v>31.596689150103998</v>
      </c>
    </row>
    <row r="217" spans="1:14" s="147" customFormat="1" x14ac:dyDescent="0.2">
      <c r="A217" s="138"/>
      <c r="B217" s="124"/>
      <c r="C217" s="169"/>
      <c r="D217" s="157"/>
      <c r="E217" s="135"/>
      <c r="F217" s="133"/>
      <c r="G217" s="158"/>
      <c r="H217" s="135"/>
      <c r="I217" s="135"/>
      <c r="J217" s="144"/>
      <c r="K217" s="159">
        <v>0.23400000000000001</v>
      </c>
      <c r="L217" s="167">
        <f>L216</f>
        <v>1.4842</v>
      </c>
    </row>
    <row r="218" spans="1:14" s="147" customFormat="1" x14ac:dyDescent="0.2">
      <c r="A218" s="202"/>
      <c r="B218" s="178" t="str">
        <f>'Planilha Orçamentaria'!A27</f>
        <v>2.3</v>
      </c>
      <c r="C218" s="156" t="str">
        <f>'Planilha Orçamentaria'!C27</f>
        <v>Retirada de esquadria sem aproveitamento</v>
      </c>
      <c r="D218" s="228" t="s">
        <v>1</v>
      </c>
      <c r="E218" s="135"/>
      <c r="F218" s="133"/>
      <c r="G218" s="158"/>
      <c r="H218" s="135"/>
      <c r="I218" s="135"/>
      <c r="J218" s="144"/>
      <c r="K218" s="159">
        <v>0.23400000000000001</v>
      </c>
      <c r="L218" s="167">
        <f t="shared" si="9"/>
        <v>1.4842</v>
      </c>
    </row>
    <row r="219" spans="1:14" s="169" customFormat="1" ht="12.75" x14ac:dyDescent="0.2">
      <c r="C219" s="169" t="str">
        <f>C218</f>
        <v>Retirada de esquadria sem aproveitamento</v>
      </c>
      <c r="D219" s="532" t="str">
        <f>D218</f>
        <v>M2</v>
      </c>
      <c r="E219" s="135">
        <f>1.2*N11</f>
        <v>1.2</v>
      </c>
      <c r="F219" s="169">
        <v>1.2</v>
      </c>
      <c r="G219" s="169">
        <v>0.34</v>
      </c>
      <c r="I219" s="169">
        <f>E219*G219</f>
        <v>0.40800000000000003</v>
      </c>
      <c r="K219" s="169">
        <v>0.23400000000000001</v>
      </c>
      <c r="L219" s="169">
        <f t="shared" si="9"/>
        <v>1.4842</v>
      </c>
    </row>
    <row r="220" spans="1:14" s="147" customFormat="1" x14ac:dyDescent="0.2">
      <c r="A220" s="138"/>
      <c r="B220" s="124"/>
      <c r="C220" s="169" t="s">
        <v>426</v>
      </c>
      <c r="D220" s="157" t="s">
        <v>425</v>
      </c>
      <c r="E220" s="135">
        <f>3.77*N11</f>
        <v>3.77</v>
      </c>
      <c r="F220" s="133"/>
      <c r="G220" s="158">
        <v>0.22700000000000001</v>
      </c>
      <c r="H220" s="135">
        <f>E220*G220</f>
        <v>0.85579000000000005</v>
      </c>
      <c r="I220" s="135"/>
      <c r="J220" s="144"/>
      <c r="K220" s="159">
        <v>0.23400000000000001</v>
      </c>
      <c r="L220" s="167">
        <f t="shared" si="9"/>
        <v>1.4842</v>
      </c>
    </row>
    <row r="221" spans="1:14" s="147" customFormat="1" x14ac:dyDescent="0.2">
      <c r="A221" s="138"/>
      <c r="B221" s="124"/>
      <c r="C221" s="169"/>
      <c r="D221" s="157"/>
      <c r="E221" s="135"/>
      <c r="F221" s="133"/>
      <c r="G221" s="158"/>
      <c r="H221" s="135"/>
      <c r="I221" s="135"/>
      <c r="J221" s="144"/>
      <c r="K221" s="159">
        <v>0.23400000000000001</v>
      </c>
      <c r="L221" s="167">
        <f t="shared" si="9"/>
        <v>1.4842</v>
      </c>
    </row>
    <row r="222" spans="1:14" s="147" customFormat="1" x14ac:dyDescent="0.2">
      <c r="A222" s="138"/>
      <c r="B222" s="124"/>
      <c r="C222" s="169"/>
      <c r="D222" s="157"/>
      <c r="E222" s="653" t="str">
        <f>E213</f>
        <v>Custo Direto</v>
      </c>
      <c r="F222" s="653"/>
      <c r="G222" s="653"/>
      <c r="H222" s="172">
        <f>SUM(H219:H220)</f>
        <v>0.85579000000000005</v>
      </c>
      <c r="I222" s="172">
        <f>SUM(I219:I220)</f>
        <v>0.40800000000000003</v>
      </c>
      <c r="J222" s="144"/>
      <c r="K222" s="159">
        <v>0.23400000000000001</v>
      </c>
      <c r="L222" s="167">
        <f t="shared" si="9"/>
        <v>1.4842</v>
      </c>
    </row>
    <row r="223" spans="1:14" s="147" customFormat="1" x14ac:dyDescent="0.2">
      <c r="A223" s="138"/>
      <c r="B223" s="124"/>
      <c r="C223" s="169"/>
      <c r="D223" s="157"/>
      <c r="E223" s="653" t="str">
        <f>E214</f>
        <v>LS(%): 148,42</v>
      </c>
      <c r="F223" s="653"/>
      <c r="G223" s="653"/>
      <c r="H223" s="135">
        <f>H222*L223</f>
        <v>1.2701635179999999</v>
      </c>
      <c r="I223" s="141"/>
      <c r="J223" s="144"/>
      <c r="K223" s="159">
        <v>0.23400000000000001</v>
      </c>
      <c r="L223" s="167">
        <f t="shared" si="9"/>
        <v>1.4842</v>
      </c>
    </row>
    <row r="224" spans="1:14" s="147" customFormat="1" x14ac:dyDescent="0.2">
      <c r="A224" s="138"/>
      <c r="B224" s="124"/>
      <c r="C224" s="169"/>
      <c r="D224" s="157"/>
      <c r="E224" s="653" t="str">
        <f>E215</f>
        <v>BDI (%): 23,40</v>
      </c>
      <c r="F224" s="653"/>
      <c r="G224" s="653"/>
      <c r="H224" s="654">
        <f>(H222+I222+H223)*K224</f>
        <v>0.5929451232120001</v>
      </c>
      <c r="I224" s="654"/>
      <c r="J224" s="144"/>
      <c r="K224" s="159">
        <v>0.23400000000000001</v>
      </c>
      <c r="L224" s="167">
        <f t="shared" si="9"/>
        <v>1.4842</v>
      </c>
    </row>
    <row r="225" spans="1:14" s="147" customFormat="1" x14ac:dyDescent="0.2">
      <c r="A225" s="138"/>
      <c r="B225" s="124"/>
      <c r="C225" s="169"/>
      <c r="D225" s="157"/>
      <c r="E225" s="653" t="str">
        <f>E216</f>
        <v>Valor Total c/ Taxas</v>
      </c>
      <c r="F225" s="653"/>
      <c r="G225" s="653"/>
      <c r="H225" s="135"/>
      <c r="I225" s="172">
        <f>(H222+I222+H223+H224)</f>
        <v>3.1268986412120001</v>
      </c>
      <c r="J225" s="144"/>
      <c r="K225" s="159">
        <v>0.23400000000000001</v>
      </c>
      <c r="L225" s="167">
        <f t="shared" si="9"/>
        <v>1.4842</v>
      </c>
      <c r="N225" s="531">
        <v>3.13436</v>
      </c>
    </row>
    <row r="226" spans="1:14" s="147" customFormat="1" x14ac:dyDescent="0.2">
      <c r="A226" s="138"/>
      <c r="B226" s="124"/>
      <c r="C226" s="169"/>
      <c r="D226" s="157"/>
      <c r="E226" s="135"/>
      <c r="F226" s="133"/>
      <c r="G226" s="158"/>
      <c r="H226" s="135"/>
      <c r="I226" s="135"/>
      <c r="J226" s="144"/>
      <c r="K226" s="159">
        <v>0.23400000000000001</v>
      </c>
      <c r="L226" s="167">
        <f t="shared" si="9"/>
        <v>1.4842</v>
      </c>
    </row>
    <row r="227" spans="1:14" s="147" customFormat="1" x14ac:dyDescent="0.2">
      <c r="A227" s="177"/>
      <c r="B227" s="201" t="str">
        <f>'Planilha Orçamentaria'!A28</f>
        <v>2.4</v>
      </c>
      <c r="C227" s="156" t="str">
        <f>'Planilha Orçamentaria'!C28</f>
        <v>Retirada de grade de ferro</v>
      </c>
      <c r="D227" s="157" t="str">
        <f>'Planilha Orçamentaria'!D28</f>
        <v>M2</v>
      </c>
      <c r="E227" s="135"/>
      <c r="F227" s="133"/>
      <c r="G227" s="158"/>
      <c r="H227" s="135"/>
      <c r="I227" s="135"/>
      <c r="J227" s="144"/>
      <c r="K227" s="159">
        <v>0.23400000000000001</v>
      </c>
      <c r="L227" s="167">
        <f t="shared" si="9"/>
        <v>1.4842</v>
      </c>
    </row>
    <row r="228" spans="1:14" s="169" customFormat="1" ht="12.75" x14ac:dyDescent="0.2">
      <c r="C228" s="169" t="str">
        <f>C227</f>
        <v>Retirada de grade de ferro</v>
      </c>
      <c r="D228" s="532" t="str">
        <f>D227</f>
        <v>M2</v>
      </c>
      <c r="E228" s="135">
        <f>7*N11</f>
        <v>7</v>
      </c>
      <c r="F228" s="169">
        <f>F219</f>
        <v>1.2</v>
      </c>
      <c r="G228" s="169">
        <v>1.0469999999999999</v>
      </c>
      <c r="I228" s="169">
        <f>E228*G228</f>
        <v>7.3289999999999997</v>
      </c>
      <c r="K228" s="169">
        <v>0.23400000000000001</v>
      </c>
      <c r="L228" s="169">
        <f t="shared" si="9"/>
        <v>1.4842</v>
      </c>
    </row>
    <row r="229" spans="1:14" s="147" customFormat="1" x14ac:dyDescent="0.2">
      <c r="A229" s="138"/>
      <c r="B229" s="124"/>
      <c r="C229" s="169" t="s">
        <v>426</v>
      </c>
      <c r="D229" s="157" t="s">
        <v>425</v>
      </c>
      <c r="E229" s="135">
        <f>3.77*N11</f>
        <v>3.77</v>
      </c>
      <c r="F229" s="133"/>
      <c r="G229" s="158">
        <v>0.3</v>
      </c>
      <c r="H229" s="135">
        <f>E229*G229</f>
        <v>1.131</v>
      </c>
      <c r="I229" s="135"/>
      <c r="J229" s="144"/>
      <c r="K229" s="159">
        <v>0.23400000000000001</v>
      </c>
      <c r="L229" s="167">
        <f t="shared" si="9"/>
        <v>1.4842</v>
      </c>
    </row>
    <row r="230" spans="1:14" s="147" customFormat="1" x14ac:dyDescent="0.2">
      <c r="A230" s="138"/>
      <c r="B230" s="124"/>
      <c r="C230" s="169"/>
      <c r="D230" s="157"/>
      <c r="E230" s="135"/>
      <c r="F230" s="133"/>
      <c r="G230" s="158"/>
      <c r="H230" s="135"/>
      <c r="I230" s="135"/>
      <c r="J230" s="144"/>
      <c r="K230" s="159">
        <v>0.23400000000000001</v>
      </c>
      <c r="L230" s="167">
        <f t="shared" si="9"/>
        <v>1.4842</v>
      </c>
    </row>
    <row r="231" spans="1:14" s="147" customFormat="1" x14ac:dyDescent="0.2">
      <c r="A231" s="138"/>
      <c r="B231" s="124"/>
      <c r="C231" s="169"/>
      <c r="D231" s="157"/>
      <c r="E231" s="653" t="str">
        <f>E222</f>
        <v>Custo Direto</v>
      </c>
      <c r="F231" s="653"/>
      <c r="G231" s="653"/>
      <c r="H231" s="172">
        <f>SUM(H228:H229)</f>
        <v>1.131</v>
      </c>
      <c r="I231" s="172">
        <f>SUM(I228:I229)</f>
        <v>7.3289999999999997</v>
      </c>
      <c r="J231" s="144"/>
      <c r="K231" s="159">
        <v>0.23400000000000001</v>
      </c>
      <c r="L231" s="167">
        <f t="shared" si="9"/>
        <v>1.4842</v>
      </c>
    </row>
    <row r="232" spans="1:14" s="147" customFormat="1" x14ac:dyDescent="0.2">
      <c r="A232" s="138"/>
      <c r="B232" s="124"/>
      <c r="C232" s="169"/>
      <c r="D232" s="157"/>
      <c r="E232" s="653" t="str">
        <f>E223</f>
        <v>LS(%): 148,42</v>
      </c>
      <c r="F232" s="653"/>
      <c r="G232" s="653"/>
      <c r="H232" s="135">
        <f>H231*L232</f>
        <v>1.6786302</v>
      </c>
      <c r="I232" s="141"/>
      <c r="J232" s="144"/>
      <c r="K232" s="159">
        <v>0.23400000000000001</v>
      </c>
      <c r="L232" s="167">
        <f t="shared" si="9"/>
        <v>1.4842</v>
      </c>
    </row>
    <row r="233" spans="1:14" s="147" customFormat="1" x14ac:dyDescent="0.2">
      <c r="A233" s="138"/>
      <c r="B233" s="124"/>
      <c r="C233" s="169"/>
      <c r="D233" s="157"/>
      <c r="E233" s="653" t="str">
        <f>E224</f>
        <v>BDI (%): 23,40</v>
      </c>
      <c r="F233" s="653"/>
      <c r="G233" s="653"/>
      <c r="H233" s="654">
        <f>(H231+I231+H232)*K233</f>
        <v>2.3724394668</v>
      </c>
      <c r="I233" s="654"/>
      <c r="J233" s="144"/>
      <c r="K233" s="159">
        <v>0.23400000000000001</v>
      </c>
      <c r="L233" s="167">
        <f t="shared" si="9"/>
        <v>1.4842</v>
      </c>
    </row>
    <row r="234" spans="1:14" s="147" customFormat="1" x14ac:dyDescent="0.2">
      <c r="A234" s="138"/>
      <c r="B234" s="124"/>
      <c r="C234" s="169"/>
      <c r="D234" s="157"/>
      <c r="E234" s="653" t="str">
        <f>E225</f>
        <v>Valor Total c/ Taxas</v>
      </c>
      <c r="F234" s="653"/>
      <c r="G234" s="653"/>
      <c r="H234" s="135"/>
      <c r="I234" s="172">
        <f>(H231+I231+H232+H233)</f>
        <v>12.511069666799999</v>
      </c>
      <c r="J234" s="144"/>
      <c r="K234" s="159">
        <v>0.23400000000000001</v>
      </c>
      <c r="L234" s="167">
        <f t="shared" si="9"/>
        <v>1.4842</v>
      </c>
      <c r="N234" s="531">
        <v>12.51276</v>
      </c>
    </row>
    <row r="235" spans="1:14" s="147" customFormat="1" x14ac:dyDescent="0.2">
      <c r="A235" s="138"/>
      <c r="B235" s="124"/>
      <c r="C235" s="169"/>
      <c r="D235" s="157"/>
      <c r="E235" s="132"/>
      <c r="F235" s="132"/>
      <c r="G235" s="132"/>
      <c r="H235" s="135"/>
      <c r="I235" s="172"/>
      <c r="J235" s="144"/>
      <c r="K235" s="159">
        <v>0.23400000000000001</v>
      </c>
      <c r="L235" s="167">
        <f t="shared" si="9"/>
        <v>1.4842</v>
      </c>
      <c r="N235" s="531"/>
    </row>
    <row r="236" spans="1:14" s="147" customFormat="1" x14ac:dyDescent="0.2">
      <c r="A236" s="177"/>
      <c r="B236" s="201" t="str">
        <f>'Planilha Orçamentaria'!A29</f>
        <v>2.5</v>
      </c>
      <c r="C236" s="156" t="str">
        <f>'Planilha Orçamentaria'!C29</f>
        <v>Retirada de louça sanitária</v>
      </c>
      <c r="D236" s="157" t="str">
        <f>'Planilha Orçamentaria'!D29</f>
        <v>UN</v>
      </c>
      <c r="E236" s="135"/>
      <c r="F236" s="133"/>
      <c r="G236" s="158"/>
      <c r="H236" s="135"/>
      <c r="I236" s="135"/>
      <c r="J236" s="144"/>
      <c r="K236" s="159">
        <v>0.23400000000000001</v>
      </c>
      <c r="L236" s="167">
        <f t="shared" si="9"/>
        <v>1.4842</v>
      </c>
    </row>
    <row r="237" spans="1:14" s="169" customFormat="1" ht="12.75" x14ac:dyDescent="0.2">
      <c r="C237" s="169" t="str">
        <f>C236</f>
        <v>Retirada de louça sanitária</v>
      </c>
      <c r="D237" s="532" t="str">
        <f>D236</f>
        <v>UN</v>
      </c>
      <c r="E237" s="135">
        <f>10*N11</f>
        <v>10</v>
      </c>
      <c r="F237" s="169">
        <f>F228</f>
        <v>1.2</v>
      </c>
      <c r="G237" s="169">
        <v>1.0469999999999999</v>
      </c>
      <c r="I237" s="169">
        <f>E237*G237</f>
        <v>10.469999999999999</v>
      </c>
      <c r="K237" s="169">
        <v>0.23400000000000001</v>
      </c>
      <c r="L237" s="169">
        <f t="shared" si="9"/>
        <v>1.4842</v>
      </c>
    </row>
    <row r="238" spans="1:14" s="147" customFormat="1" x14ac:dyDescent="0.2">
      <c r="A238" s="138"/>
      <c r="B238" s="124"/>
      <c r="C238" s="169" t="s">
        <v>426</v>
      </c>
      <c r="D238" s="157" t="s">
        <v>425</v>
      </c>
      <c r="E238" s="135">
        <f>3.77*N11</f>
        <v>3.77</v>
      </c>
      <c r="F238" s="133"/>
      <c r="G238" s="158">
        <v>0.78890000000000005</v>
      </c>
      <c r="H238" s="135">
        <f>E238*G238</f>
        <v>2.9741530000000003</v>
      </c>
      <c r="I238" s="135"/>
      <c r="J238" s="144"/>
      <c r="K238" s="159">
        <v>0.23400000000000001</v>
      </c>
      <c r="L238" s="167">
        <f t="shared" si="9"/>
        <v>1.4842</v>
      </c>
    </row>
    <row r="239" spans="1:14" s="147" customFormat="1" x14ac:dyDescent="0.2">
      <c r="A239" s="138"/>
      <c r="B239" s="124"/>
      <c r="C239" s="169"/>
      <c r="D239" s="157"/>
      <c r="E239" s="135"/>
      <c r="F239" s="133"/>
      <c r="G239" s="158"/>
      <c r="H239" s="135"/>
      <c r="I239" s="135"/>
      <c r="J239" s="144"/>
      <c r="K239" s="159">
        <v>0.23400000000000001</v>
      </c>
      <c r="L239" s="167">
        <f t="shared" si="9"/>
        <v>1.4842</v>
      </c>
    </row>
    <row r="240" spans="1:14" s="147" customFormat="1" x14ac:dyDescent="0.2">
      <c r="A240" s="138"/>
      <c r="B240" s="124"/>
      <c r="C240" s="169"/>
      <c r="D240" s="157"/>
      <c r="E240" s="653" t="str">
        <f>E231</f>
        <v>Custo Direto</v>
      </c>
      <c r="F240" s="653"/>
      <c r="G240" s="653"/>
      <c r="H240" s="172">
        <f>SUM(H237:H238)</f>
        <v>2.9741530000000003</v>
      </c>
      <c r="I240" s="172">
        <f>SUM(I237:I238)</f>
        <v>10.469999999999999</v>
      </c>
      <c r="J240" s="144"/>
      <c r="K240" s="159">
        <v>0.23400000000000001</v>
      </c>
      <c r="L240" s="167">
        <f t="shared" si="9"/>
        <v>1.4842</v>
      </c>
    </row>
    <row r="241" spans="1:14" s="147" customFormat="1" x14ac:dyDescent="0.2">
      <c r="A241" s="138"/>
      <c r="B241" s="124"/>
      <c r="C241" s="169"/>
      <c r="D241" s="157"/>
      <c r="E241" s="653" t="str">
        <f>E232</f>
        <v>LS(%): 148,42</v>
      </c>
      <c r="F241" s="653"/>
      <c r="G241" s="653"/>
      <c r="H241" s="135">
        <f>H240*L241</f>
        <v>4.4142378826000002</v>
      </c>
      <c r="I241" s="141"/>
      <c r="J241" s="144"/>
      <c r="K241" s="159">
        <v>0.23400000000000001</v>
      </c>
      <c r="L241" s="167">
        <f t="shared" si="9"/>
        <v>1.4842</v>
      </c>
    </row>
    <row r="242" spans="1:14" s="147" customFormat="1" x14ac:dyDescent="0.2">
      <c r="A242" s="138"/>
      <c r="B242" s="124"/>
      <c r="C242" s="169"/>
      <c r="D242" s="157"/>
      <c r="E242" s="653" t="str">
        <f>E233</f>
        <v>BDI (%): 23,40</v>
      </c>
      <c r="F242" s="653"/>
      <c r="G242" s="653"/>
      <c r="H242" s="654">
        <f>(H240+I240+H241)*K242</f>
        <v>4.1788634665283997</v>
      </c>
      <c r="I242" s="654"/>
      <c r="J242" s="144"/>
      <c r="K242" s="159">
        <v>0.23400000000000001</v>
      </c>
      <c r="L242" s="167">
        <f t="shared" si="9"/>
        <v>1.4842</v>
      </c>
    </row>
    <row r="243" spans="1:14" s="147" customFormat="1" x14ac:dyDescent="0.2">
      <c r="A243" s="138"/>
      <c r="B243" s="124"/>
      <c r="C243" s="169"/>
      <c r="D243" s="157"/>
      <c r="E243" s="653" t="str">
        <f>E234</f>
        <v>Valor Total c/ Taxas</v>
      </c>
      <c r="F243" s="653"/>
      <c r="G243" s="653"/>
      <c r="H243" s="135"/>
      <c r="I243" s="172">
        <f>(H240+I240+H241+H242)</f>
        <v>22.037254349128396</v>
      </c>
      <c r="J243" s="144"/>
      <c r="K243" s="159">
        <v>0.23400000000000001</v>
      </c>
      <c r="L243" s="167">
        <f t="shared" si="9"/>
        <v>1.4842</v>
      </c>
      <c r="N243" s="531">
        <v>22.039239999999999</v>
      </c>
    </row>
    <row r="244" spans="1:14" s="147" customFormat="1" x14ac:dyDescent="0.2">
      <c r="A244" s="138"/>
      <c r="B244" s="124"/>
      <c r="C244" s="169"/>
      <c r="D244" s="157"/>
      <c r="E244" s="132"/>
      <c r="F244" s="132"/>
      <c r="G244" s="132"/>
      <c r="H244" s="135"/>
      <c r="I244" s="172"/>
      <c r="J244" s="144"/>
      <c r="K244" s="159">
        <v>0.23400000000000001</v>
      </c>
      <c r="L244" s="167">
        <f>L235</f>
        <v>1.4842</v>
      </c>
      <c r="N244" s="531"/>
    </row>
    <row r="245" spans="1:14" s="147" customFormat="1" x14ac:dyDescent="0.2">
      <c r="A245" s="177"/>
      <c r="B245" s="201" t="str">
        <f>'Planilha Orçamentaria'!A30</f>
        <v>2.6</v>
      </c>
      <c r="C245" s="156" t="str">
        <f>'Planilha Orçamentaria'!C30</f>
        <v>Retirada de pilar de madeira</v>
      </c>
      <c r="D245" s="157" t="str">
        <f>'Planilha Orçamentaria'!D30</f>
        <v>UN</v>
      </c>
      <c r="E245" s="135"/>
      <c r="F245" s="133"/>
      <c r="G245" s="158"/>
      <c r="H245" s="135"/>
      <c r="I245" s="135"/>
      <c r="J245" s="144"/>
      <c r="K245" s="159">
        <v>0.23400000000000001</v>
      </c>
      <c r="L245" s="167">
        <f t="shared" si="9"/>
        <v>1.4842</v>
      </c>
    </row>
    <row r="246" spans="1:14" s="169" customFormat="1" ht="12.75" x14ac:dyDescent="0.2">
      <c r="C246" s="169" t="str">
        <f>C245</f>
        <v>Retirada de pilar de madeira</v>
      </c>
      <c r="D246" s="532" t="str">
        <f>D245</f>
        <v>UN</v>
      </c>
      <c r="E246" s="135">
        <f>12.095*N11</f>
        <v>12.095000000000001</v>
      </c>
      <c r="F246" s="169">
        <f>F237</f>
        <v>1.2</v>
      </c>
      <c r="G246" s="169">
        <v>1.0469999999999999</v>
      </c>
      <c r="I246" s="238">
        <f>E246*G246</f>
        <v>12.663465</v>
      </c>
      <c r="K246" s="169">
        <v>0.23400000000000001</v>
      </c>
      <c r="L246" s="169">
        <f t="shared" si="9"/>
        <v>1.4842</v>
      </c>
    </row>
    <row r="247" spans="1:14" s="147" customFormat="1" x14ac:dyDescent="0.2">
      <c r="A247" s="138"/>
      <c r="B247" s="124"/>
      <c r="C247" s="169" t="s">
        <v>426</v>
      </c>
      <c r="D247" s="157" t="s">
        <v>425</v>
      </c>
      <c r="E247" s="135">
        <f>3.77*N11</f>
        <v>3.77</v>
      </c>
      <c r="F247" s="133"/>
      <c r="G247" s="158">
        <v>0.79200000000000004</v>
      </c>
      <c r="H247" s="135">
        <f>E247*G247</f>
        <v>2.98584</v>
      </c>
      <c r="I247" s="135"/>
      <c r="J247" s="144"/>
      <c r="K247" s="159">
        <v>0.23400000000000001</v>
      </c>
      <c r="L247" s="167">
        <f t="shared" si="9"/>
        <v>1.4842</v>
      </c>
    </row>
    <row r="248" spans="1:14" s="147" customFormat="1" x14ac:dyDescent="0.2">
      <c r="A248" s="138"/>
      <c r="B248" s="124"/>
      <c r="C248" s="169"/>
      <c r="D248" s="157"/>
      <c r="E248" s="135"/>
      <c r="F248" s="133"/>
      <c r="G248" s="158"/>
      <c r="H248" s="135"/>
      <c r="I248" s="135"/>
      <c r="J248" s="144"/>
      <c r="K248" s="159">
        <v>0.23400000000000001</v>
      </c>
      <c r="L248" s="167">
        <f t="shared" si="9"/>
        <v>1.4842</v>
      </c>
    </row>
    <row r="249" spans="1:14" s="147" customFormat="1" x14ac:dyDescent="0.2">
      <c r="A249" s="138"/>
      <c r="B249" s="124"/>
      <c r="C249" s="169"/>
      <c r="D249" s="157"/>
      <c r="E249" s="653" t="str">
        <f>E240</f>
        <v>Custo Direto</v>
      </c>
      <c r="F249" s="653"/>
      <c r="G249" s="653"/>
      <c r="H249" s="172">
        <f>SUM(H246:H247)</f>
        <v>2.98584</v>
      </c>
      <c r="I249" s="172">
        <f>SUM(I246:I247)</f>
        <v>12.663465</v>
      </c>
      <c r="J249" s="144"/>
      <c r="K249" s="159">
        <v>0.23400000000000001</v>
      </c>
      <c r="L249" s="167">
        <f t="shared" si="9"/>
        <v>1.4842</v>
      </c>
    </row>
    <row r="250" spans="1:14" s="147" customFormat="1" x14ac:dyDescent="0.2">
      <c r="A250" s="138"/>
      <c r="B250" s="124"/>
      <c r="C250" s="169"/>
      <c r="D250" s="157"/>
      <c r="E250" s="653" t="str">
        <f>E241</f>
        <v>LS(%): 148,42</v>
      </c>
      <c r="F250" s="653"/>
      <c r="G250" s="653"/>
      <c r="H250" s="135">
        <f>H249*L250</f>
        <v>4.4315837279999997</v>
      </c>
      <c r="I250" s="141"/>
      <c r="J250" s="144"/>
      <c r="K250" s="159">
        <v>0.23400000000000001</v>
      </c>
      <c r="L250" s="167">
        <f t="shared" si="9"/>
        <v>1.4842</v>
      </c>
    </row>
    <row r="251" spans="1:14" s="147" customFormat="1" x14ac:dyDescent="0.2">
      <c r="A251" s="138"/>
      <c r="B251" s="124"/>
      <c r="C251" s="169"/>
      <c r="D251" s="157"/>
      <c r="E251" s="653" t="str">
        <f>E242</f>
        <v>BDI (%): 23,40</v>
      </c>
      <c r="F251" s="653"/>
      <c r="G251" s="653"/>
      <c r="H251" s="654">
        <f>(H249+I249+H250)*K251</f>
        <v>4.6989279623520002</v>
      </c>
      <c r="I251" s="654"/>
      <c r="J251" s="144"/>
      <c r="K251" s="159">
        <v>0.23400000000000001</v>
      </c>
      <c r="L251" s="167">
        <f t="shared" si="9"/>
        <v>1.4842</v>
      </c>
    </row>
    <row r="252" spans="1:14" s="147" customFormat="1" x14ac:dyDescent="0.2">
      <c r="A252" s="138"/>
      <c r="B252" s="124"/>
      <c r="C252" s="169"/>
      <c r="D252" s="157"/>
      <c r="E252" s="653" t="str">
        <f>E243</f>
        <v>Valor Total c/ Taxas</v>
      </c>
      <c r="F252" s="653"/>
      <c r="G252" s="653"/>
      <c r="H252" s="135"/>
      <c r="I252" s="172">
        <f>(H249+I249+H250+H251)</f>
        <v>24.779816690352</v>
      </c>
      <c r="J252" s="144"/>
      <c r="K252" s="159">
        <v>0.23400000000000001</v>
      </c>
      <c r="L252" s="167">
        <f t="shared" si="9"/>
        <v>1.4842</v>
      </c>
      <c r="N252" s="531">
        <v>24.778719999999996</v>
      </c>
    </row>
    <row r="253" spans="1:14" s="147" customFormat="1" x14ac:dyDescent="0.2">
      <c r="A253" s="138"/>
      <c r="B253" s="124"/>
      <c r="C253" s="169"/>
      <c r="D253" s="157"/>
      <c r="E253" s="132"/>
      <c r="F253" s="132"/>
      <c r="G253" s="132"/>
      <c r="H253" s="135"/>
      <c r="I253" s="172"/>
      <c r="J253" s="144"/>
      <c r="K253" s="159">
        <v>0.23400000000000001</v>
      </c>
      <c r="L253" s="167">
        <f t="shared" si="9"/>
        <v>1.4842</v>
      </c>
      <c r="N253" s="531"/>
    </row>
    <row r="254" spans="1:14" s="147" customFormat="1" x14ac:dyDescent="0.2">
      <c r="A254" s="177"/>
      <c r="B254" s="201" t="str">
        <f>'Planilha Orçamentaria'!A31</f>
        <v>2.7</v>
      </c>
      <c r="C254" s="156" t="str">
        <f>'Planilha Orçamentaria'!C31</f>
        <v>Retirada de ponto de água/esgoto</v>
      </c>
      <c r="D254" s="157" t="str">
        <f>'Planilha Orçamentaria'!D31</f>
        <v>Pt</v>
      </c>
      <c r="E254" s="135"/>
      <c r="F254" s="133"/>
      <c r="G254" s="158"/>
      <c r="H254" s="135"/>
      <c r="I254" s="135"/>
      <c r="J254" s="144"/>
      <c r="K254" s="159">
        <v>0.23400000000000001</v>
      </c>
      <c r="L254" s="167">
        <f t="shared" si="9"/>
        <v>1.4842</v>
      </c>
    </row>
    <row r="255" spans="1:14" s="169" customFormat="1" ht="12.75" x14ac:dyDescent="0.2">
      <c r="C255" s="169" t="str">
        <f>C254</f>
        <v>Retirada de ponto de água/esgoto</v>
      </c>
      <c r="D255" s="532" t="str">
        <f>D254</f>
        <v>Pt</v>
      </c>
      <c r="E255" s="135">
        <f>4.5*N11</f>
        <v>4.5</v>
      </c>
      <c r="F255" s="169">
        <f>F246</f>
        <v>1.2</v>
      </c>
      <c r="G255" s="238">
        <v>1.425</v>
      </c>
      <c r="I255" s="238">
        <f>E255*G255</f>
        <v>6.4125000000000005</v>
      </c>
      <c r="K255" s="169">
        <v>0.23400000000000001</v>
      </c>
      <c r="L255" s="169">
        <f t="shared" si="9"/>
        <v>1.4842</v>
      </c>
    </row>
    <row r="256" spans="1:14" s="147" customFormat="1" x14ac:dyDescent="0.2">
      <c r="A256" s="138"/>
      <c r="B256" s="124"/>
      <c r="C256" s="169" t="s">
        <v>426</v>
      </c>
      <c r="D256" s="157" t="s">
        <v>425</v>
      </c>
      <c r="E256" s="135">
        <f>3.77*N11</f>
        <v>3.77</v>
      </c>
      <c r="F256" s="133"/>
      <c r="G256" s="158">
        <v>0.3</v>
      </c>
      <c r="H256" s="135">
        <f>E256*G256</f>
        <v>1.131</v>
      </c>
      <c r="I256" s="135"/>
      <c r="J256" s="144"/>
      <c r="K256" s="159">
        <v>0.23400000000000001</v>
      </c>
      <c r="L256" s="167">
        <f t="shared" si="9"/>
        <v>1.4842</v>
      </c>
    </row>
    <row r="257" spans="1:14" s="147" customFormat="1" x14ac:dyDescent="0.2">
      <c r="A257" s="138"/>
      <c r="B257" s="124"/>
      <c r="C257" s="169"/>
      <c r="D257" s="157"/>
      <c r="E257" s="135"/>
      <c r="F257" s="133"/>
      <c r="G257" s="158"/>
      <c r="H257" s="135"/>
      <c r="I257" s="135"/>
      <c r="J257" s="144"/>
      <c r="K257" s="159">
        <v>0.23400000000000001</v>
      </c>
      <c r="L257" s="167">
        <f t="shared" si="9"/>
        <v>1.4842</v>
      </c>
    </row>
    <row r="258" spans="1:14" s="147" customFormat="1" x14ac:dyDescent="0.2">
      <c r="A258" s="138"/>
      <c r="B258" s="124"/>
      <c r="C258" s="169"/>
      <c r="D258" s="157"/>
      <c r="E258" s="653" t="str">
        <f>E249</f>
        <v>Custo Direto</v>
      </c>
      <c r="F258" s="653"/>
      <c r="G258" s="653"/>
      <c r="H258" s="172">
        <f>SUM(H255:H256)</f>
        <v>1.131</v>
      </c>
      <c r="I258" s="172">
        <f>SUM(I255:I256)</f>
        <v>6.4125000000000005</v>
      </c>
      <c r="J258" s="144"/>
      <c r="K258" s="159">
        <v>0.23400000000000001</v>
      </c>
      <c r="L258" s="167">
        <f t="shared" si="9"/>
        <v>1.4842</v>
      </c>
    </row>
    <row r="259" spans="1:14" s="147" customFormat="1" x14ac:dyDescent="0.2">
      <c r="A259" s="138"/>
      <c r="B259" s="124"/>
      <c r="C259" s="169"/>
      <c r="D259" s="157"/>
      <c r="E259" s="653" t="str">
        <f>E250</f>
        <v>LS(%): 148,42</v>
      </c>
      <c r="F259" s="653"/>
      <c r="G259" s="653"/>
      <c r="H259" s="135">
        <f>H258*L259</f>
        <v>1.6786302</v>
      </c>
      <c r="I259" s="141"/>
      <c r="J259" s="144"/>
      <c r="K259" s="159">
        <v>0.23400000000000001</v>
      </c>
      <c r="L259" s="167">
        <f t="shared" si="9"/>
        <v>1.4842</v>
      </c>
    </row>
    <row r="260" spans="1:14" s="147" customFormat="1" x14ac:dyDescent="0.2">
      <c r="A260" s="138"/>
      <c r="B260" s="124"/>
      <c r="C260" s="169"/>
      <c r="D260" s="157"/>
      <c r="E260" s="653" t="str">
        <f>E251</f>
        <v>BDI (%): 23,40</v>
      </c>
      <c r="F260" s="653"/>
      <c r="G260" s="653"/>
      <c r="H260" s="654">
        <f>(H258+I258+H259)*K260</f>
        <v>2.1579784668000004</v>
      </c>
      <c r="I260" s="654"/>
      <c r="J260" s="144"/>
      <c r="K260" s="159">
        <v>0.23400000000000001</v>
      </c>
      <c r="L260" s="167">
        <f t="shared" si="9"/>
        <v>1.4842</v>
      </c>
    </row>
    <row r="261" spans="1:14" s="147" customFormat="1" x14ac:dyDescent="0.2">
      <c r="A261" s="138"/>
      <c r="B261" s="124"/>
      <c r="C261" s="169"/>
      <c r="D261" s="157"/>
      <c r="E261" s="653" t="str">
        <f>E252</f>
        <v>Valor Total c/ Taxas</v>
      </c>
      <c r="F261" s="653"/>
      <c r="G261" s="653"/>
      <c r="H261" s="135"/>
      <c r="I261" s="172">
        <f>(H258+I258+H259+H260)</f>
        <v>11.380108666800002</v>
      </c>
      <c r="J261" s="144"/>
      <c r="K261" s="159">
        <v>0.23400000000000001</v>
      </c>
      <c r="L261" s="167">
        <f t="shared" si="9"/>
        <v>1.4842</v>
      </c>
      <c r="N261" s="531">
        <v>11.380108666800002</v>
      </c>
    </row>
    <row r="262" spans="1:14" s="147" customFormat="1" x14ac:dyDescent="0.2">
      <c r="A262" s="138"/>
      <c r="B262" s="124"/>
      <c r="C262" s="169"/>
      <c r="D262" s="157"/>
      <c r="E262" s="132"/>
      <c r="F262" s="132"/>
      <c r="G262" s="132"/>
      <c r="H262" s="135"/>
      <c r="I262" s="172"/>
      <c r="J262" s="144"/>
      <c r="K262" s="159">
        <v>0.23400000000000001</v>
      </c>
      <c r="L262" s="167">
        <f>L253</f>
        <v>1.4842</v>
      </c>
      <c r="N262" s="531"/>
    </row>
    <row r="263" spans="1:14" s="147" customFormat="1" x14ac:dyDescent="0.2">
      <c r="A263" s="177"/>
      <c r="B263" s="201" t="str">
        <f>'Planilha Orçamentaria'!A32</f>
        <v>2.8</v>
      </c>
      <c r="C263" s="156" t="str">
        <f>'Planilha Orçamentaria'!C32</f>
        <v>Retirada de ponto elétrico</v>
      </c>
      <c r="D263" s="157" t="str">
        <f>'Planilha Orçamentaria'!D32</f>
        <v>Pt</v>
      </c>
      <c r="E263" s="135"/>
      <c r="F263" s="133"/>
      <c r="G263" s="158"/>
      <c r="H263" s="135"/>
      <c r="I263" s="135"/>
      <c r="J263" s="144"/>
      <c r="K263" s="159">
        <v>0.23400000000000001</v>
      </c>
      <c r="L263" s="167">
        <f t="shared" si="9"/>
        <v>1.4842</v>
      </c>
    </row>
    <row r="264" spans="1:14" s="169" customFormat="1" ht="12.75" x14ac:dyDescent="0.2">
      <c r="C264" s="169" t="str">
        <f>C263</f>
        <v>Retirada de ponto elétrico</v>
      </c>
      <c r="D264" s="532" t="str">
        <f>D263</f>
        <v>Pt</v>
      </c>
      <c r="E264" s="135">
        <f>4.5*N11</f>
        <v>4.5</v>
      </c>
      <c r="F264" s="169">
        <f>F255</f>
        <v>1.2</v>
      </c>
      <c r="G264" s="238">
        <v>1.379</v>
      </c>
      <c r="I264" s="238">
        <f>E264*G264</f>
        <v>6.2054999999999998</v>
      </c>
      <c r="K264" s="169">
        <v>0.23400000000000001</v>
      </c>
      <c r="L264" s="169">
        <f t="shared" si="9"/>
        <v>1.4842</v>
      </c>
    </row>
    <row r="265" spans="1:14" s="147" customFormat="1" x14ac:dyDescent="0.2">
      <c r="A265" s="138"/>
      <c r="B265" s="124"/>
      <c r="C265" s="169" t="s">
        <v>426</v>
      </c>
      <c r="D265" s="157" t="s">
        <v>425</v>
      </c>
      <c r="E265" s="135">
        <f>3.77*N11</f>
        <v>3.77</v>
      </c>
      <c r="F265" s="133"/>
      <c r="G265" s="158">
        <v>0.1</v>
      </c>
      <c r="H265" s="135">
        <f>E265*G265</f>
        <v>0.377</v>
      </c>
      <c r="I265" s="135"/>
      <c r="J265" s="144"/>
      <c r="K265" s="159">
        <v>0.23400000000000001</v>
      </c>
      <c r="L265" s="167">
        <f t="shared" si="9"/>
        <v>1.4842</v>
      </c>
    </row>
    <row r="266" spans="1:14" s="147" customFormat="1" x14ac:dyDescent="0.2">
      <c r="A266" s="138"/>
      <c r="B266" s="124"/>
      <c r="C266" s="169"/>
      <c r="D266" s="157"/>
      <c r="E266" s="135"/>
      <c r="F266" s="133"/>
      <c r="G266" s="158"/>
      <c r="H266" s="135"/>
      <c r="I266" s="135"/>
      <c r="J266" s="144"/>
      <c r="K266" s="159">
        <v>0.23400000000000001</v>
      </c>
      <c r="L266" s="167">
        <f t="shared" si="9"/>
        <v>1.4842</v>
      </c>
    </row>
    <row r="267" spans="1:14" s="147" customFormat="1" x14ac:dyDescent="0.2">
      <c r="A267" s="138"/>
      <c r="B267" s="124"/>
      <c r="C267" s="169"/>
      <c r="D267" s="157"/>
      <c r="E267" s="653" t="str">
        <f>E258</f>
        <v>Custo Direto</v>
      </c>
      <c r="F267" s="653"/>
      <c r="G267" s="653"/>
      <c r="H267" s="172">
        <f>SUM(H264:H265)</f>
        <v>0.377</v>
      </c>
      <c r="I267" s="172">
        <f>SUM(I264:I265)</f>
        <v>6.2054999999999998</v>
      </c>
      <c r="J267" s="144"/>
      <c r="K267" s="159">
        <v>0.23400000000000001</v>
      </c>
      <c r="L267" s="167">
        <f t="shared" si="9"/>
        <v>1.4842</v>
      </c>
    </row>
    <row r="268" spans="1:14" s="147" customFormat="1" x14ac:dyDescent="0.2">
      <c r="A268" s="138"/>
      <c r="B268" s="124"/>
      <c r="C268" s="169"/>
      <c r="D268" s="157"/>
      <c r="E268" s="653" t="str">
        <f>E259</f>
        <v>LS(%): 148,42</v>
      </c>
      <c r="F268" s="653"/>
      <c r="G268" s="653"/>
      <c r="H268" s="135">
        <f>H267*L268</f>
        <v>0.55954340000000002</v>
      </c>
      <c r="I268" s="141"/>
      <c r="J268" s="144"/>
      <c r="K268" s="159">
        <v>0.23400000000000001</v>
      </c>
      <c r="L268" s="167">
        <f t="shared" si="9"/>
        <v>1.4842</v>
      </c>
    </row>
    <row r="269" spans="1:14" s="147" customFormat="1" x14ac:dyDescent="0.2">
      <c r="A269" s="138"/>
      <c r="B269" s="124"/>
      <c r="C269" s="169"/>
      <c r="D269" s="157"/>
      <c r="E269" s="653" t="str">
        <f>E260</f>
        <v>BDI (%): 23,40</v>
      </c>
      <c r="F269" s="653"/>
      <c r="G269" s="653"/>
      <c r="H269" s="654">
        <f>(H267+I267+H268)*K269</f>
        <v>1.6712381556</v>
      </c>
      <c r="I269" s="654"/>
      <c r="J269" s="144"/>
      <c r="K269" s="159">
        <v>0.23400000000000001</v>
      </c>
      <c r="L269" s="167">
        <f t="shared" si="9"/>
        <v>1.4842</v>
      </c>
    </row>
    <row r="270" spans="1:14" s="147" customFormat="1" x14ac:dyDescent="0.2">
      <c r="A270" s="138"/>
      <c r="B270" s="124"/>
      <c r="C270" s="169"/>
      <c r="D270" s="157"/>
      <c r="E270" s="653" t="str">
        <f>E261</f>
        <v>Valor Total c/ Taxas</v>
      </c>
      <c r="F270" s="653"/>
      <c r="G270" s="653"/>
      <c r="H270" s="135"/>
      <c r="I270" s="172">
        <f>(H267+I267+H268+H269)</f>
        <v>8.8132815555999997</v>
      </c>
      <c r="J270" s="144"/>
      <c r="K270" s="159">
        <v>0.23400000000000001</v>
      </c>
      <c r="L270" s="167">
        <f t="shared" si="9"/>
        <v>1.4842</v>
      </c>
      <c r="N270" s="531">
        <v>8.8107600000000001</v>
      </c>
    </row>
    <row r="271" spans="1:14" s="147" customFormat="1" x14ac:dyDescent="0.2">
      <c r="A271" s="138"/>
      <c r="B271" s="124"/>
      <c r="C271" s="169"/>
      <c r="D271" s="157"/>
      <c r="E271" s="132"/>
      <c r="F271" s="132"/>
      <c r="G271" s="132"/>
      <c r="H271" s="135"/>
      <c r="I271" s="172"/>
      <c r="J271" s="144"/>
      <c r="K271" s="159">
        <v>0.23400000000000001</v>
      </c>
      <c r="L271" s="167">
        <f t="shared" si="9"/>
        <v>1.4842</v>
      </c>
      <c r="N271" s="531"/>
    </row>
    <row r="272" spans="1:14" s="147" customFormat="1" x14ac:dyDescent="0.2">
      <c r="A272" s="177"/>
      <c r="B272" s="201" t="str">
        <f>'Planilha Orçamentaria'!A33</f>
        <v>2.9</v>
      </c>
      <c r="C272" s="156" t="str">
        <f>'Planilha Orçamentaria'!C33</f>
        <v>Retirada de reboco ou emboço</v>
      </c>
      <c r="D272" s="157" t="str">
        <f>'Planilha Orçamentaria'!D33</f>
        <v>M2</v>
      </c>
      <c r="E272" s="135"/>
      <c r="F272" s="133"/>
      <c r="G272" s="158"/>
      <c r="H272" s="135"/>
      <c r="I272" s="135"/>
      <c r="J272" s="144"/>
      <c r="K272" s="159">
        <v>0.23400000000000001</v>
      </c>
      <c r="L272" s="167">
        <f t="shared" si="9"/>
        <v>1.4842</v>
      </c>
    </row>
    <row r="273" spans="1:14" s="169" customFormat="1" ht="12.75" x14ac:dyDescent="0.2">
      <c r="C273" s="169" t="str">
        <f>C272</f>
        <v>Retirada de reboco ou emboço</v>
      </c>
      <c r="D273" s="532" t="str">
        <f>D272</f>
        <v>M2</v>
      </c>
      <c r="E273" s="135">
        <f>1.2*N11</f>
        <v>1.2</v>
      </c>
      <c r="F273" s="169">
        <f>F264</f>
        <v>1.2</v>
      </c>
      <c r="G273" s="238">
        <v>1.355</v>
      </c>
      <c r="I273" s="238">
        <f>E273*G273</f>
        <v>1.6259999999999999</v>
      </c>
      <c r="K273" s="169">
        <v>0.23400000000000001</v>
      </c>
      <c r="L273" s="169">
        <f t="shared" si="9"/>
        <v>1.4842</v>
      </c>
    </row>
    <row r="274" spans="1:14" s="147" customFormat="1" x14ac:dyDescent="0.2">
      <c r="A274" s="138"/>
      <c r="B274" s="124"/>
      <c r="C274" s="169" t="s">
        <v>426</v>
      </c>
      <c r="D274" s="157" t="s">
        <v>425</v>
      </c>
      <c r="E274" s="135">
        <f>3.77*N11</f>
        <v>3.77</v>
      </c>
      <c r="F274" s="133"/>
      <c r="G274" s="158">
        <v>0.1</v>
      </c>
      <c r="H274" s="135">
        <f>E274*G274</f>
        <v>0.377</v>
      </c>
      <c r="I274" s="135"/>
      <c r="J274" s="144"/>
      <c r="K274" s="159">
        <v>0.23400000000000001</v>
      </c>
      <c r="L274" s="167">
        <f t="shared" si="9"/>
        <v>1.4842</v>
      </c>
    </row>
    <row r="275" spans="1:14" s="147" customFormat="1" x14ac:dyDescent="0.2">
      <c r="A275" s="138"/>
      <c r="B275" s="124"/>
      <c r="C275" s="169"/>
      <c r="D275" s="157"/>
      <c r="E275" s="135"/>
      <c r="F275" s="133"/>
      <c r="G275" s="158"/>
      <c r="H275" s="135"/>
      <c r="I275" s="135"/>
      <c r="J275" s="144"/>
      <c r="K275" s="159">
        <v>0.23400000000000001</v>
      </c>
      <c r="L275" s="167">
        <f t="shared" si="9"/>
        <v>1.4842</v>
      </c>
    </row>
    <row r="276" spans="1:14" s="147" customFormat="1" x14ac:dyDescent="0.2">
      <c r="A276" s="138"/>
      <c r="B276" s="124"/>
      <c r="C276" s="169"/>
      <c r="D276" s="157"/>
      <c r="E276" s="653" t="str">
        <f>E267</f>
        <v>Custo Direto</v>
      </c>
      <c r="F276" s="653"/>
      <c r="G276" s="653"/>
      <c r="H276" s="172">
        <f>SUM(H273:H274)</f>
        <v>0.377</v>
      </c>
      <c r="I276" s="172">
        <f>SUM(I273:I274)</f>
        <v>1.6259999999999999</v>
      </c>
      <c r="J276" s="144"/>
      <c r="K276" s="159">
        <v>0.23400000000000001</v>
      </c>
      <c r="L276" s="167">
        <f t="shared" si="9"/>
        <v>1.4842</v>
      </c>
    </row>
    <row r="277" spans="1:14" s="147" customFormat="1" x14ac:dyDescent="0.2">
      <c r="A277" s="138"/>
      <c r="B277" s="124"/>
      <c r="C277" s="169"/>
      <c r="D277" s="157"/>
      <c r="E277" s="653" t="str">
        <f>E268</f>
        <v>LS(%): 148,42</v>
      </c>
      <c r="F277" s="653"/>
      <c r="G277" s="653"/>
      <c r="H277" s="135">
        <f>H276*L277</f>
        <v>0.55954340000000002</v>
      </c>
      <c r="I277" s="141"/>
      <c r="J277" s="144"/>
      <c r="K277" s="159">
        <v>0.23400000000000001</v>
      </c>
      <c r="L277" s="167">
        <f t="shared" si="9"/>
        <v>1.4842</v>
      </c>
    </row>
    <row r="278" spans="1:14" s="147" customFormat="1" x14ac:dyDescent="0.2">
      <c r="A278" s="138"/>
      <c r="B278" s="124"/>
      <c r="C278" s="169"/>
      <c r="D278" s="157"/>
      <c r="E278" s="653" t="str">
        <f>E269</f>
        <v>BDI (%): 23,40</v>
      </c>
      <c r="F278" s="653"/>
      <c r="G278" s="653"/>
      <c r="H278" s="654">
        <f>(H276+I276+H277)*K278</f>
        <v>0.59963515560000002</v>
      </c>
      <c r="I278" s="654"/>
      <c r="J278" s="144"/>
      <c r="K278" s="159">
        <v>0.23400000000000001</v>
      </c>
      <c r="L278" s="167">
        <f t="shared" si="9"/>
        <v>1.4842</v>
      </c>
    </row>
    <row r="279" spans="1:14" s="147" customFormat="1" x14ac:dyDescent="0.2">
      <c r="A279" s="138"/>
      <c r="B279" s="124"/>
      <c r="C279" s="169"/>
      <c r="D279" s="157"/>
      <c r="E279" s="653" t="str">
        <f>E270</f>
        <v>Valor Total c/ Taxas</v>
      </c>
      <c r="F279" s="653"/>
      <c r="G279" s="653"/>
      <c r="H279" s="135"/>
      <c r="I279" s="172">
        <f>(H276+I276+H277+H278)</f>
        <v>3.1621785556000002</v>
      </c>
      <c r="J279" s="144"/>
      <c r="K279" s="159">
        <v>0.23400000000000001</v>
      </c>
      <c r="L279" s="167">
        <f t="shared" si="9"/>
        <v>1.4842</v>
      </c>
      <c r="N279" s="531">
        <v>3.1590400000000001</v>
      </c>
    </row>
    <row r="280" spans="1:14" s="147" customFormat="1" x14ac:dyDescent="0.2">
      <c r="A280" s="138"/>
      <c r="B280" s="124"/>
      <c r="C280" s="169"/>
      <c r="D280" s="157"/>
      <c r="E280" s="132"/>
      <c r="F280" s="132"/>
      <c r="G280" s="132"/>
      <c r="H280" s="135"/>
      <c r="I280" s="172"/>
      <c r="J280" s="144"/>
      <c r="K280" s="159">
        <v>0.23400000000000001</v>
      </c>
      <c r="L280" s="167">
        <f t="shared" si="9"/>
        <v>1.4842</v>
      </c>
      <c r="N280" s="531"/>
    </row>
    <row r="281" spans="1:14" s="147" customFormat="1" x14ac:dyDescent="0.2">
      <c r="A281" s="177"/>
      <c r="B281" s="201" t="str">
        <f>'Planilha Orçamentaria'!A34</f>
        <v>2.10</v>
      </c>
      <c r="C281" s="156" t="str">
        <f>'Planilha Orçamentaria'!C34</f>
        <v>Demolição da estrutura em madeira da cobertura</v>
      </c>
      <c r="D281" s="157" t="str">
        <f>'Planilha Orçamentaria'!D34</f>
        <v>M2</v>
      </c>
      <c r="E281" s="135"/>
      <c r="F281" s="133"/>
      <c r="G281" s="158"/>
      <c r="H281" s="135"/>
      <c r="I281" s="135"/>
      <c r="J281" s="144"/>
      <c r="K281" s="159">
        <v>0.23400000000000001</v>
      </c>
      <c r="L281" s="167">
        <f t="shared" si="9"/>
        <v>1.4842</v>
      </c>
    </row>
    <row r="282" spans="1:14" s="169" customFormat="1" ht="12.75" x14ac:dyDescent="0.2">
      <c r="C282" s="169" t="str">
        <f>C281</f>
        <v>Demolição da estrutura em madeira da cobertura</v>
      </c>
      <c r="D282" s="532" t="str">
        <f>D281</f>
        <v>M2</v>
      </c>
      <c r="E282" s="135">
        <f>1.2*N11</f>
        <v>1.2</v>
      </c>
      <c r="F282" s="169">
        <f>F273</f>
        <v>1.2</v>
      </c>
      <c r="G282" s="238">
        <v>1.355</v>
      </c>
      <c r="I282" s="238">
        <f>E282*G282</f>
        <v>1.6259999999999999</v>
      </c>
      <c r="K282" s="169">
        <v>0.23400000000000001</v>
      </c>
      <c r="L282" s="169">
        <f t="shared" si="9"/>
        <v>1.4842</v>
      </c>
    </row>
    <row r="283" spans="1:14" s="147" customFormat="1" x14ac:dyDescent="0.2">
      <c r="A283" s="138"/>
      <c r="B283" s="124"/>
      <c r="C283" s="169" t="s">
        <v>426</v>
      </c>
      <c r="D283" s="157" t="s">
        <v>425</v>
      </c>
      <c r="E283" s="135">
        <f>3.77*N11</f>
        <v>3.77</v>
      </c>
      <c r="F283" s="133"/>
      <c r="G283" s="158">
        <v>0.1678</v>
      </c>
      <c r="H283" s="135">
        <f>E283*G283</f>
        <v>0.632606</v>
      </c>
      <c r="I283" s="135"/>
      <c r="J283" s="144"/>
      <c r="K283" s="159">
        <v>0.23400000000000001</v>
      </c>
      <c r="L283" s="167">
        <f t="shared" si="9"/>
        <v>1.4842</v>
      </c>
    </row>
    <row r="284" spans="1:14" s="147" customFormat="1" x14ac:dyDescent="0.2">
      <c r="A284" s="138"/>
      <c r="B284" s="124"/>
      <c r="C284" s="169"/>
      <c r="D284" s="157"/>
      <c r="E284" s="135"/>
      <c r="F284" s="133"/>
      <c r="G284" s="158"/>
      <c r="H284" s="135"/>
      <c r="I284" s="135"/>
      <c r="J284" s="144"/>
      <c r="K284" s="159">
        <v>0.23400000000000001</v>
      </c>
      <c r="L284" s="167">
        <f t="shared" si="9"/>
        <v>1.4842</v>
      </c>
    </row>
    <row r="285" spans="1:14" s="147" customFormat="1" x14ac:dyDescent="0.2">
      <c r="A285" s="138"/>
      <c r="B285" s="124"/>
      <c r="C285" s="169"/>
      <c r="D285" s="157"/>
      <c r="E285" s="653" t="str">
        <f>E276</f>
        <v>Custo Direto</v>
      </c>
      <c r="F285" s="653"/>
      <c r="G285" s="653"/>
      <c r="H285" s="172">
        <f>SUM(H282:H283)</f>
        <v>0.632606</v>
      </c>
      <c r="I285" s="172">
        <f>SUM(I282:I283)</f>
        <v>1.6259999999999999</v>
      </c>
      <c r="J285" s="144"/>
      <c r="K285" s="159">
        <v>0.23400000000000001</v>
      </c>
      <c r="L285" s="167">
        <f t="shared" si="9"/>
        <v>1.4842</v>
      </c>
    </row>
    <row r="286" spans="1:14" s="147" customFormat="1" x14ac:dyDescent="0.2">
      <c r="A286" s="138"/>
      <c r="B286" s="124"/>
      <c r="C286" s="169"/>
      <c r="D286" s="157"/>
      <c r="E286" s="653" t="str">
        <f>E277</f>
        <v>LS(%): 148,42</v>
      </c>
      <c r="F286" s="653"/>
      <c r="G286" s="653"/>
      <c r="H286" s="135">
        <f>H285*L286</f>
        <v>0.9389138252</v>
      </c>
      <c r="I286" s="141"/>
      <c r="J286" s="144"/>
      <c r="K286" s="159">
        <v>0.23400000000000001</v>
      </c>
      <c r="L286" s="167">
        <f t="shared" si="9"/>
        <v>1.4842</v>
      </c>
    </row>
    <row r="287" spans="1:14" s="147" customFormat="1" x14ac:dyDescent="0.2">
      <c r="A287" s="138"/>
      <c r="B287" s="124"/>
      <c r="C287" s="169"/>
      <c r="D287" s="157"/>
      <c r="E287" s="653" t="str">
        <f>E278</f>
        <v>BDI (%): 23,40</v>
      </c>
      <c r="F287" s="653"/>
      <c r="G287" s="653"/>
      <c r="H287" s="654">
        <f>(H285+I285+H286)*K287</f>
        <v>0.7482196390968</v>
      </c>
      <c r="I287" s="654"/>
      <c r="J287" s="144"/>
      <c r="K287" s="159">
        <v>0.23400000000000001</v>
      </c>
      <c r="L287" s="167">
        <f t="shared" si="9"/>
        <v>1.4842</v>
      </c>
    </row>
    <row r="288" spans="1:14" s="147" customFormat="1" x14ac:dyDescent="0.2">
      <c r="A288" s="138"/>
      <c r="B288" s="124"/>
      <c r="C288" s="169"/>
      <c r="D288" s="157"/>
      <c r="E288" s="653" t="str">
        <f>E279</f>
        <v>Valor Total c/ Taxas</v>
      </c>
      <c r="F288" s="653"/>
      <c r="G288" s="653"/>
      <c r="H288" s="135"/>
      <c r="I288" s="172">
        <f>(H285+I285+H286+H287)</f>
        <v>3.9457394642967998</v>
      </c>
      <c r="J288" s="144"/>
      <c r="K288" s="159">
        <v>0.23400000000000001</v>
      </c>
      <c r="L288" s="167">
        <f t="shared" si="9"/>
        <v>1.4842</v>
      </c>
      <c r="N288" s="531">
        <v>3.9488000000000003</v>
      </c>
    </row>
    <row r="289" spans="1:14" s="147" customFormat="1" x14ac:dyDescent="0.2">
      <c r="A289" s="138"/>
      <c r="B289" s="124"/>
      <c r="C289" s="169"/>
      <c r="D289" s="157"/>
      <c r="E289" s="132"/>
      <c r="F289" s="132"/>
      <c r="G289" s="132"/>
      <c r="H289" s="135"/>
      <c r="I289" s="172"/>
      <c r="J289" s="144"/>
      <c r="K289" s="159">
        <v>0.23400000000000001</v>
      </c>
      <c r="L289" s="167">
        <f t="shared" si="9"/>
        <v>1.4842</v>
      </c>
      <c r="N289" s="531"/>
    </row>
    <row r="290" spans="1:14" s="147" customFormat="1" x14ac:dyDescent="0.2">
      <c r="A290" s="177"/>
      <c r="B290" s="201" t="str">
        <f>'Planilha Orçamentaria'!A35</f>
        <v>2.11</v>
      </c>
      <c r="C290" s="156" t="str">
        <f>'Planilha Orçamentaria'!C35</f>
        <v>Retirada de telhas de barro</v>
      </c>
      <c r="D290" s="157" t="str">
        <f>'Planilha Orçamentaria'!D35</f>
        <v>M2</v>
      </c>
      <c r="E290" s="135"/>
      <c r="F290" s="133"/>
      <c r="G290" s="158"/>
      <c r="H290" s="135"/>
      <c r="I290" s="135"/>
      <c r="J290" s="144"/>
      <c r="K290" s="159">
        <v>0.23400000000000001</v>
      </c>
      <c r="L290" s="167">
        <f t="shared" si="9"/>
        <v>1.4842</v>
      </c>
    </row>
    <row r="291" spans="1:14" s="169" customFormat="1" ht="12.75" x14ac:dyDescent="0.2">
      <c r="C291" s="169" t="str">
        <f>C290</f>
        <v>Retirada de telhas de barro</v>
      </c>
      <c r="D291" s="532" t="str">
        <f>D290</f>
        <v>M2</v>
      </c>
      <c r="E291" s="135">
        <f>1.99*N11</f>
        <v>1.99</v>
      </c>
      <c r="F291" s="169">
        <f>F282</f>
        <v>1.2</v>
      </c>
      <c r="G291" s="238">
        <v>1.355</v>
      </c>
      <c r="I291" s="238">
        <f>E291*G291</f>
        <v>2.69645</v>
      </c>
      <c r="K291" s="169">
        <v>0.23400000000000001</v>
      </c>
      <c r="L291" s="169">
        <f t="shared" si="9"/>
        <v>1.4842</v>
      </c>
    </row>
    <row r="292" spans="1:14" s="147" customFormat="1" x14ac:dyDescent="0.2">
      <c r="A292" s="138"/>
      <c r="B292" s="124"/>
      <c r="C292" s="169" t="s">
        <v>426</v>
      </c>
      <c r="D292" s="157" t="s">
        <v>425</v>
      </c>
      <c r="E292" s="135">
        <f>3.77*N11</f>
        <v>3.77</v>
      </c>
      <c r="F292" s="133"/>
      <c r="G292" s="158">
        <v>0.1678</v>
      </c>
      <c r="H292" s="135">
        <f>E292*G292</f>
        <v>0.632606</v>
      </c>
      <c r="I292" s="135"/>
      <c r="J292" s="144"/>
      <c r="K292" s="159">
        <v>0.23400000000000001</v>
      </c>
      <c r="L292" s="167">
        <f t="shared" si="9"/>
        <v>1.4842</v>
      </c>
    </row>
    <row r="293" spans="1:14" s="147" customFormat="1" x14ac:dyDescent="0.2">
      <c r="A293" s="138"/>
      <c r="B293" s="124"/>
      <c r="C293" s="169"/>
      <c r="D293" s="157"/>
      <c r="E293" s="135"/>
      <c r="F293" s="133"/>
      <c r="G293" s="158"/>
      <c r="H293" s="135"/>
      <c r="I293" s="135"/>
      <c r="J293" s="144"/>
      <c r="K293" s="159">
        <v>0.23400000000000001</v>
      </c>
      <c r="L293" s="167">
        <f t="shared" si="9"/>
        <v>1.4842</v>
      </c>
    </row>
    <row r="294" spans="1:14" s="147" customFormat="1" x14ac:dyDescent="0.2">
      <c r="A294" s="138"/>
      <c r="B294" s="124"/>
      <c r="C294" s="169"/>
      <c r="D294" s="157"/>
      <c r="E294" s="653" t="str">
        <f>E285</f>
        <v>Custo Direto</v>
      </c>
      <c r="F294" s="653"/>
      <c r="G294" s="653"/>
      <c r="H294" s="172">
        <f>SUM(H291:H292)</f>
        <v>0.632606</v>
      </c>
      <c r="I294" s="172">
        <f>SUM(I291:I292)</f>
        <v>2.69645</v>
      </c>
      <c r="J294" s="144"/>
      <c r="K294" s="159">
        <v>0.23400000000000001</v>
      </c>
      <c r="L294" s="167">
        <f t="shared" si="9"/>
        <v>1.4842</v>
      </c>
    </row>
    <row r="295" spans="1:14" s="147" customFormat="1" x14ac:dyDescent="0.2">
      <c r="A295" s="138"/>
      <c r="B295" s="124"/>
      <c r="C295" s="169"/>
      <c r="D295" s="157"/>
      <c r="E295" s="653" t="str">
        <f>E286</f>
        <v>LS(%): 148,42</v>
      </c>
      <c r="F295" s="653"/>
      <c r="G295" s="653"/>
      <c r="H295" s="135">
        <f>H294*L295</f>
        <v>0.9389138252</v>
      </c>
      <c r="I295" s="141"/>
      <c r="J295" s="144"/>
      <c r="K295" s="159">
        <v>0.23400000000000001</v>
      </c>
      <c r="L295" s="167">
        <f t="shared" si="9"/>
        <v>1.4842</v>
      </c>
    </row>
    <row r="296" spans="1:14" s="147" customFormat="1" x14ac:dyDescent="0.2">
      <c r="A296" s="138"/>
      <c r="B296" s="124"/>
      <c r="C296" s="169"/>
      <c r="D296" s="157"/>
      <c r="E296" s="653" t="str">
        <f>E287</f>
        <v>BDI (%): 23,40</v>
      </c>
      <c r="F296" s="653"/>
      <c r="G296" s="653"/>
      <c r="H296" s="654">
        <f>(H294+I294+H295)*K296</f>
        <v>0.99870493909680003</v>
      </c>
      <c r="I296" s="654"/>
      <c r="J296" s="144"/>
      <c r="K296" s="159">
        <v>0.23400000000000001</v>
      </c>
      <c r="L296" s="167">
        <f t="shared" si="9"/>
        <v>1.4842</v>
      </c>
    </row>
    <row r="297" spans="1:14" s="147" customFormat="1" x14ac:dyDescent="0.2">
      <c r="A297" s="138"/>
      <c r="B297" s="124"/>
      <c r="C297" s="169"/>
      <c r="D297" s="157"/>
      <c r="E297" s="653" t="str">
        <f>E288</f>
        <v>Valor Total c/ Taxas</v>
      </c>
      <c r="F297" s="653"/>
      <c r="G297" s="653"/>
      <c r="H297" s="135"/>
      <c r="I297" s="172">
        <f>(H294+I294+H295+H296)</f>
        <v>5.2666747642968001</v>
      </c>
      <c r="J297" s="144"/>
      <c r="K297" s="159">
        <v>0.23400000000000001</v>
      </c>
      <c r="L297" s="167">
        <f t="shared" si="9"/>
        <v>1.4842</v>
      </c>
      <c r="N297" s="531">
        <v>5.2691799999999995</v>
      </c>
    </row>
    <row r="298" spans="1:14" s="147" customFormat="1" x14ac:dyDescent="0.2">
      <c r="A298" s="138"/>
      <c r="B298" s="124"/>
      <c r="C298" s="169"/>
      <c r="D298" s="157"/>
      <c r="E298" s="132"/>
      <c r="F298" s="132"/>
      <c r="G298" s="132"/>
      <c r="H298" s="135"/>
      <c r="I298" s="172"/>
      <c r="J298" s="144"/>
      <c r="K298" s="159">
        <v>0.23400000000000001</v>
      </c>
      <c r="L298" s="167">
        <f t="shared" si="9"/>
        <v>1.4842</v>
      </c>
      <c r="N298" s="531"/>
    </row>
    <row r="299" spans="1:14" s="147" customFormat="1" x14ac:dyDescent="0.2">
      <c r="A299" s="547"/>
      <c r="B299" s="548" t="str">
        <f>'Planilha Orçamentaria'!A38</f>
        <v>3.1</v>
      </c>
      <c r="C299" s="549" t="str">
        <f>'Planilha Orçamentaria'!C38</f>
        <v>Escavação manual ate 1.50m de profundidade</v>
      </c>
      <c r="D299" s="550" t="s">
        <v>0</v>
      </c>
      <c r="E299" s="551"/>
      <c r="F299" s="552"/>
      <c r="G299" s="158"/>
      <c r="H299" s="551"/>
      <c r="I299" s="551"/>
      <c r="J299" s="144"/>
      <c r="K299" s="159">
        <v>0.23400000000000001</v>
      </c>
      <c r="L299" s="167">
        <f t="shared" si="9"/>
        <v>1.4842</v>
      </c>
    </row>
    <row r="300" spans="1:14" s="147" customFormat="1" x14ac:dyDescent="0.2">
      <c r="A300" s="138"/>
      <c r="B300" s="148"/>
      <c r="C300" s="553" t="s">
        <v>426</v>
      </c>
      <c r="D300" s="550" t="s">
        <v>425</v>
      </c>
      <c r="E300" s="551">
        <f>3.77*N11</f>
        <v>3.77</v>
      </c>
      <c r="F300" s="552"/>
      <c r="G300" s="158">
        <v>2.403</v>
      </c>
      <c r="H300" s="551">
        <f>E300*G300</f>
        <v>9.05931</v>
      </c>
      <c r="I300" s="551"/>
      <c r="J300" s="144"/>
      <c r="K300" s="159">
        <v>0.23400000000000001</v>
      </c>
      <c r="L300" s="167">
        <f t="shared" si="9"/>
        <v>1.4842</v>
      </c>
    </row>
    <row r="301" spans="1:14" s="147" customFormat="1" x14ac:dyDescent="0.2">
      <c r="A301" s="138"/>
      <c r="B301" s="148"/>
      <c r="C301" s="553"/>
      <c r="D301" s="550"/>
      <c r="E301" s="551"/>
      <c r="F301" s="552"/>
      <c r="G301" s="158"/>
      <c r="H301" s="551"/>
      <c r="I301" s="551"/>
      <c r="J301" s="144"/>
      <c r="K301" s="159">
        <v>0.23400000000000001</v>
      </c>
      <c r="L301" s="167">
        <f t="shared" si="9"/>
        <v>1.4842</v>
      </c>
    </row>
    <row r="302" spans="1:14" s="147" customFormat="1" x14ac:dyDescent="0.2">
      <c r="A302" s="138"/>
      <c r="B302" s="148"/>
      <c r="C302" s="553"/>
      <c r="D302" s="550"/>
      <c r="E302" s="655" t="str">
        <f>E294</f>
        <v>Custo Direto</v>
      </c>
      <c r="F302" s="655"/>
      <c r="G302" s="655"/>
      <c r="H302" s="554">
        <f>SUM(H299:H300)</f>
        <v>9.05931</v>
      </c>
      <c r="I302" s="554"/>
      <c r="J302" s="144"/>
      <c r="K302" s="159">
        <v>0.23400000000000001</v>
      </c>
      <c r="L302" s="167">
        <f t="shared" si="9"/>
        <v>1.4842</v>
      </c>
    </row>
    <row r="303" spans="1:14" s="147" customFormat="1" x14ac:dyDescent="0.2">
      <c r="A303" s="138"/>
      <c r="B303" s="148"/>
      <c r="C303" s="553"/>
      <c r="D303" s="550"/>
      <c r="E303" s="655" t="str">
        <f>E295</f>
        <v>LS(%): 148,42</v>
      </c>
      <c r="F303" s="655"/>
      <c r="G303" s="655"/>
      <c r="H303" s="551">
        <f>H302*L303</f>
        <v>13.445827902</v>
      </c>
      <c r="I303" s="555"/>
      <c r="J303" s="144"/>
      <c r="K303" s="159">
        <v>0.23400000000000001</v>
      </c>
      <c r="L303" s="167">
        <f t="shared" si="9"/>
        <v>1.4842</v>
      </c>
    </row>
    <row r="304" spans="1:14" s="147" customFormat="1" x14ac:dyDescent="0.2">
      <c r="A304" s="138"/>
      <c r="B304" s="148"/>
      <c r="C304" s="553"/>
      <c r="D304" s="550"/>
      <c r="E304" s="655" t="str">
        <f>E296</f>
        <v>BDI (%): 23,40</v>
      </c>
      <c r="F304" s="655"/>
      <c r="G304" s="655"/>
      <c r="H304" s="654">
        <f>(H302+I302+H303)*K304</f>
        <v>5.2662022690680006</v>
      </c>
      <c r="I304" s="654"/>
      <c r="J304" s="144"/>
      <c r="K304" s="159">
        <v>0.23400000000000001</v>
      </c>
      <c r="L304" s="167">
        <f t="shared" si="9"/>
        <v>1.4842</v>
      </c>
    </row>
    <row r="305" spans="1:14" s="147" customFormat="1" x14ac:dyDescent="0.2">
      <c r="A305" s="138"/>
      <c r="B305" s="148"/>
      <c r="C305" s="553"/>
      <c r="D305" s="550"/>
      <c r="E305" s="655" t="str">
        <f>E297</f>
        <v>Valor Total c/ Taxas</v>
      </c>
      <c r="F305" s="655"/>
      <c r="G305" s="655"/>
      <c r="H305" s="551"/>
      <c r="I305" s="554">
        <f>(H302+I302+H303+H304)</f>
        <v>27.771340171068001</v>
      </c>
      <c r="J305" s="144"/>
      <c r="K305" s="159">
        <v>0.23400000000000001</v>
      </c>
      <c r="L305" s="167">
        <f t="shared" si="9"/>
        <v>1.4842</v>
      </c>
      <c r="N305" s="531">
        <v>27.765000000000001</v>
      </c>
    </row>
    <row r="306" spans="1:14" s="147" customFormat="1" x14ac:dyDescent="0.2">
      <c r="A306" s="138"/>
      <c r="B306" s="124"/>
      <c r="C306" s="169"/>
      <c r="D306" s="157"/>
      <c r="E306" s="132"/>
      <c r="F306" s="132"/>
      <c r="G306" s="132"/>
      <c r="H306" s="135"/>
      <c r="I306" s="172"/>
      <c r="J306" s="144"/>
      <c r="K306" s="159">
        <v>0.23400000000000001</v>
      </c>
      <c r="L306" s="167">
        <f t="shared" si="9"/>
        <v>1.4842</v>
      </c>
      <c r="N306" s="531"/>
    </row>
    <row r="307" spans="1:14" s="147" customFormat="1" x14ac:dyDescent="0.2">
      <c r="A307" s="547"/>
      <c r="B307" s="548" t="str">
        <f>'Planilha Orçamentaria'!A41</f>
        <v>4.1</v>
      </c>
      <c r="C307" s="549" t="str">
        <f>'Planilha Orçamentaria'!C41</f>
        <v>Baldrame em concreto armado c/ cinta de amarração</v>
      </c>
      <c r="D307" s="550" t="s">
        <v>0</v>
      </c>
      <c r="E307" s="551"/>
      <c r="F307" s="552"/>
      <c r="G307" s="158"/>
      <c r="H307" s="551"/>
      <c r="I307" s="551"/>
      <c r="J307" s="144"/>
      <c r="K307" s="159">
        <v>0.23400000000000001</v>
      </c>
      <c r="L307" s="167">
        <f t="shared" si="9"/>
        <v>1.4842</v>
      </c>
    </row>
    <row r="308" spans="1:14" s="147" customFormat="1" x14ac:dyDescent="0.2">
      <c r="A308" s="547"/>
      <c r="B308" s="548"/>
      <c r="C308" s="553" t="str">
        <f>C307</f>
        <v>Baldrame em concreto armado c/ cinta de amarração</v>
      </c>
      <c r="D308" s="550" t="str">
        <f>D307</f>
        <v>M3</v>
      </c>
      <c r="E308" s="551">
        <v>1150</v>
      </c>
      <c r="F308" s="552"/>
      <c r="G308" s="158">
        <v>1</v>
      </c>
      <c r="H308" s="551"/>
      <c r="I308" s="238">
        <f t="shared" ref="I308:I316" si="10">E308*G308</f>
        <v>1150</v>
      </c>
      <c r="J308" s="144"/>
      <c r="K308" s="159"/>
      <c r="L308" s="167"/>
    </row>
    <row r="309" spans="1:14" s="147" customFormat="1" ht="25.5" x14ac:dyDescent="0.2">
      <c r="A309" s="547"/>
      <c r="B309" s="548"/>
      <c r="C309" s="553" t="s">
        <v>482</v>
      </c>
      <c r="D309" s="550" t="s">
        <v>442</v>
      </c>
      <c r="E309" s="551">
        <f>F309*N11</f>
        <v>88</v>
      </c>
      <c r="F309" s="552">
        <v>88</v>
      </c>
      <c r="G309" s="158">
        <v>0.5</v>
      </c>
      <c r="H309" s="551"/>
      <c r="I309" s="238">
        <f t="shared" si="10"/>
        <v>44</v>
      </c>
      <c r="J309" s="144"/>
      <c r="K309" s="159">
        <v>0.23400000000000001</v>
      </c>
      <c r="L309" s="167">
        <f>L307</f>
        <v>1.4842</v>
      </c>
    </row>
    <row r="310" spans="1:14" s="147" customFormat="1" x14ac:dyDescent="0.2">
      <c r="A310" s="547"/>
      <c r="B310" s="548"/>
      <c r="C310" s="553" t="s">
        <v>483</v>
      </c>
      <c r="D310" s="550" t="s">
        <v>480</v>
      </c>
      <c r="E310" s="551">
        <f>F310*N11</f>
        <v>4.5599999999999996</v>
      </c>
      <c r="F310" s="552">
        <v>4.5599999999999996</v>
      </c>
      <c r="G310" s="158">
        <v>0.9</v>
      </c>
      <c r="H310" s="551"/>
      <c r="I310" s="238">
        <f t="shared" si="10"/>
        <v>4.1040000000000001</v>
      </c>
      <c r="J310" s="144"/>
      <c r="K310" s="159">
        <v>0.23400000000000001</v>
      </c>
      <c r="L310" s="167">
        <f t="shared" si="9"/>
        <v>1.4842</v>
      </c>
    </row>
    <row r="311" spans="1:14" s="147" customFormat="1" ht="25.5" x14ac:dyDescent="0.2">
      <c r="A311" s="547"/>
      <c r="B311" s="548"/>
      <c r="C311" s="553" t="s">
        <v>474</v>
      </c>
      <c r="D311" s="550" t="s">
        <v>444</v>
      </c>
      <c r="E311" s="551">
        <f>2.81*N11</f>
        <v>2.81</v>
      </c>
      <c r="F311" s="552">
        <f>F251</f>
        <v>0</v>
      </c>
      <c r="G311" s="158">
        <v>0.4</v>
      </c>
      <c r="H311" s="551"/>
      <c r="I311" s="238">
        <f t="shared" si="10"/>
        <v>1.1240000000000001</v>
      </c>
      <c r="J311" s="144"/>
      <c r="K311" s="159">
        <v>0.23400000000000001</v>
      </c>
      <c r="L311" s="167">
        <f t="shared" si="9"/>
        <v>1.4842</v>
      </c>
    </row>
    <row r="312" spans="1:14" s="147" customFormat="1" ht="25.5" x14ac:dyDescent="0.2">
      <c r="A312" s="547"/>
      <c r="B312" s="548"/>
      <c r="C312" s="553" t="s">
        <v>484</v>
      </c>
      <c r="D312" s="550" t="s">
        <v>444</v>
      </c>
      <c r="E312" s="551">
        <f>F312*N11</f>
        <v>3.32</v>
      </c>
      <c r="F312" s="552">
        <v>3.32</v>
      </c>
      <c r="G312" s="158">
        <v>0.4</v>
      </c>
      <c r="H312" s="551"/>
      <c r="I312" s="238">
        <f t="shared" si="10"/>
        <v>1.3280000000000001</v>
      </c>
      <c r="J312" s="144"/>
      <c r="K312" s="159">
        <v>0.23400000000000001</v>
      </c>
      <c r="L312" s="167">
        <f t="shared" si="9"/>
        <v>1.4842</v>
      </c>
    </row>
    <row r="313" spans="1:14" s="147" customFormat="1" x14ac:dyDescent="0.2">
      <c r="A313" s="547"/>
      <c r="B313" s="548"/>
      <c r="C313" s="553" t="s">
        <v>475</v>
      </c>
      <c r="D313" s="550" t="s">
        <v>473</v>
      </c>
      <c r="E313" s="551">
        <f>F313*N11</f>
        <v>7.21</v>
      </c>
      <c r="F313" s="552">
        <v>7.21</v>
      </c>
      <c r="G313" s="158">
        <v>0.2</v>
      </c>
      <c r="H313" s="551"/>
      <c r="I313" s="238">
        <f t="shared" si="10"/>
        <v>1.4420000000000002</v>
      </c>
      <c r="J313" s="144"/>
      <c r="K313" s="159">
        <v>0.23400000000000001</v>
      </c>
      <c r="L313" s="167">
        <f t="shared" si="9"/>
        <v>1.4842</v>
      </c>
    </row>
    <row r="314" spans="1:14" s="147" customFormat="1" ht="25.5" x14ac:dyDescent="0.2">
      <c r="A314" s="547"/>
      <c r="B314" s="548"/>
      <c r="C314" s="553" t="s">
        <v>485</v>
      </c>
      <c r="D314" s="550" t="s">
        <v>444</v>
      </c>
      <c r="E314" s="551">
        <f>F314*N11</f>
        <v>7.29</v>
      </c>
      <c r="F314" s="552">
        <v>7.29</v>
      </c>
      <c r="G314" s="158">
        <v>0.5</v>
      </c>
      <c r="H314" s="551"/>
      <c r="I314" s="238">
        <f t="shared" si="10"/>
        <v>3.645</v>
      </c>
      <c r="J314" s="144"/>
      <c r="K314" s="159">
        <v>0.23400000000000001</v>
      </c>
      <c r="L314" s="167">
        <f t="shared" si="9"/>
        <v>1.4842</v>
      </c>
    </row>
    <row r="315" spans="1:14" s="147" customFormat="1" x14ac:dyDescent="0.2">
      <c r="A315" s="547"/>
      <c r="B315" s="548"/>
      <c r="C315" s="553" t="s">
        <v>486</v>
      </c>
      <c r="D315" s="550" t="s">
        <v>487</v>
      </c>
      <c r="E315" s="551">
        <f>F315*N11</f>
        <v>3.03</v>
      </c>
      <c r="F315" s="552">
        <v>3.03</v>
      </c>
      <c r="G315" s="158">
        <v>1.5</v>
      </c>
      <c r="H315" s="551"/>
      <c r="I315" s="238">
        <f t="shared" si="10"/>
        <v>4.5449999999999999</v>
      </c>
      <c r="J315" s="144"/>
      <c r="K315" s="159">
        <v>0.23400000000000001</v>
      </c>
      <c r="L315" s="167">
        <f t="shared" si="9"/>
        <v>1.4842</v>
      </c>
    </row>
    <row r="316" spans="1:14" s="147" customFormat="1" x14ac:dyDescent="0.2">
      <c r="A316" s="547"/>
      <c r="B316" s="548"/>
      <c r="C316" s="553" t="s">
        <v>472</v>
      </c>
      <c r="D316" s="550" t="s">
        <v>487</v>
      </c>
      <c r="E316" s="551">
        <f>F316*N11</f>
        <v>5.98</v>
      </c>
      <c r="F316" s="552">
        <v>5.98</v>
      </c>
      <c r="G316" s="158">
        <v>0.5</v>
      </c>
      <c r="H316" s="551"/>
      <c r="I316" s="238">
        <f t="shared" si="10"/>
        <v>2.99</v>
      </c>
      <c r="J316" s="144"/>
      <c r="K316" s="159">
        <v>0.23400000000000001</v>
      </c>
      <c r="L316" s="167">
        <f t="shared" si="9"/>
        <v>1.4842</v>
      </c>
    </row>
    <row r="317" spans="1:14" s="147" customFormat="1" x14ac:dyDescent="0.2">
      <c r="A317" s="547"/>
      <c r="B317" s="548"/>
      <c r="C317" s="553" t="s">
        <v>488</v>
      </c>
      <c r="D317" s="550" t="s">
        <v>425</v>
      </c>
      <c r="E317" s="551">
        <f>5.21*N11</f>
        <v>5.21</v>
      </c>
      <c r="F317" s="552"/>
      <c r="G317" s="158">
        <v>4.4400000000000004</v>
      </c>
      <c r="H317" s="551">
        <f>E317*G317</f>
        <v>23.132400000000001</v>
      </c>
      <c r="I317" s="551"/>
      <c r="J317" s="144"/>
      <c r="K317" s="159">
        <v>0.23400000000000001</v>
      </c>
      <c r="L317" s="167">
        <f t="shared" si="9"/>
        <v>1.4842</v>
      </c>
    </row>
    <row r="318" spans="1:14" s="147" customFormat="1" x14ac:dyDescent="0.2">
      <c r="A318" s="547"/>
      <c r="B318" s="548"/>
      <c r="C318" s="553" t="s">
        <v>432</v>
      </c>
      <c r="D318" s="550" t="s">
        <v>425</v>
      </c>
      <c r="E318" s="551">
        <f>5.21*N11</f>
        <v>5.21</v>
      </c>
      <c r="F318" s="552"/>
      <c r="G318" s="158">
        <v>4.4400000000000004</v>
      </c>
      <c r="H318" s="551">
        <f>E318*G318</f>
        <v>23.132400000000001</v>
      </c>
      <c r="I318" s="551"/>
      <c r="J318" s="144"/>
      <c r="K318" s="159">
        <v>0.23400000000000001</v>
      </c>
      <c r="L318" s="167">
        <f t="shared" si="9"/>
        <v>1.4842</v>
      </c>
    </row>
    <row r="319" spans="1:14" s="147" customFormat="1" x14ac:dyDescent="0.2">
      <c r="A319" s="547"/>
      <c r="B319" s="548"/>
      <c r="C319" s="553" t="s">
        <v>431</v>
      </c>
      <c r="D319" s="550" t="s">
        <v>425</v>
      </c>
      <c r="E319" s="204">
        <f>5.21*N11</f>
        <v>5.21</v>
      </c>
      <c r="F319" s="552"/>
      <c r="G319" s="158">
        <v>4.4400000000000004</v>
      </c>
      <c r="H319" s="551">
        <f>E319*G319</f>
        <v>23.132400000000001</v>
      </c>
      <c r="I319" s="551"/>
      <c r="J319" s="144"/>
      <c r="K319" s="159">
        <v>0.23400000000000001</v>
      </c>
      <c r="L319" s="167">
        <f t="shared" si="9"/>
        <v>1.4842</v>
      </c>
    </row>
    <row r="320" spans="1:14" s="147" customFormat="1" x14ac:dyDescent="0.2">
      <c r="A320" s="138"/>
      <c r="B320" s="148"/>
      <c r="C320" s="553" t="s">
        <v>434</v>
      </c>
      <c r="D320" s="550" t="s">
        <v>425</v>
      </c>
      <c r="E320" s="551">
        <f>3.77*N11</f>
        <v>3.77</v>
      </c>
      <c r="F320" s="552"/>
      <c r="G320" s="158">
        <v>1.3979999999999999</v>
      </c>
      <c r="H320" s="551">
        <f>E320*G320</f>
        <v>5.2704599999999999</v>
      </c>
      <c r="I320" s="551"/>
      <c r="J320" s="144"/>
      <c r="K320" s="159">
        <v>0.23400000000000001</v>
      </c>
      <c r="L320" s="167">
        <f t="shared" si="9"/>
        <v>1.4842</v>
      </c>
    </row>
    <row r="321" spans="1:14" s="147" customFormat="1" x14ac:dyDescent="0.2">
      <c r="A321" s="138"/>
      <c r="B321" s="148"/>
      <c r="C321" s="553"/>
      <c r="D321" s="550"/>
      <c r="E321" s="551"/>
      <c r="F321" s="552"/>
      <c r="G321" s="158"/>
      <c r="H321" s="551"/>
      <c r="I321" s="551"/>
      <c r="J321" s="144"/>
      <c r="K321" s="159">
        <v>0.23400000000000001</v>
      </c>
      <c r="L321" s="167">
        <f t="shared" si="9"/>
        <v>1.4842</v>
      </c>
    </row>
    <row r="322" spans="1:14" s="147" customFormat="1" x14ac:dyDescent="0.2">
      <c r="A322" s="138"/>
      <c r="B322" s="148"/>
      <c r="C322" s="553"/>
      <c r="D322" s="550"/>
      <c r="E322" s="655" t="str">
        <f>E302</f>
        <v>Custo Direto</v>
      </c>
      <c r="F322" s="655"/>
      <c r="G322" s="655"/>
      <c r="H322" s="554">
        <f>SUM(H307:H320)</f>
        <v>74.667659999999998</v>
      </c>
      <c r="I322" s="172">
        <f>SUM(I308:I320)</f>
        <v>1213.1780000000001</v>
      </c>
      <c r="J322" s="144"/>
      <c r="K322" s="159">
        <v>0.23400000000000001</v>
      </c>
      <c r="L322" s="167">
        <f t="shared" si="9"/>
        <v>1.4842</v>
      </c>
    </row>
    <row r="323" spans="1:14" s="147" customFormat="1" x14ac:dyDescent="0.2">
      <c r="A323" s="138"/>
      <c r="B323" s="148"/>
      <c r="C323" s="553"/>
      <c r="D323" s="550"/>
      <c r="E323" s="655" t="str">
        <f>E303</f>
        <v>LS(%): 148,42</v>
      </c>
      <c r="F323" s="655"/>
      <c r="G323" s="655"/>
      <c r="H323" s="551">
        <f>H322*L323</f>
        <v>110.821740972</v>
      </c>
      <c r="I323" s="555"/>
      <c r="J323" s="144"/>
      <c r="K323" s="159">
        <v>0.23400000000000001</v>
      </c>
      <c r="L323" s="167">
        <f t="shared" si="9"/>
        <v>1.4842</v>
      </c>
    </row>
    <row r="324" spans="1:14" s="147" customFormat="1" x14ac:dyDescent="0.2">
      <c r="A324" s="138"/>
      <c r="B324" s="148"/>
      <c r="C324" s="553"/>
      <c r="D324" s="550"/>
      <c r="E324" s="655" t="str">
        <f>E304</f>
        <v>BDI (%): 23,40</v>
      </c>
      <c r="F324" s="655"/>
      <c r="G324" s="655"/>
      <c r="H324" s="654">
        <f>(H322+I322+H323)*K324</f>
        <v>327.28817182744808</v>
      </c>
      <c r="I324" s="654"/>
      <c r="J324" s="144"/>
      <c r="K324" s="159">
        <v>0.23400000000000001</v>
      </c>
      <c r="L324" s="167">
        <f t="shared" si="9"/>
        <v>1.4842</v>
      </c>
    </row>
    <row r="325" spans="1:14" s="147" customFormat="1" x14ac:dyDescent="0.2">
      <c r="A325" s="138"/>
      <c r="B325" s="148"/>
      <c r="C325" s="553"/>
      <c r="D325" s="550"/>
      <c r="E325" s="655" t="str">
        <f>E305</f>
        <v>Valor Total c/ Taxas</v>
      </c>
      <c r="F325" s="655"/>
      <c r="G325" s="655"/>
      <c r="H325" s="551"/>
      <c r="I325" s="554">
        <f>(H322+I322+H323+H324)</f>
        <v>1725.9555727994484</v>
      </c>
      <c r="J325" s="144"/>
      <c r="K325" s="159">
        <v>0.23400000000000001</v>
      </c>
      <c r="L325" s="167">
        <f t="shared" si="9"/>
        <v>1.4842</v>
      </c>
      <c r="N325" s="531">
        <v>1725.9587800000002</v>
      </c>
    </row>
    <row r="326" spans="1:14" s="147" customFormat="1" x14ac:dyDescent="0.2">
      <c r="A326" s="138"/>
      <c r="B326" s="124"/>
      <c r="C326" s="169"/>
      <c r="D326" s="157"/>
      <c r="E326" s="132"/>
      <c r="F326" s="132"/>
      <c r="G326" s="132"/>
      <c r="H326" s="135"/>
      <c r="I326" s="172"/>
      <c r="J326" s="144"/>
      <c r="K326" s="159">
        <v>0.23400000000000001</v>
      </c>
      <c r="L326" s="167">
        <f t="shared" si="9"/>
        <v>1.4842</v>
      </c>
      <c r="N326" s="531"/>
    </row>
    <row r="327" spans="1:14" s="147" customFormat="1" x14ac:dyDescent="0.2">
      <c r="A327" s="547"/>
      <c r="B327" s="548" t="str">
        <f>'Planilha Orçamentaria'!A42</f>
        <v>4.2</v>
      </c>
      <c r="C327" s="549" t="str">
        <f>'Planilha Orçamentaria'!C42</f>
        <v>Bloco em concreto armado p/ fundaçao (incl. forma)</v>
      </c>
      <c r="D327" s="550" t="s">
        <v>0</v>
      </c>
      <c r="E327" s="551"/>
      <c r="F327" s="552"/>
      <c r="G327" s="158"/>
      <c r="H327" s="551"/>
      <c r="I327" s="551"/>
      <c r="J327" s="144"/>
      <c r="K327" s="159">
        <v>0.23400000000000001</v>
      </c>
      <c r="L327" s="167">
        <f t="shared" si="9"/>
        <v>1.4842</v>
      </c>
    </row>
    <row r="328" spans="1:14" s="147" customFormat="1" x14ac:dyDescent="0.2">
      <c r="A328" s="547"/>
      <c r="B328" s="548"/>
      <c r="C328" s="553" t="str">
        <f>C327</f>
        <v>Bloco em concreto armado p/ fundaçao (incl. forma)</v>
      </c>
      <c r="D328" s="550" t="str">
        <f>D327</f>
        <v>M3</v>
      </c>
      <c r="E328" s="551">
        <v>1233</v>
      </c>
      <c r="F328" s="552"/>
      <c r="G328" s="158">
        <v>1</v>
      </c>
      <c r="H328" s="551"/>
      <c r="I328" s="238">
        <f t="shared" ref="I328:I336" si="11">E328*G328</f>
        <v>1233</v>
      </c>
      <c r="J328" s="144"/>
      <c r="K328" s="159"/>
      <c r="L328" s="167"/>
    </row>
    <row r="329" spans="1:14" s="147" customFormat="1" ht="25.5" x14ac:dyDescent="0.2">
      <c r="A329" s="547"/>
      <c r="B329" s="548"/>
      <c r="C329" s="553" t="s">
        <v>482</v>
      </c>
      <c r="D329" s="550" t="s">
        <v>442</v>
      </c>
      <c r="E329" s="551">
        <f>F329*N11</f>
        <v>88</v>
      </c>
      <c r="F329" s="552">
        <v>88</v>
      </c>
      <c r="G329" s="158">
        <v>0.5</v>
      </c>
      <c r="H329" s="551"/>
      <c r="I329" s="238">
        <f t="shared" si="11"/>
        <v>44</v>
      </c>
      <c r="J329" s="144"/>
      <c r="K329" s="159">
        <v>0.23400000000000001</v>
      </c>
      <c r="L329" s="167">
        <f>L327</f>
        <v>1.4842</v>
      </c>
    </row>
    <row r="330" spans="1:14" s="147" customFormat="1" x14ac:dyDescent="0.2">
      <c r="A330" s="547"/>
      <c r="B330" s="548"/>
      <c r="C330" s="553" t="s">
        <v>483</v>
      </c>
      <c r="D330" s="550" t="s">
        <v>480</v>
      </c>
      <c r="E330" s="551">
        <f>F330*N11</f>
        <v>4.5599999999999996</v>
      </c>
      <c r="F330" s="552">
        <v>4.5599999999999996</v>
      </c>
      <c r="G330" s="158">
        <v>0.9</v>
      </c>
      <c r="H330" s="551"/>
      <c r="I330" s="238">
        <f t="shared" si="11"/>
        <v>4.1040000000000001</v>
      </c>
      <c r="J330" s="144"/>
      <c r="K330" s="159">
        <v>0.23400000000000001</v>
      </c>
      <c r="L330" s="167">
        <f t="shared" si="9"/>
        <v>1.4842</v>
      </c>
    </row>
    <row r="331" spans="1:14" s="147" customFormat="1" ht="25.5" x14ac:dyDescent="0.2">
      <c r="A331" s="547"/>
      <c r="B331" s="548"/>
      <c r="C331" s="553" t="s">
        <v>474</v>
      </c>
      <c r="D331" s="550" t="s">
        <v>444</v>
      </c>
      <c r="E331" s="551">
        <f>2.81*N11</f>
        <v>2.81</v>
      </c>
      <c r="F331" s="552">
        <f>F271</f>
        <v>0</v>
      </c>
      <c r="G331" s="158">
        <v>0.4</v>
      </c>
      <c r="H331" s="551"/>
      <c r="I331" s="238">
        <f t="shared" si="11"/>
        <v>1.1240000000000001</v>
      </c>
      <c r="J331" s="144"/>
      <c r="K331" s="159">
        <v>0.23400000000000001</v>
      </c>
      <c r="L331" s="167">
        <f t="shared" si="9"/>
        <v>1.4842</v>
      </c>
    </row>
    <row r="332" spans="1:14" s="147" customFormat="1" ht="25.5" x14ac:dyDescent="0.2">
      <c r="A332" s="547"/>
      <c r="B332" s="548"/>
      <c r="C332" s="553" t="s">
        <v>484</v>
      </c>
      <c r="D332" s="550" t="s">
        <v>444</v>
      </c>
      <c r="E332" s="551">
        <f>F332*N11</f>
        <v>3.32</v>
      </c>
      <c r="F332" s="552">
        <v>3.32</v>
      </c>
      <c r="G332" s="158">
        <v>0.4</v>
      </c>
      <c r="H332" s="551"/>
      <c r="I332" s="238">
        <f t="shared" si="11"/>
        <v>1.3280000000000001</v>
      </c>
      <c r="J332" s="144"/>
      <c r="K332" s="159">
        <v>0.23400000000000001</v>
      </c>
      <c r="L332" s="167">
        <f t="shared" si="9"/>
        <v>1.4842</v>
      </c>
    </row>
    <row r="333" spans="1:14" s="147" customFormat="1" x14ac:dyDescent="0.2">
      <c r="A333" s="547"/>
      <c r="B333" s="548"/>
      <c r="C333" s="553" t="s">
        <v>475</v>
      </c>
      <c r="D333" s="550" t="s">
        <v>473</v>
      </c>
      <c r="E333" s="551">
        <f>F333*N11</f>
        <v>7.21</v>
      </c>
      <c r="F333" s="552">
        <v>7.21</v>
      </c>
      <c r="G333" s="158">
        <v>0.2</v>
      </c>
      <c r="H333" s="551"/>
      <c r="I333" s="238">
        <f t="shared" si="11"/>
        <v>1.4420000000000002</v>
      </c>
      <c r="J333" s="144"/>
      <c r="K333" s="159">
        <v>0.23400000000000001</v>
      </c>
      <c r="L333" s="167">
        <f t="shared" si="9"/>
        <v>1.4842</v>
      </c>
    </row>
    <row r="334" spans="1:14" s="147" customFormat="1" ht="25.5" x14ac:dyDescent="0.2">
      <c r="A334" s="547"/>
      <c r="B334" s="548"/>
      <c r="C334" s="553" t="s">
        <v>485</v>
      </c>
      <c r="D334" s="550" t="s">
        <v>444</v>
      </c>
      <c r="E334" s="551">
        <f>F334*N11</f>
        <v>7.29</v>
      </c>
      <c r="F334" s="552">
        <v>7.29</v>
      </c>
      <c r="G334" s="158">
        <v>0.5</v>
      </c>
      <c r="H334" s="551"/>
      <c r="I334" s="238">
        <f t="shared" si="11"/>
        <v>3.645</v>
      </c>
      <c r="J334" s="144"/>
      <c r="K334" s="159">
        <v>0.23400000000000001</v>
      </c>
      <c r="L334" s="167">
        <f t="shared" si="9"/>
        <v>1.4842</v>
      </c>
    </row>
    <row r="335" spans="1:14" s="147" customFormat="1" x14ac:dyDescent="0.2">
      <c r="A335" s="547"/>
      <c r="B335" s="548"/>
      <c r="C335" s="553" t="s">
        <v>486</v>
      </c>
      <c r="D335" s="550" t="s">
        <v>487</v>
      </c>
      <c r="E335" s="551">
        <f>F335*N11</f>
        <v>3.03</v>
      </c>
      <c r="F335" s="552">
        <v>3.03</v>
      </c>
      <c r="G335" s="158">
        <v>1.5</v>
      </c>
      <c r="H335" s="551"/>
      <c r="I335" s="238">
        <f t="shared" si="11"/>
        <v>4.5449999999999999</v>
      </c>
      <c r="J335" s="144"/>
      <c r="K335" s="159">
        <v>0.23400000000000001</v>
      </c>
      <c r="L335" s="167">
        <f t="shared" si="9"/>
        <v>1.4842</v>
      </c>
    </row>
    <row r="336" spans="1:14" s="147" customFormat="1" x14ac:dyDescent="0.2">
      <c r="A336" s="547"/>
      <c r="B336" s="548"/>
      <c r="C336" s="553" t="s">
        <v>472</v>
      </c>
      <c r="D336" s="550" t="s">
        <v>487</v>
      </c>
      <c r="E336" s="551">
        <f>F336*N11</f>
        <v>5.98</v>
      </c>
      <c r="F336" s="552">
        <v>5.98</v>
      </c>
      <c r="G336" s="158">
        <v>0.5</v>
      </c>
      <c r="H336" s="551"/>
      <c r="I336" s="238">
        <f t="shared" si="11"/>
        <v>2.99</v>
      </c>
      <c r="J336" s="144"/>
      <c r="K336" s="159">
        <v>0.23400000000000001</v>
      </c>
      <c r="L336" s="167">
        <f t="shared" si="9"/>
        <v>1.4842</v>
      </c>
    </row>
    <row r="337" spans="1:14" s="147" customFormat="1" x14ac:dyDescent="0.2">
      <c r="A337" s="547"/>
      <c r="B337" s="548"/>
      <c r="C337" s="553" t="s">
        <v>488</v>
      </c>
      <c r="D337" s="550" t="s">
        <v>425</v>
      </c>
      <c r="E337" s="551">
        <f>5.21*N11</f>
        <v>5.21</v>
      </c>
      <c r="F337" s="552"/>
      <c r="G337" s="158">
        <v>4.4400000000000004</v>
      </c>
      <c r="H337" s="551">
        <f>E337*G337</f>
        <v>23.132400000000001</v>
      </c>
      <c r="I337" s="551"/>
      <c r="J337" s="144"/>
      <c r="K337" s="159">
        <v>0.23400000000000001</v>
      </c>
      <c r="L337" s="167">
        <f t="shared" si="9"/>
        <v>1.4842</v>
      </c>
    </row>
    <row r="338" spans="1:14" s="147" customFormat="1" x14ac:dyDescent="0.2">
      <c r="A338" s="547"/>
      <c r="B338" s="548"/>
      <c r="C338" s="553" t="s">
        <v>432</v>
      </c>
      <c r="D338" s="550" t="s">
        <v>425</v>
      </c>
      <c r="E338" s="551">
        <f>5.21*N11</f>
        <v>5.21</v>
      </c>
      <c r="F338" s="552"/>
      <c r="G338" s="158">
        <v>4.4400000000000004</v>
      </c>
      <c r="H338" s="551">
        <f>E338*G338</f>
        <v>23.132400000000001</v>
      </c>
      <c r="I338" s="551"/>
      <c r="J338" s="144"/>
      <c r="K338" s="159">
        <v>0.23400000000000001</v>
      </c>
      <c r="L338" s="167">
        <f t="shared" si="9"/>
        <v>1.4842</v>
      </c>
    </row>
    <row r="339" spans="1:14" s="147" customFormat="1" x14ac:dyDescent="0.2">
      <c r="A339" s="547"/>
      <c r="B339" s="548"/>
      <c r="C339" s="553" t="s">
        <v>431</v>
      </c>
      <c r="D339" s="550" t="s">
        <v>425</v>
      </c>
      <c r="E339" s="204">
        <f>5.21*N11</f>
        <v>5.21</v>
      </c>
      <c r="F339" s="552"/>
      <c r="G339" s="158">
        <v>4.4400000000000004</v>
      </c>
      <c r="H339" s="551">
        <f>E339*G339</f>
        <v>23.132400000000001</v>
      </c>
      <c r="I339" s="551"/>
      <c r="J339" s="144"/>
      <c r="K339" s="159">
        <v>0.23400000000000001</v>
      </c>
      <c r="L339" s="167">
        <f t="shared" si="9"/>
        <v>1.4842</v>
      </c>
    </row>
    <row r="340" spans="1:14" s="147" customFormat="1" x14ac:dyDescent="0.2">
      <c r="A340" s="138"/>
      <c r="B340" s="148"/>
      <c r="C340" s="553" t="s">
        <v>434</v>
      </c>
      <c r="D340" s="550" t="s">
        <v>425</v>
      </c>
      <c r="E340" s="551">
        <f>3.77*N11</f>
        <v>3.77</v>
      </c>
      <c r="F340" s="552"/>
      <c r="G340" s="158">
        <v>1.5364</v>
      </c>
      <c r="H340" s="551">
        <f>E340*G340</f>
        <v>5.7922279999999997</v>
      </c>
      <c r="I340" s="551"/>
      <c r="J340" s="144"/>
      <c r="K340" s="159">
        <v>0.23400000000000001</v>
      </c>
      <c r="L340" s="167">
        <f t="shared" si="9"/>
        <v>1.4842</v>
      </c>
    </row>
    <row r="341" spans="1:14" s="147" customFormat="1" x14ac:dyDescent="0.2">
      <c r="A341" s="138"/>
      <c r="B341" s="148"/>
      <c r="C341" s="553"/>
      <c r="D341" s="550"/>
      <c r="E341" s="551"/>
      <c r="F341" s="552"/>
      <c r="G341" s="158"/>
      <c r="H341" s="551"/>
      <c r="I341" s="551"/>
      <c r="J341" s="144"/>
      <c r="K341" s="159">
        <v>0.23400000000000001</v>
      </c>
      <c r="L341" s="167">
        <f t="shared" si="9"/>
        <v>1.4842</v>
      </c>
    </row>
    <row r="342" spans="1:14" s="147" customFormat="1" x14ac:dyDescent="0.2">
      <c r="A342" s="138"/>
      <c r="B342" s="148"/>
      <c r="C342" s="553"/>
      <c r="D342" s="550"/>
      <c r="E342" s="655" t="str">
        <f>E322</f>
        <v>Custo Direto</v>
      </c>
      <c r="F342" s="655"/>
      <c r="G342" s="655"/>
      <c r="H342" s="554">
        <f>SUM(H327:H340)</f>
        <v>75.189427999999992</v>
      </c>
      <c r="I342" s="172">
        <f>SUM(I328:I340)</f>
        <v>1296.1780000000001</v>
      </c>
      <c r="J342" s="144"/>
      <c r="K342" s="159">
        <v>0.23400000000000001</v>
      </c>
      <c r="L342" s="167">
        <f t="shared" si="9"/>
        <v>1.4842</v>
      </c>
    </row>
    <row r="343" spans="1:14" s="147" customFormat="1" x14ac:dyDescent="0.2">
      <c r="A343" s="138"/>
      <c r="B343" s="148"/>
      <c r="C343" s="553"/>
      <c r="D343" s="550"/>
      <c r="E343" s="655" t="str">
        <f>E323</f>
        <v>LS(%): 148,42</v>
      </c>
      <c r="F343" s="655"/>
      <c r="G343" s="655"/>
      <c r="H343" s="551">
        <f>H342*L343</f>
        <v>111.59614903759999</v>
      </c>
      <c r="I343" s="555"/>
      <c r="J343" s="144"/>
      <c r="K343" s="159">
        <v>0.23400000000000001</v>
      </c>
      <c r="L343" s="167">
        <f t="shared" si="9"/>
        <v>1.4842</v>
      </c>
    </row>
    <row r="344" spans="1:14" s="147" customFormat="1" x14ac:dyDescent="0.2">
      <c r="A344" s="138"/>
      <c r="B344" s="148"/>
      <c r="C344" s="553"/>
      <c r="D344" s="550"/>
      <c r="E344" s="655" t="str">
        <f>E324</f>
        <v>BDI (%): 23,40</v>
      </c>
      <c r="F344" s="655"/>
      <c r="G344" s="655"/>
      <c r="H344" s="654">
        <f>(H342+I342+H343)*K344</f>
        <v>347.01347702679845</v>
      </c>
      <c r="I344" s="654"/>
      <c r="J344" s="144"/>
      <c r="K344" s="159">
        <v>0.23400000000000001</v>
      </c>
      <c r="L344" s="167">
        <f t="shared" si="9"/>
        <v>1.4842</v>
      </c>
    </row>
    <row r="345" spans="1:14" s="147" customFormat="1" x14ac:dyDescent="0.2">
      <c r="A345" s="138"/>
      <c r="B345" s="148"/>
      <c r="C345" s="553"/>
      <c r="D345" s="550"/>
      <c r="E345" s="655" t="str">
        <f>E325</f>
        <v>Valor Total c/ Taxas</v>
      </c>
      <c r="F345" s="655"/>
      <c r="G345" s="655"/>
      <c r="H345" s="551"/>
      <c r="I345" s="554">
        <f>(H342+I342+H343+H344)</f>
        <v>1829.9770540643985</v>
      </c>
      <c r="J345" s="144"/>
      <c r="K345" s="159">
        <v>0.23400000000000001</v>
      </c>
      <c r="L345" s="167">
        <f t="shared" si="9"/>
        <v>1.4842</v>
      </c>
      <c r="N345" s="531">
        <v>1829.98498</v>
      </c>
    </row>
    <row r="346" spans="1:14" s="147" customFormat="1" x14ac:dyDescent="0.2">
      <c r="A346" s="138"/>
      <c r="B346" s="148"/>
      <c r="C346" s="169"/>
      <c r="D346" s="157"/>
      <c r="E346" s="135"/>
      <c r="F346" s="133"/>
      <c r="G346" s="158"/>
      <c r="H346" s="135"/>
      <c r="I346" s="135"/>
      <c r="J346" s="144"/>
      <c r="K346" s="159">
        <v>0.23400000000000001</v>
      </c>
      <c r="L346" s="167">
        <f t="shared" si="9"/>
        <v>1.4842</v>
      </c>
    </row>
    <row r="347" spans="1:14" s="147" customFormat="1" ht="25.5" x14ac:dyDescent="0.2">
      <c r="A347" s="556"/>
      <c r="B347" s="548" t="str">
        <f>'Planilha Orçamentaria'!A45</f>
        <v>5.1</v>
      </c>
      <c r="C347" s="549" t="str">
        <f>'Planilha Orçamentaria'!C46</f>
        <v>Concreto armado FCK=25MPA com forma aparente - 1 reaproveitamento</v>
      </c>
      <c r="D347" s="550" t="s">
        <v>0</v>
      </c>
      <c r="E347" s="551"/>
      <c r="F347" s="552"/>
      <c r="G347" s="158"/>
      <c r="H347" s="551"/>
      <c r="I347" s="551"/>
      <c r="J347" s="144"/>
      <c r="K347" s="159">
        <v>0.23400000000000001</v>
      </c>
      <c r="L347" s="167">
        <f t="shared" si="9"/>
        <v>1.4842</v>
      </c>
    </row>
    <row r="348" spans="1:14" s="147" customFormat="1" ht="25.5" x14ac:dyDescent="0.2">
      <c r="A348" s="138"/>
      <c r="B348" s="148"/>
      <c r="C348" s="553" t="str">
        <f>C347</f>
        <v>Concreto armado FCK=25MPA com forma aparente - 1 reaproveitamento</v>
      </c>
      <c r="D348" s="550" t="s">
        <v>442</v>
      </c>
      <c r="E348" s="551">
        <v>650</v>
      </c>
      <c r="F348" s="552">
        <v>404.8</v>
      </c>
      <c r="G348" s="158">
        <v>2.33</v>
      </c>
      <c r="H348" s="551"/>
      <c r="I348" s="551">
        <f>E348*G348</f>
        <v>1514.5</v>
      </c>
      <c r="J348" s="144"/>
      <c r="K348" s="159">
        <v>0.23400000000000001</v>
      </c>
      <c r="L348" s="167">
        <f t="shared" si="9"/>
        <v>1.4842</v>
      </c>
    </row>
    <row r="349" spans="1:14" s="147" customFormat="1" x14ac:dyDescent="0.2">
      <c r="A349" s="547"/>
      <c r="B349" s="548"/>
      <c r="C349" s="553" t="s">
        <v>483</v>
      </c>
      <c r="D349" s="550" t="s">
        <v>480</v>
      </c>
      <c r="E349" s="551">
        <f>F349*N11</f>
        <v>4.5599999999999996</v>
      </c>
      <c r="F349" s="552">
        <v>4.5599999999999996</v>
      </c>
      <c r="G349" s="158">
        <v>0.9</v>
      </c>
      <c r="H349" s="551"/>
      <c r="I349" s="238">
        <f t="shared" ref="I349:I355" si="12">E349*G349</f>
        <v>4.1040000000000001</v>
      </c>
      <c r="J349" s="144"/>
      <c r="K349" s="159">
        <v>0.23400000000000001</v>
      </c>
      <c r="L349" s="167">
        <f t="shared" si="9"/>
        <v>1.4842</v>
      </c>
    </row>
    <row r="350" spans="1:14" s="147" customFormat="1" ht="25.5" x14ac:dyDescent="0.2">
      <c r="A350" s="547"/>
      <c r="B350" s="548"/>
      <c r="C350" s="553" t="s">
        <v>474</v>
      </c>
      <c r="D350" s="550" t="s">
        <v>444</v>
      </c>
      <c r="E350" s="551">
        <f>2.81*N11</f>
        <v>2.81</v>
      </c>
      <c r="F350" s="552">
        <f>F290</f>
        <v>0</v>
      </c>
      <c r="G350" s="158">
        <v>0.4</v>
      </c>
      <c r="H350" s="551"/>
      <c r="I350" s="238">
        <f t="shared" si="12"/>
        <v>1.1240000000000001</v>
      </c>
      <c r="J350" s="144"/>
      <c r="K350" s="159">
        <v>0.23400000000000001</v>
      </c>
      <c r="L350" s="167">
        <f t="shared" si="9"/>
        <v>1.4842</v>
      </c>
    </row>
    <row r="351" spans="1:14" s="147" customFormat="1" ht="25.5" x14ac:dyDescent="0.2">
      <c r="A351" s="547"/>
      <c r="B351" s="548"/>
      <c r="C351" s="553" t="s">
        <v>484</v>
      </c>
      <c r="D351" s="550" t="s">
        <v>444</v>
      </c>
      <c r="E351" s="551">
        <f>F351*N11</f>
        <v>3.32</v>
      </c>
      <c r="F351" s="552">
        <v>3.32</v>
      </c>
      <c r="G351" s="158">
        <v>0.4</v>
      </c>
      <c r="H351" s="551"/>
      <c r="I351" s="238">
        <f t="shared" si="12"/>
        <v>1.3280000000000001</v>
      </c>
      <c r="J351" s="144"/>
      <c r="K351" s="159">
        <v>0.23400000000000001</v>
      </c>
      <c r="L351" s="167">
        <f t="shared" si="9"/>
        <v>1.4842</v>
      </c>
    </row>
    <row r="352" spans="1:14" s="147" customFormat="1" x14ac:dyDescent="0.2">
      <c r="A352" s="547"/>
      <c r="B352" s="548"/>
      <c r="C352" s="553" t="s">
        <v>475</v>
      </c>
      <c r="D352" s="550" t="s">
        <v>473</v>
      </c>
      <c r="E352" s="551">
        <f>F352*N11</f>
        <v>7.21</v>
      </c>
      <c r="F352" s="552">
        <v>7.21</v>
      </c>
      <c r="G352" s="158">
        <v>0.2</v>
      </c>
      <c r="H352" s="551"/>
      <c r="I352" s="238">
        <f t="shared" si="12"/>
        <v>1.4420000000000002</v>
      </c>
      <c r="J352" s="144"/>
      <c r="K352" s="159">
        <v>0.23400000000000001</v>
      </c>
      <c r="L352" s="167">
        <f t="shared" si="9"/>
        <v>1.4842</v>
      </c>
    </row>
    <row r="353" spans="1:14" s="147" customFormat="1" ht="25.5" x14ac:dyDescent="0.2">
      <c r="A353" s="547"/>
      <c r="B353" s="548"/>
      <c r="C353" s="553" t="s">
        <v>485</v>
      </c>
      <c r="D353" s="550" t="s">
        <v>444</v>
      </c>
      <c r="E353" s="551">
        <f>F353*N11</f>
        <v>7.29</v>
      </c>
      <c r="F353" s="552">
        <v>7.29</v>
      </c>
      <c r="G353" s="158">
        <v>0.5</v>
      </c>
      <c r="H353" s="551"/>
      <c r="I353" s="238">
        <f t="shared" si="12"/>
        <v>3.645</v>
      </c>
      <c r="J353" s="144"/>
      <c r="K353" s="159">
        <v>0.23400000000000001</v>
      </c>
      <c r="L353" s="167">
        <f t="shared" si="9"/>
        <v>1.4842</v>
      </c>
    </row>
    <row r="354" spans="1:14" s="147" customFormat="1" x14ac:dyDescent="0.2">
      <c r="A354" s="547"/>
      <c r="B354" s="548"/>
      <c r="C354" s="553" t="s">
        <v>486</v>
      </c>
      <c r="D354" s="550" t="s">
        <v>487</v>
      </c>
      <c r="E354" s="551">
        <f>F354*N11</f>
        <v>3.03</v>
      </c>
      <c r="F354" s="552">
        <v>3.03</v>
      </c>
      <c r="G354" s="158">
        <v>1.5</v>
      </c>
      <c r="H354" s="551"/>
      <c r="I354" s="238">
        <f t="shared" si="12"/>
        <v>4.5449999999999999</v>
      </c>
      <c r="J354" s="144"/>
      <c r="K354" s="159">
        <v>0.23400000000000001</v>
      </c>
      <c r="L354" s="167">
        <f t="shared" si="9"/>
        <v>1.4842</v>
      </c>
    </row>
    <row r="355" spans="1:14" s="147" customFormat="1" x14ac:dyDescent="0.2">
      <c r="A355" s="547"/>
      <c r="B355" s="548"/>
      <c r="C355" s="553" t="s">
        <v>472</v>
      </c>
      <c r="D355" s="550" t="s">
        <v>487</v>
      </c>
      <c r="E355" s="551">
        <f>F355*N11</f>
        <v>5.98</v>
      </c>
      <c r="F355" s="552">
        <v>5.98</v>
      </c>
      <c r="G355" s="158">
        <v>0.5</v>
      </c>
      <c r="H355" s="551"/>
      <c r="I355" s="238">
        <f t="shared" si="12"/>
        <v>2.99</v>
      </c>
      <c r="J355" s="144"/>
      <c r="K355" s="159">
        <v>0.23400000000000001</v>
      </c>
      <c r="L355" s="167">
        <f t="shared" si="9"/>
        <v>1.4842</v>
      </c>
    </row>
    <row r="356" spans="1:14" s="147" customFormat="1" x14ac:dyDescent="0.2">
      <c r="A356" s="138"/>
      <c r="B356" s="148"/>
      <c r="C356" s="553" t="s">
        <v>490</v>
      </c>
      <c r="D356" s="550" t="s">
        <v>425</v>
      </c>
      <c r="E356" s="551">
        <f>F356*N11</f>
        <v>1.65</v>
      </c>
      <c r="F356" s="552">
        <v>1.65</v>
      </c>
      <c r="G356" s="158">
        <v>0.3</v>
      </c>
      <c r="H356" s="551"/>
      <c r="I356" s="551">
        <f>E356*G356</f>
        <v>0.49499999999999994</v>
      </c>
      <c r="J356" s="144"/>
      <c r="K356" s="159">
        <v>0.23400000000000001</v>
      </c>
      <c r="L356" s="167">
        <f>L348</f>
        <v>1.4842</v>
      </c>
    </row>
    <row r="357" spans="1:14" s="147" customFormat="1" x14ac:dyDescent="0.2">
      <c r="A357" s="138"/>
      <c r="B357" s="148"/>
      <c r="C357" s="553" t="s">
        <v>488</v>
      </c>
      <c r="D357" s="550" t="s">
        <v>425</v>
      </c>
      <c r="E357" s="551">
        <f>5.21*N11</f>
        <v>5.21</v>
      </c>
      <c r="F357" s="552"/>
      <c r="G357" s="158">
        <v>0.65</v>
      </c>
      <c r="H357" s="551">
        <f>E357*G357</f>
        <v>3.3865000000000003</v>
      </c>
      <c r="I357" s="551"/>
      <c r="J357" s="144"/>
      <c r="K357" s="159">
        <v>0.23400000000000001</v>
      </c>
      <c r="L357" s="167">
        <f t="shared" si="9"/>
        <v>1.4842</v>
      </c>
    </row>
    <row r="358" spans="1:14" s="147" customFormat="1" x14ac:dyDescent="0.2">
      <c r="A358" s="138"/>
      <c r="B358" s="148"/>
      <c r="C358" s="553" t="s">
        <v>432</v>
      </c>
      <c r="D358" s="550" t="s">
        <v>425</v>
      </c>
      <c r="E358" s="551">
        <f>5.21*N11</f>
        <v>5.21</v>
      </c>
      <c r="F358" s="552"/>
      <c r="G358" s="158">
        <v>0.65</v>
      </c>
      <c r="H358" s="551">
        <f>E358*G358</f>
        <v>3.3865000000000003</v>
      </c>
      <c r="I358" s="551"/>
      <c r="J358" s="144"/>
      <c r="K358" s="159">
        <v>0.23400000000000001</v>
      </c>
      <c r="L358" s="167">
        <f t="shared" si="9"/>
        <v>1.4842</v>
      </c>
    </row>
    <row r="359" spans="1:14" s="147" customFormat="1" x14ac:dyDescent="0.2">
      <c r="A359" s="138"/>
      <c r="B359" s="148"/>
      <c r="C359" s="553" t="s">
        <v>431</v>
      </c>
      <c r="D359" s="550" t="s">
        <v>425</v>
      </c>
      <c r="E359" s="204">
        <f>5.21*N11</f>
        <v>5.21</v>
      </c>
      <c r="F359" s="552"/>
      <c r="G359" s="158">
        <v>0.65</v>
      </c>
      <c r="H359" s="551">
        <f>E359*G359</f>
        <v>3.3865000000000003</v>
      </c>
      <c r="I359" s="551"/>
      <c r="J359" s="144"/>
      <c r="K359" s="159">
        <v>0.23400000000000001</v>
      </c>
      <c r="L359" s="167">
        <f t="shared" si="9"/>
        <v>1.4842</v>
      </c>
    </row>
    <row r="360" spans="1:14" s="147" customFormat="1" x14ac:dyDescent="0.2">
      <c r="A360" s="138"/>
      <c r="B360" s="148"/>
      <c r="C360" s="553" t="s">
        <v>434</v>
      </c>
      <c r="D360" s="550" t="s">
        <v>425</v>
      </c>
      <c r="E360" s="551">
        <f>3.77*N11</f>
        <v>3.77</v>
      </c>
      <c r="F360" s="552"/>
      <c r="G360" s="158">
        <v>0.62460000000000004</v>
      </c>
      <c r="H360" s="551">
        <f>E360*G360</f>
        <v>2.3547420000000003</v>
      </c>
      <c r="I360" s="551"/>
      <c r="J360" s="144"/>
      <c r="K360" s="159">
        <v>0.23400000000000001</v>
      </c>
      <c r="L360" s="167">
        <f t="shared" si="9"/>
        <v>1.4842</v>
      </c>
    </row>
    <row r="361" spans="1:14" s="147" customFormat="1" x14ac:dyDescent="0.2">
      <c r="A361" s="138"/>
      <c r="B361" s="148"/>
      <c r="C361" s="553"/>
      <c r="D361" s="550"/>
      <c r="E361" s="551"/>
      <c r="F361" s="552"/>
      <c r="G361" s="158"/>
      <c r="H361" s="551"/>
      <c r="I361" s="551"/>
      <c r="J361" s="144"/>
      <c r="K361" s="159">
        <v>0.23400000000000001</v>
      </c>
      <c r="L361" s="167">
        <f t="shared" si="9"/>
        <v>1.4842</v>
      </c>
    </row>
    <row r="362" spans="1:14" s="147" customFormat="1" x14ac:dyDescent="0.2">
      <c r="A362" s="138"/>
      <c r="B362" s="148"/>
      <c r="C362" s="553"/>
      <c r="D362" s="550"/>
      <c r="E362" s="655" t="str">
        <f>E342</f>
        <v>Custo Direto</v>
      </c>
      <c r="F362" s="655"/>
      <c r="G362" s="655"/>
      <c r="H362" s="554">
        <f>SUM(H348:H360)</f>
        <v>12.514242000000001</v>
      </c>
      <c r="I362" s="554">
        <f>SUM(I348:I360)</f>
        <v>1534.173</v>
      </c>
      <c r="J362" s="144"/>
      <c r="K362" s="159">
        <v>0.23400000000000001</v>
      </c>
      <c r="L362" s="167">
        <f t="shared" si="9"/>
        <v>1.4842</v>
      </c>
    </row>
    <row r="363" spans="1:14" s="147" customFormat="1" x14ac:dyDescent="0.2">
      <c r="A363" s="138"/>
      <c r="B363" s="148"/>
      <c r="C363" s="553"/>
      <c r="D363" s="550"/>
      <c r="E363" s="655" t="str">
        <f>E343</f>
        <v>LS(%): 148,42</v>
      </c>
      <c r="F363" s="655"/>
      <c r="G363" s="655"/>
      <c r="H363" s="551">
        <f>H362*L363</f>
        <v>18.573637976400001</v>
      </c>
      <c r="I363" s="555"/>
      <c r="J363" s="144"/>
      <c r="K363" s="159">
        <v>0.23400000000000001</v>
      </c>
      <c r="L363" s="167">
        <f t="shared" si="9"/>
        <v>1.4842</v>
      </c>
    </row>
    <row r="364" spans="1:14" s="147" customFormat="1" x14ac:dyDescent="0.2">
      <c r="A364" s="138"/>
      <c r="B364" s="148"/>
      <c r="C364" s="553"/>
      <c r="D364" s="550"/>
      <c r="E364" s="655" t="str">
        <f>E344</f>
        <v>BDI (%): 23,40</v>
      </c>
      <c r="F364" s="655"/>
      <c r="G364" s="655"/>
      <c r="H364" s="654">
        <f>(H362+I362+H363)*K364</f>
        <v>366.27104591447761</v>
      </c>
      <c r="I364" s="654"/>
      <c r="J364" s="144"/>
      <c r="K364" s="159">
        <v>0.23400000000000001</v>
      </c>
      <c r="L364" s="167">
        <f t="shared" si="9"/>
        <v>1.4842</v>
      </c>
    </row>
    <row r="365" spans="1:14" s="213" customFormat="1" x14ac:dyDescent="0.2">
      <c r="A365" s="205"/>
      <c r="B365" s="206"/>
      <c r="C365" s="557"/>
      <c r="D365" s="558"/>
      <c r="E365" s="656" t="str">
        <f>E345</f>
        <v>Valor Total c/ Taxas</v>
      </c>
      <c r="F365" s="656"/>
      <c r="G365" s="656"/>
      <c r="H365" s="559"/>
      <c r="I365" s="560">
        <f>(H362+I362+H363+H364)</f>
        <v>1931.5319258908776</v>
      </c>
      <c r="J365" s="211"/>
      <c r="K365" s="159">
        <v>0.23400000000000001</v>
      </c>
      <c r="L365" s="212">
        <f t="shared" si="9"/>
        <v>1.4842</v>
      </c>
      <c r="N365" s="561">
        <v>1931.5308399999999</v>
      </c>
    </row>
    <row r="366" spans="1:14" s="213" customFormat="1" x14ac:dyDescent="0.2">
      <c r="A366" s="205"/>
      <c r="B366" s="206"/>
      <c r="C366" s="557"/>
      <c r="D366" s="558"/>
      <c r="E366" s="562"/>
      <c r="F366" s="562"/>
      <c r="G366" s="562"/>
      <c r="H366" s="559"/>
      <c r="I366" s="560"/>
      <c r="J366" s="211"/>
      <c r="K366" s="159"/>
      <c r="L366" s="212">
        <f t="shared" si="9"/>
        <v>1.4842</v>
      </c>
      <c r="N366" s="561"/>
    </row>
    <row r="367" spans="1:14" s="147" customFormat="1" x14ac:dyDescent="0.2">
      <c r="A367" s="138"/>
      <c r="B367" s="148" t="str">
        <f>'Planilha Orçamentaria'!A49</f>
        <v>6.1</v>
      </c>
      <c r="C367" s="549" t="str">
        <f>'Planilha Orçamentaria'!C49</f>
        <v>Alvenaria tijolo de barro a cutelo</v>
      </c>
      <c r="D367" s="550" t="s">
        <v>1</v>
      </c>
      <c r="E367" s="551"/>
      <c r="F367" s="552"/>
      <c r="G367" s="158"/>
      <c r="H367" s="551"/>
      <c r="I367" s="551"/>
      <c r="J367" s="144"/>
      <c r="K367" s="159">
        <v>0.23400000000000001</v>
      </c>
      <c r="L367" s="212">
        <f t="shared" si="9"/>
        <v>1.4842</v>
      </c>
    </row>
    <row r="368" spans="1:14" s="147" customFormat="1" x14ac:dyDescent="0.2">
      <c r="A368" s="138"/>
      <c r="B368" s="148"/>
      <c r="C368" s="169" t="s">
        <v>494</v>
      </c>
      <c r="D368" s="157" t="s">
        <v>442</v>
      </c>
      <c r="E368" s="135">
        <f>25*N11</f>
        <v>25</v>
      </c>
      <c r="F368" s="133">
        <f>F355</f>
        <v>5.98</v>
      </c>
      <c r="G368" s="158">
        <v>0.3</v>
      </c>
      <c r="H368" s="135"/>
      <c r="I368" s="135">
        <f>E368*G368</f>
        <v>7.5</v>
      </c>
      <c r="J368" s="144"/>
      <c r="K368" s="159">
        <v>0.23400000000000001</v>
      </c>
      <c r="L368" s="212">
        <f t="shared" si="9"/>
        <v>1.4842</v>
      </c>
    </row>
    <row r="369" spans="1:14" s="147" customFormat="1" x14ac:dyDescent="0.2">
      <c r="A369" s="138"/>
      <c r="B369" s="148"/>
      <c r="C369" s="169" t="s">
        <v>1771</v>
      </c>
      <c r="D369" s="157" t="s">
        <v>435</v>
      </c>
      <c r="E369" s="135">
        <f>0.22*N11</f>
        <v>0.22</v>
      </c>
      <c r="F369" s="133">
        <f>F356/1000</f>
        <v>1.65E-3</v>
      </c>
      <c r="G369" s="158">
        <v>10.37</v>
      </c>
      <c r="H369" s="135"/>
      <c r="I369" s="135">
        <f>E369*G369</f>
        <v>2.2813999999999997</v>
      </c>
      <c r="J369" s="144"/>
      <c r="K369" s="159">
        <v>0.23400000000000001</v>
      </c>
      <c r="L369" s="212">
        <f t="shared" si="9"/>
        <v>1.4842</v>
      </c>
    </row>
    <row r="370" spans="1:14" s="147" customFormat="1" x14ac:dyDescent="0.2">
      <c r="A370" s="138"/>
      <c r="B370" s="148"/>
      <c r="C370" s="169" t="s">
        <v>431</v>
      </c>
      <c r="D370" s="157" t="s">
        <v>425</v>
      </c>
      <c r="E370" s="135">
        <f>5.21*N11</f>
        <v>5.21</v>
      </c>
      <c r="F370" s="133"/>
      <c r="G370" s="158">
        <v>1.1399999999999999</v>
      </c>
      <c r="H370" s="135">
        <f>E370*G370</f>
        <v>5.9393999999999991</v>
      </c>
      <c r="I370" s="187"/>
      <c r="J370" s="144"/>
      <c r="K370" s="159">
        <v>0.23400000000000001</v>
      </c>
      <c r="L370" s="212">
        <f t="shared" si="9"/>
        <v>1.4842</v>
      </c>
    </row>
    <row r="371" spans="1:14" s="147" customFormat="1" x14ac:dyDescent="0.2">
      <c r="A371" s="138"/>
      <c r="B371" s="148"/>
      <c r="C371" s="169" t="s">
        <v>434</v>
      </c>
      <c r="D371" s="157" t="s">
        <v>425</v>
      </c>
      <c r="E371" s="135">
        <f>3.77*N11</f>
        <v>3.77</v>
      </c>
      <c r="F371" s="133"/>
      <c r="G371" s="158">
        <v>0.88</v>
      </c>
      <c r="H371" s="135">
        <f>E371*G371</f>
        <v>3.3176000000000001</v>
      </c>
      <c r="I371" s="187"/>
      <c r="J371" s="144"/>
      <c r="K371" s="159">
        <v>0.23400000000000001</v>
      </c>
      <c r="L371" s="212">
        <f t="shared" si="9"/>
        <v>1.4842</v>
      </c>
    </row>
    <row r="372" spans="1:14" s="147" customFormat="1" x14ac:dyDescent="0.2">
      <c r="A372" s="138"/>
      <c r="B372" s="148"/>
      <c r="C372" s="169"/>
      <c r="D372" s="157"/>
      <c r="E372" s="135"/>
      <c r="F372" s="133"/>
      <c r="G372" s="158"/>
      <c r="H372" s="135"/>
      <c r="I372" s="187"/>
      <c r="J372" s="144"/>
      <c r="K372" s="159">
        <v>0.23400000000000001</v>
      </c>
      <c r="L372" s="212">
        <f t="shared" si="9"/>
        <v>1.4842</v>
      </c>
    </row>
    <row r="373" spans="1:14" s="147" customFormat="1" x14ac:dyDescent="0.2">
      <c r="A373" s="138"/>
      <c r="B373" s="148"/>
      <c r="C373" s="169"/>
      <c r="D373" s="157"/>
      <c r="E373" s="653" t="str">
        <f>E362</f>
        <v>Custo Direto</v>
      </c>
      <c r="F373" s="653"/>
      <c r="G373" s="653"/>
      <c r="H373" s="172">
        <f>SUM(H368:H371)</f>
        <v>9.2569999999999997</v>
      </c>
      <c r="I373" s="172">
        <f>SUM(I368:I371)</f>
        <v>9.7813999999999997</v>
      </c>
      <c r="J373" s="144"/>
      <c r="K373" s="159">
        <v>0.23400000000000001</v>
      </c>
      <c r="L373" s="212">
        <f>L372</f>
        <v>1.4842</v>
      </c>
    </row>
    <row r="374" spans="1:14" s="147" customFormat="1" x14ac:dyDescent="0.2">
      <c r="A374" s="138"/>
      <c r="B374" s="148"/>
      <c r="C374" s="169"/>
      <c r="D374" s="157"/>
      <c r="E374" s="653" t="str">
        <f>E363</f>
        <v>LS(%): 148,42</v>
      </c>
      <c r="F374" s="653"/>
      <c r="G374" s="653"/>
      <c r="H374" s="135">
        <f>H373*L374</f>
        <v>13.739239399999999</v>
      </c>
      <c r="I374" s="141"/>
      <c r="J374" s="144"/>
      <c r="K374" s="159">
        <v>0.23400000000000001</v>
      </c>
      <c r="L374" s="212">
        <f>L373</f>
        <v>1.4842</v>
      </c>
    </row>
    <row r="375" spans="1:14" s="147" customFormat="1" x14ac:dyDescent="0.2">
      <c r="A375" s="138"/>
      <c r="B375" s="148"/>
      <c r="C375" s="169"/>
      <c r="D375" s="157"/>
      <c r="E375" s="653" t="str">
        <f>E364</f>
        <v>BDI (%): 23,40</v>
      </c>
      <c r="F375" s="653"/>
      <c r="G375" s="653"/>
      <c r="H375" s="654">
        <f>(H373+I373+H374)*K375</f>
        <v>7.6699676196000004</v>
      </c>
      <c r="I375" s="654"/>
      <c r="J375" s="144"/>
      <c r="K375" s="159">
        <v>0.23400000000000001</v>
      </c>
      <c r="L375" s="212">
        <f>L374</f>
        <v>1.4842</v>
      </c>
    </row>
    <row r="376" spans="1:14" s="147" customFormat="1" x14ac:dyDescent="0.2">
      <c r="A376" s="138"/>
      <c r="B376" s="148"/>
      <c r="C376" s="169"/>
      <c r="D376" s="157"/>
      <c r="E376" s="653" t="str">
        <f>E365</f>
        <v>Valor Total c/ Taxas</v>
      </c>
      <c r="F376" s="653"/>
      <c r="G376" s="653"/>
      <c r="H376" s="135"/>
      <c r="I376" s="172">
        <f>(H373+I373+H374+H375)</f>
        <v>40.447607019599999</v>
      </c>
      <c r="J376" s="144"/>
      <c r="K376" s="159">
        <v>0.23400000000000001</v>
      </c>
      <c r="L376" s="212">
        <f t="shared" si="9"/>
        <v>1.4842</v>
      </c>
      <c r="N376" s="531">
        <v>40.450520000000004</v>
      </c>
    </row>
    <row r="377" spans="1:14" s="147" customFormat="1" x14ac:dyDescent="0.2">
      <c r="A377" s="138"/>
      <c r="B377" s="148"/>
      <c r="C377" s="169"/>
      <c r="D377" s="157"/>
      <c r="E377" s="171"/>
      <c r="F377" s="171"/>
      <c r="G377" s="171"/>
      <c r="H377" s="135"/>
      <c r="I377" s="172"/>
      <c r="J377" s="144"/>
      <c r="K377" s="159">
        <v>0.23400000000000001</v>
      </c>
      <c r="L377" s="212">
        <f t="shared" ref="L377:L389" si="13">L376</f>
        <v>1.4842</v>
      </c>
      <c r="N377" s="531"/>
    </row>
    <row r="378" spans="1:14" s="147" customFormat="1" x14ac:dyDescent="0.2">
      <c r="A378" s="138"/>
      <c r="B378" s="148" t="str">
        <f>'Planilha Orçamentaria'!A53</f>
        <v>7.1.1</v>
      </c>
      <c r="C378" s="549" t="str">
        <f>'Planilha Orçamentaria'!C53</f>
        <v>Encaibramento e ripamento</v>
      </c>
      <c r="D378" s="550" t="str">
        <f>'Planilha Orçamentaria'!D53</f>
        <v>M2</v>
      </c>
      <c r="E378" s="551"/>
      <c r="F378" s="552"/>
      <c r="G378" s="158"/>
      <c r="H378" s="551"/>
      <c r="I378" s="551"/>
      <c r="J378" s="144"/>
      <c r="K378" s="159">
        <v>0.23400000000000001</v>
      </c>
      <c r="L378" s="212">
        <f t="shared" si="13"/>
        <v>1.4842</v>
      </c>
    </row>
    <row r="379" spans="1:14" s="147" customFormat="1" x14ac:dyDescent="0.2">
      <c r="A379" s="138"/>
      <c r="B379" s="148"/>
      <c r="C379" s="169" t="str">
        <f>C378</f>
        <v>Encaibramento e ripamento</v>
      </c>
      <c r="D379" s="157" t="str">
        <f>D378</f>
        <v>M2</v>
      </c>
      <c r="E379" s="135">
        <f>28.2*N11</f>
        <v>28.2</v>
      </c>
      <c r="F379" s="133">
        <f>F365</f>
        <v>0</v>
      </c>
      <c r="G379" s="158">
        <v>0.3</v>
      </c>
      <c r="H379" s="135"/>
      <c r="I379" s="135">
        <f>E379*G379</f>
        <v>8.4599999999999991</v>
      </c>
      <c r="J379" s="144"/>
      <c r="K379" s="159">
        <v>0.23400000000000001</v>
      </c>
      <c r="L379" s="212">
        <f t="shared" si="13"/>
        <v>1.4842</v>
      </c>
    </row>
    <row r="380" spans="1:14" s="147" customFormat="1" x14ac:dyDescent="0.2">
      <c r="A380" s="138"/>
      <c r="B380" s="148"/>
      <c r="C380" s="169" t="s">
        <v>469</v>
      </c>
      <c r="D380" s="157" t="s">
        <v>425</v>
      </c>
      <c r="E380" s="135">
        <f>5.21*N11</f>
        <v>5.21</v>
      </c>
      <c r="F380" s="133"/>
      <c r="G380" s="158">
        <v>1.1399999999999999</v>
      </c>
      <c r="H380" s="135">
        <f>E380*G380</f>
        <v>5.9393999999999991</v>
      </c>
      <c r="I380" s="187"/>
      <c r="J380" s="144"/>
      <c r="K380" s="159">
        <v>0.23400000000000001</v>
      </c>
      <c r="L380" s="212">
        <f t="shared" si="13"/>
        <v>1.4842</v>
      </c>
    </row>
    <row r="381" spans="1:14" s="147" customFormat="1" x14ac:dyDescent="0.2">
      <c r="A381" s="138"/>
      <c r="B381" s="148"/>
      <c r="C381" s="169" t="s">
        <v>434</v>
      </c>
      <c r="D381" s="157" t="s">
        <v>425</v>
      </c>
      <c r="E381" s="135">
        <f>3.77*N11</f>
        <v>3.77</v>
      </c>
      <c r="F381" s="133"/>
      <c r="G381" s="158">
        <v>0.88</v>
      </c>
      <c r="H381" s="135">
        <f>E381*G381</f>
        <v>3.3176000000000001</v>
      </c>
      <c r="I381" s="187"/>
      <c r="J381" s="144"/>
      <c r="K381" s="159">
        <v>0.23400000000000001</v>
      </c>
      <c r="L381" s="212">
        <f t="shared" si="13"/>
        <v>1.4842</v>
      </c>
    </row>
    <row r="382" spans="1:14" s="147" customFormat="1" x14ac:dyDescent="0.2">
      <c r="A382" s="138"/>
      <c r="B382" s="148"/>
      <c r="C382" s="169"/>
      <c r="D382" s="157"/>
      <c r="E382" s="135"/>
      <c r="F382" s="133"/>
      <c r="G382" s="158"/>
      <c r="H382" s="135"/>
      <c r="I382" s="187"/>
      <c r="J382" s="144"/>
      <c r="K382" s="159"/>
      <c r="L382" s="212"/>
    </row>
    <row r="383" spans="1:14" s="147" customFormat="1" x14ac:dyDescent="0.2">
      <c r="A383" s="138"/>
      <c r="B383" s="148"/>
      <c r="C383" s="169"/>
      <c r="D383" s="157"/>
      <c r="E383" s="653" t="str">
        <f>E373</f>
        <v>Custo Direto</v>
      </c>
      <c r="F383" s="653"/>
      <c r="G383" s="653"/>
      <c r="H383" s="172">
        <f>SUM(H379:H381)</f>
        <v>9.2569999999999997</v>
      </c>
      <c r="I383" s="172">
        <f>SUM(I379:I381)</f>
        <v>8.4599999999999991</v>
      </c>
      <c r="J383" s="144"/>
      <c r="K383" s="159">
        <v>0.23400000000000001</v>
      </c>
      <c r="L383" s="212">
        <f>L381</f>
        <v>1.4842</v>
      </c>
    </row>
    <row r="384" spans="1:14" s="147" customFormat="1" x14ac:dyDescent="0.2">
      <c r="A384" s="138"/>
      <c r="B384" s="148"/>
      <c r="C384" s="169"/>
      <c r="D384" s="157"/>
      <c r="E384" s="653" t="str">
        <f>E374</f>
        <v>LS(%): 148,42</v>
      </c>
      <c r="F384" s="653"/>
      <c r="G384" s="653"/>
      <c r="H384" s="135">
        <f>H383*L384</f>
        <v>13.739239399999999</v>
      </c>
      <c r="I384" s="141"/>
      <c r="J384" s="144"/>
      <c r="K384" s="159">
        <v>0.23400000000000001</v>
      </c>
      <c r="L384" s="212">
        <f t="shared" si="13"/>
        <v>1.4842</v>
      </c>
    </row>
    <row r="385" spans="1:14" s="147" customFormat="1" x14ac:dyDescent="0.2">
      <c r="A385" s="138"/>
      <c r="B385" s="148"/>
      <c r="C385" s="169"/>
      <c r="D385" s="157"/>
      <c r="E385" s="653" t="str">
        <f>E375</f>
        <v>BDI (%): 23,40</v>
      </c>
      <c r="F385" s="653"/>
      <c r="G385" s="653"/>
      <c r="H385" s="654">
        <f>(H383+I383+H384)*K385</f>
        <v>7.3607600195999998</v>
      </c>
      <c r="I385" s="654"/>
      <c r="J385" s="144"/>
      <c r="K385" s="159">
        <v>0.23400000000000001</v>
      </c>
      <c r="L385" s="212">
        <f t="shared" si="13"/>
        <v>1.4842</v>
      </c>
    </row>
    <row r="386" spans="1:14" s="147" customFormat="1" x14ac:dyDescent="0.2">
      <c r="A386" s="138"/>
      <c r="B386" s="148"/>
      <c r="C386" s="169"/>
      <c r="D386" s="157"/>
      <c r="E386" s="653" t="str">
        <f>E376</f>
        <v>Valor Total c/ Taxas</v>
      </c>
      <c r="F386" s="653"/>
      <c r="G386" s="653"/>
      <c r="H386" s="135"/>
      <c r="I386" s="172">
        <f>(H383+I383+H384+H385)</f>
        <v>38.816999419599995</v>
      </c>
      <c r="J386" s="144"/>
      <c r="K386" s="159">
        <v>0.23400000000000001</v>
      </c>
      <c r="L386" s="212">
        <f t="shared" si="13"/>
        <v>1.4842</v>
      </c>
      <c r="N386" s="531">
        <v>38.821640000000002</v>
      </c>
    </row>
    <row r="387" spans="1:14" s="147" customFormat="1" x14ac:dyDescent="0.2">
      <c r="A387" s="138"/>
      <c r="B387" s="148"/>
      <c r="C387" s="169"/>
      <c r="D387" s="157"/>
      <c r="E387" s="171"/>
      <c r="F387" s="171"/>
      <c r="G387" s="171"/>
      <c r="H387" s="135"/>
      <c r="I387" s="172"/>
      <c r="J387" s="144"/>
      <c r="K387" s="159">
        <v>0.23400000000000001</v>
      </c>
      <c r="L387" s="212">
        <f t="shared" si="13"/>
        <v>1.4842</v>
      </c>
      <c r="N387" s="531"/>
    </row>
    <row r="388" spans="1:14" s="147" customFormat="1" x14ac:dyDescent="0.2">
      <c r="A388" s="221"/>
      <c r="B388" s="201" t="str">
        <f>'Planilha Orçamentaria'!A54</f>
        <v>7.1.2</v>
      </c>
      <c r="C388" s="156" t="str">
        <f>'Planilha Orçamentaria'!C54</f>
        <v>Estrutura metálica - (Incl. pintura anti-corrosiva)</v>
      </c>
      <c r="D388" s="157" t="s">
        <v>1</v>
      </c>
      <c r="E388" s="135"/>
      <c r="F388" s="133"/>
      <c r="G388" s="158"/>
      <c r="H388" s="135"/>
      <c r="I388" s="135"/>
      <c r="J388" s="144"/>
      <c r="K388" s="159">
        <v>0.23400000000000001</v>
      </c>
      <c r="L388" s="212">
        <f t="shared" si="13"/>
        <v>1.4842</v>
      </c>
    </row>
    <row r="389" spans="1:14" s="147" customFormat="1" x14ac:dyDescent="0.2">
      <c r="A389" s="138"/>
      <c r="B389" s="148"/>
      <c r="C389" s="169" t="s">
        <v>528</v>
      </c>
      <c r="D389" s="157" t="s">
        <v>444</v>
      </c>
      <c r="E389" s="135">
        <f>94.09*N11</f>
        <v>94.09</v>
      </c>
      <c r="F389" s="133">
        <v>41</v>
      </c>
      <c r="G389" s="158">
        <v>1</v>
      </c>
      <c r="H389" s="135"/>
      <c r="I389" s="135">
        <f>E389*G389</f>
        <v>94.09</v>
      </c>
      <c r="J389" s="144"/>
      <c r="K389" s="159">
        <v>0.23400000000000001</v>
      </c>
      <c r="L389" s="212">
        <f t="shared" si="13"/>
        <v>1.4842</v>
      </c>
    </row>
    <row r="390" spans="1:14" s="147" customFormat="1" x14ac:dyDescent="0.2">
      <c r="A390" s="138"/>
      <c r="B390" s="148"/>
      <c r="C390" s="169" t="s">
        <v>469</v>
      </c>
      <c r="D390" s="157" t="s">
        <v>425</v>
      </c>
      <c r="E390" s="135">
        <f>5.21*N11</f>
        <v>5.21</v>
      </c>
      <c r="F390" s="133"/>
      <c r="G390" s="158">
        <v>1.5</v>
      </c>
      <c r="H390" s="135">
        <f>E390*G390</f>
        <v>7.8149999999999995</v>
      </c>
      <c r="I390" s="135"/>
      <c r="J390" s="144"/>
      <c r="K390" s="159">
        <v>0.23400000000000001</v>
      </c>
      <c r="L390" s="167">
        <f t="shared" ref="L390:L491" si="14">L389</f>
        <v>1.4842</v>
      </c>
    </row>
    <row r="391" spans="1:14" s="147" customFormat="1" x14ac:dyDescent="0.2">
      <c r="A391" s="138"/>
      <c r="B391" s="148"/>
      <c r="C391" s="169" t="s">
        <v>489</v>
      </c>
      <c r="D391" s="157" t="s">
        <v>425</v>
      </c>
      <c r="E391" s="135">
        <f>3.77*N11</f>
        <v>3.77</v>
      </c>
      <c r="F391" s="133"/>
      <c r="G391" s="158">
        <v>1</v>
      </c>
      <c r="H391" s="135">
        <f>E391*G391</f>
        <v>3.77</v>
      </c>
      <c r="I391" s="135"/>
      <c r="J391" s="144"/>
      <c r="K391" s="159">
        <v>0.23400000000000001</v>
      </c>
      <c r="L391" s="167">
        <f t="shared" si="14"/>
        <v>1.4842</v>
      </c>
    </row>
    <row r="392" spans="1:14" s="147" customFormat="1" hidden="1" x14ac:dyDescent="0.2">
      <c r="A392" s="138"/>
      <c r="B392" s="148"/>
      <c r="C392" s="169"/>
      <c r="D392" s="157"/>
      <c r="E392" s="135"/>
      <c r="F392" s="133"/>
      <c r="G392" s="158"/>
      <c r="H392" s="135"/>
      <c r="I392" s="135"/>
      <c r="J392" s="144"/>
      <c r="K392" s="159">
        <v>0.23400000000000001</v>
      </c>
      <c r="L392" s="167">
        <f t="shared" si="14"/>
        <v>1.4842</v>
      </c>
    </row>
    <row r="393" spans="1:14" s="147" customFormat="1" x14ac:dyDescent="0.2">
      <c r="A393" s="138"/>
      <c r="B393" s="148"/>
      <c r="C393" s="169"/>
      <c r="D393" s="157"/>
      <c r="E393" s="171"/>
      <c r="F393" s="171"/>
      <c r="G393" s="171"/>
      <c r="H393" s="172"/>
      <c r="I393" s="172"/>
      <c r="J393" s="144"/>
      <c r="K393" s="159">
        <v>0.23400000000000001</v>
      </c>
      <c r="L393" s="167">
        <f t="shared" si="14"/>
        <v>1.4842</v>
      </c>
    </row>
    <row r="394" spans="1:14" s="147" customFormat="1" x14ac:dyDescent="0.2">
      <c r="A394" s="138"/>
      <c r="B394" s="148"/>
      <c r="C394" s="169"/>
      <c r="D394" s="157"/>
      <c r="E394" s="653" t="str">
        <f>E383</f>
        <v>Custo Direto</v>
      </c>
      <c r="F394" s="653"/>
      <c r="G394" s="653"/>
      <c r="H394" s="172">
        <f>SUM(H390:H392)</f>
        <v>11.584999999999999</v>
      </c>
      <c r="I394" s="172">
        <f>SUM(I389:I392)</f>
        <v>94.09</v>
      </c>
      <c r="J394" s="144"/>
      <c r="K394" s="159">
        <v>0.23400000000000001</v>
      </c>
      <c r="L394" s="167">
        <f t="shared" si="14"/>
        <v>1.4842</v>
      </c>
    </row>
    <row r="395" spans="1:14" s="147" customFormat="1" x14ac:dyDescent="0.2">
      <c r="A395" s="138"/>
      <c r="B395" s="148"/>
      <c r="C395" s="169"/>
      <c r="D395" s="157"/>
      <c r="E395" s="653" t="str">
        <f>E384</f>
        <v>LS(%): 148,42</v>
      </c>
      <c r="F395" s="653"/>
      <c r="G395" s="653"/>
      <c r="H395" s="135">
        <f>H394*L395</f>
        <v>17.194457</v>
      </c>
      <c r="I395" s="141"/>
      <c r="J395" s="144"/>
      <c r="K395" s="159">
        <v>0.23400000000000001</v>
      </c>
      <c r="L395" s="167">
        <f t="shared" si="14"/>
        <v>1.4842</v>
      </c>
    </row>
    <row r="396" spans="1:14" s="147" customFormat="1" x14ac:dyDescent="0.2">
      <c r="A396" s="138"/>
      <c r="B396" s="148"/>
      <c r="C396" s="169"/>
      <c r="D396" s="157"/>
      <c r="E396" s="653" t="str">
        <f>E385</f>
        <v>BDI (%): 23,40</v>
      </c>
      <c r="F396" s="653"/>
      <c r="G396" s="653"/>
      <c r="H396" s="654">
        <f>(H394+I394+H395)*K396</f>
        <v>28.751452938</v>
      </c>
      <c r="I396" s="654"/>
      <c r="J396" s="144"/>
      <c r="K396" s="159">
        <v>0.23400000000000001</v>
      </c>
      <c r="L396" s="167">
        <f t="shared" si="14"/>
        <v>1.4842</v>
      </c>
    </row>
    <row r="397" spans="1:14" s="147" customFormat="1" ht="13.5" customHeight="1" x14ac:dyDescent="0.2">
      <c r="A397" s="138"/>
      <c r="B397" s="148"/>
      <c r="C397" s="169"/>
      <c r="D397" s="157"/>
      <c r="E397" s="653" t="str">
        <f>E386</f>
        <v>Valor Total c/ Taxas</v>
      </c>
      <c r="F397" s="653"/>
      <c r="G397" s="653"/>
      <c r="H397" s="135"/>
      <c r="I397" s="172">
        <f>(H394+I394+H395+H396)</f>
        <v>151.62090993800001</v>
      </c>
      <c r="J397" s="144"/>
      <c r="K397" s="159">
        <v>0.23400000000000001</v>
      </c>
      <c r="L397" s="167">
        <f t="shared" si="14"/>
        <v>1.4842</v>
      </c>
      <c r="N397" s="531">
        <v>151.62157999999999</v>
      </c>
    </row>
    <row r="398" spans="1:14" s="147" customFormat="1" ht="13.5" customHeight="1" x14ac:dyDescent="0.2">
      <c r="A398" s="138"/>
      <c r="B398" s="148"/>
      <c r="C398" s="169"/>
      <c r="D398" s="157"/>
      <c r="E398" s="171"/>
      <c r="F398" s="171"/>
      <c r="G398" s="171"/>
      <c r="H398" s="135"/>
      <c r="I398" s="172"/>
      <c r="J398" s="144"/>
      <c r="K398" s="159">
        <v>0.23400000000000001</v>
      </c>
      <c r="L398" s="167">
        <f t="shared" si="14"/>
        <v>1.4842</v>
      </c>
      <c r="N398" s="531"/>
    </row>
    <row r="399" spans="1:14" s="147" customFormat="1" x14ac:dyDescent="0.2">
      <c r="A399" s="221"/>
      <c r="B399" s="201" t="str">
        <f>'Planilha Orçamentaria'!A55</f>
        <v>7.1.3</v>
      </c>
      <c r="C399" s="156" t="str">
        <f>'Planilha Orçamentaria'!C55</f>
        <v>Tesoura em mad. de lei p/ vao de  6.0m</v>
      </c>
      <c r="D399" s="157" t="str">
        <f>'Planilha Orçamentaria'!D55</f>
        <v>UN</v>
      </c>
      <c r="E399" s="135"/>
      <c r="F399" s="133"/>
      <c r="G399" s="158"/>
      <c r="H399" s="135"/>
      <c r="I399" s="135"/>
      <c r="J399" s="144"/>
      <c r="K399" s="159">
        <v>0.23400000000000001</v>
      </c>
      <c r="L399" s="212">
        <f t="shared" si="14"/>
        <v>1.4842</v>
      </c>
    </row>
    <row r="400" spans="1:14" s="147" customFormat="1" x14ac:dyDescent="0.2">
      <c r="A400" s="138"/>
      <c r="B400" s="148"/>
      <c r="C400" s="169" t="str">
        <f>C399</f>
        <v>Tesoura em mad. de lei p/ vao de  6.0m</v>
      </c>
      <c r="D400" s="157" t="str">
        <f>D399</f>
        <v>UN</v>
      </c>
      <c r="E400" s="135">
        <f>612.01*N11</f>
        <v>612.01</v>
      </c>
      <c r="F400" s="133">
        <v>41</v>
      </c>
      <c r="G400" s="158">
        <v>1</v>
      </c>
      <c r="H400" s="135"/>
      <c r="I400" s="135">
        <f>E400*G400</f>
        <v>612.01</v>
      </c>
      <c r="J400" s="144"/>
      <c r="K400" s="159">
        <v>0.23400000000000001</v>
      </c>
      <c r="L400" s="212">
        <f t="shared" si="14"/>
        <v>1.4842</v>
      </c>
    </row>
    <row r="401" spans="1:14" s="147" customFormat="1" x14ac:dyDescent="0.2">
      <c r="A401" s="138"/>
      <c r="B401" s="148"/>
      <c r="C401" s="169" t="s">
        <v>469</v>
      </c>
      <c r="D401" s="157" t="s">
        <v>425</v>
      </c>
      <c r="E401" s="135">
        <f>5.21*N11</f>
        <v>5.21</v>
      </c>
      <c r="F401" s="133"/>
      <c r="G401" s="158">
        <v>4.5</v>
      </c>
      <c r="H401" s="135">
        <f>E401*G401</f>
        <v>23.445</v>
      </c>
      <c r="I401" s="135"/>
      <c r="J401" s="144"/>
      <c r="K401" s="159">
        <v>0.23400000000000001</v>
      </c>
      <c r="L401" s="167">
        <f t="shared" si="14"/>
        <v>1.4842</v>
      </c>
    </row>
    <row r="402" spans="1:14" s="147" customFormat="1" x14ac:dyDescent="0.2">
      <c r="A402" s="138"/>
      <c r="B402" s="148"/>
      <c r="C402" s="169" t="s">
        <v>489</v>
      </c>
      <c r="D402" s="157" t="s">
        <v>425</v>
      </c>
      <c r="E402" s="135">
        <f>3.77*N11</f>
        <v>3.77</v>
      </c>
      <c r="F402" s="133"/>
      <c r="G402" s="158">
        <v>2</v>
      </c>
      <c r="H402" s="135">
        <f>E402*G402</f>
        <v>7.54</v>
      </c>
      <c r="I402" s="135"/>
      <c r="J402" s="144"/>
      <c r="K402" s="159">
        <v>0.23400000000000001</v>
      </c>
      <c r="L402" s="167">
        <f t="shared" si="14"/>
        <v>1.4842</v>
      </c>
    </row>
    <row r="403" spans="1:14" s="147" customFormat="1" hidden="1" x14ac:dyDescent="0.2">
      <c r="A403" s="138"/>
      <c r="B403" s="148"/>
      <c r="C403" s="169"/>
      <c r="D403" s="157"/>
      <c r="E403" s="135"/>
      <c r="F403" s="133"/>
      <c r="G403" s="158"/>
      <c r="H403" s="135"/>
      <c r="I403" s="135"/>
      <c r="J403" s="144"/>
      <c r="K403" s="159">
        <v>0.23400000000000001</v>
      </c>
      <c r="L403" s="167">
        <f t="shared" si="14"/>
        <v>1.4842</v>
      </c>
    </row>
    <row r="404" spans="1:14" s="147" customFormat="1" x14ac:dyDescent="0.2">
      <c r="A404" s="138"/>
      <c r="B404" s="148"/>
      <c r="C404" s="169"/>
      <c r="D404" s="157"/>
      <c r="E404" s="171"/>
      <c r="F404" s="171"/>
      <c r="G404" s="171"/>
      <c r="H404" s="172"/>
      <c r="I404" s="172"/>
      <c r="J404" s="144"/>
      <c r="K404" s="159">
        <v>0.23400000000000001</v>
      </c>
      <c r="L404" s="167">
        <f t="shared" si="14"/>
        <v>1.4842</v>
      </c>
    </row>
    <row r="405" spans="1:14" s="147" customFormat="1" x14ac:dyDescent="0.2">
      <c r="A405" s="138"/>
      <c r="B405" s="148"/>
      <c r="C405" s="169"/>
      <c r="D405" s="157"/>
      <c r="E405" s="653" t="str">
        <f>E394</f>
        <v>Custo Direto</v>
      </c>
      <c r="F405" s="653"/>
      <c r="G405" s="653"/>
      <c r="H405" s="172">
        <f>SUM(H401:H403)</f>
        <v>30.984999999999999</v>
      </c>
      <c r="I405" s="172">
        <f>SUM(I400:I403)</f>
        <v>612.01</v>
      </c>
      <c r="J405" s="144"/>
      <c r="K405" s="159">
        <v>0.23400000000000001</v>
      </c>
      <c r="L405" s="167">
        <f t="shared" si="14"/>
        <v>1.4842</v>
      </c>
    </row>
    <row r="406" spans="1:14" s="147" customFormat="1" x14ac:dyDescent="0.2">
      <c r="A406" s="138"/>
      <c r="B406" s="148"/>
      <c r="C406" s="169"/>
      <c r="D406" s="157"/>
      <c r="E406" s="653" t="str">
        <f>E395</f>
        <v>LS(%): 148,42</v>
      </c>
      <c r="F406" s="653"/>
      <c r="G406" s="653"/>
      <c r="H406" s="135">
        <f>H405*L406</f>
        <v>45.987936999999995</v>
      </c>
      <c r="I406" s="141"/>
      <c r="J406" s="144"/>
      <c r="K406" s="159">
        <v>0.23400000000000001</v>
      </c>
      <c r="L406" s="167">
        <f t="shared" si="14"/>
        <v>1.4842</v>
      </c>
    </row>
    <row r="407" spans="1:14" s="147" customFormat="1" x14ac:dyDescent="0.2">
      <c r="A407" s="138"/>
      <c r="B407" s="148"/>
      <c r="C407" s="169"/>
      <c r="D407" s="157"/>
      <c r="E407" s="653" t="str">
        <f>E396</f>
        <v>BDI (%): 23,40</v>
      </c>
      <c r="F407" s="653"/>
      <c r="G407" s="653"/>
      <c r="H407" s="654">
        <f>(H405+I405+H406)*K407</f>
        <v>161.22200725800002</v>
      </c>
      <c r="I407" s="654"/>
      <c r="J407" s="144"/>
      <c r="K407" s="159">
        <v>0.23400000000000001</v>
      </c>
      <c r="L407" s="167">
        <f t="shared" si="14"/>
        <v>1.4842</v>
      </c>
    </row>
    <row r="408" spans="1:14" s="147" customFormat="1" ht="13.5" customHeight="1" x14ac:dyDescent="0.2">
      <c r="A408" s="138"/>
      <c r="B408" s="148"/>
      <c r="C408" s="169"/>
      <c r="D408" s="157"/>
      <c r="E408" s="653" t="str">
        <f>E397</f>
        <v>Valor Total c/ Taxas</v>
      </c>
      <c r="F408" s="653"/>
      <c r="G408" s="653"/>
      <c r="H408" s="135"/>
      <c r="I408" s="172">
        <f>(H405+I405+H406+H407)</f>
        <v>850.20494425800007</v>
      </c>
      <c r="J408" s="144"/>
      <c r="K408" s="159">
        <v>0.23400000000000001</v>
      </c>
      <c r="L408" s="167">
        <f t="shared" si="14"/>
        <v>1.4842</v>
      </c>
      <c r="N408" s="531">
        <v>850.20132000000001</v>
      </c>
    </row>
    <row r="409" spans="1:14" s="147" customFormat="1" ht="13.5" customHeight="1" x14ac:dyDescent="0.2">
      <c r="A409" s="138"/>
      <c r="B409" s="148"/>
      <c r="C409" s="169"/>
      <c r="D409" s="157"/>
      <c r="E409" s="171"/>
      <c r="F409" s="171"/>
      <c r="G409" s="171"/>
      <c r="H409" s="135"/>
      <c r="I409" s="172"/>
      <c r="J409" s="144"/>
      <c r="K409" s="159">
        <v>0.23400000000000001</v>
      </c>
      <c r="L409" s="167">
        <f t="shared" si="14"/>
        <v>1.4842</v>
      </c>
      <c r="N409" s="531"/>
    </row>
    <row r="410" spans="1:14" s="147" customFormat="1" x14ac:dyDescent="0.2">
      <c r="A410" s="221"/>
      <c r="B410" s="201" t="str">
        <f>'Planilha Orçamentaria'!A56</f>
        <v>7.1.4</v>
      </c>
      <c r="C410" s="156" t="str">
        <f>'Planilha Orçamentaria'!C56</f>
        <v>Tesoura em mad. de lei p/ vao de  8.0m</v>
      </c>
      <c r="D410" s="157" t="str">
        <f>'Planilha Orçamentaria'!D56</f>
        <v>UN</v>
      </c>
      <c r="E410" s="135"/>
      <c r="F410" s="133"/>
      <c r="G410" s="158"/>
      <c r="H410" s="135"/>
      <c r="I410" s="135"/>
      <c r="J410" s="144"/>
      <c r="K410" s="159">
        <v>0.23400000000000001</v>
      </c>
      <c r="L410" s="212">
        <f t="shared" si="14"/>
        <v>1.4842</v>
      </c>
    </row>
    <row r="411" spans="1:14" s="147" customFormat="1" x14ac:dyDescent="0.2">
      <c r="A411" s="138"/>
      <c r="B411" s="148"/>
      <c r="C411" s="169" t="str">
        <f>C410</f>
        <v>Tesoura em mad. de lei p/ vao de  8.0m</v>
      </c>
      <c r="D411" s="157" t="str">
        <f>D410</f>
        <v>UN</v>
      </c>
      <c r="E411" s="135">
        <f>947*N11</f>
        <v>947</v>
      </c>
      <c r="F411" s="133">
        <v>41</v>
      </c>
      <c r="G411" s="158">
        <v>1</v>
      </c>
      <c r="H411" s="135"/>
      <c r="I411" s="135">
        <f>E411*G411</f>
        <v>947</v>
      </c>
      <c r="J411" s="144"/>
      <c r="K411" s="159">
        <v>0.23400000000000001</v>
      </c>
      <c r="L411" s="212">
        <f t="shared" si="14"/>
        <v>1.4842</v>
      </c>
    </row>
    <row r="412" spans="1:14" s="147" customFormat="1" x14ac:dyDescent="0.2">
      <c r="A412" s="138"/>
      <c r="B412" s="148"/>
      <c r="C412" s="169" t="s">
        <v>469</v>
      </c>
      <c r="D412" s="157" t="s">
        <v>425</v>
      </c>
      <c r="E412" s="135">
        <f>5.21*N11</f>
        <v>5.21</v>
      </c>
      <c r="F412" s="133"/>
      <c r="G412" s="158">
        <v>4.5</v>
      </c>
      <c r="H412" s="135">
        <f>E412*G412</f>
        <v>23.445</v>
      </c>
      <c r="I412" s="135"/>
      <c r="J412" s="144"/>
      <c r="K412" s="159">
        <v>0.23400000000000001</v>
      </c>
      <c r="L412" s="167">
        <f t="shared" si="14"/>
        <v>1.4842</v>
      </c>
    </row>
    <row r="413" spans="1:14" s="147" customFormat="1" x14ac:dyDescent="0.2">
      <c r="A413" s="138"/>
      <c r="B413" s="148"/>
      <c r="C413" s="169" t="s">
        <v>489</v>
      </c>
      <c r="D413" s="157" t="s">
        <v>425</v>
      </c>
      <c r="E413" s="135">
        <f>3.77*N11</f>
        <v>3.77</v>
      </c>
      <c r="F413" s="133"/>
      <c r="G413" s="158">
        <v>2</v>
      </c>
      <c r="H413" s="135">
        <f>E413*G413</f>
        <v>7.54</v>
      </c>
      <c r="I413" s="135"/>
      <c r="J413" s="144"/>
      <c r="K413" s="159">
        <v>0.23400000000000001</v>
      </c>
      <c r="L413" s="167">
        <f t="shared" si="14"/>
        <v>1.4842</v>
      </c>
    </row>
    <row r="414" spans="1:14" s="147" customFormat="1" hidden="1" x14ac:dyDescent="0.2">
      <c r="A414" s="138"/>
      <c r="B414" s="148"/>
      <c r="C414" s="169"/>
      <c r="D414" s="157"/>
      <c r="E414" s="135"/>
      <c r="F414" s="133"/>
      <c r="G414" s="158"/>
      <c r="H414" s="135"/>
      <c r="I414" s="135"/>
      <c r="J414" s="144"/>
      <c r="K414" s="159">
        <v>0.23400000000000001</v>
      </c>
      <c r="L414" s="167">
        <f t="shared" si="14"/>
        <v>1.4842</v>
      </c>
    </row>
    <row r="415" spans="1:14" s="147" customFormat="1" x14ac:dyDescent="0.2">
      <c r="A415" s="138"/>
      <c r="B415" s="148"/>
      <c r="C415" s="169"/>
      <c r="D415" s="157"/>
      <c r="E415" s="171"/>
      <c r="F415" s="171"/>
      <c r="G415" s="171"/>
      <c r="H415" s="172"/>
      <c r="I415" s="172"/>
      <c r="J415" s="144"/>
      <c r="K415" s="159">
        <v>0.23400000000000001</v>
      </c>
      <c r="L415" s="167">
        <f t="shared" si="14"/>
        <v>1.4842</v>
      </c>
    </row>
    <row r="416" spans="1:14" s="147" customFormat="1" x14ac:dyDescent="0.2">
      <c r="A416" s="138"/>
      <c r="B416" s="148"/>
      <c r="C416" s="169"/>
      <c r="D416" s="157"/>
      <c r="E416" s="653" t="str">
        <f>E405</f>
        <v>Custo Direto</v>
      </c>
      <c r="F416" s="653"/>
      <c r="G416" s="653"/>
      <c r="H416" s="172">
        <f>SUM(H412:H414)</f>
        <v>30.984999999999999</v>
      </c>
      <c r="I416" s="172">
        <f>SUM(I411:I414)</f>
        <v>947</v>
      </c>
      <c r="J416" s="144"/>
      <c r="K416" s="159">
        <v>0.23400000000000001</v>
      </c>
      <c r="L416" s="167">
        <f t="shared" si="14"/>
        <v>1.4842</v>
      </c>
    </row>
    <row r="417" spans="1:14" s="147" customFormat="1" x14ac:dyDescent="0.2">
      <c r="A417" s="138"/>
      <c r="B417" s="148"/>
      <c r="C417" s="169"/>
      <c r="D417" s="157"/>
      <c r="E417" s="653" t="str">
        <f>E406</f>
        <v>LS(%): 148,42</v>
      </c>
      <c r="F417" s="653"/>
      <c r="G417" s="653"/>
      <c r="H417" s="135">
        <f>H416*L417</f>
        <v>45.987936999999995</v>
      </c>
      <c r="I417" s="141"/>
      <c r="J417" s="144"/>
      <c r="K417" s="159">
        <v>0.23400000000000001</v>
      </c>
      <c r="L417" s="167">
        <f t="shared" si="14"/>
        <v>1.4842</v>
      </c>
    </row>
    <row r="418" spans="1:14" s="147" customFormat="1" x14ac:dyDescent="0.2">
      <c r="A418" s="138"/>
      <c r="B418" s="148"/>
      <c r="C418" s="169"/>
      <c r="D418" s="157"/>
      <c r="E418" s="653" t="str">
        <f>E407</f>
        <v>BDI (%): 23,40</v>
      </c>
      <c r="F418" s="653"/>
      <c r="G418" s="653"/>
      <c r="H418" s="654">
        <f>(H416+I416+H417)*K418</f>
        <v>239.609667258</v>
      </c>
      <c r="I418" s="654"/>
      <c r="J418" s="144"/>
      <c r="K418" s="159">
        <v>0.23400000000000001</v>
      </c>
      <c r="L418" s="167">
        <f t="shared" si="14"/>
        <v>1.4842</v>
      </c>
    </row>
    <row r="419" spans="1:14" s="147" customFormat="1" ht="13.5" customHeight="1" x14ac:dyDescent="0.2">
      <c r="A419" s="138"/>
      <c r="B419" s="148"/>
      <c r="C419" s="169"/>
      <c r="D419" s="157"/>
      <c r="E419" s="653" t="str">
        <f>E408</f>
        <v>Valor Total c/ Taxas</v>
      </c>
      <c r="F419" s="653"/>
      <c r="G419" s="653"/>
      <c r="H419" s="135"/>
      <c r="I419" s="172">
        <f>(H416+I416+H417+H418)</f>
        <v>1263.5826042579999</v>
      </c>
      <c r="J419" s="144"/>
      <c r="K419" s="159">
        <v>0.23400000000000001</v>
      </c>
      <c r="L419" s="167">
        <f t="shared" si="14"/>
        <v>1.4842</v>
      </c>
      <c r="N419" s="531">
        <v>1263.57898</v>
      </c>
    </row>
    <row r="420" spans="1:14" s="147" customFormat="1" ht="13.5" customHeight="1" x14ac:dyDescent="0.2">
      <c r="A420" s="138"/>
      <c r="B420" s="148"/>
      <c r="C420" s="169"/>
      <c r="D420" s="157"/>
      <c r="E420" s="171"/>
      <c r="F420" s="171"/>
      <c r="G420" s="171"/>
      <c r="H420" s="135"/>
      <c r="I420" s="172"/>
      <c r="J420" s="144"/>
      <c r="K420" s="159">
        <v>0.23400000000000001</v>
      </c>
      <c r="L420" s="167">
        <f t="shared" si="14"/>
        <v>1.4842</v>
      </c>
      <c r="N420" s="531"/>
    </row>
    <row r="421" spans="1:14" s="147" customFormat="1" x14ac:dyDescent="0.2">
      <c r="A421" s="221"/>
      <c r="B421" s="201" t="str">
        <f>'Planilha Orçamentaria'!A58</f>
        <v>7.2.1</v>
      </c>
      <c r="C421" s="156" t="str">
        <f>'Planilha Orçamentaria'!C58</f>
        <v>Cobertura - telha plan</v>
      </c>
      <c r="D421" s="157" t="str">
        <f>'Planilha Orçamentaria'!D58</f>
        <v>M2</v>
      </c>
      <c r="E421" s="135"/>
      <c r="F421" s="133"/>
      <c r="G421" s="158"/>
      <c r="H421" s="135"/>
      <c r="I421" s="135"/>
      <c r="J421" s="144"/>
      <c r="K421" s="159">
        <v>0.23400000000000001</v>
      </c>
      <c r="L421" s="167">
        <f t="shared" si="14"/>
        <v>1.4842</v>
      </c>
    </row>
    <row r="422" spans="1:14" s="147" customFormat="1" x14ac:dyDescent="0.2">
      <c r="A422" s="138"/>
      <c r="B422" s="148"/>
      <c r="C422" s="169" t="str">
        <f>C421</f>
        <v>Cobertura - telha plan</v>
      </c>
      <c r="D422" s="157" t="s">
        <v>444</v>
      </c>
      <c r="E422" s="135">
        <f>24.51*N11</f>
        <v>24.51</v>
      </c>
      <c r="F422" s="133">
        <v>25</v>
      </c>
      <c r="G422" s="158">
        <v>1</v>
      </c>
      <c r="H422" s="135"/>
      <c r="I422" s="135">
        <f>E422*G422</f>
        <v>24.51</v>
      </c>
      <c r="J422" s="144"/>
      <c r="K422" s="159">
        <v>0.23400000000000001</v>
      </c>
      <c r="L422" s="167">
        <f t="shared" si="14"/>
        <v>1.4842</v>
      </c>
    </row>
    <row r="423" spans="1:14" s="147" customFormat="1" x14ac:dyDescent="0.2">
      <c r="A423" s="138"/>
      <c r="B423" s="148"/>
      <c r="C423" s="169" t="s">
        <v>521</v>
      </c>
      <c r="D423" s="157" t="s">
        <v>425</v>
      </c>
      <c r="E423" s="135">
        <f>5.21*N11</f>
        <v>5.21</v>
      </c>
      <c r="F423" s="133"/>
      <c r="G423" s="158">
        <v>0.5</v>
      </c>
      <c r="H423" s="135">
        <f>E423*G423</f>
        <v>2.605</v>
      </c>
      <c r="I423" s="135"/>
      <c r="J423" s="144"/>
      <c r="K423" s="159">
        <v>0.23400000000000001</v>
      </c>
      <c r="L423" s="167">
        <f t="shared" si="14"/>
        <v>1.4842</v>
      </c>
    </row>
    <row r="424" spans="1:14" s="147" customFormat="1" x14ac:dyDescent="0.2">
      <c r="A424" s="138"/>
      <c r="B424" s="148"/>
      <c r="C424" s="169" t="s">
        <v>434</v>
      </c>
      <c r="D424" s="157" t="s">
        <v>425</v>
      </c>
      <c r="E424" s="135">
        <f>3.77*N11</f>
        <v>3.77</v>
      </c>
      <c r="F424" s="133"/>
      <c r="G424" s="158">
        <v>1</v>
      </c>
      <c r="H424" s="135">
        <f>E424*G424</f>
        <v>3.77</v>
      </c>
      <c r="I424" s="135"/>
      <c r="J424" s="144"/>
      <c r="K424" s="159">
        <v>0.23400000000000001</v>
      </c>
      <c r="L424" s="167">
        <f t="shared" si="14"/>
        <v>1.4842</v>
      </c>
    </row>
    <row r="425" spans="1:14" s="147" customFormat="1" x14ac:dyDescent="0.2">
      <c r="A425" s="138"/>
      <c r="B425" s="148"/>
      <c r="C425" s="169"/>
      <c r="D425" s="157"/>
      <c r="E425" s="135"/>
      <c r="F425" s="133"/>
      <c r="G425" s="158"/>
      <c r="H425" s="135"/>
      <c r="I425" s="135"/>
      <c r="J425" s="144"/>
      <c r="K425" s="159">
        <v>0.23400000000000001</v>
      </c>
      <c r="L425" s="167">
        <f t="shared" si="14"/>
        <v>1.4842</v>
      </c>
    </row>
    <row r="426" spans="1:14" s="147" customFormat="1" x14ac:dyDescent="0.2">
      <c r="A426" s="138"/>
      <c r="B426" s="148"/>
      <c r="C426" s="169"/>
      <c r="D426" s="157"/>
      <c r="E426" s="653" t="str">
        <f>E416</f>
        <v>Custo Direto</v>
      </c>
      <c r="F426" s="653"/>
      <c r="G426" s="653"/>
      <c r="H426" s="172">
        <f>SUM(H422:H425)</f>
        <v>6.375</v>
      </c>
      <c r="I426" s="172">
        <f>SUM(I422:I425)</f>
        <v>24.51</v>
      </c>
      <c r="J426" s="144"/>
      <c r="K426" s="159">
        <v>0.23400000000000001</v>
      </c>
      <c r="L426" s="167">
        <f t="shared" si="14"/>
        <v>1.4842</v>
      </c>
    </row>
    <row r="427" spans="1:14" s="147" customFormat="1" x14ac:dyDescent="0.2">
      <c r="A427" s="138"/>
      <c r="B427" s="148"/>
      <c r="C427" s="169"/>
      <c r="D427" s="157"/>
      <c r="E427" s="653" t="str">
        <f>E417</f>
        <v>LS(%): 148,42</v>
      </c>
      <c r="F427" s="653"/>
      <c r="G427" s="653"/>
      <c r="H427" s="135">
        <f>H426*L427</f>
        <v>9.4617749999999994</v>
      </c>
      <c r="I427" s="141"/>
      <c r="J427" s="144"/>
      <c r="K427" s="159">
        <v>0.23400000000000001</v>
      </c>
      <c r="L427" s="167">
        <f t="shared" si="14"/>
        <v>1.4842</v>
      </c>
    </row>
    <row r="428" spans="1:14" s="147" customFormat="1" x14ac:dyDescent="0.2">
      <c r="A428" s="138"/>
      <c r="B428" s="148"/>
      <c r="C428" s="169"/>
      <c r="D428" s="157"/>
      <c r="E428" s="653" t="str">
        <f>E418</f>
        <v>BDI (%): 23,40</v>
      </c>
      <c r="F428" s="653"/>
      <c r="G428" s="653"/>
      <c r="H428" s="654">
        <f>(H426+I426+H427)*K428</f>
        <v>9.4411453500000011</v>
      </c>
      <c r="I428" s="654"/>
      <c r="J428" s="144"/>
      <c r="K428" s="159">
        <v>0.23400000000000001</v>
      </c>
      <c r="L428" s="167">
        <f t="shared" si="14"/>
        <v>1.4842</v>
      </c>
    </row>
    <row r="429" spans="1:14" s="147" customFormat="1" x14ac:dyDescent="0.2">
      <c r="A429" s="138"/>
      <c r="B429" s="148"/>
      <c r="C429" s="169"/>
      <c r="D429" s="157"/>
      <c r="E429" s="653" t="str">
        <f>E419</f>
        <v>Valor Total c/ Taxas</v>
      </c>
      <c r="F429" s="653"/>
      <c r="G429" s="653"/>
      <c r="H429" s="135"/>
      <c r="I429" s="172">
        <f>(H426+I426+H427+H428)</f>
        <v>49.78792035</v>
      </c>
      <c r="J429" s="144"/>
      <c r="K429" s="159">
        <v>0.23400000000000001</v>
      </c>
      <c r="L429" s="167">
        <f t="shared" si="14"/>
        <v>1.4842</v>
      </c>
      <c r="N429" s="531">
        <v>49.791899999999998</v>
      </c>
    </row>
    <row r="430" spans="1:14" s="147" customFormat="1" ht="13.5" customHeight="1" x14ac:dyDescent="0.2">
      <c r="A430" s="138"/>
      <c r="B430" s="148"/>
      <c r="C430" s="169"/>
      <c r="D430" s="157"/>
      <c r="E430" s="171"/>
      <c r="F430" s="171"/>
      <c r="G430" s="171"/>
      <c r="H430" s="135"/>
      <c r="I430" s="172"/>
      <c r="J430" s="144"/>
      <c r="K430" s="159">
        <v>0.23400000000000001</v>
      </c>
      <c r="L430" s="167">
        <f t="shared" si="14"/>
        <v>1.4842</v>
      </c>
      <c r="N430" s="531"/>
    </row>
    <row r="431" spans="1:14" s="147" customFormat="1" x14ac:dyDescent="0.2">
      <c r="A431" s="221"/>
      <c r="B431" s="201" t="str">
        <f>'Planilha Orçamentaria'!A59</f>
        <v>7.2.2</v>
      </c>
      <c r="C431" s="156" t="str">
        <f>'Planilha Orçamentaria'!C59</f>
        <v>Cobertura em policarbonato Incolor- Incl. estr. metálica</v>
      </c>
      <c r="D431" s="157" t="str">
        <f>'Planilha Orçamentaria'!D59</f>
        <v>M2</v>
      </c>
      <c r="E431" s="135"/>
      <c r="F431" s="133"/>
      <c r="G431" s="158"/>
      <c r="H431" s="135"/>
      <c r="I431" s="135"/>
      <c r="J431" s="144"/>
      <c r="K431" s="159">
        <v>0.23400000000000001</v>
      </c>
      <c r="L431" s="167">
        <f t="shared" si="14"/>
        <v>1.4842</v>
      </c>
    </row>
    <row r="432" spans="1:14" s="147" customFormat="1" x14ac:dyDescent="0.2">
      <c r="A432" s="138"/>
      <c r="B432" s="148"/>
      <c r="C432" s="169" t="str">
        <f>C431</f>
        <v>Cobertura em policarbonato Incolor- Incl. estr. metálica</v>
      </c>
      <c r="D432" s="157" t="s">
        <v>444</v>
      </c>
      <c r="E432" s="135">
        <f>201.95*N11</f>
        <v>201.95</v>
      </c>
      <c r="F432" s="133">
        <v>25</v>
      </c>
      <c r="G432" s="158">
        <v>1</v>
      </c>
      <c r="H432" s="135"/>
      <c r="I432" s="135">
        <f>E432*G432</f>
        <v>201.95</v>
      </c>
      <c r="J432" s="144"/>
      <c r="K432" s="159">
        <v>0.23400000000000001</v>
      </c>
      <c r="L432" s="167">
        <f t="shared" si="14"/>
        <v>1.4842</v>
      </c>
    </row>
    <row r="433" spans="1:14" s="147" customFormat="1" x14ac:dyDescent="0.2">
      <c r="A433" s="138"/>
      <c r="B433" s="148"/>
      <c r="C433" s="169" t="s">
        <v>521</v>
      </c>
      <c r="D433" s="157" t="s">
        <v>425</v>
      </c>
      <c r="E433" s="135">
        <f>5.21*N11</f>
        <v>5.21</v>
      </c>
      <c r="F433" s="133"/>
      <c r="G433" s="158">
        <v>3.5</v>
      </c>
      <c r="H433" s="135">
        <f>E433*G433</f>
        <v>18.234999999999999</v>
      </c>
      <c r="I433" s="135"/>
      <c r="J433" s="144"/>
      <c r="K433" s="159">
        <v>0.23400000000000001</v>
      </c>
      <c r="L433" s="167">
        <f t="shared" si="14"/>
        <v>1.4842</v>
      </c>
    </row>
    <row r="434" spans="1:14" s="147" customFormat="1" x14ac:dyDescent="0.2">
      <c r="A434" s="138"/>
      <c r="B434" s="148"/>
      <c r="C434" s="169" t="s">
        <v>434</v>
      </c>
      <c r="D434" s="157" t="s">
        <v>425</v>
      </c>
      <c r="E434" s="135">
        <f>3.77*N11</f>
        <v>3.77</v>
      </c>
      <c r="F434" s="133"/>
      <c r="G434" s="158">
        <v>2</v>
      </c>
      <c r="H434" s="135">
        <f>E434*G434</f>
        <v>7.54</v>
      </c>
      <c r="I434" s="135"/>
      <c r="J434" s="144"/>
      <c r="K434" s="159">
        <v>0.23400000000000001</v>
      </c>
      <c r="L434" s="167">
        <f t="shared" si="14"/>
        <v>1.4842</v>
      </c>
    </row>
    <row r="435" spans="1:14" s="147" customFormat="1" x14ac:dyDescent="0.2">
      <c r="A435" s="138"/>
      <c r="B435" s="148"/>
      <c r="C435" s="169"/>
      <c r="D435" s="157"/>
      <c r="E435" s="135"/>
      <c r="F435" s="133"/>
      <c r="G435" s="158"/>
      <c r="H435" s="135"/>
      <c r="I435" s="135"/>
      <c r="J435" s="144"/>
      <c r="K435" s="159">
        <v>0.23400000000000001</v>
      </c>
      <c r="L435" s="167">
        <f t="shared" si="14"/>
        <v>1.4842</v>
      </c>
    </row>
    <row r="436" spans="1:14" s="147" customFormat="1" x14ac:dyDescent="0.2">
      <c r="A436" s="138"/>
      <c r="B436" s="148"/>
      <c r="C436" s="169"/>
      <c r="D436" s="157"/>
      <c r="E436" s="653" t="str">
        <f>E426</f>
        <v>Custo Direto</v>
      </c>
      <c r="F436" s="653"/>
      <c r="G436" s="653"/>
      <c r="H436" s="172">
        <f>SUM(H432:H435)</f>
        <v>25.774999999999999</v>
      </c>
      <c r="I436" s="172">
        <f>SUM(I432:I435)</f>
        <v>201.95</v>
      </c>
      <c r="J436" s="144"/>
      <c r="K436" s="159">
        <v>0.23400000000000001</v>
      </c>
      <c r="L436" s="167">
        <f t="shared" si="14"/>
        <v>1.4842</v>
      </c>
    </row>
    <row r="437" spans="1:14" s="147" customFormat="1" x14ac:dyDescent="0.2">
      <c r="A437" s="138"/>
      <c r="B437" s="148"/>
      <c r="C437" s="169"/>
      <c r="D437" s="157"/>
      <c r="E437" s="653" t="str">
        <f>E427</f>
        <v>LS(%): 148,42</v>
      </c>
      <c r="F437" s="653"/>
      <c r="G437" s="653"/>
      <c r="H437" s="135">
        <f>H436*L437</f>
        <v>38.255254999999998</v>
      </c>
      <c r="I437" s="141"/>
      <c r="J437" s="144"/>
      <c r="K437" s="159">
        <v>0.23400000000000001</v>
      </c>
      <c r="L437" s="167">
        <f t="shared" si="14"/>
        <v>1.4842</v>
      </c>
    </row>
    <row r="438" spans="1:14" s="147" customFormat="1" x14ac:dyDescent="0.2">
      <c r="A438" s="138"/>
      <c r="B438" s="148"/>
      <c r="C438" s="169"/>
      <c r="D438" s="157"/>
      <c r="E438" s="653" t="str">
        <f>E428</f>
        <v>BDI (%): 23,40</v>
      </c>
      <c r="F438" s="653"/>
      <c r="G438" s="653"/>
      <c r="H438" s="654">
        <f>(H436+I436+H437)*K438</f>
        <v>62.239379670000005</v>
      </c>
      <c r="I438" s="654"/>
      <c r="J438" s="144"/>
      <c r="K438" s="159">
        <v>0.23400000000000001</v>
      </c>
      <c r="L438" s="167">
        <f t="shared" si="14"/>
        <v>1.4842</v>
      </c>
    </row>
    <row r="439" spans="1:14" s="147" customFormat="1" x14ac:dyDescent="0.2">
      <c r="A439" s="138"/>
      <c r="B439" s="148"/>
      <c r="C439" s="169"/>
      <c r="D439" s="157"/>
      <c r="E439" s="653" t="str">
        <f>E429</f>
        <v>Valor Total c/ Taxas</v>
      </c>
      <c r="F439" s="653"/>
      <c r="G439" s="653"/>
      <c r="H439" s="135"/>
      <c r="I439" s="172">
        <f>(H436+I436+H437+H438)</f>
        <v>328.21963467</v>
      </c>
      <c r="J439" s="144"/>
      <c r="K439" s="159">
        <v>0.23400000000000001</v>
      </c>
      <c r="L439" s="167">
        <f t="shared" si="14"/>
        <v>1.4842</v>
      </c>
      <c r="N439" s="531">
        <v>328.21932000000004</v>
      </c>
    </row>
    <row r="440" spans="1:14" s="213" customFormat="1" x14ac:dyDescent="0.2">
      <c r="A440" s="205"/>
      <c r="B440" s="206"/>
      <c r="C440" s="207"/>
      <c r="D440" s="208"/>
      <c r="E440" s="209"/>
      <c r="F440" s="563"/>
      <c r="G440" s="564"/>
      <c r="H440" s="209"/>
      <c r="I440" s="209"/>
      <c r="J440" s="211"/>
      <c r="K440" s="159">
        <v>0.23400000000000001</v>
      </c>
      <c r="L440" s="167">
        <f t="shared" si="14"/>
        <v>1.4842</v>
      </c>
    </row>
    <row r="441" spans="1:14" s="147" customFormat="1" x14ac:dyDescent="0.2">
      <c r="A441" s="221"/>
      <c r="B441" s="201" t="str">
        <f>'Planilha Orçamentaria'!A61</f>
        <v>7.3.1</v>
      </c>
      <c r="C441" s="156" t="str">
        <f>'Planilha Orçamentaria'!C61</f>
        <v>Calha em chapa galvanizada</v>
      </c>
      <c r="D441" s="157" t="str">
        <f>'Planilha Orçamentaria'!D61</f>
        <v>M</v>
      </c>
      <c r="E441" s="135"/>
      <c r="F441" s="133"/>
      <c r="G441" s="158"/>
      <c r="H441" s="135"/>
      <c r="I441" s="135"/>
      <c r="J441" s="144"/>
      <c r="K441" s="159">
        <v>0.23400000000000001</v>
      </c>
      <c r="L441" s="167">
        <f t="shared" si="14"/>
        <v>1.4842</v>
      </c>
    </row>
    <row r="442" spans="1:14" s="147" customFormat="1" x14ac:dyDescent="0.2">
      <c r="A442" s="138"/>
      <c r="B442" s="148"/>
      <c r="C442" s="169" t="s">
        <v>529</v>
      </c>
      <c r="D442" s="157" t="s">
        <v>2</v>
      </c>
      <c r="E442" s="135">
        <f>20*N11</f>
        <v>20</v>
      </c>
      <c r="F442" s="133">
        <v>18</v>
      </c>
      <c r="G442" s="158">
        <v>1</v>
      </c>
      <c r="H442" s="135"/>
      <c r="I442" s="135">
        <f>E442*G442</f>
        <v>20</v>
      </c>
      <c r="J442" s="144"/>
      <c r="K442" s="159">
        <v>0.23400000000000001</v>
      </c>
      <c r="L442" s="167">
        <f t="shared" si="14"/>
        <v>1.4842</v>
      </c>
    </row>
    <row r="443" spans="1:14" s="147" customFormat="1" x14ac:dyDescent="0.2">
      <c r="A443" s="138"/>
      <c r="B443" s="148"/>
      <c r="C443" s="169" t="s">
        <v>475</v>
      </c>
      <c r="D443" s="157" t="s">
        <v>473</v>
      </c>
      <c r="E443" s="135">
        <f>F443*N11</f>
        <v>7.75</v>
      </c>
      <c r="F443" s="133">
        <v>7.75</v>
      </c>
      <c r="G443" s="158">
        <v>0.15</v>
      </c>
      <c r="H443" s="135"/>
      <c r="I443" s="135">
        <f>E443*G443</f>
        <v>1.1624999999999999</v>
      </c>
      <c r="J443" s="144"/>
      <c r="K443" s="159">
        <v>0.23400000000000001</v>
      </c>
      <c r="L443" s="167">
        <f t="shared" si="14"/>
        <v>1.4842</v>
      </c>
    </row>
    <row r="444" spans="1:14" s="147" customFormat="1" x14ac:dyDescent="0.2">
      <c r="A444" s="138"/>
      <c r="B444" s="148"/>
      <c r="C444" s="169" t="s">
        <v>530</v>
      </c>
      <c r="D444" s="157" t="s">
        <v>473</v>
      </c>
      <c r="E444" s="135">
        <f>F444*N11</f>
        <v>25</v>
      </c>
      <c r="F444" s="133">
        <v>25</v>
      </c>
      <c r="G444" s="158">
        <v>0.04</v>
      </c>
      <c r="H444" s="135"/>
      <c r="I444" s="135">
        <f>E444*G444</f>
        <v>1</v>
      </c>
      <c r="J444" s="144"/>
      <c r="K444" s="159">
        <v>0.23400000000000001</v>
      </c>
      <c r="L444" s="167">
        <f t="shared" si="14"/>
        <v>1.4842</v>
      </c>
    </row>
    <row r="445" spans="1:14" s="147" customFormat="1" x14ac:dyDescent="0.2">
      <c r="A445" s="138"/>
      <c r="B445" s="148"/>
      <c r="C445" s="169" t="s">
        <v>531</v>
      </c>
      <c r="D445" s="157" t="s">
        <v>473</v>
      </c>
      <c r="E445" s="135">
        <f>F445*N11</f>
        <v>35</v>
      </c>
      <c r="F445" s="133">
        <v>35</v>
      </c>
      <c r="G445" s="158">
        <v>7.0000000000000007E-2</v>
      </c>
      <c r="H445" s="135"/>
      <c r="I445" s="135">
        <f>E445*G445</f>
        <v>2.4500000000000002</v>
      </c>
      <c r="J445" s="144"/>
      <c r="K445" s="159">
        <v>0.23400000000000001</v>
      </c>
      <c r="L445" s="167">
        <f t="shared" si="14"/>
        <v>1.4842</v>
      </c>
    </row>
    <row r="446" spans="1:14" s="147" customFormat="1" x14ac:dyDescent="0.2">
      <c r="A446" s="138"/>
      <c r="B446" s="148"/>
      <c r="C446" s="169" t="s">
        <v>532</v>
      </c>
      <c r="D446" s="157" t="s">
        <v>425</v>
      </c>
      <c r="E446" s="135">
        <f>5.21*N11</f>
        <v>5.21</v>
      </c>
      <c r="F446" s="133"/>
      <c r="G446" s="158">
        <v>0.4</v>
      </c>
      <c r="H446" s="135">
        <f>E446*G446</f>
        <v>2.0840000000000001</v>
      </c>
      <c r="I446" s="187"/>
      <c r="J446" s="144"/>
      <c r="K446" s="159">
        <v>0.23400000000000001</v>
      </c>
      <c r="L446" s="167">
        <f t="shared" si="14"/>
        <v>1.4842</v>
      </c>
    </row>
    <row r="447" spans="1:14" s="147" customFormat="1" x14ac:dyDescent="0.2">
      <c r="A447" s="138"/>
      <c r="B447" s="148"/>
      <c r="C447" s="169" t="s">
        <v>434</v>
      </c>
      <c r="D447" s="157" t="s">
        <v>425</v>
      </c>
      <c r="E447" s="135">
        <f>3.77*N11</f>
        <v>3.77</v>
      </c>
      <c r="F447" s="133"/>
      <c r="G447" s="158">
        <v>0.214</v>
      </c>
      <c r="H447" s="135">
        <f>E447*G447</f>
        <v>0.80677999999999994</v>
      </c>
      <c r="I447" s="187"/>
      <c r="J447" s="144"/>
      <c r="K447" s="159">
        <v>0.23400000000000001</v>
      </c>
      <c r="L447" s="167">
        <f t="shared" si="14"/>
        <v>1.4842</v>
      </c>
    </row>
    <row r="448" spans="1:14" s="147" customFormat="1" x14ac:dyDescent="0.2">
      <c r="A448" s="138"/>
      <c r="B448" s="148"/>
      <c r="C448" s="169"/>
      <c r="D448" s="157"/>
      <c r="E448" s="135"/>
      <c r="F448" s="133"/>
      <c r="G448" s="158"/>
      <c r="H448" s="135"/>
      <c r="I448" s="135"/>
      <c r="J448" s="144"/>
      <c r="K448" s="159">
        <v>0.23400000000000001</v>
      </c>
      <c r="L448" s="167">
        <f t="shared" si="14"/>
        <v>1.4842</v>
      </c>
    </row>
    <row r="449" spans="1:14" s="147" customFormat="1" x14ac:dyDescent="0.2">
      <c r="A449" s="138"/>
      <c r="B449" s="148"/>
      <c r="C449" s="169"/>
      <c r="D449" s="157"/>
      <c r="E449" s="653" t="str">
        <f>E394</f>
        <v>Custo Direto</v>
      </c>
      <c r="F449" s="653"/>
      <c r="G449" s="653"/>
      <c r="H449" s="172">
        <f>SUM(H446:H448)</f>
        <v>2.8907799999999999</v>
      </c>
      <c r="I449" s="172">
        <f>SUM(I442:I448)</f>
        <v>24.612500000000001</v>
      </c>
      <c r="J449" s="144"/>
      <c r="K449" s="159">
        <v>0.23400000000000001</v>
      </c>
      <c r="L449" s="167">
        <f t="shared" si="14"/>
        <v>1.4842</v>
      </c>
    </row>
    <row r="450" spans="1:14" s="147" customFormat="1" x14ac:dyDescent="0.2">
      <c r="A450" s="138"/>
      <c r="B450" s="148"/>
      <c r="C450" s="169"/>
      <c r="D450" s="157"/>
      <c r="E450" s="653" t="str">
        <f>E395</f>
        <v>LS(%): 148,42</v>
      </c>
      <c r="F450" s="653"/>
      <c r="G450" s="653"/>
      <c r="H450" s="135">
        <f>H449*L450</f>
        <v>4.2904956759999999</v>
      </c>
      <c r="I450" s="141"/>
      <c r="J450" s="144"/>
      <c r="K450" s="159">
        <v>0.23400000000000001</v>
      </c>
      <c r="L450" s="167">
        <f t="shared" si="14"/>
        <v>1.4842</v>
      </c>
    </row>
    <row r="451" spans="1:14" s="147" customFormat="1" x14ac:dyDescent="0.2">
      <c r="A451" s="138"/>
      <c r="B451" s="148"/>
      <c r="C451" s="169"/>
      <c r="D451" s="157"/>
      <c r="E451" s="653" t="str">
        <f>E396</f>
        <v>BDI (%): 23,40</v>
      </c>
      <c r="F451" s="653"/>
      <c r="G451" s="653"/>
      <c r="H451" s="654">
        <f>(H449+I449+H450)*K451</f>
        <v>7.4397435081840007</v>
      </c>
      <c r="I451" s="654"/>
      <c r="J451" s="144"/>
      <c r="K451" s="159">
        <v>0.23400000000000001</v>
      </c>
      <c r="L451" s="167">
        <f t="shared" si="14"/>
        <v>1.4842</v>
      </c>
    </row>
    <row r="452" spans="1:14" s="147" customFormat="1" x14ac:dyDescent="0.2">
      <c r="A452" s="138"/>
      <c r="B452" s="148"/>
      <c r="C452" s="169"/>
      <c r="D452" s="157"/>
      <c r="E452" s="653" t="str">
        <f>E397</f>
        <v>Valor Total c/ Taxas</v>
      </c>
      <c r="F452" s="653"/>
      <c r="G452" s="653"/>
      <c r="H452" s="135"/>
      <c r="I452" s="172">
        <f>(H449+I449+H450+H451)</f>
        <v>39.233519184183997</v>
      </c>
      <c r="J452" s="144"/>
      <c r="K452" s="159">
        <v>0.23400000000000001</v>
      </c>
      <c r="L452" s="167">
        <f t="shared" si="14"/>
        <v>1.4842</v>
      </c>
      <c r="N452" s="531">
        <v>39.228859999999997</v>
      </c>
    </row>
    <row r="453" spans="1:14" s="147" customFormat="1" x14ac:dyDescent="0.2">
      <c r="A453" s="138"/>
      <c r="B453" s="148"/>
      <c r="C453" s="169"/>
      <c r="D453" s="157"/>
      <c r="E453" s="135"/>
      <c r="F453" s="222"/>
      <c r="G453" s="135"/>
      <c r="H453" s="135"/>
      <c r="I453" s="172"/>
      <c r="J453" s="144"/>
      <c r="K453" s="159">
        <v>0.23400000000000001</v>
      </c>
      <c r="L453" s="167">
        <f t="shared" si="14"/>
        <v>1.4842</v>
      </c>
    </row>
    <row r="454" spans="1:14" s="147" customFormat="1" x14ac:dyDescent="0.2">
      <c r="A454" s="177"/>
      <c r="B454" s="201" t="str">
        <f>'Planilha Orçamentaria'!A62</f>
        <v>7.3.2</v>
      </c>
      <c r="C454" s="156" t="str">
        <f>'Planilha Orçamentaria'!C62</f>
        <v>Cumeeira de barro</v>
      </c>
      <c r="D454" s="157" t="str">
        <f>D455</f>
        <v xml:space="preserve">M </v>
      </c>
      <c r="E454" s="135"/>
      <c r="F454" s="133"/>
      <c r="G454" s="158"/>
      <c r="H454" s="135"/>
      <c r="I454" s="135"/>
      <c r="J454" s="144"/>
      <c r="K454" s="159">
        <v>0.23400000000000001</v>
      </c>
      <c r="L454" s="167">
        <f t="shared" si="14"/>
        <v>1.4842</v>
      </c>
    </row>
    <row r="455" spans="1:14" s="147" customFormat="1" x14ac:dyDescent="0.2">
      <c r="A455" s="138"/>
      <c r="B455" s="148"/>
      <c r="C455" s="169" t="str">
        <f>C454</f>
        <v>Cumeeira de barro</v>
      </c>
      <c r="D455" s="157" t="s">
        <v>491</v>
      </c>
      <c r="E455" s="135">
        <f>13.433*N11</f>
        <v>13.433</v>
      </c>
      <c r="F455" s="133">
        <v>20</v>
      </c>
      <c r="G455" s="158">
        <v>1</v>
      </c>
      <c r="H455" s="135"/>
      <c r="I455" s="135">
        <f>E455*G455</f>
        <v>13.433</v>
      </c>
      <c r="J455" s="144"/>
      <c r="K455" s="159">
        <v>0.23400000000000001</v>
      </c>
      <c r="L455" s="167">
        <f t="shared" si="14"/>
        <v>1.4842</v>
      </c>
    </row>
    <row r="456" spans="1:14" s="147" customFormat="1" x14ac:dyDescent="0.2">
      <c r="A456" s="138"/>
      <c r="B456" s="148"/>
      <c r="C456" s="169" t="s">
        <v>521</v>
      </c>
      <c r="D456" s="157" t="s">
        <v>425</v>
      </c>
      <c r="E456" s="135">
        <f>5.21*N11</f>
        <v>5.21</v>
      </c>
      <c r="F456" s="133"/>
      <c r="G456" s="158">
        <v>0.15</v>
      </c>
      <c r="H456" s="135">
        <f>E456*G456</f>
        <v>0.78149999999999997</v>
      </c>
      <c r="I456" s="187"/>
      <c r="J456" s="144"/>
      <c r="K456" s="159">
        <v>0.23400000000000001</v>
      </c>
      <c r="L456" s="167">
        <f t="shared" si="14"/>
        <v>1.4842</v>
      </c>
    </row>
    <row r="457" spans="1:14" s="147" customFormat="1" x14ac:dyDescent="0.2">
      <c r="A457" s="138"/>
      <c r="B457" s="148"/>
      <c r="C457" s="169" t="s">
        <v>434</v>
      </c>
      <c r="D457" s="157" t="s">
        <v>425</v>
      </c>
      <c r="E457" s="135">
        <f>3.77*N11</f>
        <v>3.77</v>
      </c>
      <c r="F457" s="133"/>
      <c r="G457" s="158">
        <v>0.15</v>
      </c>
      <c r="H457" s="135">
        <f>E457*G457</f>
        <v>0.5655</v>
      </c>
      <c r="I457" s="187"/>
      <c r="J457" s="144"/>
      <c r="K457" s="159">
        <v>0.23400000000000001</v>
      </c>
      <c r="L457" s="167">
        <f t="shared" si="14"/>
        <v>1.4842</v>
      </c>
    </row>
    <row r="458" spans="1:14" s="147" customFormat="1" x14ac:dyDescent="0.2">
      <c r="A458" s="138"/>
      <c r="B458" s="148"/>
      <c r="C458" s="169"/>
      <c r="D458" s="157"/>
      <c r="E458" s="135"/>
      <c r="F458" s="133"/>
      <c r="G458" s="158"/>
      <c r="H458" s="135"/>
      <c r="I458" s="135"/>
      <c r="J458" s="144"/>
      <c r="K458" s="159">
        <v>0.23400000000000001</v>
      </c>
      <c r="L458" s="167">
        <f t="shared" si="14"/>
        <v>1.4842</v>
      </c>
    </row>
    <row r="459" spans="1:14" s="147" customFormat="1" x14ac:dyDescent="0.2">
      <c r="A459" s="138"/>
      <c r="B459" s="148"/>
      <c r="C459" s="169"/>
      <c r="D459" s="157"/>
      <c r="E459" s="653" t="str">
        <f>E449</f>
        <v>Custo Direto</v>
      </c>
      <c r="F459" s="653"/>
      <c r="G459" s="653"/>
      <c r="H459" s="172">
        <f>SUM(H456:H458)</f>
        <v>1.347</v>
      </c>
      <c r="I459" s="172">
        <f>SUM(I455:I458)</f>
        <v>13.433</v>
      </c>
      <c r="J459" s="144"/>
      <c r="K459" s="159">
        <v>0.23400000000000001</v>
      </c>
      <c r="L459" s="167">
        <f t="shared" si="14"/>
        <v>1.4842</v>
      </c>
    </row>
    <row r="460" spans="1:14" s="147" customFormat="1" x14ac:dyDescent="0.2">
      <c r="A460" s="138"/>
      <c r="B460" s="148"/>
      <c r="C460" s="169"/>
      <c r="D460" s="157"/>
      <c r="E460" s="653" t="str">
        <f>E450</f>
        <v>LS(%): 148,42</v>
      </c>
      <c r="F460" s="653"/>
      <c r="G460" s="653"/>
      <c r="H460" s="135">
        <f>H459*L460</f>
        <v>1.9992173999999998</v>
      </c>
      <c r="I460" s="141"/>
      <c r="J460" s="144"/>
      <c r="K460" s="159">
        <v>0.23400000000000001</v>
      </c>
      <c r="L460" s="167">
        <f t="shared" si="14"/>
        <v>1.4842</v>
      </c>
    </row>
    <row r="461" spans="1:14" s="147" customFormat="1" x14ac:dyDescent="0.2">
      <c r="A461" s="138"/>
      <c r="B461" s="148"/>
      <c r="C461" s="169"/>
      <c r="D461" s="157"/>
      <c r="E461" s="653" t="str">
        <f>E451</f>
        <v>BDI (%): 23,40</v>
      </c>
      <c r="F461" s="653"/>
      <c r="G461" s="653"/>
      <c r="H461" s="654">
        <f>(H459+I459+H460)*K461</f>
        <v>3.9263368716000002</v>
      </c>
      <c r="I461" s="654"/>
      <c r="J461" s="144"/>
      <c r="K461" s="159">
        <v>0.23400000000000001</v>
      </c>
      <c r="L461" s="167">
        <f t="shared" si="14"/>
        <v>1.4842</v>
      </c>
    </row>
    <row r="462" spans="1:14" s="147" customFormat="1" x14ac:dyDescent="0.2">
      <c r="A462" s="138"/>
      <c r="B462" s="148"/>
      <c r="C462" s="169"/>
      <c r="D462" s="157"/>
      <c r="E462" s="653" t="str">
        <f>E452</f>
        <v>Valor Total c/ Taxas</v>
      </c>
      <c r="F462" s="653"/>
      <c r="G462" s="653"/>
      <c r="H462" s="135"/>
      <c r="I462" s="172">
        <f>(H459+I459+H460+H461)</f>
        <v>20.705554271600001</v>
      </c>
      <c r="J462" s="144"/>
      <c r="K462" s="159">
        <v>0.23400000000000001</v>
      </c>
      <c r="L462" s="167">
        <f t="shared" si="14"/>
        <v>1.4842</v>
      </c>
      <c r="N462" s="531">
        <v>20.706520000000001</v>
      </c>
    </row>
    <row r="463" spans="1:14" s="147" customFormat="1" x14ac:dyDescent="0.2">
      <c r="A463" s="138"/>
      <c r="B463" s="148"/>
      <c r="C463" s="169"/>
      <c r="D463" s="157"/>
      <c r="E463" s="135"/>
      <c r="F463" s="133"/>
      <c r="G463" s="158"/>
      <c r="H463" s="135"/>
      <c r="I463" s="135"/>
      <c r="J463" s="144"/>
      <c r="K463" s="159">
        <v>0.23400000000000001</v>
      </c>
      <c r="L463" s="167">
        <f t="shared" si="14"/>
        <v>1.4842</v>
      </c>
    </row>
    <row r="464" spans="1:14" s="147" customFormat="1" x14ac:dyDescent="0.2">
      <c r="A464" s="154"/>
      <c r="B464" s="155" t="str">
        <f>'Planilha Orçamentaria'!A63</f>
        <v>7.3.3</v>
      </c>
      <c r="C464" s="156" t="str">
        <f>'Planilha Orçamentaria'!C63</f>
        <v>Rincão em chapa galvanizada - l=1,0m</v>
      </c>
      <c r="D464" s="223" t="str">
        <f>'Planilha Orçamentaria'!D63</f>
        <v>M</v>
      </c>
      <c r="E464" s="135"/>
      <c r="F464" s="133"/>
      <c r="G464" s="158"/>
      <c r="H464" s="135"/>
      <c r="I464" s="135"/>
      <c r="J464" s="144"/>
      <c r="K464" s="159">
        <v>0.23400000000000001</v>
      </c>
      <c r="L464" s="167">
        <f t="shared" si="14"/>
        <v>1.4842</v>
      </c>
    </row>
    <row r="465" spans="1:14" s="147" customFormat="1" x14ac:dyDescent="0.2">
      <c r="A465" s="138"/>
      <c r="B465" s="148"/>
      <c r="C465" s="169" t="str">
        <f>C464</f>
        <v>Rincão em chapa galvanizada - l=1,0m</v>
      </c>
      <c r="D465" s="157" t="s">
        <v>2</v>
      </c>
      <c r="E465" s="135">
        <f>12.8*N11</f>
        <v>12.8</v>
      </c>
      <c r="F465" s="133">
        <v>18</v>
      </c>
      <c r="G465" s="158">
        <v>1</v>
      </c>
      <c r="H465" s="135"/>
      <c r="I465" s="135">
        <f>E465*G465</f>
        <v>12.8</v>
      </c>
      <c r="J465" s="144"/>
      <c r="K465" s="159">
        <v>0.23400000000000001</v>
      </c>
      <c r="L465" s="167">
        <f t="shared" si="14"/>
        <v>1.4842</v>
      </c>
    </row>
    <row r="466" spans="1:14" s="147" customFormat="1" x14ac:dyDescent="0.2">
      <c r="A466" s="138"/>
      <c r="B466" s="148"/>
      <c r="C466" s="169" t="str">
        <f>C456</f>
        <v>MONTADOR</v>
      </c>
      <c r="D466" s="157" t="s">
        <v>425</v>
      </c>
      <c r="E466" s="135">
        <f>5.21*N11</f>
        <v>5.21</v>
      </c>
      <c r="F466" s="133"/>
      <c r="G466" s="158">
        <v>0.35</v>
      </c>
      <c r="H466" s="135">
        <f>E466*G466</f>
        <v>1.8234999999999999</v>
      </c>
      <c r="I466" s="187"/>
      <c r="J466" s="144"/>
      <c r="K466" s="159">
        <v>0.23400000000000001</v>
      </c>
      <c r="L466" s="167">
        <f t="shared" si="14"/>
        <v>1.4842</v>
      </c>
    </row>
    <row r="467" spans="1:14" s="147" customFormat="1" x14ac:dyDescent="0.2">
      <c r="A467" s="138"/>
      <c r="B467" s="148"/>
      <c r="C467" s="169" t="s">
        <v>434</v>
      </c>
      <c r="D467" s="157" t="s">
        <v>425</v>
      </c>
      <c r="E467" s="135">
        <f>3.77*N11</f>
        <v>3.77</v>
      </c>
      <c r="F467" s="133"/>
      <c r="G467" s="158">
        <v>0.35</v>
      </c>
      <c r="H467" s="135">
        <f>E467*G467</f>
        <v>1.3194999999999999</v>
      </c>
      <c r="I467" s="187"/>
      <c r="J467" s="144"/>
      <c r="K467" s="159">
        <v>0.23400000000000001</v>
      </c>
      <c r="L467" s="167">
        <f t="shared" si="14"/>
        <v>1.4842</v>
      </c>
    </row>
    <row r="468" spans="1:14" s="147" customFormat="1" x14ac:dyDescent="0.2">
      <c r="A468" s="138"/>
      <c r="B468" s="148"/>
      <c r="C468" s="169"/>
      <c r="D468" s="157"/>
      <c r="E468" s="135"/>
      <c r="F468" s="133"/>
      <c r="G468" s="158"/>
      <c r="H468" s="135"/>
      <c r="I468" s="135"/>
      <c r="J468" s="144"/>
      <c r="K468" s="159">
        <v>0.23400000000000001</v>
      </c>
      <c r="L468" s="167">
        <f t="shared" si="14"/>
        <v>1.4842</v>
      </c>
    </row>
    <row r="469" spans="1:14" s="147" customFormat="1" x14ac:dyDescent="0.2">
      <c r="A469" s="138"/>
      <c r="B469" s="148"/>
      <c r="C469" s="169"/>
      <c r="D469" s="157"/>
      <c r="E469" s="653" t="str">
        <f>E459</f>
        <v>Custo Direto</v>
      </c>
      <c r="F469" s="653"/>
      <c r="G469" s="653"/>
      <c r="H469" s="172">
        <f>SUM(H465:H468)</f>
        <v>3.1429999999999998</v>
      </c>
      <c r="I469" s="172">
        <f>SUM(I465:I468)</f>
        <v>12.8</v>
      </c>
      <c r="J469" s="144"/>
      <c r="K469" s="159">
        <v>0.23400000000000001</v>
      </c>
      <c r="L469" s="167">
        <f t="shared" si="14"/>
        <v>1.4842</v>
      </c>
    </row>
    <row r="470" spans="1:14" s="147" customFormat="1" x14ac:dyDescent="0.2">
      <c r="A470" s="138"/>
      <c r="B470" s="148"/>
      <c r="C470" s="169"/>
      <c r="D470" s="157"/>
      <c r="E470" s="653" t="str">
        <f>E460</f>
        <v>LS(%): 148,42</v>
      </c>
      <c r="F470" s="653"/>
      <c r="G470" s="653"/>
      <c r="H470" s="135">
        <f>H469*L470</f>
        <v>4.6648405999999998</v>
      </c>
      <c r="I470" s="141"/>
      <c r="J470" s="144"/>
      <c r="K470" s="159">
        <v>0.23400000000000001</v>
      </c>
      <c r="L470" s="167">
        <f t="shared" si="14"/>
        <v>1.4842</v>
      </c>
    </row>
    <row r="471" spans="1:14" s="147" customFormat="1" x14ac:dyDescent="0.2">
      <c r="A471" s="138"/>
      <c r="B471" s="148"/>
      <c r="C471" s="169"/>
      <c r="D471" s="157"/>
      <c r="E471" s="653" t="str">
        <f>E461</f>
        <v>BDI (%): 23,40</v>
      </c>
      <c r="F471" s="653"/>
      <c r="G471" s="653"/>
      <c r="H471" s="654">
        <f>(H469+I469+H470)*K471</f>
        <v>4.822234700400001</v>
      </c>
      <c r="I471" s="654"/>
      <c r="J471" s="144"/>
      <c r="K471" s="159">
        <v>0.23400000000000001</v>
      </c>
      <c r="L471" s="167">
        <f t="shared" si="14"/>
        <v>1.4842</v>
      </c>
    </row>
    <row r="472" spans="1:14" s="147" customFormat="1" x14ac:dyDescent="0.2">
      <c r="A472" s="138"/>
      <c r="B472" s="148"/>
      <c r="C472" s="169"/>
      <c r="D472" s="157"/>
      <c r="E472" s="653" t="str">
        <f>E462</f>
        <v>Valor Total c/ Taxas</v>
      </c>
      <c r="F472" s="653"/>
      <c r="G472" s="653"/>
      <c r="H472" s="135"/>
      <c r="I472" s="172">
        <f>(H469+I469+H470+H471)</f>
        <v>25.430075300400006</v>
      </c>
      <c r="J472" s="144"/>
      <c r="K472" s="159">
        <v>0.23400000000000001</v>
      </c>
      <c r="L472" s="167">
        <f t="shared" si="14"/>
        <v>1.4842</v>
      </c>
      <c r="N472" s="531">
        <v>25.432739999999999</v>
      </c>
    </row>
    <row r="473" spans="1:14" s="147" customFormat="1" x14ac:dyDescent="0.2">
      <c r="A473" s="138"/>
      <c r="B473" s="148"/>
      <c r="C473" s="169"/>
      <c r="D473" s="157"/>
      <c r="E473" s="135"/>
      <c r="F473" s="133"/>
      <c r="G473" s="158"/>
      <c r="H473" s="135"/>
      <c r="I473" s="135"/>
      <c r="J473" s="144"/>
      <c r="K473" s="159">
        <v>0.23400000000000001</v>
      </c>
      <c r="L473" s="167">
        <f t="shared" si="14"/>
        <v>1.4842</v>
      </c>
    </row>
    <row r="474" spans="1:14" s="147" customFormat="1" x14ac:dyDescent="0.2">
      <c r="A474" s="188"/>
      <c r="B474" s="155" t="str">
        <f>'Planilha Orçamentaria'!A66</f>
        <v>8.1</v>
      </c>
      <c r="C474" s="156" t="str">
        <f>'Planilha Orçamentaria'!C66</f>
        <v>Aplicação de Neutrol s/ concreto/alvenaria</v>
      </c>
      <c r="D474" s="223" t="str">
        <f>'Planilha Orçamentaria'!D66</f>
        <v>M2</v>
      </c>
      <c r="E474" s="135"/>
      <c r="F474" s="133"/>
      <c r="G474" s="158"/>
      <c r="H474" s="135"/>
      <c r="I474" s="135"/>
      <c r="J474" s="144"/>
      <c r="K474" s="159">
        <v>0.23400000000000001</v>
      </c>
      <c r="L474" s="167">
        <f t="shared" si="14"/>
        <v>1.4842</v>
      </c>
    </row>
    <row r="475" spans="1:14" s="147" customFormat="1" x14ac:dyDescent="0.2">
      <c r="A475" s="138"/>
      <c r="B475" s="148"/>
      <c r="C475" s="169" t="str">
        <f>C474</f>
        <v>Aplicação de Neutrol s/ concreto/alvenaria</v>
      </c>
      <c r="D475" s="157" t="str">
        <f>D474</f>
        <v>M2</v>
      </c>
      <c r="E475" s="135">
        <f>11.72*N11</f>
        <v>11.72</v>
      </c>
      <c r="F475" s="133">
        <v>13.43</v>
      </c>
      <c r="G475" s="158">
        <v>1.05</v>
      </c>
      <c r="H475" s="135"/>
      <c r="I475" s="135">
        <f>E475*G475</f>
        <v>12.306000000000001</v>
      </c>
      <c r="J475" s="144"/>
      <c r="K475" s="159">
        <v>0.23400000000000001</v>
      </c>
      <c r="L475" s="167">
        <f t="shared" si="14"/>
        <v>1.4842</v>
      </c>
    </row>
    <row r="476" spans="1:14" s="147" customFormat="1" x14ac:dyDescent="0.2">
      <c r="A476" s="138"/>
      <c r="B476" s="148"/>
      <c r="C476" s="169" t="s">
        <v>431</v>
      </c>
      <c r="D476" s="157" t="s">
        <v>425</v>
      </c>
      <c r="E476" s="135">
        <f>5.21*N11</f>
        <v>5.21</v>
      </c>
      <c r="F476" s="133"/>
      <c r="G476" s="158">
        <v>0.21</v>
      </c>
      <c r="H476" s="135">
        <f>E476*G476</f>
        <v>1.0940999999999999</v>
      </c>
      <c r="I476" s="187"/>
      <c r="J476" s="144"/>
      <c r="K476" s="159">
        <v>0.23400000000000001</v>
      </c>
      <c r="L476" s="167">
        <f t="shared" si="14"/>
        <v>1.4842</v>
      </c>
    </row>
    <row r="477" spans="1:14" s="147" customFormat="1" x14ac:dyDescent="0.2">
      <c r="A477" s="138"/>
      <c r="B477" s="148"/>
      <c r="C477" s="169" t="s">
        <v>434</v>
      </c>
      <c r="D477" s="157" t="s">
        <v>425</v>
      </c>
      <c r="E477" s="135">
        <f>3.77*N11</f>
        <v>3.77</v>
      </c>
      <c r="F477" s="133"/>
      <c r="G477" s="158">
        <v>0.17</v>
      </c>
      <c r="H477" s="135">
        <f>E477*G477</f>
        <v>0.64090000000000003</v>
      </c>
      <c r="I477" s="187"/>
      <c r="J477" s="144"/>
      <c r="K477" s="159">
        <v>0.23400000000000001</v>
      </c>
      <c r="L477" s="167">
        <f t="shared" si="14"/>
        <v>1.4842</v>
      </c>
    </row>
    <row r="478" spans="1:14" s="147" customFormat="1" x14ac:dyDescent="0.2">
      <c r="A478" s="138"/>
      <c r="B478" s="148"/>
      <c r="C478" s="169"/>
      <c r="D478" s="157"/>
      <c r="E478" s="135"/>
      <c r="F478" s="133"/>
      <c r="G478" s="158"/>
      <c r="H478" s="135"/>
      <c r="I478" s="135"/>
      <c r="J478" s="144"/>
      <c r="K478" s="159">
        <v>0.23400000000000001</v>
      </c>
      <c r="L478" s="167">
        <f t="shared" si="14"/>
        <v>1.4842</v>
      </c>
    </row>
    <row r="479" spans="1:14" s="147" customFormat="1" x14ac:dyDescent="0.2">
      <c r="A479" s="138"/>
      <c r="B479" s="148"/>
      <c r="C479" s="169"/>
      <c r="D479" s="157"/>
      <c r="E479" s="653" t="str">
        <f>E469</f>
        <v>Custo Direto</v>
      </c>
      <c r="F479" s="653"/>
      <c r="G479" s="653"/>
      <c r="H479" s="172">
        <f>SUM(H475:H478)</f>
        <v>1.7349999999999999</v>
      </c>
      <c r="I479" s="172">
        <f>SUM(I475:I478)</f>
        <v>12.306000000000001</v>
      </c>
      <c r="J479" s="144"/>
      <c r="K479" s="159">
        <v>0.23400000000000001</v>
      </c>
      <c r="L479" s="167">
        <f t="shared" si="14"/>
        <v>1.4842</v>
      </c>
    </row>
    <row r="480" spans="1:14" s="147" customFormat="1" x14ac:dyDescent="0.2">
      <c r="A480" s="138"/>
      <c r="B480" s="148"/>
      <c r="C480" s="169"/>
      <c r="D480" s="157"/>
      <c r="E480" s="653" t="str">
        <f>E470</f>
        <v>LS(%): 148,42</v>
      </c>
      <c r="F480" s="653"/>
      <c r="G480" s="653"/>
      <c r="H480" s="135">
        <f>H479*L480</f>
        <v>2.5750869999999999</v>
      </c>
      <c r="I480" s="141"/>
      <c r="J480" s="144"/>
      <c r="K480" s="159">
        <v>0.23400000000000001</v>
      </c>
      <c r="L480" s="167">
        <f t="shared" si="14"/>
        <v>1.4842</v>
      </c>
    </row>
    <row r="481" spans="1:14" s="147" customFormat="1" x14ac:dyDescent="0.2">
      <c r="A481" s="138"/>
      <c r="B481" s="148"/>
      <c r="C481" s="169"/>
      <c r="D481" s="157"/>
      <c r="E481" s="653" t="str">
        <f>E471</f>
        <v>BDI (%): 23,40</v>
      </c>
      <c r="F481" s="653"/>
      <c r="G481" s="653"/>
      <c r="H481" s="654">
        <f>(H479+I479+H480)*K481</f>
        <v>3.8881643580000005</v>
      </c>
      <c r="I481" s="654"/>
      <c r="J481" s="144"/>
      <c r="K481" s="159">
        <v>0.23400000000000001</v>
      </c>
      <c r="L481" s="167">
        <f t="shared" si="14"/>
        <v>1.4842</v>
      </c>
    </row>
    <row r="482" spans="1:14" s="147" customFormat="1" x14ac:dyDescent="0.2">
      <c r="A482" s="138"/>
      <c r="B482" s="148"/>
      <c r="C482" s="169"/>
      <c r="D482" s="157"/>
      <c r="E482" s="653" t="str">
        <f>E472</f>
        <v>Valor Total c/ Taxas</v>
      </c>
      <c r="F482" s="653"/>
      <c r="G482" s="653"/>
      <c r="H482" s="135"/>
      <c r="I482" s="172">
        <f>(H479+I479+H480+H481)</f>
        <v>20.504251358000001</v>
      </c>
      <c r="J482" s="144"/>
      <c r="K482" s="159">
        <v>0.23400000000000001</v>
      </c>
      <c r="L482" s="167">
        <f t="shared" si="14"/>
        <v>1.4842</v>
      </c>
      <c r="N482" s="531">
        <v>20.496739999999999</v>
      </c>
    </row>
    <row r="483" spans="1:14" s="147" customFormat="1" x14ac:dyDescent="0.2">
      <c r="A483" s="138"/>
      <c r="B483" s="148"/>
      <c r="C483" s="169"/>
      <c r="D483" s="157"/>
      <c r="E483" s="135"/>
      <c r="F483" s="133"/>
      <c r="G483" s="158"/>
      <c r="H483" s="135"/>
      <c r="I483" s="135"/>
      <c r="J483" s="144"/>
      <c r="K483" s="159">
        <v>0.23400000000000001</v>
      </c>
      <c r="L483" s="167">
        <f t="shared" si="14"/>
        <v>1.4842</v>
      </c>
    </row>
    <row r="484" spans="1:14" s="147" customFormat="1" x14ac:dyDescent="0.2">
      <c r="A484" s="154"/>
      <c r="B484" s="155" t="str">
        <f>'Planilha Orçamentaria'!A67</f>
        <v>8.2</v>
      </c>
      <c r="C484" s="156" t="str">
        <f>'Planilha Orçamentaria'!C67</f>
        <v>Imunização p/madeira c/carbolineum</v>
      </c>
      <c r="D484" s="157" t="str">
        <f>'Planilha Orçamentaria'!D67</f>
        <v>M2</v>
      </c>
      <c r="E484" s="171"/>
      <c r="F484" s="133"/>
      <c r="G484" s="158"/>
      <c r="H484" s="171"/>
      <c r="I484" s="171"/>
      <c r="J484" s="144"/>
      <c r="K484" s="159">
        <v>0.23400000000000001</v>
      </c>
      <c r="L484" s="167">
        <f t="shared" si="14"/>
        <v>1.4842</v>
      </c>
    </row>
    <row r="485" spans="1:14" s="147" customFormat="1" x14ac:dyDescent="0.2">
      <c r="A485" s="138"/>
      <c r="B485" s="148"/>
      <c r="C485" s="169" t="str">
        <f>C484</f>
        <v>Imunização p/madeira c/carbolineum</v>
      </c>
      <c r="D485" s="157" t="str">
        <f>D484</f>
        <v>M2</v>
      </c>
      <c r="E485" s="135">
        <f>3.68*N11</f>
        <v>3.68</v>
      </c>
      <c r="F485" s="133">
        <v>71.12</v>
      </c>
      <c r="G485" s="158">
        <v>1</v>
      </c>
      <c r="H485" s="135"/>
      <c r="I485" s="135">
        <f>E485*G485</f>
        <v>3.68</v>
      </c>
      <c r="J485" s="144"/>
      <c r="K485" s="159">
        <v>0.23400000000000001</v>
      </c>
      <c r="L485" s="167">
        <f t="shared" si="14"/>
        <v>1.4842</v>
      </c>
    </row>
    <row r="486" spans="1:14" s="147" customFormat="1" x14ac:dyDescent="0.2">
      <c r="A486" s="138"/>
      <c r="B486" s="148"/>
      <c r="C486" s="169" t="s">
        <v>431</v>
      </c>
      <c r="D486" s="157" t="s">
        <v>425</v>
      </c>
      <c r="E486" s="135">
        <f>5.21*N11</f>
        <v>5.21</v>
      </c>
      <c r="F486" s="133"/>
      <c r="G486" s="158">
        <v>0.01</v>
      </c>
      <c r="H486" s="135">
        <f>E486*G486</f>
        <v>5.21E-2</v>
      </c>
      <c r="I486" s="187"/>
      <c r="J486" s="144"/>
      <c r="K486" s="159">
        <v>0.23400000000000001</v>
      </c>
      <c r="L486" s="167">
        <f t="shared" si="14"/>
        <v>1.4842</v>
      </c>
    </row>
    <row r="487" spans="1:14" s="147" customFormat="1" x14ac:dyDescent="0.2">
      <c r="A487" s="138"/>
      <c r="B487" s="148"/>
      <c r="C487" s="169" t="s">
        <v>434</v>
      </c>
      <c r="D487" s="157" t="s">
        <v>425</v>
      </c>
      <c r="E487" s="135">
        <f>3.77*N11</f>
        <v>3.77</v>
      </c>
      <c r="F487" s="133"/>
      <c r="G487" s="158">
        <v>0.01</v>
      </c>
      <c r="H487" s="135">
        <f>E487*G487</f>
        <v>3.7700000000000004E-2</v>
      </c>
      <c r="I487" s="187"/>
      <c r="J487" s="144"/>
      <c r="K487" s="159">
        <v>0.23400000000000001</v>
      </c>
      <c r="L487" s="167">
        <f t="shared" si="14"/>
        <v>1.4842</v>
      </c>
    </row>
    <row r="488" spans="1:14" s="147" customFormat="1" x14ac:dyDescent="0.2">
      <c r="A488" s="138"/>
      <c r="B488" s="148"/>
      <c r="C488" s="169"/>
      <c r="D488" s="157"/>
      <c r="E488" s="135"/>
      <c r="F488" s="133"/>
      <c r="G488" s="158"/>
      <c r="H488" s="135"/>
      <c r="I488" s="135"/>
      <c r="J488" s="144"/>
      <c r="K488" s="159">
        <v>0.23400000000000001</v>
      </c>
      <c r="L488" s="167">
        <f t="shared" si="14"/>
        <v>1.4842</v>
      </c>
    </row>
    <row r="489" spans="1:14" s="147" customFormat="1" x14ac:dyDescent="0.2">
      <c r="A489" s="138"/>
      <c r="B489" s="148"/>
      <c r="C489" s="169"/>
      <c r="D489" s="157"/>
      <c r="E489" s="653" t="str">
        <f>E479</f>
        <v>Custo Direto</v>
      </c>
      <c r="F489" s="653"/>
      <c r="G489" s="653"/>
      <c r="H489" s="172">
        <f>SUM(H485:H488)</f>
        <v>8.9800000000000005E-2</v>
      </c>
      <c r="I489" s="172">
        <f>SUM(I485:I488)</f>
        <v>3.68</v>
      </c>
      <c r="J489" s="144"/>
      <c r="K489" s="159">
        <v>0.23400000000000001</v>
      </c>
      <c r="L489" s="167">
        <f t="shared" si="14"/>
        <v>1.4842</v>
      </c>
    </row>
    <row r="490" spans="1:14" s="147" customFormat="1" x14ac:dyDescent="0.2">
      <c r="A490" s="138"/>
      <c r="B490" s="148"/>
      <c r="C490" s="169"/>
      <c r="D490" s="157"/>
      <c r="E490" s="653" t="str">
        <f>E480</f>
        <v>LS(%): 148,42</v>
      </c>
      <c r="F490" s="653"/>
      <c r="G490" s="653"/>
      <c r="H490" s="135">
        <f>H489*L490</f>
        <v>0.13328116000000001</v>
      </c>
      <c r="I490" s="141"/>
      <c r="J490" s="144"/>
      <c r="K490" s="159">
        <v>0.23400000000000001</v>
      </c>
      <c r="L490" s="167">
        <f t="shared" si="14"/>
        <v>1.4842</v>
      </c>
    </row>
    <row r="491" spans="1:14" s="147" customFormat="1" x14ac:dyDescent="0.2">
      <c r="A491" s="138"/>
      <c r="B491" s="148"/>
      <c r="C491" s="169"/>
      <c r="D491" s="157"/>
      <c r="E491" s="653" t="str">
        <f>E481</f>
        <v>BDI (%): 23,40</v>
      </c>
      <c r="F491" s="653"/>
      <c r="G491" s="653"/>
      <c r="H491" s="654">
        <f>(H489+I489+H490)*K491</f>
        <v>0.91332099144000012</v>
      </c>
      <c r="I491" s="654"/>
      <c r="J491" s="144"/>
      <c r="K491" s="159">
        <v>0.23400000000000001</v>
      </c>
      <c r="L491" s="167">
        <f t="shared" si="14"/>
        <v>1.4842</v>
      </c>
    </row>
    <row r="492" spans="1:14" s="147" customFormat="1" x14ac:dyDescent="0.2">
      <c r="A492" s="138"/>
      <c r="B492" s="148"/>
      <c r="C492" s="169"/>
      <c r="D492" s="157"/>
      <c r="E492" s="653" t="str">
        <f>E482</f>
        <v>Valor Total c/ Taxas</v>
      </c>
      <c r="F492" s="653"/>
      <c r="G492" s="653"/>
      <c r="H492" s="135"/>
      <c r="I492" s="172">
        <f>(H489+I489+H490+H491)</f>
        <v>4.8164021514400002</v>
      </c>
      <c r="J492" s="144"/>
      <c r="K492" s="159">
        <v>0.23400000000000001</v>
      </c>
      <c r="L492" s="167">
        <f t="shared" ref="L492:L497" si="15">L491</f>
        <v>1.4842</v>
      </c>
      <c r="N492" s="531">
        <v>4.8249399999999998</v>
      </c>
    </row>
    <row r="493" spans="1:14" s="147" customFormat="1" x14ac:dyDescent="0.2">
      <c r="A493" s="138"/>
      <c r="B493" s="148"/>
      <c r="C493" s="169"/>
      <c r="D493" s="157"/>
      <c r="E493" s="135"/>
      <c r="F493" s="133"/>
      <c r="G493" s="158"/>
      <c r="H493" s="135"/>
      <c r="I493" s="135"/>
      <c r="J493" s="144"/>
      <c r="K493" s="159">
        <v>0.23400000000000001</v>
      </c>
      <c r="L493" s="167">
        <f t="shared" si="15"/>
        <v>1.4842</v>
      </c>
    </row>
    <row r="494" spans="1:14" s="147" customFormat="1" x14ac:dyDescent="0.2">
      <c r="A494" s="154"/>
      <c r="B494" s="155" t="str">
        <f>'Planilha Orçamentaria'!A71</f>
        <v>9.1.1</v>
      </c>
      <c r="C494" s="156" t="str">
        <f>'Planilha Orçamentaria'!C71</f>
        <v>Porta mad. compens. c/ caix. aduela e alizar</v>
      </c>
      <c r="D494" s="157" t="str">
        <f>'Planilha Orçamentaria'!D71</f>
        <v>M2</v>
      </c>
      <c r="E494" s="171"/>
      <c r="F494" s="133"/>
      <c r="G494" s="158"/>
      <c r="H494" s="171"/>
      <c r="I494" s="171"/>
      <c r="J494" s="144"/>
      <c r="K494" s="159">
        <v>0.23400000000000001</v>
      </c>
      <c r="L494" s="167">
        <f t="shared" si="15"/>
        <v>1.4842</v>
      </c>
    </row>
    <row r="495" spans="1:14" s="147" customFormat="1" ht="14.25" customHeight="1" x14ac:dyDescent="0.2">
      <c r="A495" s="138"/>
      <c r="B495" s="148"/>
      <c r="C495" s="169" t="str">
        <f>C494</f>
        <v>Porta mad. compens. c/ caix. aduela e alizar</v>
      </c>
      <c r="D495" s="157" t="str">
        <f>D494</f>
        <v>M2</v>
      </c>
      <c r="E495" s="135">
        <f>298.034*N11</f>
        <v>298.03399999999999</v>
      </c>
      <c r="F495" s="133">
        <v>155</v>
      </c>
      <c r="G495" s="158">
        <v>1</v>
      </c>
      <c r="H495" s="135"/>
      <c r="I495" s="187">
        <f>E495*G495</f>
        <v>298.03399999999999</v>
      </c>
      <c r="J495" s="144"/>
      <c r="K495" s="159">
        <v>0.23400000000000001</v>
      </c>
      <c r="L495" s="167">
        <f t="shared" si="15"/>
        <v>1.4842</v>
      </c>
    </row>
    <row r="496" spans="1:14" s="147" customFormat="1" ht="14.25" customHeight="1" x14ac:dyDescent="0.2">
      <c r="A496" s="138"/>
      <c r="B496" s="124"/>
      <c r="C496" s="169" t="s">
        <v>432</v>
      </c>
      <c r="D496" s="157" t="s">
        <v>425</v>
      </c>
      <c r="E496" s="135">
        <f>5.21*N11</f>
        <v>5.21</v>
      </c>
      <c r="F496" s="133"/>
      <c r="G496" s="158">
        <v>2.5</v>
      </c>
      <c r="H496" s="135">
        <f>E496*G496</f>
        <v>13.025</v>
      </c>
      <c r="I496" s="187"/>
      <c r="J496" s="144"/>
      <c r="K496" s="159">
        <v>0.23400000000000001</v>
      </c>
      <c r="L496" s="167">
        <f t="shared" si="15"/>
        <v>1.4842</v>
      </c>
    </row>
    <row r="497" spans="1:14" s="147" customFormat="1" x14ac:dyDescent="0.2">
      <c r="A497" s="138"/>
      <c r="B497" s="124"/>
      <c r="C497" s="169" t="s">
        <v>431</v>
      </c>
      <c r="D497" s="157" t="s">
        <v>425</v>
      </c>
      <c r="E497" s="135">
        <f>5.21*N11</f>
        <v>5.21</v>
      </c>
      <c r="F497" s="133"/>
      <c r="G497" s="158">
        <v>2.5</v>
      </c>
      <c r="H497" s="135">
        <f>E497*G497</f>
        <v>13.025</v>
      </c>
      <c r="I497" s="187"/>
      <c r="J497" s="144"/>
      <c r="K497" s="159">
        <v>0.23400000000000001</v>
      </c>
      <c r="L497" s="167">
        <f t="shared" si="15"/>
        <v>1.4842</v>
      </c>
    </row>
    <row r="498" spans="1:14" s="147" customFormat="1" x14ac:dyDescent="0.2">
      <c r="A498" s="138"/>
      <c r="B498" s="124"/>
      <c r="C498" s="169" t="s">
        <v>434</v>
      </c>
      <c r="D498" s="157" t="s">
        <v>425</v>
      </c>
      <c r="E498" s="135">
        <f>3.77*N11</f>
        <v>3.77</v>
      </c>
      <c r="F498" s="133"/>
      <c r="G498" s="158">
        <v>1.5</v>
      </c>
      <c r="H498" s="135">
        <f>E498*G498</f>
        <v>5.6550000000000002</v>
      </c>
      <c r="I498" s="187"/>
      <c r="J498" s="144"/>
      <c r="K498" s="159">
        <v>0.23400000000000001</v>
      </c>
      <c r="L498" s="167">
        <f t="shared" ref="L498:L556" si="16">L497</f>
        <v>1.4842</v>
      </c>
    </row>
    <row r="499" spans="1:14" s="147" customFormat="1" x14ac:dyDescent="0.2">
      <c r="A499" s="138"/>
      <c r="B499" s="124"/>
      <c r="C499" s="169"/>
      <c r="D499" s="157"/>
      <c r="E499" s="135"/>
      <c r="F499" s="133"/>
      <c r="G499" s="158"/>
      <c r="H499" s="135"/>
      <c r="I499" s="135"/>
      <c r="J499" s="144"/>
      <c r="K499" s="159">
        <v>0.23400000000000001</v>
      </c>
      <c r="L499" s="167">
        <f t="shared" si="16"/>
        <v>1.4842</v>
      </c>
    </row>
    <row r="500" spans="1:14" s="147" customFormat="1" x14ac:dyDescent="0.2">
      <c r="A500" s="138"/>
      <c r="B500" s="124"/>
      <c r="C500" s="169"/>
      <c r="D500" s="157"/>
      <c r="E500" s="653" t="str">
        <f>E489</f>
        <v>Custo Direto</v>
      </c>
      <c r="F500" s="653"/>
      <c r="G500" s="653"/>
      <c r="H500" s="172">
        <f>SUM(H495:H499)</f>
        <v>31.705000000000002</v>
      </c>
      <c r="I500" s="172">
        <f>SUM(I495:I499)</f>
        <v>298.03399999999999</v>
      </c>
      <c r="J500" s="144"/>
      <c r="K500" s="159">
        <v>0.23400000000000001</v>
      </c>
      <c r="L500" s="167">
        <f t="shared" si="16"/>
        <v>1.4842</v>
      </c>
    </row>
    <row r="501" spans="1:14" s="147" customFormat="1" x14ac:dyDescent="0.2">
      <c r="A501" s="138"/>
      <c r="B501" s="124"/>
      <c r="C501" s="169"/>
      <c r="D501" s="157"/>
      <c r="E501" s="653" t="str">
        <f>E490</f>
        <v>LS(%): 148,42</v>
      </c>
      <c r="F501" s="653"/>
      <c r="G501" s="653"/>
      <c r="H501" s="135">
        <f>H500*L501</f>
        <v>47.056561000000002</v>
      </c>
      <c r="I501" s="141"/>
      <c r="J501" s="144"/>
      <c r="K501" s="159">
        <v>0.23400000000000001</v>
      </c>
      <c r="L501" s="167">
        <f t="shared" si="16"/>
        <v>1.4842</v>
      </c>
    </row>
    <row r="502" spans="1:14" s="147" customFormat="1" x14ac:dyDescent="0.2">
      <c r="A502" s="138"/>
      <c r="B502" s="124"/>
      <c r="C502" s="169"/>
      <c r="D502" s="157"/>
      <c r="E502" s="653" t="str">
        <f>E491</f>
        <v>BDI (%): 23,40</v>
      </c>
      <c r="F502" s="653"/>
      <c r="G502" s="653"/>
      <c r="H502" s="654">
        <f>(H500+I500+H501)*K502</f>
        <v>88.170161273999994</v>
      </c>
      <c r="I502" s="654"/>
      <c r="J502" s="144"/>
      <c r="K502" s="159">
        <v>0.23400000000000001</v>
      </c>
      <c r="L502" s="167">
        <f t="shared" si="16"/>
        <v>1.4842</v>
      </c>
    </row>
    <row r="503" spans="1:14" s="147" customFormat="1" x14ac:dyDescent="0.2">
      <c r="A503" s="138"/>
      <c r="B503" s="124"/>
      <c r="C503" s="169"/>
      <c r="D503" s="157"/>
      <c r="E503" s="653" t="str">
        <f>E492</f>
        <v>Valor Total c/ Taxas</v>
      </c>
      <c r="F503" s="653"/>
      <c r="G503" s="653"/>
      <c r="H503" s="135"/>
      <c r="I503" s="172">
        <f>(H500+I500+H501+H502)</f>
        <v>464.96572227399997</v>
      </c>
      <c r="J503" s="144"/>
      <c r="K503" s="159">
        <v>0.23400000000000001</v>
      </c>
      <c r="L503" s="167">
        <f t="shared" si="16"/>
        <v>1.4842</v>
      </c>
      <c r="N503" s="531">
        <v>464.97120000000001</v>
      </c>
    </row>
    <row r="504" spans="1:14" s="147" customFormat="1" x14ac:dyDescent="0.2">
      <c r="A504" s="138"/>
      <c r="B504" s="124"/>
      <c r="C504" s="169"/>
      <c r="D504" s="157"/>
      <c r="E504" s="132"/>
      <c r="F504" s="133"/>
      <c r="G504" s="181"/>
      <c r="H504" s="135"/>
      <c r="I504" s="135"/>
      <c r="J504" s="144"/>
      <c r="K504" s="159">
        <v>0.23400000000000001</v>
      </c>
      <c r="L504" s="167">
        <f t="shared" si="16"/>
        <v>1.4842</v>
      </c>
    </row>
    <row r="505" spans="1:14" s="147" customFormat="1" x14ac:dyDescent="0.2">
      <c r="A505" s="154"/>
      <c r="B505" s="155" t="str">
        <f>'Planilha Orçamentaria'!A73</f>
        <v>9.2.1</v>
      </c>
      <c r="C505" s="156" t="str">
        <f>'Planilha Orçamentaria'!C73</f>
        <v>Grade de ferro em metalom  (incl. pint.anti-corrosiva)</v>
      </c>
      <c r="D505" s="157" t="str">
        <f>'Planilha Orçamentaria'!D73</f>
        <v>M2</v>
      </c>
      <c r="E505" s="171"/>
      <c r="F505" s="133"/>
      <c r="G505" s="158"/>
      <c r="H505" s="171"/>
      <c r="I505" s="171"/>
      <c r="J505" s="144"/>
      <c r="K505" s="159">
        <v>0.23400000000000001</v>
      </c>
      <c r="L505" s="167">
        <f t="shared" si="16"/>
        <v>1.4842</v>
      </c>
    </row>
    <row r="506" spans="1:14" s="147" customFormat="1" ht="14.25" customHeight="1" x14ac:dyDescent="0.2">
      <c r="A506" s="138"/>
      <c r="B506" s="148"/>
      <c r="C506" s="169" t="str">
        <f>C505</f>
        <v>Grade de ferro em metalom  (incl. pint.anti-corrosiva)</v>
      </c>
      <c r="D506" s="157" t="str">
        <f>D505</f>
        <v>M2</v>
      </c>
      <c r="E506" s="135">
        <f>188.09*N11</f>
        <v>188.09</v>
      </c>
      <c r="F506" s="133">
        <v>160</v>
      </c>
      <c r="G506" s="158">
        <v>1</v>
      </c>
      <c r="H506" s="135"/>
      <c r="I506" s="187">
        <f>E506*G506</f>
        <v>188.09</v>
      </c>
      <c r="J506" s="144"/>
      <c r="K506" s="159">
        <v>0.23400000000000001</v>
      </c>
      <c r="L506" s="167">
        <f t="shared" si="16"/>
        <v>1.4842</v>
      </c>
    </row>
    <row r="507" spans="1:14" s="147" customFormat="1" ht="14.25" customHeight="1" x14ac:dyDescent="0.2">
      <c r="A507" s="138"/>
      <c r="B507" s="148"/>
      <c r="C507" s="553" t="s">
        <v>488</v>
      </c>
      <c r="D507" s="157" t="s">
        <v>425</v>
      </c>
      <c r="E507" s="135">
        <f>5.21*N11</f>
        <v>5.21</v>
      </c>
      <c r="F507" s="133"/>
      <c r="G507" s="158">
        <v>1</v>
      </c>
      <c r="H507" s="135">
        <f>E507*G507</f>
        <v>5.21</v>
      </c>
      <c r="I507" s="187"/>
      <c r="J507" s="144"/>
      <c r="K507" s="159">
        <v>0.23400000000000001</v>
      </c>
      <c r="L507" s="167">
        <f t="shared" si="16"/>
        <v>1.4842</v>
      </c>
    </row>
    <row r="508" spans="1:14" s="147" customFormat="1" x14ac:dyDescent="0.2">
      <c r="A508" s="138"/>
      <c r="B508" s="148"/>
      <c r="C508" s="169" t="s">
        <v>469</v>
      </c>
      <c r="D508" s="157" t="s">
        <v>425</v>
      </c>
      <c r="E508" s="135">
        <f>5.21*N11</f>
        <v>5.21</v>
      </c>
      <c r="F508" s="133"/>
      <c r="G508" s="158">
        <v>1</v>
      </c>
      <c r="H508" s="135">
        <f>E508*G508</f>
        <v>5.21</v>
      </c>
      <c r="I508" s="187"/>
      <c r="J508" s="144"/>
      <c r="K508" s="159">
        <v>0.23400000000000001</v>
      </c>
      <c r="L508" s="167">
        <f t="shared" si="16"/>
        <v>1.4842</v>
      </c>
    </row>
    <row r="509" spans="1:14" s="147" customFormat="1" x14ac:dyDescent="0.2">
      <c r="A509" s="138"/>
      <c r="B509" s="148"/>
      <c r="C509" s="169" t="s">
        <v>434</v>
      </c>
      <c r="D509" s="157" t="s">
        <v>425</v>
      </c>
      <c r="E509" s="135">
        <f>3.77*N11</f>
        <v>3.77</v>
      </c>
      <c r="F509" s="133"/>
      <c r="G509" s="158">
        <v>1</v>
      </c>
      <c r="H509" s="135">
        <f>E509*G509</f>
        <v>3.77</v>
      </c>
      <c r="I509" s="187"/>
      <c r="J509" s="144"/>
      <c r="K509" s="159">
        <v>0.23400000000000001</v>
      </c>
      <c r="L509" s="167">
        <f t="shared" si="16"/>
        <v>1.4842</v>
      </c>
    </row>
    <row r="510" spans="1:14" s="147" customFormat="1" x14ac:dyDescent="0.2">
      <c r="A510" s="138"/>
      <c r="B510" s="124"/>
      <c r="C510" s="169"/>
      <c r="D510" s="157"/>
      <c r="E510" s="135"/>
      <c r="F510" s="133"/>
      <c r="G510" s="158"/>
      <c r="H510" s="135"/>
      <c r="I510" s="135"/>
      <c r="J510" s="144"/>
      <c r="K510" s="159">
        <v>0.23400000000000001</v>
      </c>
      <c r="L510" s="167">
        <f t="shared" si="16"/>
        <v>1.4842</v>
      </c>
    </row>
    <row r="511" spans="1:14" s="147" customFormat="1" x14ac:dyDescent="0.2">
      <c r="A511" s="138"/>
      <c r="B511" s="124"/>
      <c r="C511" s="169"/>
      <c r="D511" s="157"/>
      <c r="E511" s="653" t="str">
        <f>E500</f>
        <v>Custo Direto</v>
      </c>
      <c r="F511" s="653"/>
      <c r="G511" s="653"/>
      <c r="H511" s="172">
        <f>SUM(H506:H510)</f>
        <v>14.19</v>
      </c>
      <c r="I511" s="172">
        <f>SUM(I506:I510)</f>
        <v>188.09</v>
      </c>
      <c r="J511" s="144"/>
      <c r="K511" s="159">
        <v>0.23400000000000001</v>
      </c>
      <c r="L511" s="167">
        <f t="shared" si="16"/>
        <v>1.4842</v>
      </c>
    </row>
    <row r="512" spans="1:14" s="147" customFormat="1" x14ac:dyDescent="0.2">
      <c r="A512" s="138"/>
      <c r="B512" s="124"/>
      <c r="C512" s="169"/>
      <c r="D512" s="157"/>
      <c r="E512" s="653" t="str">
        <f>E501</f>
        <v>LS(%): 148,42</v>
      </c>
      <c r="F512" s="653"/>
      <c r="G512" s="653"/>
      <c r="H512" s="135">
        <f>H511*L512</f>
        <v>21.060797999999998</v>
      </c>
      <c r="I512" s="141"/>
      <c r="J512" s="144"/>
      <c r="K512" s="159">
        <v>0.23400000000000001</v>
      </c>
      <c r="L512" s="167">
        <f t="shared" si="16"/>
        <v>1.4842</v>
      </c>
      <c r="M512" s="203"/>
    </row>
    <row r="513" spans="1:14" s="147" customFormat="1" x14ac:dyDescent="0.2">
      <c r="A513" s="138"/>
      <c r="B513" s="124"/>
      <c r="C513" s="169"/>
      <c r="D513" s="157"/>
      <c r="E513" s="653" t="str">
        <f>E502</f>
        <v>BDI (%): 23,40</v>
      </c>
      <c r="F513" s="653"/>
      <c r="G513" s="653"/>
      <c r="H513" s="654">
        <f>(H511+I511+H512)*K513</f>
        <v>52.261746732000006</v>
      </c>
      <c r="I513" s="654"/>
      <c r="J513" s="144"/>
      <c r="K513" s="159">
        <v>0.23400000000000001</v>
      </c>
      <c r="L513" s="167">
        <f t="shared" si="16"/>
        <v>1.4842</v>
      </c>
    </row>
    <row r="514" spans="1:14" s="147" customFormat="1" x14ac:dyDescent="0.2">
      <c r="A514" s="138"/>
      <c r="B514" s="124"/>
      <c r="C514" s="169"/>
      <c r="D514" s="157"/>
      <c r="E514" s="653" t="str">
        <f>E503</f>
        <v>Valor Total c/ Taxas</v>
      </c>
      <c r="F514" s="653"/>
      <c r="G514" s="653"/>
      <c r="H514" s="135"/>
      <c r="I514" s="172">
        <f>(H511+I511+H512+H513)</f>
        <v>275.60254473200001</v>
      </c>
      <c r="J514" s="144"/>
      <c r="K514" s="159">
        <v>0.23400000000000001</v>
      </c>
      <c r="L514" s="167">
        <f t="shared" si="16"/>
        <v>1.4842</v>
      </c>
      <c r="N514" s="531">
        <v>275.60156000000001</v>
      </c>
    </row>
    <row r="515" spans="1:14" s="147" customFormat="1" x14ac:dyDescent="0.2">
      <c r="A515" s="138"/>
      <c r="B515" s="124"/>
      <c r="C515" s="169"/>
      <c r="D515" s="157"/>
      <c r="E515" s="132"/>
      <c r="F515" s="133"/>
      <c r="G515" s="181"/>
      <c r="H515" s="135"/>
      <c r="I515" s="135"/>
      <c r="J515" s="144"/>
      <c r="K515" s="159">
        <v>0.23400000000000001</v>
      </c>
      <c r="L515" s="167">
        <f t="shared" si="16"/>
        <v>1.4842</v>
      </c>
    </row>
    <row r="516" spans="1:14" s="147" customFormat="1" x14ac:dyDescent="0.2">
      <c r="A516" s="154"/>
      <c r="B516" s="155" t="str">
        <f>'Planilha Orçamentaria'!A74</f>
        <v>9.2.2</v>
      </c>
      <c r="C516" s="156" t="str">
        <f>'Planilha Orçamentaria'!C74</f>
        <v>Porta de aço-esteira de enrolar c/ferr.(incl.pint.anti-corrosiva)</v>
      </c>
      <c r="D516" s="157" t="str">
        <f>'Planilha Orçamentaria'!D74</f>
        <v>M2</v>
      </c>
      <c r="E516" s="171"/>
      <c r="F516" s="133"/>
      <c r="G516" s="158"/>
      <c r="H516" s="171"/>
      <c r="I516" s="171"/>
      <c r="J516" s="144"/>
      <c r="K516" s="159">
        <v>0.23400000000000001</v>
      </c>
      <c r="L516" s="167">
        <f t="shared" si="16"/>
        <v>1.4842</v>
      </c>
    </row>
    <row r="517" spans="1:14" s="147" customFormat="1" ht="14.25" customHeight="1" x14ac:dyDescent="0.2">
      <c r="A517" s="138"/>
      <c r="B517" s="148"/>
      <c r="C517" s="169" t="str">
        <f>C516</f>
        <v>Porta de aço-esteira de enrolar c/ferr.(incl.pint.anti-corrosiva)</v>
      </c>
      <c r="D517" s="157" t="str">
        <f>D516</f>
        <v>M2</v>
      </c>
      <c r="E517" s="135">
        <f>263.33*N11</f>
        <v>263.33</v>
      </c>
      <c r="F517" s="133">
        <v>180</v>
      </c>
      <c r="G517" s="158">
        <v>1</v>
      </c>
      <c r="H517" s="135"/>
      <c r="I517" s="187">
        <f>E517*G517</f>
        <v>263.33</v>
      </c>
      <c r="J517" s="144"/>
      <c r="K517" s="159">
        <v>0.23400000000000001</v>
      </c>
      <c r="L517" s="167">
        <f t="shared" si="16"/>
        <v>1.4842</v>
      </c>
    </row>
    <row r="518" spans="1:14" s="147" customFormat="1" x14ac:dyDescent="0.2">
      <c r="A518" s="138"/>
      <c r="B518" s="124"/>
      <c r="C518" s="553" t="s">
        <v>488</v>
      </c>
      <c r="D518" s="157" t="s">
        <v>425</v>
      </c>
      <c r="E518" s="135">
        <f>5.21*N11</f>
        <v>5.21</v>
      </c>
      <c r="F518" s="133"/>
      <c r="G518" s="158">
        <v>1</v>
      </c>
      <c r="H518" s="135">
        <f>E518*G518</f>
        <v>5.21</v>
      </c>
      <c r="I518" s="187"/>
      <c r="J518" s="144"/>
      <c r="K518" s="159">
        <v>0.23400000000000001</v>
      </c>
      <c r="L518" s="167">
        <f t="shared" si="16"/>
        <v>1.4842</v>
      </c>
    </row>
    <row r="519" spans="1:14" s="147" customFormat="1" x14ac:dyDescent="0.2">
      <c r="A519" s="138"/>
      <c r="B519" s="124"/>
      <c r="C519" s="169" t="s">
        <v>469</v>
      </c>
      <c r="D519" s="157" t="s">
        <v>425</v>
      </c>
      <c r="E519" s="135">
        <f>5.21*N11</f>
        <v>5.21</v>
      </c>
      <c r="F519" s="133"/>
      <c r="G519" s="158">
        <v>1</v>
      </c>
      <c r="H519" s="135">
        <f>E519*G519</f>
        <v>5.21</v>
      </c>
      <c r="I519" s="187"/>
      <c r="J519" s="144"/>
      <c r="K519" s="159">
        <v>0.23400000000000001</v>
      </c>
      <c r="L519" s="167">
        <f t="shared" si="16"/>
        <v>1.4842</v>
      </c>
    </row>
    <row r="520" spans="1:14" s="147" customFormat="1" x14ac:dyDescent="0.2">
      <c r="A520" s="138"/>
      <c r="B520" s="124"/>
      <c r="C520" s="169" t="s">
        <v>434</v>
      </c>
      <c r="D520" s="157" t="s">
        <v>425</v>
      </c>
      <c r="E520" s="135">
        <f>3.77*N11</f>
        <v>3.77</v>
      </c>
      <c r="F520" s="133"/>
      <c r="G520" s="158">
        <v>1</v>
      </c>
      <c r="H520" s="135">
        <f>E520*G520</f>
        <v>3.77</v>
      </c>
      <c r="I520" s="187"/>
      <c r="J520" s="144"/>
      <c r="K520" s="159">
        <v>0.23400000000000001</v>
      </c>
      <c r="L520" s="167">
        <f t="shared" si="16"/>
        <v>1.4842</v>
      </c>
    </row>
    <row r="521" spans="1:14" s="147" customFormat="1" hidden="1" x14ac:dyDescent="0.2">
      <c r="A521" s="138"/>
      <c r="B521" s="124"/>
      <c r="C521" s="169"/>
      <c r="D521" s="157"/>
      <c r="E521" s="135"/>
      <c r="F521" s="133"/>
      <c r="G521" s="158"/>
      <c r="H521" s="135"/>
      <c r="I521" s="135"/>
      <c r="J521" s="144"/>
      <c r="K521" s="159">
        <v>0.23400000000000001</v>
      </c>
      <c r="L521" s="167">
        <f t="shared" si="16"/>
        <v>1.4842</v>
      </c>
    </row>
    <row r="522" spans="1:14" s="147" customFormat="1" x14ac:dyDescent="0.2">
      <c r="A522" s="138"/>
      <c r="B522" s="124"/>
      <c r="C522" s="169"/>
      <c r="D522" s="157"/>
      <c r="E522" s="653" t="str">
        <f>E511</f>
        <v>Custo Direto</v>
      </c>
      <c r="F522" s="653"/>
      <c r="G522" s="653"/>
      <c r="H522" s="172">
        <f>SUM(H517:H521)</f>
        <v>14.19</v>
      </c>
      <c r="I522" s="172">
        <f>SUM(I517:I521)</f>
        <v>263.33</v>
      </c>
      <c r="J522" s="144"/>
      <c r="K522" s="159">
        <v>0.23400000000000001</v>
      </c>
      <c r="L522" s="167">
        <f t="shared" si="16"/>
        <v>1.4842</v>
      </c>
    </row>
    <row r="523" spans="1:14" s="147" customFormat="1" x14ac:dyDescent="0.2">
      <c r="A523" s="138"/>
      <c r="B523" s="124"/>
      <c r="C523" s="169"/>
      <c r="D523" s="157"/>
      <c r="E523" s="653" t="str">
        <f>E512</f>
        <v>LS(%): 148,42</v>
      </c>
      <c r="F523" s="653"/>
      <c r="G523" s="653"/>
      <c r="H523" s="135">
        <f>H522*L523</f>
        <v>21.060797999999998</v>
      </c>
      <c r="I523" s="141"/>
      <c r="J523" s="144"/>
      <c r="K523" s="159">
        <v>0.23400000000000001</v>
      </c>
      <c r="L523" s="167">
        <f t="shared" si="16"/>
        <v>1.4842</v>
      </c>
      <c r="M523" s="203"/>
    </row>
    <row r="524" spans="1:14" s="147" customFormat="1" x14ac:dyDescent="0.2">
      <c r="A524" s="138"/>
      <c r="B524" s="124"/>
      <c r="C524" s="169"/>
      <c r="D524" s="157"/>
      <c r="E524" s="653" t="str">
        <f>E513</f>
        <v>BDI (%): 23,40</v>
      </c>
      <c r="F524" s="653"/>
      <c r="G524" s="653"/>
      <c r="H524" s="654">
        <f>(H522+I522+H523)*K524</f>
        <v>69.867906731999994</v>
      </c>
      <c r="I524" s="654"/>
      <c r="J524" s="144"/>
      <c r="K524" s="159">
        <v>0.23400000000000001</v>
      </c>
      <c r="L524" s="167">
        <f t="shared" si="16"/>
        <v>1.4842</v>
      </c>
    </row>
    <row r="525" spans="1:14" s="147" customFormat="1" x14ac:dyDescent="0.2">
      <c r="A525" s="138"/>
      <c r="B525" s="124"/>
      <c r="C525" s="169"/>
      <c r="D525" s="157"/>
      <c r="E525" s="653" t="str">
        <f>E514</f>
        <v>Valor Total c/ Taxas</v>
      </c>
      <c r="F525" s="653"/>
      <c r="G525" s="653"/>
      <c r="H525" s="135"/>
      <c r="I525" s="172">
        <f>(H522+I522+H523+H524)</f>
        <v>368.44870473199995</v>
      </c>
      <c r="J525" s="144"/>
      <c r="K525" s="159">
        <v>0.23400000000000001</v>
      </c>
      <c r="L525" s="167">
        <f t="shared" si="16"/>
        <v>1.4842</v>
      </c>
      <c r="N525" s="531">
        <v>368.44772</v>
      </c>
    </row>
    <row r="526" spans="1:14" s="147" customFormat="1" x14ac:dyDescent="0.2">
      <c r="A526" s="138"/>
      <c r="B526" s="124"/>
      <c r="C526" s="169"/>
      <c r="D526" s="157"/>
      <c r="E526" s="132"/>
      <c r="F526" s="133"/>
      <c r="G526" s="181"/>
      <c r="H526" s="135"/>
      <c r="I526" s="135"/>
      <c r="J526" s="144"/>
      <c r="K526" s="159">
        <v>0.23400000000000001</v>
      </c>
      <c r="L526" s="167">
        <f t="shared" si="16"/>
        <v>1.4842</v>
      </c>
    </row>
    <row r="527" spans="1:14" s="147" customFormat="1" x14ac:dyDescent="0.2">
      <c r="A527" s="154"/>
      <c r="B527" s="155" t="str">
        <f>'Planilha Orçamentaria'!A75</f>
        <v>9.2.3</v>
      </c>
      <c r="C527" s="156" t="str">
        <f>'Planilha Orçamentaria'!C75</f>
        <v>Portão de ferro em metalom (incl. pintura anti corrosiva)</v>
      </c>
      <c r="D527" s="157" t="str">
        <f>'Planilha Orçamentaria'!D75</f>
        <v>M2</v>
      </c>
      <c r="E527" s="171"/>
      <c r="F527" s="133"/>
      <c r="G527" s="158"/>
      <c r="H527" s="171"/>
      <c r="I527" s="171"/>
      <c r="J527" s="144"/>
      <c r="K527" s="159">
        <v>0.23400000000000001</v>
      </c>
      <c r="L527" s="167">
        <f t="shared" si="16"/>
        <v>1.4842</v>
      </c>
    </row>
    <row r="528" spans="1:14" s="147" customFormat="1" ht="14.25" customHeight="1" x14ac:dyDescent="0.2">
      <c r="A528" s="138"/>
      <c r="B528" s="148"/>
      <c r="C528" s="169" t="str">
        <f>C527</f>
        <v>Portão de ferro em metalom (incl. pintura anti corrosiva)</v>
      </c>
      <c r="D528" s="157" t="str">
        <f>D527</f>
        <v>M2</v>
      </c>
      <c r="E528" s="135">
        <f>215.645*N11</f>
        <v>215.64500000000001</v>
      </c>
      <c r="F528" s="133">
        <v>190</v>
      </c>
      <c r="G528" s="158">
        <v>1</v>
      </c>
      <c r="H528" s="135"/>
      <c r="I528" s="187">
        <f>E528*G528</f>
        <v>215.64500000000001</v>
      </c>
      <c r="J528" s="144"/>
      <c r="K528" s="159">
        <v>0.23400000000000001</v>
      </c>
      <c r="L528" s="167">
        <f t="shared" si="16"/>
        <v>1.4842</v>
      </c>
    </row>
    <row r="529" spans="1:14" s="147" customFormat="1" x14ac:dyDescent="0.2">
      <c r="A529" s="138"/>
      <c r="B529" s="124"/>
      <c r="C529" s="553" t="s">
        <v>488</v>
      </c>
      <c r="D529" s="157" t="s">
        <v>425</v>
      </c>
      <c r="E529" s="135">
        <f>5.21*N11</f>
        <v>5.21</v>
      </c>
      <c r="F529" s="133"/>
      <c r="G529" s="158">
        <v>1</v>
      </c>
      <c r="H529" s="135">
        <f>E529*G529</f>
        <v>5.21</v>
      </c>
      <c r="I529" s="187"/>
      <c r="J529" s="144"/>
      <c r="K529" s="159">
        <v>0.23400000000000001</v>
      </c>
      <c r="L529" s="167">
        <f t="shared" si="16"/>
        <v>1.4842</v>
      </c>
    </row>
    <row r="530" spans="1:14" s="147" customFormat="1" x14ac:dyDescent="0.2">
      <c r="A530" s="138"/>
      <c r="B530" s="124"/>
      <c r="C530" s="169" t="s">
        <v>469</v>
      </c>
      <c r="D530" s="157" t="s">
        <v>425</v>
      </c>
      <c r="E530" s="135">
        <f>5.21*N11</f>
        <v>5.21</v>
      </c>
      <c r="F530" s="133"/>
      <c r="G530" s="158">
        <v>1</v>
      </c>
      <c r="H530" s="135">
        <f>E530*G530</f>
        <v>5.21</v>
      </c>
      <c r="I530" s="187"/>
      <c r="J530" s="144"/>
      <c r="K530" s="159">
        <v>0.23400000000000001</v>
      </c>
      <c r="L530" s="167">
        <f t="shared" si="16"/>
        <v>1.4842</v>
      </c>
    </row>
    <row r="531" spans="1:14" s="147" customFormat="1" x14ac:dyDescent="0.2">
      <c r="A531" s="138"/>
      <c r="B531" s="124"/>
      <c r="C531" s="169" t="s">
        <v>434</v>
      </c>
      <c r="D531" s="157" t="s">
        <v>425</v>
      </c>
      <c r="E531" s="135">
        <f>3.77*N11</f>
        <v>3.77</v>
      </c>
      <c r="F531" s="133"/>
      <c r="G531" s="158">
        <v>1</v>
      </c>
      <c r="H531" s="135">
        <f>E531*G531</f>
        <v>3.77</v>
      </c>
      <c r="I531" s="187"/>
      <c r="J531" s="144"/>
      <c r="K531" s="159">
        <v>0.23400000000000001</v>
      </c>
      <c r="L531" s="167">
        <f t="shared" si="16"/>
        <v>1.4842</v>
      </c>
    </row>
    <row r="532" spans="1:14" s="147" customFormat="1" hidden="1" x14ac:dyDescent="0.2">
      <c r="A532" s="138"/>
      <c r="B532" s="124"/>
      <c r="C532" s="169"/>
      <c r="D532" s="157"/>
      <c r="E532" s="135"/>
      <c r="F532" s="133"/>
      <c r="G532" s="158"/>
      <c r="H532" s="135"/>
      <c r="I532" s="135"/>
      <c r="J532" s="144"/>
      <c r="K532" s="159">
        <v>0.23400000000000001</v>
      </c>
      <c r="L532" s="167">
        <f t="shared" si="16"/>
        <v>1.4842</v>
      </c>
    </row>
    <row r="533" spans="1:14" s="147" customFormat="1" x14ac:dyDescent="0.2">
      <c r="A533" s="138"/>
      <c r="B533" s="124"/>
      <c r="C533" s="169"/>
      <c r="D533" s="157"/>
      <c r="E533" s="653" t="str">
        <f>E522</f>
        <v>Custo Direto</v>
      </c>
      <c r="F533" s="653"/>
      <c r="G533" s="653"/>
      <c r="H533" s="172">
        <f>SUM(H528:H532)</f>
        <v>14.19</v>
      </c>
      <c r="I533" s="172">
        <f>SUM(I528:I532)</f>
        <v>215.64500000000001</v>
      </c>
      <c r="J533" s="144"/>
      <c r="K533" s="159">
        <v>0.23400000000000001</v>
      </c>
      <c r="L533" s="167">
        <f t="shared" si="16"/>
        <v>1.4842</v>
      </c>
    </row>
    <row r="534" spans="1:14" s="147" customFormat="1" x14ac:dyDescent="0.2">
      <c r="A534" s="138"/>
      <c r="B534" s="124"/>
      <c r="C534" s="169"/>
      <c r="D534" s="157"/>
      <c r="E534" s="653" t="str">
        <f>E523</f>
        <v>LS(%): 148,42</v>
      </c>
      <c r="F534" s="653"/>
      <c r="G534" s="653"/>
      <c r="H534" s="135">
        <f>H533*L534</f>
        <v>21.060797999999998</v>
      </c>
      <c r="I534" s="141"/>
      <c r="J534" s="144"/>
      <c r="K534" s="159">
        <v>0.23400000000000001</v>
      </c>
      <c r="L534" s="167">
        <f t="shared" si="16"/>
        <v>1.4842</v>
      </c>
      <c r="M534" s="203"/>
    </row>
    <row r="535" spans="1:14" s="147" customFormat="1" x14ac:dyDescent="0.2">
      <c r="A535" s="138"/>
      <c r="B535" s="124"/>
      <c r="C535" s="169"/>
      <c r="D535" s="157"/>
      <c r="E535" s="653" t="str">
        <f>E524</f>
        <v>BDI (%): 23,40</v>
      </c>
      <c r="F535" s="653"/>
      <c r="G535" s="653"/>
      <c r="H535" s="654">
        <f>(H533+I533+H534)*K535</f>
        <v>58.709616732000008</v>
      </c>
      <c r="I535" s="654"/>
      <c r="J535" s="144"/>
      <c r="K535" s="159">
        <v>0.23400000000000001</v>
      </c>
      <c r="L535" s="167">
        <f t="shared" si="16"/>
        <v>1.4842</v>
      </c>
    </row>
    <row r="536" spans="1:14" s="147" customFormat="1" x14ac:dyDescent="0.2">
      <c r="A536" s="138"/>
      <c r="B536" s="124"/>
      <c r="C536" s="169"/>
      <c r="D536" s="157"/>
      <c r="E536" s="653" t="str">
        <f>E525</f>
        <v>Valor Total c/ Taxas</v>
      </c>
      <c r="F536" s="653"/>
      <c r="G536" s="653"/>
      <c r="H536" s="135"/>
      <c r="I536" s="172">
        <f>(H533+I533+H534+H535)</f>
        <v>309.60541473200004</v>
      </c>
      <c r="J536" s="144"/>
      <c r="K536" s="159">
        <v>0.23400000000000001</v>
      </c>
      <c r="L536" s="167">
        <f t="shared" si="16"/>
        <v>1.4842</v>
      </c>
      <c r="N536" s="531">
        <v>309.61059999999998</v>
      </c>
    </row>
    <row r="537" spans="1:14" s="147" customFormat="1" ht="21.75" customHeight="1" x14ac:dyDescent="0.2">
      <c r="A537" s="138"/>
      <c r="B537" s="124"/>
      <c r="C537" s="169"/>
      <c r="D537" s="157"/>
      <c r="E537" s="132"/>
      <c r="F537" s="133"/>
      <c r="G537" s="181"/>
      <c r="H537" s="135"/>
      <c r="I537" s="135"/>
      <c r="J537" s="144"/>
      <c r="K537" s="159">
        <v>0.23400000000000001</v>
      </c>
      <c r="L537" s="167">
        <f t="shared" si="16"/>
        <v>1.4842</v>
      </c>
    </row>
    <row r="538" spans="1:14" s="147" customFormat="1" x14ac:dyDescent="0.2">
      <c r="A538" s="154"/>
      <c r="B538" s="155" t="str">
        <f>'Planilha Orçamentaria'!A77</f>
        <v>9.3.1</v>
      </c>
      <c r="C538" s="156" t="str">
        <f>'Planilha Orçamentaria'!C77</f>
        <v>Esquadria de alum.de correr c/ vidro e ferragens</v>
      </c>
      <c r="D538" s="157" t="str">
        <f>'Planilha Orçamentaria'!D77</f>
        <v>M2</v>
      </c>
      <c r="E538" s="171"/>
      <c r="F538" s="133"/>
      <c r="G538" s="158"/>
      <c r="H538" s="171"/>
      <c r="I538" s="171"/>
      <c r="J538" s="144"/>
      <c r="K538" s="159">
        <v>0.23400000000000001</v>
      </c>
      <c r="L538" s="167">
        <f t="shared" si="16"/>
        <v>1.4842</v>
      </c>
    </row>
    <row r="539" spans="1:14" s="147" customFormat="1" ht="14.25" customHeight="1" x14ac:dyDescent="0.2">
      <c r="A539" s="138"/>
      <c r="B539" s="148"/>
      <c r="C539" s="169" t="str">
        <f>'Planilha Orçamentaria'!C77</f>
        <v>Esquadria de alum.de correr c/ vidro e ferragens</v>
      </c>
      <c r="D539" s="157" t="str">
        <f>D538</f>
        <v>M2</v>
      </c>
      <c r="E539" s="135">
        <f>354.01*N11</f>
        <v>354.01</v>
      </c>
      <c r="F539" s="133">
        <v>210</v>
      </c>
      <c r="G539" s="158">
        <v>1</v>
      </c>
      <c r="H539" s="135"/>
      <c r="I539" s="187">
        <f>E539*G539</f>
        <v>354.01</v>
      </c>
      <c r="J539" s="144"/>
      <c r="K539" s="159">
        <v>0.23400000000000001</v>
      </c>
      <c r="L539" s="167">
        <f t="shared" si="16"/>
        <v>1.4842</v>
      </c>
    </row>
    <row r="540" spans="1:14" s="147" customFormat="1" x14ac:dyDescent="0.2">
      <c r="A540" s="138"/>
      <c r="B540" s="124"/>
      <c r="C540" s="169" t="s">
        <v>432</v>
      </c>
      <c r="D540" s="157" t="s">
        <v>425</v>
      </c>
      <c r="E540" s="135">
        <f>5.21*N11</f>
        <v>5.21</v>
      </c>
      <c r="F540" s="133"/>
      <c r="G540" s="158">
        <v>1</v>
      </c>
      <c r="H540" s="135">
        <f>E540*G540</f>
        <v>5.21</v>
      </c>
      <c r="I540" s="187"/>
      <c r="J540" s="144"/>
      <c r="K540" s="159">
        <v>0.23400000000000001</v>
      </c>
      <c r="L540" s="167">
        <f t="shared" si="16"/>
        <v>1.4842</v>
      </c>
    </row>
    <row r="541" spans="1:14" s="147" customFormat="1" x14ac:dyDescent="0.2">
      <c r="A541" s="138"/>
      <c r="B541" s="124"/>
      <c r="C541" s="169" t="s">
        <v>1772</v>
      </c>
      <c r="D541" s="157" t="s">
        <v>425</v>
      </c>
      <c r="E541" s="135">
        <f>5.21*N11</f>
        <v>5.21</v>
      </c>
      <c r="F541" s="133"/>
      <c r="G541" s="158">
        <v>1</v>
      </c>
      <c r="H541" s="135">
        <f>E541*G541</f>
        <v>5.21</v>
      </c>
      <c r="I541" s="187"/>
      <c r="J541" s="144"/>
      <c r="K541" s="159">
        <v>0.23400000000000001</v>
      </c>
      <c r="L541" s="167">
        <f t="shared" si="16"/>
        <v>1.4842</v>
      </c>
    </row>
    <row r="542" spans="1:14" s="147" customFormat="1" x14ac:dyDescent="0.2">
      <c r="A542" s="138"/>
      <c r="B542" s="124"/>
      <c r="C542" s="169" t="s">
        <v>434</v>
      </c>
      <c r="D542" s="157" t="s">
        <v>425</v>
      </c>
      <c r="E542" s="135">
        <f>3.77*N11</f>
        <v>3.77</v>
      </c>
      <c r="F542" s="133"/>
      <c r="G542" s="158">
        <v>1</v>
      </c>
      <c r="H542" s="135">
        <f>E542*G542</f>
        <v>3.77</v>
      </c>
      <c r="I542" s="187"/>
      <c r="J542" s="144"/>
      <c r="K542" s="159">
        <v>0.23400000000000001</v>
      </c>
      <c r="L542" s="167">
        <f t="shared" si="16"/>
        <v>1.4842</v>
      </c>
    </row>
    <row r="543" spans="1:14" s="147" customFormat="1" x14ac:dyDescent="0.2">
      <c r="A543" s="138"/>
      <c r="B543" s="124"/>
      <c r="C543" s="169"/>
      <c r="D543" s="157"/>
      <c r="E543" s="135"/>
      <c r="F543" s="133"/>
      <c r="G543" s="158"/>
      <c r="H543" s="135"/>
      <c r="I543" s="135"/>
      <c r="J543" s="144"/>
      <c r="K543" s="159">
        <v>0.23400000000000001</v>
      </c>
      <c r="L543" s="167">
        <f t="shared" si="16"/>
        <v>1.4842</v>
      </c>
    </row>
    <row r="544" spans="1:14" s="147" customFormat="1" x14ac:dyDescent="0.2">
      <c r="A544" s="138"/>
      <c r="B544" s="124"/>
      <c r="C544" s="169"/>
      <c r="D544" s="157"/>
      <c r="E544" s="653" t="str">
        <f>E522</f>
        <v>Custo Direto</v>
      </c>
      <c r="F544" s="653"/>
      <c r="G544" s="653"/>
      <c r="H544" s="172">
        <f>SUM(H539:H543)</f>
        <v>14.19</v>
      </c>
      <c r="I544" s="172">
        <f>SUM(I539:I543)</f>
        <v>354.01</v>
      </c>
      <c r="J544" s="144"/>
      <c r="K544" s="159">
        <v>0.23400000000000001</v>
      </c>
      <c r="L544" s="167">
        <f t="shared" si="16"/>
        <v>1.4842</v>
      </c>
    </row>
    <row r="545" spans="1:14" s="147" customFormat="1" x14ac:dyDescent="0.2">
      <c r="A545" s="138"/>
      <c r="B545" s="124"/>
      <c r="C545" s="169"/>
      <c r="D545" s="157"/>
      <c r="E545" s="653" t="str">
        <f>E523</f>
        <v>LS(%): 148,42</v>
      </c>
      <c r="F545" s="653"/>
      <c r="G545" s="653"/>
      <c r="H545" s="135">
        <f>H544*L545</f>
        <v>21.060797999999998</v>
      </c>
      <c r="I545" s="141"/>
      <c r="J545" s="144"/>
      <c r="K545" s="159">
        <v>0.23400000000000001</v>
      </c>
      <c r="L545" s="167">
        <f t="shared" si="16"/>
        <v>1.4842</v>
      </c>
    </row>
    <row r="546" spans="1:14" s="147" customFormat="1" x14ac:dyDescent="0.2">
      <c r="A546" s="138"/>
      <c r="B546" s="124"/>
      <c r="C546" s="169"/>
      <c r="D546" s="157"/>
      <c r="E546" s="653" t="str">
        <f>E524</f>
        <v>BDI (%): 23,40</v>
      </c>
      <c r="F546" s="653"/>
      <c r="G546" s="653"/>
      <c r="H546" s="654">
        <f>(H544+I544+H545)*K546</f>
        <v>91.087026731999998</v>
      </c>
      <c r="I546" s="654"/>
      <c r="J546" s="144"/>
      <c r="K546" s="159">
        <v>0.23400000000000001</v>
      </c>
      <c r="L546" s="167">
        <f t="shared" si="16"/>
        <v>1.4842</v>
      </c>
    </row>
    <row r="547" spans="1:14" s="147" customFormat="1" x14ac:dyDescent="0.2">
      <c r="A547" s="138"/>
      <c r="B547" s="124"/>
      <c r="C547" s="169"/>
      <c r="D547" s="157"/>
      <c r="E547" s="653" t="str">
        <f>E525</f>
        <v>Valor Total c/ Taxas</v>
      </c>
      <c r="F547" s="653"/>
      <c r="G547" s="653"/>
      <c r="H547" s="135"/>
      <c r="I547" s="172">
        <f>(H544+I544+H545+H546)</f>
        <v>480.34782473199994</v>
      </c>
      <c r="J547" s="144"/>
      <c r="K547" s="159">
        <v>0.23400000000000001</v>
      </c>
      <c r="L547" s="167">
        <f t="shared" si="16"/>
        <v>1.4842</v>
      </c>
      <c r="N547" s="531">
        <v>480.34683999999999</v>
      </c>
    </row>
    <row r="548" spans="1:14" s="147" customFormat="1" x14ac:dyDescent="0.2">
      <c r="A548" s="138"/>
      <c r="B548" s="124"/>
      <c r="C548" s="169"/>
      <c r="D548" s="157"/>
      <c r="E548" s="132"/>
      <c r="F548" s="133"/>
      <c r="G548" s="181"/>
      <c r="H548" s="135"/>
      <c r="I548" s="135"/>
      <c r="J548" s="144"/>
      <c r="K548" s="159">
        <v>0.23400000000000001</v>
      </c>
      <c r="L548" s="167">
        <f t="shared" si="16"/>
        <v>1.4842</v>
      </c>
    </row>
    <row r="549" spans="1:14" s="147" customFormat="1" x14ac:dyDescent="0.2">
      <c r="A549" s="154"/>
      <c r="B549" s="155" t="str">
        <f>'Planilha Orçamentaria'!A80</f>
        <v>10.1</v>
      </c>
      <c r="C549" s="156" t="str">
        <f>'Planilha Orçamentaria'!C80</f>
        <v>Vidro temperado incolor e= 8mm com ferragens</v>
      </c>
      <c r="D549" s="157" t="s">
        <v>435</v>
      </c>
      <c r="E549" s="171"/>
      <c r="F549" s="133"/>
      <c r="G549" s="158"/>
      <c r="H549" s="171"/>
      <c r="I549" s="171"/>
      <c r="J549" s="144"/>
      <c r="K549" s="159">
        <v>0.23400000000000001</v>
      </c>
      <c r="L549" s="167">
        <f t="shared" si="16"/>
        <v>1.4842</v>
      </c>
    </row>
    <row r="550" spans="1:14" s="147" customFormat="1" ht="14.25" customHeight="1" x14ac:dyDescent="0.2">
      <c r="A550" s="138"/>
      <c r="B550" s="148"/>
      <c r="C550" s="169" t="str">
        <f>C549</f>
        <v>Vidro temperado incolor e= 8mm com ferragens</v>
      </c>
      <c r="D550" s="157" t="s">
        <v>435</v>
      </c>
      <c r="E550" s="135">
        <f>184.7809*N11</f>
        <v>184.7809</v>
      </c>
      <c r="F550" s="133">
        <v>211</v>
      </c>
      <c r="G550" s="158">
        <v>1</v>
      </c>
      <c r="H550" s="135"/>
      <c r="I550" s="187">
        <f>E550*G550</f>
        <v>184.7809</v>
      </c>
      <c r="J550" s="144"/>
      <c r="K550" s="159">
        <v>0.23400000000000001</v>
      </c>
      <c r="L550" s="167">
        <f t="shared" si="16"/>
        <v>1.4842</v>
      </c>
    </row>
    <row r="551" spans="1:14" s="147" customFormat="1" x14ac:dyDescent="0.2">
      <c r="A551" s="138"/>
      <c r="B551" s="124"/>
      <c r="C551" s="169" t="s">
        <v>513</v>
      </c>
      <c r="D551" s="157" t="s">
        <v>425</v>
      </c>
      <c r="E551" s="135">
        <f>5.21*N11</f>
        <v>5.21</v>
      </c>
      <c r="F551" s="133"/>
      <c r="G551" s="158">
        <v>0.9</v>
      </c>
      <c r="H551" s="135">
        <f>E551*G551</f>
        <v>4.6890000000000001</v>
      </c>
      <c r="I551" s="187"/>
      <c r="J551" s="144"/>
      <c r="K551" s="159">
        <v>0.23400000000000001</v>
      </c>
      <c r="L551" s="167">
        <f t="shared" si="16"/>
        <v>1.4842</v>
      </c>
    </row>
    <row r="552" spans="1:14" s="147" customFormat="1" x14ac:dyDescent="0.2">
      <c r="A552" s="138"/>
      <c r="B552" s="124"/>
      <c r="C552" s="169" t="s">
        <v>434</v>
      </c>
      <c r="D552" s="157" t="s">
        <v>425</v>
      </c>
      <c r="E552" s="135">
        <f>3.77*N11</f>
        <v>3.77</v>
      </c>
      <c r="F552" s="133"/>
      <c r="G552" s="158">
        <v>0.9</v>
      </c>
      <c r="H552" s="135">
        <f>E552*G552</f>
        <v>3.3930000000000002</v>
      </c>
      <c r="I552" s="187"/>
      <c r="J552" s="144"/>
      <c r="K552" s="159">
        <v>0.23400000000000001</v>
      </c>
      <c r="L552" s="167">
        <f t="shared" si="16"/>
        <v>1.4842</v>
      </c>
    </row>
    <row r="553" spans="1:14" s="147" customFormat="1" x14ac:dyDescent="0.2">
      <c r="A553" s="138"/>
      <c r="B553" s="124"/>
      <c r="C553" s="169"/>
      <c r="D553" s="157"/>
      <c r="E553" s="135"/>
      <c r="F553" s="133"/>
      <c r="G553" s="158"/>
      <c r="H553" s="135"/>
      <c r="I553" s="135"/>
      <c r="J553" s="144"/>
      <c r="K553" s="159">
        <v>0.23400000000000001</v>
      </c>
      <c r="L553" s="167">
        <f t="shared" si="16"/>
        <v>1.4842</v>
      </c>
    </row>
    <row r="554" spans="1:14" s="147" customFormat="1" x14ac:dyDescent="0.2">
      <c r="A554" s="138"/>
      <c r="B554" s="124"/>
      <c r="C554" s="169"/>
      <c r="D554" s="157"/>
      <c r="E554" s="653" t="str">
        <f>E544</f>
        <v>Custo Direto</v>
      </c>
      <c r="F554" s="653"/>
      <c r="G554" s="653"/>
      <c r="H554" s="172">
        <f>SUM(H550:H553)</f>
        <v>8.0820000000000007</v>
      </c>
      <c r="I554" s="172">
        <f>SUM(I550:I553)</f>
        <v>184.7809</v>
      </c>
      <c r="J554" s="144"/>
      <c r="K554" s="159">
        <v>0.23400000000000001</v>
      </c>
      <c r="L554" s="167">
        <f t="shared" si="16"/>
        <v>1.4842</v>
      </c>
    </row>
    <row r="555" spans="1:14" s="147" customFormat="1" x14ac:dyDescent="0.2">
      <c r="A555" s="138"/>
      <c r="B555" s="124"/>
      <c r="C555" s="169"/>
      <c r="D555" s="157"/>
      <c r="E555" s="653" t="str">
        <f>E545</f>
        <v>LS(%): 148,42</v>
      </c>
      <c r="F555" s="653"/>
      <c r="G555" s="653"/>
      <c r="H555" s="135">
        <f>H554*L555</f>
        <v>11.9953044</v>
      </c>
      <c r="I555" s="141"/>
      <c r="J555" s="144"/>
      <c r="K555" s="159">
        <v>0.23400000000000001</v>
      </c>
      <c r="L555" s="167">
        <f t="shared" si="16"/>
        <v>1.4842</v>
      </c>
    </row>
    <row r="556" spans="1:14" s="147" customFormat="1" x14ac:dyDescent="0.2">
      <c r="A556" s="138"/>
      <c r="B556" s="124"/>
      <c r="C556" s="169"/>
      <c r="D556" s="157"/>
      <c r="E556" s="653" t="str">
        <f>E546</f>
        <v>BDI (%): 23,40</v>
      </c>
      <c r="F556" s="653"/>
      <c r="G556" s="653"/>
      <c r="H556" s="654">
        <f>(H554+I554+H555)*K556</f>
        <v>47.936819829600005</v>
      </c>
      <c r="I556" s="654"/>
      <c r="J556" s="144"/>
      <c r="K556" s="159">
        <v>0.23400000000000001</v>
      </c>
      <c r="L556" s="167">
        <f t="shared" si="16"/>
        <v>1.4842</v>
      </c>
    </row>
    <row r="557" spans="1:14" s="147" customFormat="1" x14ac:dyDescent="0.2">
      <c r="A557" s="138"/>
      <c r="B557" s="124"/>
      <c r="C557" s="169"/>
      <c r="D557" s="157"/>
      <c r="E557" s="653" t="str">
        <f>E547</f>
        <v>Valor Total c/ Taxas</v>
      </c>
      <c r="F557" s="653"/>
      <c r="G557" s="653"/>
      <c r="H557" s="135"/>
      <c r="I557" s="172">
        <f>(H554+I554+H555+H556)</f>
        <v>252.79502422960002</v>
      </c>
      <c r="J557" s="144"/>
      <c r="K557" s="159">
        <v>0.23400000000000001</v>
      </c>
      <c r="L557" s="167">
        <f t="shared" ref="L557:L614" si="17">L556</f>
        <v>1.4842</v>
      </c>
      <c r="N557" s="531">
        <v>252.79724000000002</v>
      </c>
    </row>
    <row r="558" spans="1:14" s="147" customFormat="1" hidden="1" x14ac:dyDescent="0.2">
      <c r="A558" s="138"/>
      <c r="B558" s="124"/>
      <c r="C558" s="169"/>
      <c r="D558" s="157"/>
      <c r="E558" s="132"/>
      <c r="F558" s="133"/>
      <c r="G558" s="181"/>
      <c r="H558" s="135"/>
      <c r="I558" s="135"/>
      <c r="J558" s="144"/>
      <c r="K558" s="159">
        <v>0.23400000000000001</v>
      </c>
      <c r="L558" s="167">
        <f t="shared" si="17"/>
        <v>1.4842</v>
      </c>
    </row>
    <row r="559" spans="1:14" s="147" customFormat="1" x14ac:dyDescent="0.2">
      <c r="A559" s="138"/>
      <c r="B559" s="124"/>
      <c r="C559" s="169"/>
      <c r="D559" s="157"/>
      <c r="E559" s="132"/>
      <c r="F559" s="133"/>
      <c r="G559" s="181"/>
      <c r="H559" s="135"/>
      <c r="I559" s="135"/>
      <c r="J559" s="144"/>
      <c r="K559" s="159">
        <v>0.23400000000000001</v>
      </c>
      <c r="L559" s="167">
        <f t="shared" si="17"/>
        <v>1.4842</v>
      </c>
    </row>
    <row r="560" spans="1:14" s="147" customFormat="1" x14ac:dyDescent="0.2">
      <c r="A560" s="154"/>
      <c r="B560" s="155" t="str">
        <f>'Planilha Orçamentaria'!A84</f>
        <v>11.1.1</v>
      </c>
      <c r="C560" s="156" t="str">
        <f>'Planilha Orçamentaria'!C84</f>
        <v>Fechadura para porta de banheiro</v>
      </c>
      <c r="D560" s="157" t="str">
        <f>'Planilha Orçamentaria'!D84</f>
        <v>UN</v>
      </c>
      <c r="E560" s="171"/>
      <c r="F560" s="133"/>
      <c r="G560" s="158"/>
      <c r="H560" s="171"/>
      <c r="I560" s="171"/>
      <c r="J560" s="144"/>
      <c r="K560" s="159">
        <v>0.23400000000000001</v>
      </c>
      <c r="L560" s="167">
        <f t="shared" si="17"/>
        <v>1.4842</v>
      </c>
    </row>
    <row r="561" spans="1:14" s="147" customFormat="1" ht="14.25" customHeight="1" x14ac:dyDescent="0.2">
      <c r="A561" s="138"/>
      <c r="B561" s="148"/>
      <c r="C561" s="169" t="str">
        <f>C560</f>
        <v>Fechadura para porta de banheiro</v>
      </c>
      <c r="D561" s="157" t="str">
        <f>D560</f>
        <v>UN</v>
      </c>
      <c r="E561" s="135">
        <f>33.503*N11</f>
        <v>33.503</v>
      </c>
      <c r="F561" s="133">
        <v>290</v>
      </c>
      <c r="G561" s="158">
        <v>1</v>
      </c>
      <c r="H561" s="135"/>
      <c r="I561" s="187">
        <f>E561*G561</f>
        <v>33.503</v>
      </c>
      <c r="J561" s="144"/>
      <c r="K561" s="159">
        <v>0.23400000000000001</v>
      </c>
      <c r="L561" s="167">
        <f t="shared" si="17"/>
        <v>1.4842</v>
      </c>
    </row>
    <row r="562" spans="1:14" s="147" customFormat="1" x14ac:dyDescent="0.2">
      <c r="A562" s="138"/>
      <c r="B562" s="124"/>
      <c r="C562" s="169" t="s">
        <v>521</v>
      </c>
      <c r="D562" s="157" t="s">
        <v>425</v>
      </c>
      <c r="E562" s="135">
        <f>5.21*N11</f>
        <v>5.21</v>
      </c>
      <c r="F562" s="133"/>
      <c r="G562" s="158">
        <v>0.8</v>
      </c>
      <c r="H562" s="135">
        <f>E562*G562</f>
        <v>4.1680000000000001</v>
      </c>
      <c r="I562" s="187"/>
      <c r="J562" s="144"/>
      <c r="K562" s="159">
        <v>0.23400000000000001</v>
      </c>
      <c r="L562" s="167">
        <f t="shared" si="17"/>
        <v>1.4842</v>
      </c>
    </row>
    <row r="563" spans="1:14" s="147" customFormat="1" x14ac:dyDescent="0.2">
      <c r="A563" s="138"/>
      <c r="B563" s="124"/>
      <c r="C563" s="169" t="s">
        <v>434</v>
      </c>
      <c r="D563" s="157" t="s">
        <v>425</v>
      </c>
      <c r="E563" s="135">
        <f>3.77*N11</f>
        <v>3.77</v>
      </c>
      <c r="F563" s="133"/>
      <c r="G563" s="158">
        <v>1.2</v>
      </c>
      <c r="H563" s="135">
        <f>E563*G563</f>
        <v>4.524</v>
      </c>
      <c r="I563" s="187"/>
      <c r="J563" s="144"/>
      <c r="K563" s="159">
        <v>0.23400000000000001</v>
      </c>
      <c r="L563" s="167">
        <f t="shared" si="17"/>
        <v>1.4842</v>
      </c>
    </row>
    <row r="564" spans="1:14" s="147" customFormat="1" x14ac:dyDescent="0.2">
      <c r="A564" s="138"/>
      <c r="B564" s="124"/>
      <c r="C564" s="169"/>
      <c r="D564" s="157"/>
      <c r="E564" s="653"/>
      <c r="F564" s="653"/>
      <c r="G564" s="653"/>
      <c r="H564" s="135"/>
      <c r="I564" s="135"/>
      <c r="J564" s="144"/>
      <c r="K564" s="159">
        <v>0.23400000000000001</v>
      </c>
      <c r="L564" s="167">
        <f t="shared" si="17"/>
        <v>1.4842</v>
      </c>
    </row>
    <row r="565" spans="1:14" s="147" customFormat="1" x14ac:dyDescent="0.2">
      <c r="A565" s="138"/>
      <c r="B565" s="124"/>
      <c r="C565" s="169"/>
      <c r="D565" s="157"/>
      <c r="E565" s="653" t="str">
        <f>E554</f>
        <v>Custo Direto</v>
      </c>
      <c r="F565" s="653"/>
      <c r="G565" s="653"/>
      <c r="H565" s="172">
        <f>SUM(H561:H564)</f>
        <v>8.6920000000000002</v>
      </c>
      <c r="I565" s="172">
        <f>SUM(I561:I564)</f>
        <v>33.503</v>
      </c>
      <c r="J565" s="144"/>
      <c r="K565" s="159">
        <v>0.23400000000000001</v>
      </c>
      <c r="L565" s="167">
        <f t="shared" si="17"/>
        <v>1.4842</v>
      </c>
    </row>
    <row r="566" spans="1:14" s="147" customFormat="1" x14ac:dyDescent="0.2">
      <c r="A566" s="138"/>
      <c r="B566" s="124"/>
      <c r="C566" s="169"/>
      <c r="D566" s="157"/>
      <c r="E566" s="653" t="str">
        <f>E555</f>
        <v>LS(%): 148,42</v>
      </c>
      <c r="F566" s="653"/>
      <c r="G566" s="653"/>
      <c r="H566" s="135">
        <f>H565*L566</f>
        <v>12.9006664</v>
      </c>
      <c r="I566" s="141"/>
      <c r="J566" s="144"/>
      <c r="K566" s="159">
        <v>0.23400000000000001</v>
      </c>
      <c r="L566" s="167">
        <f t="shared" si="17"/>
        <v>1.4842</v>
      </c>
    </row>
    <row r="567" spans="1:14" s="147" customFormat="1" x14ac:dyDescent="0.2">
      <c r="A567" s="138"/>
      <c r="B567" s="124"/>
      <c r="C567" s="169"/>
      <c r="D567" s="157"/>
      <c r="E567" s="653" t="str">
        <f>E556</f>
        <v>BDI (%): 23,40</v>
      </c>
      <c r="F567" s="653"/>
      <c r="G567" s="653"/>
      <c r="H567" s="654">
        <f>(H565+I565+H566)*K567</f>
        <v>12.8923859376</v>
      </c>
      <c r="I567" s="654"/>
      <c r="J567" s="144"/>
      <c r="K567" s="159">
        <v>0.23400000000000001</v>
      </c>
      <c r="L567" s="167">
        <f t="shared" si="17"/>
        <v>1.4842</v>
      </c>
    </row>
    <row r="568" spans="1:14" s="147" customFormat="1" x14ac:dyDescent="0.2">
      <c r="A568" s="138"/>
      <c r="B568" s="124"/>
      <c r="C568" s="169"/>
      <c r="D568" s="157"/>
      <c r="E568" s="653" t="str">
        <f>E557</f>
        <v>Valor Total c/ Taxas</v>
      </c>
      <c r="F568" s="653"/>
      <c r="G568" s="653"/>
      <c r="H568" s="135"/>
      <c r="I568" s="172">
        <f>(H565+I565+H566+H567)</f>
        <v>67.988052337599996</v>
      </c>
      <c r="J568" s="144"/>
      <c r="K568" s="159">
        <v>0.23400000000000001</v>
      </c>
      <c r="L568" s="167">
        <f t="shared" si="17"/>
        <v>1.4842</v>
      </c>
      <c r="N568" s="531">
        <v>67.993399999999994</v>
      </c>
    </row>
    <row r="569" spans="1:14" s="147" customFormat="1" x14ac:dyDescent="0.2">
      <c r="A569" s="138"/>
      <c r="B569" s="124"/>
      <c r="C569" s="169"/>
      <c r="D569" s="157"/>
      <c r="E569" s="132"/>
      <c r="F569" s="133"/>
      <c r="G569" s="181"/>
      <c r="H569" s="135"/>
      <c r="I569" s="135"/>
      <c r="J569" s="144"/>
      <c r="K569" s="159">
        <v>0.23400000000000001</v>
      </c>
      <c r="L569" s="167">
        <f t="shared" si="17"/>
        <v>1.4842</v>
      </c>
    </row>
    <row r="570" spans="1:14" s="217" customFormat="1" x14ac:dyDescent="0.2">
      <c r="A570" s="188"/>
      <c r="B570" s="155" t="str">
        <f>'Planilha Orçamentaria'!A85</f>
        <v>11.1.2</v>
      </c>
      <c r="C570" s="156" t="str">
        <f>orçamento!D105</f>
        <v>Fechadura de embutir completa, para portas internas</v>
      </c>
      <c r="D570" s="157" t="str">
        <f>'Planilha Orçamentaria'!D85</f>
        <v>UN</v>
      </c>
      <c r="E570" s="135"/>
      <c r="F570" s="133"/>
      <c r="G570" s="158"/>
      <c r="H570" s="135"/>
      <c r="I570" s="135"/>
      <c r="J570" s="216"/>
      <c r="K570" s="159">
        <v>0.23400000000000001</v>
      </c>
      <c r="L570" s="167">
        <f t="shared" si="17"/>
        <v>1.4842</v>
      </c>
    </row>
    <row r="571" spans="1:14" s="147" customFormat="1" x14ac:dyDescent="0.2">
      <c r="A571" s="138"/>
      <c r="B571" s="124"/>
      <c r="C571" s="169" t="s">
        <v>512</v>
      </c>
      <c r="D571" s="157" t="s">
        <v>435</v>
      </c>
      <c r="E571" s="135">
        <f>34.09*N11</f>
        <v>34.090000000000003</v>
      </c>
      <c r="F571" s="133">
        <v>58.56</v>
      </c>
      <c r="G571" s="158">
        <v>1</v>
      </c>
      <c r="H571" s="135"/>
      <c r="I571" s="135">
        <f>E571*G571</f>
        <v>34.090000000000003</v>
      </c>
      <c r="J571" s="144"/>
      <c r="K571" s="159">
        <v>0.23400000000000001</v>
      </c>
      <c r="L571" s="167">
        <f t="shared" si="17"/>
        <v>1.4842</v>
      </c>
    </row>
    <row r="572" spans="1:14" s="147" customFormat="1" x14ac:dyDescent="0.2">
      <c r="A572" s="138"/>
      <c r="B572" s="124"/>
      <c r="C572" s="169" t="s">
        <v>521</v>
      </c>
      <c r="D572" s="157" t="s">
        <v>425</v>
      </c>
      <c r="E572" s="135">
        <f>5.21*N11</f>
        <v>5.21</v>
      </c>
      <c r="F572" s="133"/>
      <c r="G572" s="158">
        <v>1</v>
      </c>
      <c r="H572" s="135">
        <f>E572*G572</f>
        <v>5.21</v>
      </c>
      <c r="I572" s="187"/>
      <c r="J572" s="144"/>
      <c r="K572" s="159">
        <v>0.23400000000000001</v>
      </c>
      <c r="L572" s="167">
        <f t="shared" si="17"/>
        <v>1.4842</v>
      </c>
    </row>
    <row r="573" spans="1:14" s="147" customFormat="1" x14ac:dyDescent="0.2">
      <c r="A573" s="138"/>
      <c r="B573" s="124"/>
      <c r="C573" s="169" t="s">
        <v>489</v>
      </c>
      <c r="D573" s="157" t="s">
        <v>425</v>
      </c>
      <c r="E573" s="135">
        <f>3.77*N11</f>
        <v>3.77</v>
      </c>
      <c r="F573" s="133"/>
      <c r="G573" s="158">
        <v>1</v>
      </c>
      <c r="H573" s="135">
        <f>E573*G573</f>
        <v>3.77</v>
      </c>
      <c r="I573" s="187"/>
      <c r="J573" s="144"/>
      <c r="K573" s="159">
        <v>0.23400000000000001</v>
      </c>
      <c r="L573" s="167">
        <f t="shared" si="17"/>
        <v>1.4842</v>
      </c>
    </row>
    <row r="574" spans="1:14" s="147" customFormat="1" x14ac:dyDescent="0.2">
      <c r="A574" s="138"/>
      <c r="B574" s="124"/>
      <c r="C574" s="169"/>
      <c r="D574" s="157"/>
      <c r="E574" s="135"/>
      <c r="F574" s="133"/>
      <c r="G574" s="158"/>
      <c r="H574" s="135"/>
      <c r="I574" s="135"/>
      <c r="J574" s="144"/>
      <c r="K574" s="159">
        <v>0.23400000000000001</v>
      </c>
      <c r="L574" s="167">
        <f t="shared" si="17"/>
        <v>1.4842</v>
      </c>
    </row>
    <row r="575" spans="1:14" s="147" customFormat="1" x14ac:dyDescent="0.2">
      <c r="A575" s="138"/>
      <c r="B575" s="124"/>
      <c r="C575" s="169"/>
      <c r="D575" s="157"/>
      <c r="E575" s="653" t="str">
        <f>E565</f>
        <v>Custo Direto</v>
      </c>
      <c r="F575" s="653"/>
      <c r="G575" s="653"/>
      <c r="H575" s="172">
        <f>SUM(H571:H574)</f>
        <v>8.98</v>
      </c>
      <c r="I575" s="172">
        <f>SUM(I571:I574)</f>
        <v>34.090000000000003</v>
      </c>
      <c r="J575" s="144"/>
      <c r="K575" s="159">
        <v>0.23400000000000001</v>
      </c>
      <c r="L575" s="167">
        <f t="shared" si="17"/>
        <v>1.4842</v>
      </c>
    </row>
    <row r="576" spans="1:14" s="147" customFormat="1" x14ac:dyDescent="0.2">
      <c r="A576" s="138"/>
      <c r="B576" s="124"/>
      <c r="C576" s="169"/>
      <c r="D576" s="157"/>
      <c r="E576" s="653" t="str">
        <f>E566</f>
        <v>LS(%): 148,42</v>
      </c>
      <c r="F576" s="653"/>
      <c r="G576" s="653"/>
      <c r="H576" s="135">
        <f>H575*L576</f>
        <v>13.328116</v>
      </c>
      <c r="I576" s="141"/>
      <c r="J576" s="144"/>
      <c r="K576" s="159">
        <v>0.23400000000000001</v>
      </c>
      <c r="L576" s="167">
        <f t="shared" si="17"/>
        <v>1.4842</v>
      </c>
    </row>
    <row r="577" spans="1:14" s="147" customFormat="1" x14ac:dyDescent="0.2">
      <c r="A577" s="138"/>
      <c r="B577" s="124"/>
      <c r="C577" s="169"/>
      <c r="D577" s="157"/>
      <c r="E577" s="653" t="str">
        <f>E567</f>
        <v>BDI (%): 23,40</v>
      </c>
      <c r="F577" s="653"/>
      <c r="G577" s="653"/>
      <c r="H577" s="654">
        <f>(H575+I575+H576)*K577</f>
        <v>13.197159144000002</v>
      </c>
      <c r="I577" s="654"/>
      <c r="J577" s="144"/>
      <c r="K577" s="159">
        <v>0.23400000000000001</v>
      </c>
      <c r="L577" s="167">
        <f t="shared" si="17"/>
        <v>1.4842</v>
      </c>
    </row>
    <row r="578" spans="1:14" s="147" customFormat="1" x14ac:dyDescent="0.2">
      <c r="A578" s="138"/>
      <c r="B578" s="124"/>
      <c r="C578" s="169"/>
      <c r="D578" s="157"/>
      <c r="E578" s="653" t="str">
        <f>E568</f>
        <v>Valor Total c/ Taxas</v>
      </c>
      <c r="F578" s="653"/>
      <c r="G578" s="653"/>
      <c r="H578" s="135"/>
      <c r="I578" s="172">
        <f>(H575+I575+H576+H577)</f>
        <v>69.595275144000013</v>
      </c>
      <c r="J578" s="144"/>
      <c r="K578" s="159">
        <v>0.23400000000000001</v>
      </c>
      <c r="L578" s="167">
        <f t="shared" si="17"/>
        <v>1.4842</v>
      </c>
      <c r="N578" s="531">
        <v>69.5976</v>
      </c>
    </row>
    <row r="579" spans="1:14" s="147" customFormat="1" hidden="1" x14ac:dyDescent="0.2">
      <c r="A579" s="138"/>
      <c r="B579" s="124"/>
      <c r="C579" s="169"/>
      <c r="D579" s="157"/>
      <c r="E579" s="132"/>
      <c r="F579" s="133"/>
      <c r="G579" s="181"/>
      <c r="H579" s="135"/>
      <c r="I579" s="135"/>
      <c r="J579" s="144"/>
      <c r="K579" s="159">
        <v>0.23400000000000001</v>
      </c>
      <c r="L579" s="167">
        <f t="shared" si="17"/>
        <v>1.4842</v>
      </c>
    </row>
    <row r="580" spans="1:14" s="147" customFormat="1" x14ac:dyDescent="0.2">
      <c r="A580" s="138"/>
      <c r="B580" s="124"/>
      <c r="C580" s="169"/>
      <c r="D580" s="157"/>
      <c r="E580" s="132"/>
      <c r="F580" s="133"/>
      <c r="G580" s="181"/>
      <c r="H580" s="135"/>
      <c r="I580" s="135"/>
      <c r="J580" s="144"/>
      <c r="K580" s="159">
        <v>0.23400000000000001</v>
      </c>
      <c r="L580" s="167">
        <f t="shared" si="17"/>
        <v>1.4842</v>
      </c>
    </row>
    <row r="581" spans="1:14" s="217" customFormat="1" x14ac:dyDescent="0.2">
      <c r="A581" s="188"/>
      <c r="B581" s="155" t="str">
        <f>'Planilha Orçamentaria'!A86</f>
        <v>11.1.3</v>
      </c>
      <c r="C581" s="156" t="str">
        <f>'Planilha Orçamentaria'!C86</f>
        <v>Ferragens p/ porta de banheiro</v>
      </c>
      <c r="D581" s="157" t="str">
        <f>'Planilha Orçamentaria'!D86</f>
        <v>CJ</v>
      </c>
      <c r="E581" s="135"/>
      <c r="F581" s="133"/>
      <c r="G581" s="158"/>
      <c r="H581" s="135"/>
      <c r="I581" s="135"/>
      <c r="J581" s="216"/>
      <c r="K581" s="159">
        <v>0.23400000000000001</v>
      </c>
      <c r="L581" s="167">
        <f t="shared" si="17"/>
        <v>1.4842</v>
      </c>
    </row>
    <row r="582" spans="1:14" s="147" customFormat="1" x14ac:dyDescent="0.2">
      <c r="A582" s="138"/>
      <c r="B582" s="148"/>
      <c r="C582" s="169" t="str">
        <f>C581</f>
        <v>Ferragens p/ porta de banheiro</v>
      </c>
      <c r="D582" s="157" t="str">
        <f>D581</f>
        <v>CJ</v>
      </c>
      <c r="E582" s="135">
        <f>66.21*N11</f>
        <v>66.209999999999994</v>
      </c>
      <c r="F582" s="133">
        <v>230</v>
      </c>
      <c r="G582" s="158">
        <v>1</v>
      </c>
      <c r="H582" s="135"/>
      <c r="I582" s="135">
        <f>E582*G582</f>
        <v>66.209999999999994</v>
      </c>
      <c r="J582" s="144"/>
      <c r="K582" s="159">
        <v>0.23400000000000001</v>
      </c>
      <c r="L582" s="167">
        <f t="shared" si="17"/>
        <v>1.4842</v>
      </c>
    </row>
    <row r="583" spans="1:14" s="147" customFormat="1" x14ac:dyDescent="0.2">
      <c r="A583" s="138"/>
      <c r="B583" s="124"/>
      <c r="C583" s="169" t="s">
        <v>521</v>
      </c>
      <c r="D583" s="157" t="s">
        <v>425</v>
      </c>
      <c r="E583" s="135">
        <f>5.21*N11</f>
        <v>5.21</v>
      </c>
      <c r="F583" s="133"/>
      <c r="G583" s="158">
        <v>1.3</v>
      </c>
      <c r="H583" s="135">
        <f>E583*G583</f>
        <v>6.7730000000000006</v>
      </c>
      <c r="I583" s="187"/>
      <c r="J583" s="144"/>
      <c r="K583" s="159">
        <v>0.23400000000000001</v>
      </c>
      <c r="L583" s="167">
        <f t="shared" si="17"/>
        <v>1.4842</v>
      </c>
    </row>
    <row r="584" spans="1:14" s="147" customFormat="1" x14ac:dyDescent="0.2">
      <c r="A584" s="138"/>
      <c r="B584" s="124"/>
      <c r="C584" s="169" t="s">
        <v>489</v>
      </c>
      <c r="D584" s="157" t="s">
        <v>425</v>
      </c>
      <c r="E584" s="135">
        <f>3.77*N11</f>
        <v>3.77</v>
      </c>
      <c r="F584" s="133"/>
      <c r="G584" s="158">
        <v>2.2000000000000002</v>
      </c>
      <c r="H584" s="135">
        <f>E584*G584</f>
        <v>8.2940000000000005</v>
      </c>
      <c r="I584" s="187"/>
      <c r="J584" s="144"/>
      <c r="K584" s="159">
        <v>0.23400000000000001</v>
      </c>
      <c r="L584" s="167">
        <f t="shared" si="17"/>
        <v>1.4842</v>
      </c>
    </row>
    <row r="585" spans="1:14" s="147" customFormat="1" x14ac:dyDescent="0.2">
      <c r="A585" s="138"/>
      <c r="B585" s="124"/>
      <c r="C585" s="169"/>
      <c r="D585" s="157"/>
      <c r="E585" s="135"/>
      <c r="F585" s="133"/>
      <c r="G585" s="158"/>
      <c r="H585" s="135"/>
      <c r="I585" s="135"/>
      <c r="J585" s="144"/>
      <c r="K585" s="159">
        <v>0.23400000000000001</v>
      </c>
      <c r="L585" s="167">
        <f t="shared" si="17"/>
        <v>1.4842</v>
      </c>
    </row>
    <row r="586" spans="1:14" s="147" customFormat="1" x14ac:dyDescent="0.2">
      <c r="A586" s="138"/>
      <c r="B586" s="124"/>
      <c r="C586" s="169"/>
      <c r="D586" s="157"/>
      <c r="E586" s="653" t="str">
        <f>E575</f>
        <v>Custo Direto</v>
      </c>
      <c r="F586" s="653"/>
      <c r="G586" s="653"/>
      <c r="H586" s="172">
        <f>SUM(H582:H585)</f>
        <v>15.067</v>
      </c>
      <c r="I586" s="172">
        <f>SUM(I582:I585)</f>
        <v>66.209999999999994</v>
      </c>
      <c r="J586" s="144"/>
      <c r="K586" s="159">
        <v>0.23400000000000001</v>
      </c>
      <c r="L586" s="167">
        <f t="shared" si="17"/>
        <v>1.4842</v>
      </c>
    </row>
    <row r="587" spans="1:14" s="147" customFormat="1" x14ac:dyDescent="0.2">
      <c r="A587" s="138"/>
      <c r="B587" s="124"/>
      <c r="C587" s="169"/>
      <c r="D587" s="157"/>
      <c r="E587" s="653" t="str">
        <f>E576</f>
        <v>LS(%): 148,42</v>
      </c>
      <c r="F587" s="653"/>
      <c r="G587" s="653"/>
      <c r="H587" s="135">
        <f>H586*L587</f>
        <v>22.362441399999998</v>
      </c>
      <c r="I587" s="141"/>
      <c r="J587" s="144"/>
      <c r="K587" s="159">
        <v>0.23400000000000001</v>
      </c>
      <c r="L587" s="167">
        <f t="shared" si="17"/>
        <v>1.4842</v>
      </c>
    </row>
    <row r="588" spans="1:14" s="147" customFormat="1" x14ac:dyDescent="0.2">
      <c r="A588" s="138"/>
      <c r="B588" s="124"/>
      <c r="C588" s="169"/>
      <c r="D588" s="157"/>
      <c r="E588" s="653" t="str">
        <f>E577</f>
        <v>BDI (%): 23,40</v>
      </c>
      <c r="F588" s="653"/>
      <c r="G588" s="653"/>
      <c r="H588" s="654">
        <f>(H586+I586+H587)*K588</f>
        <v>24.251629287599997</v>
      </c>
      <c r="I588" s="654"/>
      <c r="J588" s="144"/>
      <c r="K588" s="159">
        <v>0.23400000000000001</v>
      </c>
      <c r="L588" s="167">
        <f t="shared" si="17"/>
        <v>1.4842</v>
      </c>
    </row>
    <row r="589" spans="1:14" s="147" customFormat="1" x14ac:dyDescent="0.2">
      <c r="A589" s="138"/>
      <c r="B589" s="124"/>
      <c r="C589" s="169"/>
      <c r="D589" s="157"/>
      <c r="E589" s="653" t="str">
        <f>E578</f>
        <v>Valor Total c/ Taxas</v>
      </c>
      <c r="F589" s="653"/>
      <c r="G589" s="653"/>
      <c r="H589" s="135"/>
      <c r="I589" s="218">
        <f>H588+I586+H586+H587</f>
        <v>127.89107068759998</v>
      </c>
      <c r="J589" s="144"/>
      <c r="K589" s="159">
        <v>0.23400000000000001</v>
      </c>
      <c r="L589" s="167">
        <f t="shared" si="17"/>
        <v>1.4842</v>
      </c>
      <c r="N589" s="531">
        <v>127.89176</v>
      </c>
    </row>
    <row r="590" spans="1:14" s="147" customFormat="1" x14ac:dyDescent="0.2">
      <c r="A590" s="138"/>
      <c r="B590" s="124"/>
      <c r="C590" s="169"/>
      <c r="D590" s="157"/>
      <c r="E590" s="135"/>
      <c r="F590" s="133"/>
      <c r="G590" s="158"/>
      <c r="H590" s="135"/>
      <c r="I590" s="172"/>
      <c r="J590" s="144"/>
      <c r="K590" s="159">
        <v>0.23400000000000001</v>
      </c>
      <c r="L590" s="167">
        <f t="shared" si="17"/>
        <v>1.4842</v>
      </c>
    </row>
    <row r="591" spans="1:14" s="147" customFormat="1" x14ac:dyDescent="0.2">
      <c r="A591" s="138"/>
      <c r="B591" s="124"/>
      <c r="C591" s="169"/>
      <c r="D591" s="157"/>
      <c r="E591" s="135"/>
      <c r="F591" s="133"/>
      <c r="G591" s="158"/>
      <c r="H591" s="135"/>
      <c r="I591" s="172"/>
      <c r="J591" s="144"/>
      <c r="K591" s="159">
        <v>0.23400000000000001</v>
      </c>
      <c r="L591" s="167">
        <f t="shared" si="17"/>
        <v>1.4842</v>
      </c>
    </row>
    <row r="592" spans="1:14" s="217" customFormat="1" x14ac:dyDescent="0.2">
      <c r="A592" s="188"/>
      <c r="B592" s="155" t="str">
        <f>'Planilha Orçamentaria'!A87</f>
        <v>11.1.4</v>
      </c>
      <c r="C592" s="156" t="str">
        <f>'Planilha Orçamentaria'!C87</f>
        <v>Ferragens p/ porta interna 1 fl.</v>
      </c>
      <c r="D592" s="157" t="str">
        <f>'Planilha Orçamentaria'!D87</f>
        <v>CJ</v>
      </c>
      <c r="E592" s="135"/>
      <c r="F592" s="133"/>
      <c r="G592" s="158"/>
      <c r="H592" s="135"/>
      <c r="I592" s="135"/>
      <c r="J592" s="216"/>
      <c r="K592" s="159">
        <v>0.23400000000000001</v>
      </c>
      <c r="L592" s="167">
        <f t="shared" si="17"/>
        <v>1.4842</v>
      </c>
    </row>
    <row r="593" spans="1:14" s="147" customFormat="1" x14ac:dyDescent="0.2">
      <c r="A593" s="138"/>
      <c r="B593" s="148"/>
      <c r="C593" s="169" t="str">
        <f>C592</f>
        <v>Ferragens p/ porta interna 1 fl.</v>
      </c>
      <c r="D593" s="157" t="str">
        <f>D592</f>
        <v>CJ</v>
      </c>
      <c r="E593" s="135">
        <f>67.51*N11</f>
        <v>67.510000000000005</v>
      </c>
      <c r="F593" s="133">
        <v>270</v>
      </c>
      <c r="G593" s="158">
        <v>1</v>
      </c>
      <c r="H593" s="135"/>
      <c r="I593" s="135">
        <f>E593*G593</f>
        <v>67.510000000000005</v>
      </c>
      <c r="J593" s="144"/>
      <c r="K593" s="159">
        <v>0.23400000000000001</v>
      </c>
      <c r="L593" s="167">
        <f t="shared" si="17"/>
        <v>1.4842</v>
      </c>
    </row>
    <row r="594" spans="1:14" s="147" customFormat="1" x14ac:dyDescent="0.2">
      <c r="A594" s="138"/>
      <c r="B594" s="124"/>
      <c r="C594" s="169" t="s">
        <v>521</v>
      </c>
      <c r="D594" s="157" t="s">
        <v>425</v>
      </c>
      <c r="E594" s="135">
        <f>5.21*N11</f>
        <v>5.21</v>
      </c>
      <c r="F594" s="133"/>
      <c r="G594" s="143">
        <v>1.3</v>
      </c>
      <c r="H594" s="135">
        <f>E594*G594</f>
        <v>6.7730000000000006</v>
      </c>
      <c r="I594" s="187"/>
      <c r="J594" s="144"/>
      <c r="K594" s="159">
        <v>0.23400000000000001</v>
      </c>
      <c r="L594" s="167">
        <f t="shared" si="17"/>
        <v>1.4842</v>
      </c>
    </row>
    <row r="595" spans="1:14" s="147" customFormat="1" x14ac:dyDescent="0.2">
      <c r="A595" s="138"/>
      <c r="B595" s="124"/>
      <c r="C595" s="169" t="s">
        <v>489</v>
      </c>
      <c r="D595" s="157" t="s">
        <v>425</v>
      </c>
      <c r="E595" s="135">
        <f>3.77*N11</f>
        <v>3.77</v>
      </c>
      <c r="F595" s="133"/>
      <c r="G595" s="143">
        <v>2.2000000000000002</v>
      </c>
      <c r="H595" s="135">
        <f>E595*G595</f>
        <v>8.2940000000000005</v>
      </c>
      <c r="I595" s="187"/>
      <c r="J595" s="144"/>
      <c r="K595" s="159">
        <v>0.23400000000000001</v>
      </c>
      <c r="L595" s="167">
        <f t="shared" si="17"/>
        <v>1.4842</v>
      </c>
    </row>
    <row r="596" spans="1:14" s="147" customFormat="1" x14ac:dyDescent="0.2">
      <c r="A596" s="138"/>
      <c r="B596" s="124"/>
      <c r="C596" s="169"/>
      <c r="D596" s="157"/>
      <c r="E596" s="135"/>
      <c r="F596" s="133"/>
      <c r="G596" s="158"/>
      <c r="H596" s="135"/>
      <c r="I596" s="135"/>
      <c r="J596" s="144"/>
      <c r="K596" s="159">
        <v>0.23400000000000001</v>
      </c>
      <c r="L596" s="167">
        <f t="shared" si="17"/>
        <v>1.4842</v>
      </c>
    </row>
    <row r="597" spans="1:14" s="147" customFormat="1" x14ac:dyDescent="0.2">
      <c r="A597" s="138"/>
      <c r="B597" s="124"/>
      <c r="C597" s="169"/>
      <c r="D597" s="157"/>
      <c r="E597" s="653" t="str">
        <f>E586</f>
        <v>Custo Direto</v>
      </c>
      <c r="F597" s="653"/>
      <c r="G597" s="653"/>
      <c r="H597" s="172">
        <f>SUM(H593:H596)</f>
        <v>15.067</v>
      </c>
      <c r="I597" s="172">
        <f>SUM(I593:I596)</f>
        <v>67.510000000000005</v>
      </c>
      <c r="J597" s="144"/>
      <c r="K597" s="159">
        <v>0.23400000000000001</v>
      </c>
      <c r="L597" s="167">
        <f t="shared" si="17"/>
        <v>1.4842</v>
      </c>
    </row>
    <row r="598" spans="1:14" s="147" customFormat="1" x14ac:dyDescent="0.2">
      <c r="A598" s="138"/>
      <c r="B598" s="124"/>
      <c r="C598" s="169"/>
      <c r="D598" s="157"/>
      <c r="E598" s="653" t="str">
        <f>E587</f>
        <v>LS(%): 148,42</v>
      </c>
      <c r="F598" s="653"/>
      <c r="G598" s="653"/>
      <c r="H598" s="135">
        <f>H597*L598</f>
        <v>22.362441399999998</v>
      </c>
      <c r="I598" s="141"/>
      <c r="J598" s="144"/>
      <c r="K598" s="159">
        <v>0.23400000000000001</v>
      </c>
      <c r="L598" s="167">
        <f t="shared" si="17"/>
        <v>1.4842</v>
      </c>
    </row>
    <row r="599" spans="1:14" s="147" customFormat="1" x14ac:dyDescent="0.2">
      <c r="A599" s="138"/>
      <c r="B599" s="124"/>
      <c r="C599" s="169"/>
      <c r="D599" s="157"/>
      <c r="E599" s="653" t="str">
        <f>E588</f>
        <v>BDI (%): 23,40</v>
      </c>
      <c r="F599" s="653"/>
      <c r="G599" s="653"/>
      <c r="H599" s="654">
        <f>(H597+I597+H598)*K599</f>
        <v>24.555829287599998</v>
      </c>
      <c r="I599" s="654"/>
      <c r="J599" s="144"/>
      <c r="K599" s="159">
        <v>0.23400000000000001</v>
      </c>
      <c r="L599" s="167">
        <f t="shared" si="17"/>
        <v>1.4842</v>
      </c>
    </row>
    <row r="600" spans="1:14" s="147" customFormat="1" x14ac:dyDescent="0.2">
      <c r="A600" s="138"/>
      <c r="B600" s="124"/>
      <c r="C600" s="169"/>
      <c r="D600" s="157"/>
      <c r="E600" s="653" t="str">
        <f>E589</f>
        <v>Valor Total c/ Taxas</v>
      </c>
      <c r="F600" s="653"/>
      <c r="G600" s="653"/>
      <c r="H600" s="135"/>
      <c r="I600" s="172">
        <f>(H597+I597+H598+H599)</f>
        <v>129.4952706876</v>
      </c>
      <c r="J600" s="144"/>
      <c r="K600" s="159">
        <v>0.23400000000000001</v>
      </c>
      <c r="L600" s="167">
        <f t="shared" si="17"/>
        <v>1.4842</v>
      </c>
      <c r="N600" s="531">
        <v>129.4952706876</v>
      </c>
    </row>
    <row r="601" spans="1:14" s="147" customFormat="1" x14ac:dyDescent="0.2">
      <c r="A601" s="138"/>
      <c r="B601" s="124"/>
      <c r="C601" s="169"/>
      <c r="D601" s="157"/>
      <c r="E601" s="135"/>
      <c r="F601" s="133"/>
      <c r="G601" s="158"/>
      <c r="H601" s="135"/>
      <c r="I601" s="172"/>
      <c r="J601" s="144"/>
      <c r="K601" s="159">
        <v>0.23400000000000001</v>
      </c>
      <c r="L601" s="167">
        <f t="shared" si="17"/>
        <v>1.4842</v>
      </c>
    </row>
    <row r="602" spans="1:14" s="147" customFormat="1" x14ac:dyDescent="0.2">
      <c r="A602" s="138"/>
      <c r="B602" s="124"/>
      <c r="C602" s="169"/>
      <c r="D602" s="157"/>
      <c r="E602" s="135"/>
      <c r="F602" s="133"/>
      <c r="G602" s="158"/>
      <c r="H602" s="135"/>
      <c r="I602" s="135"/>
      <c r="J602" s="144"/>
      <c r="K602" s="159">
        <v>0.23400000000000001</v>
      </c>
      <c r="L602" s="167">
        <f t="shared" si="17"/>
        <v>1.4842</v>
      </c>
    </row>
    <row r="603" spans="1:14" s="147" customFormat="1" x14ac:dyDescent="0.2">
      <c r="A603" s="188"/>
      <c r="B603" s="174" t="str">
        <f>'Planilha Orçamentaria'!A90</f>
        <v>12.1</v>
      </c>
      <c r="C603" s="156" t="str">
        <f>'Planilha Orçamentaria'!C90</f>
        <v>Cerâmica 20x20cm</v>
      </c>
      <c r="D603" s="223" t="str">
        <f>'Planilha Orçamentaria'!D90</f>
        <v>M2</v>
      </c>
      <c r="E603" s="135"/>
      <c r="F603" s="133"/>
      <c r="G603" s="158"/>
      <c r="H603" s="135"/>
      <c r="I603" s="135"/>
      <c r="J603" s="144"/>
      <c r="K603" s="159">
        <v>0.23400000000000001</v>
      </c>
      <c r="L603" s="167">
        <f t="shared" si="17"/>
        <v>1.4842</v>
      </c>
    </row>
    <row r="604" spans="1:14" s="147" customFormat="1" x14ac:dyDescent="0.2">
      <c r="A604" s="138"/>
      <c r="B604" s="124"/>
      <c r="C604" s="169" t="str">
        <f>C603</f>
        <v>Cerâmica 20x20cm</v>
      </c>
      <c r="D604" s="157" t="s">
        <v>444</v>
      </c>
      <c r="E604" s="135">
        <f>35*N11</f>
        <v>35</v>
      </c>
      <c r="F604" s="133">
        <v>14</v>
      </c>
      <c r="G604" s="158">
        <v>1.0900000000000001</v>
      </c>
      <c r="H604" s="135"/>
      <c r="I604" s="135">
        <f>E604*G604</f>
        <v>38.150000000000006</v>
      </c>
      <c r="J604" s="144"/>
      <c r="K604" s="159">
        <v>0.23400000000000001</v>
      </c>
      <c r="L604" s="167">
        <f t="shared" si="17"/>
        <v>1.4842</v>
      </c>
    </row>
    <row r="605" spans="1:14" s="147" customFormat="1" x14ac:dyDescent="0.2">
      <c r="A605" s="138"/>
      <c r="B605" s="124"/>
      <c r="C605" s="169" t="s">
        <v>533</v>
      </c>
      <c r="D605" s="157" t="s">
        <v>423</v>
      </c>
      <c r="E605" s="135">
        <f>1.2*N11</f>
        <v>1.2</v>
      </c>
      <c r="F605" s="133">
        <v>0.62</v>
      </c>
      <c r="G605" s="158">
        <v>6.14</v>
      </c>
      <c r="H605" s="135"/>
      <c r="I605" s="135">
        <f>E605*G605</f>
        <v>7.3679999999999994</v>
      </c>
      <c r="J605" s="144"/>
      <c r="K605" s="159">
        <v>0.23400000000000001</v>
      </c>
      <c r="L605" s="167">
        <f t="shared" si="17"/>
        <v>1.4842</v>
      </c>
    </row>
    <row r="606" spans="1:14" s="147" customFormat="1" x14ac:dyDescent="0.2">
      <c r="A606" s="138"/>
      <c r="B606" s="124"/>
      <c r="C606" s="169" t="s">
        <v>534</v>
      </c>
      <c r="D606" s="157" t="s">
        <v>423</v>
      </c>
      <c r="E606" s="135">
        <f>4*N11</f>
        <v>4</v>
      </c>
      <c r="F606" s="133">
        <v>3.96</v>
      </c>
      <c r="G606" s="158">
        <v>0.22</v>
      </c>
      <c r="H606" s="135"/>
      <c r="I606" s="135">
        <f>E606*G606</f>
        <v>0.88</v>
      </c>
      <c r="J606" s="144"/>
      <c r="K606" s="159">
        <v>0.23400000000000001</v>
      </c>
      <c r="L606" s="167">
        <f t="shared" si="17"/>
        <v>1.4842</v>
      </c>
    </row>
    <row r="607" spans="1:14" s="147" customFormat="1" x14ac:dyDescent="0.2">
      <c r="A607" s="138"/>
      <c r="B607" s="124"/>
      <c r="C607" s="169" t="s">
        <v>431</v>
      </c>
      <c r="D607" s="157" t="s">
        <v>425</v>
      </c>
      <c r="E607" s="135">
        <f>5.21*N11</f>
        <v>5.21</v>
      </c>
      <c r="F607" s="133"/>
      <c r="G607" s="158">
        <v>0.2893</v>
      </c>
      <c r="H607" s="135">
        <f>E607*G607</f>
        <v>1.507253</v>
      </c>
      <c r="I607" s="187"/>
      <c r="J607" s="144"/>
      <c r="K607" s="159">
        <v>0.23400000000000001</v>
      </c>
      <c r="L607" s="167">
        <f t="shared" si="17"/>
        <v>1.4842</v>
      </c>
    </row>
    <row r="608" spans="1:14" s="147" customFormat="1" x14ac:dyDescent="0.2">
      <c r="A608" s="138"/>
      <c r="B608" s="124"/>
      <c r="C608" s="169" t="s">
        <v>434</v>
      </c>
      <c r="D608" s="157" t="s">
        <v>425</v>
      </c>
      <c r="E608" s="135">
        <f>3.77*N11</f>
        <v>3.77</v>
      </c>
      <c r="F608" s="133"/>
      <c r="G608" s="158">
        <v>0.2</v>
      </c>
      <c r="H608" s="135">
        <f>E608*G608</f>
        <v>0.754</v>
      </c>
      <c r="I608" s="187"/>
      <c r="J608" s="144"/>
      <c r="K608" s="159">
        <v>0.23400000000000001</v>
      </c>
      <c r="L608" s="167">
        <f t="shared" si="17"/>
        <v>1.4842</v>
      </c>
    </row>
    <row r="609" spans="1:14" s="147" customFormat="1" x14ac:dyDescent="0.2">
      <c r="A609" s="138"/>
      <c r="B609" s="124"/>
      <c r="C609" s="169"/>
      <c r="D609" s="157"/>
      <c r="E609" s="135"/>
      <c r="F609" s="133"/>
      <c r="G609" s="158"/>
      <c r="H609" s="135"/>
      <c r="I609" s="135"/>
      <c r="J609" s="144"/>
      <c r="K609" s="159">
        <v>0.23400000000000001</v>
      </c>
      <c r="L609" s="167">
        <f t="shared" si="17"/>
        <v>1.4842</v>
      </c>
    </row>
    <row r="610" spans="1:14" s="147" customFormat="1" x14ac:dyDescent="0.2">
      <c r="A610" s="138"/>
      <c r="B610" s="124"/>
      <c r="C610" s="169"/>
      <c r="D610" s="157"/>
      <c r="E610" s="653" t="str">
        <f>E597</f>
        <v>Custo Direto</v>
      </c>
      <c r="F610" s="653"/>
      <c r="G610" s="653"/>
      <c r="H610" s="172">
        <f>SUM(H604:H608)</f>
        <v>2.261253</v>
      </c>
      <c r="I610" s="172">
        <f>SUM(I604:I608)</f>
        <v>46.39800000000001</v>
      </c>
      <c r="J610" s="144"/>
      <c r="K610" s="159">
        <v>0.23400000000000001</v>
      </c>
      <c r="L610" s="167">
        <f t="shared" si="17"/>
        <v>1.4842</v>
      </c>
    </row>
    <row r="611" spans="1:14" s="147" customFormat="1" x14ac:dyDescent="0.2">
      <c r="A611" s="138"/>
      <c r="B611" s="124"/>
      <c r="C611" s="169"/>
      <c r="D611" s="157"/>
      <c r="E611" s="653" t="str">
        <f>E598</f>
        <v>LS(%): 148,42</v>
      </c>
      <c r="F611" s="653"/>
      <c r="G611" s="653"/>
      <c r="H611" s="135">
        <f>SUM(H607:H609)*L611</f>
        <v>3.3561517026000001</v>
      </c>
      <c r="I611" s="141"/>
      <c r="J611" s="144"/>
      <c r="K611" s="159">
        <v>0.23400000000000001</v>
      </c>
      <c r="L611" s="167">
        <f t="shared" si="17"/>
        <v>1.4842</v>
      </c>
    </row>
    <row r="612" spans="1:14" s="147" customFormat="1" x14ac:dyDescent="0.2">
      <c r="A612" s="138"/>
      <c r="B612" s="124"/>
      <c r="C612" s="169"/>
      <c r="D612" s="157"/>
      <c r="E612" s="653" t="str">
        <f>E599</f>
        <v>BDI (%): 23,40</v>
      </c>
      <c r="F612" s="653"/>
      <c r="G612" s="653"/>
      <c r="H612" s="654">
        <f>(H610+I610+H611)*K612</f>
        <v>12.171604700408404</v>
      </c>
      <c r="I612" s="654"/>
      <c r="J612" s="144"/>
      <c r="K612" s="159">
        <v>0.23400000000000001</v>
      </c>
      <c r="L612" s="167">
        <f t="shared" si="17"/>
        <v>1.4842</v>
      </c>
    </row>
    <row r="613" spans="1:14" s="147" customFormat="1" x14ac:dyDescent="0.2">
      <c r="A613" s="138"/>
      <c r="B613" s="124"/>
      <c r="C613" s="169"/>
      <c r="D613" s="157"/>
      <c r="E613" s="653" t="str">
        <f>E600</f>
        <v>Valor Total c/ Taxas</v>
      </c>
      <c r="F613" s="653"/>
      <c r="G613" s="653"/>
      <c r="H613" s="135"/>
      <c r="I613" s="172">
        <f>(H610+I610+H611+H612)</f>
        <v>64.187009403008418</v>
      </c>
      <c r="J613" s="144"/>
      <c r="K613" s="159">
        <v>0.23400000000000001</v>
      </c>
      <c r="L613" s="167">
        <f t="shared" si="17"/>
        <v>1.4842</v>
      </c>
      <c r="N613" s="531">
        <v>64.187009403008418</v>
      </c>
    </row>
    <row r="614" spans="1:14" s="147" customFormat="1" x14ac:dyDescent="0.2">
      <c r="A614" s="138"/>
      <c r="B614" s="124"/>
      <c r="C614" s="169"/>
      <c r="D614" s="157"/>
      <c r="E614" s="135"/>
      <c r="F614" s="133"/>
      <c r="G614" s="158"/>
      <c r="H614" s="135"/>
      <c r="I614" s="135"/>
      <c r="J614" s="144"/>
      <c r="K614" s="159">
        <v>0.23400000000000001</v>
      </c>
      <c r="L614" s="167">
        <f t="shared" si="17"/>
        <v>1.4842</v>
      </c>
    </row>
    <row r="615" spans="1:14" s="147" customFormat="1" x14ac:dyDescent="0.2">
      <c r="A615" s="224"/>
      <c r="B615" s="155" t="str">
        <f>'Planilha Orçamentaria'!A91</f>
        <v>12.2</v>
      </c>
      <c r="C615" s="156" t="str">
        <f>'Planilha Orçamentaria'!C91</f>
        <v>Chapisco de cimento e areia no traço 1:3</v>
      </c>
      <c r="D615" s="228" t="str">
        <f>'Planilha Orçamentaria'!D91</f>
        <v>M2</v>
      </c>
      <c r="E615" s="135"/>
      <c r="F615" s="133"/>
      <c r="G615" s="158"/>
      <c r="H615" s="135"/>
      <c r="I615" s="135"/>
      <c r="J615" s="144"/>
      <c r="K615" s="159">
        <v>0.23400000000000001</v>
      </c>
      <c r="L615" s="167">
        <f t="shared" ref="L615:L662" si="18">L614</f>
        <v>1.4842</v>
      </c>
    </row>
    <row r="616" spans="1:14" s="147" customFormat="1" x14ac:dyDescent="0.2">
      <c r="A616" s="138"/>
      <c r="B616" s="124"/>
      <c r="C616" s="169" t="str">
        <f>C615</f>
        <v>Chapisco de cimento e areia no traço 1:3</v>
      </c>
      <c r="D616" s="157" t="s">
        <v>1</v>
      </c>
      <c r="E616" s="135">
        <f>3.15*N11</f>
        <v>3.15</v>
      </c>
      <c r="F616" s="133">
        <v>10.1</v>
      </c>
      <c r="G616" s="158">
        <v>1.06</v>
      </c>
      <c r="H616" s="135"/>
      <c r="I616" s="135">
        <f>E616*G616</f>
        <v>3.339</v>
      </c>
      <c r="J616" s="144"/>
      <c r="K616" s="159">
        <v>0.23400000000000001</v>
      </c>
      <c r="L616" s="167">
        <f t="shared" si="18"/>
        <v>1.4842</v>
      </c>
    </row>
    <row r="617" spans="1:14" s="147" customFormat="1" x14ac:dyDescent="0.2">
      <c r="A617" s="138"/>
      <c r="B617" s="124"/>
      <c r="C617" s="169" t="s">
        <v>431</v>
      </c>
      <c r="D617" s="157" t="s">
        <v>425</v>
      </c>
      <c r="E617" s="135">
        <f>5.21*N11</f>
        <v>5.21</v>
      </c>
      <c r="F617" s="133"/>
      <c r="G617" s="158">
        <v>0.09</v>
      </c>
      <c r="H617" s="135">
        <f>E617*G617</f>
        <v>0.46889999999999998</v>
      </c>
      <c r="I617" s="187"/>
      <c r="J617" s="144"/>
      <c r="K617" s="159">
        <v>0.23400000000000001</v>
      </c>
      <c r="L617" s="167">
        <f t="shared" si="18"/>
        <v>1.4842</v>
      </c>
    </row>
    <row r="618" spans="1:14" s="147" customFormat="1" x14ac:dyDescent="0.2">
      <c r="A618" s="138"/>
      <c r="B618" s="124"/>
      <c r="C618" s="169" t="s">
        <v>434</v>
      </c>
      <c r="D618" s="157" t="s">
        <v>425</v>
      </c>
      <c r="E618" s="135">
        <f>3.77*N11</f>
        <v>3.77</v>
      </c>
      <c r="F618" s="133"/>
      <c r="G618" s="158">
        <v>0.09</v>
      </c>
      <c r="H618" s="135">
        <f>E618*G618</f>
        <v>0.33929999999999999</v>
      </c>
      <c r="I618" s="187"/>
      <c r="J618" s="144"/>
      <c r="K618" s="159">
        <v>0.23400000000000001</v>
      </c>
      <c r="L618" s="167">
        <f t="shared" si="18"/>
        <v>1.4842</v>
      </c>
    </row>
    <row r="619" spans="1:14" s="147" customFormat="1" x14ac:dyDescent="0.2">
      <c r="A619" s="138"/>
      <c r="B619" s="124"/>
      <c r="C619" s="169"/>
      <c r="D619" s="157"/>
      <c r="E619" s="135"/>
      <c r="F619" s="133"/>
      <c r="G619" s="158"/>
      <c r="H619" s="135"/>
      <c r="I619" s="135"/>
      <c r="J619" s="144"/>
      <c r="K619" s="159">
        <v>0.23400000000000001</v>
      </c>
      <c r="L619" s="167">
        <f t="shared" si="18"/>
        <v>1.4842</v>
      </c>
    </row>
    <row r="620" spans="1:14" s="147" customFormat="1" x14ac:dyDescent="0.2">
      <c r="A620" s="138"/>
      <c r="B620" s="124"/>
      <c r="C620" s="169"/>
      <c r="D620" s="157"/>
      <c r="E620" s="653" t="str">
        <f>E610</f>
        <v>Custo Direto</v>
      </c>
      <c r="F620" s="653"/>
      <c r="G620" s="653"/>
      <c r="H620" s="172">
        <f>SUM(H616:H618)</f>
        <v>0.80820000000000003</v>
      </c>
      <c r="I620" s="172">
        <f>SUM(I616:I618)</f>
        <v>3.339</v>
      </c>
      <c r="J620" s="144"/>
      <c r="K620" s="159">
        <v>0.23400000000000001</v>
      </c>
      <c r="L620" s="167">
        <f t="shared" si="18"/>
        <v>1.4842</v>
      </c>
    </row>
    <row r="621" spans="1:14" s="147" customFormat="1" x14ac:dyDescent="0.2">
      <c r="A621" s="138"/>
      <c r="B621" s="124"/>
      <c r="C621" s="169"/>
      <c r="D621" s="157"/>
      <c r="E621" s="653" t="str">
        <f>E611</f>
        <v>LS(%): 148,42</v>
      </c>
      <c r="F621" s="653"/>
      <c r="G621" s="653"/>
      <c r="H621" s="135">
        <f>SUM(H617:H619)*L621</f>
        <v>1.19953044</v>
      </c>
      <c r="I621" s="141"/>
      <c r="J621" s="144"/>
      <c r="K621" s="159">
        <v>0.23400000000000001</v>
      </c>
      <c r="L621" s="167">
        <f t="shared" si="18"/>
        <v>1.4842</v>
      </c>
    </row>
    <row r="622" spans="1:14" s="147" customFormat="1" x14ac:dyDescent="0.2">
      <c r="A622" s="138"/>
      <c r="B622" s="124"/>
      <c r="C622" s="169"/>
      <c r="D622" s="157"/>
      <c r="E622" s="653" t="str">
        <f>E612</f>
        <v>BDI (%): 23,40</v>
      </c>
      <c r="F622" s="653"/>
      <c r="G622" s="653"/>
      <c r="H622" s="654">
        <f>(H620+I620+H621)*K622</f>
        <v>1.2511349229600002</v>
      </c>
      <c r="I622" s="654"/>
      <c r="J622" s="144"/>
      <c r="K622" s="159">
        <v>0.23400000000000001</v>
      </c>
      <c r="L622" s="167">
        <f t="shared" si="18"/>
        <v>1.4842</v>
      </c>
    </row>
    <row r="623" spans="1:14" s="147" customFormat="1" x14ac:dyDescent="0.2">
      <c r="A623" s="138"/>
      <c r="B623" s="124"/>
      <c r="C623" s="169"/>
      <c r="D623" s="157"/>
      <c r="E623" s="653" t="str">
        <f>E613</f>
        <v>Valor Total c/ Taxas</v>
      </c>
      <c r="F623" s="653"/>
      <c r="G623" s="653"/>
      <c r="H623" s="135"/>
      <c r="I623" s="172">
        <f>(H620+I620+H621+H622)</f>
        <v>6.5978653629600004</v>
      </c>
      <c r="J623" s="144"/>
      <c r="K623" s="159">
        <v>0.23400000000000001</v>
      </c>
      <c r="L623" s="167">
        <f t="shared" si="18"/>
        <v>1.4842</v>
      </c>
      <c r="N623" s="531">
        <v>6.6018999999999997</v>
      </c>
    </row>
    <row r="624" spans="1:14" s="147" customFormat="1" x14ac:dyDescent="0.2">
      <c r="A624" s="138"/>
      <c r="B624" s="124"/>
      <c r="C624" s="169"/>
      <c r="D624" s="157"/>
      <c r="E624" s="135"/>
      <c r="F624" s="133"/>
      <c r="G624" s="158"/>
      <c r="H624" s="135"/>
      <c r="I624" s="135"/>
      <c r="J624" s="144"/>
      <c r="K624" s="159">
        <v>0.23400000000000001</v>
      </c>
      <c r="L624" s="167">
        <f t="shared" si="18"/>
        <v>1.4842</v>
      </c>
      <c r="M624" s="225"/>
    </row>
    <row r="625" spans="1:14" s="147" customFormat="1" x14ac:dyDescent="0.2">
      <c r="A625" s="215"/>
      <c r="B625" s="226" t="str">
        <f>'Planilha Orçamentaria'!A92</f>
        <v>12.3</v>
      </c>
      <c r="C625" s="215" t="str">
        <f>'Planilha Orçamentaria'!C92</f>
        <v xml:space="preserve">Emboço </v>
      </c>
      <c r="D625" s="223" t="str">
        <f>'Planilha Orçamentaria'!D92</f>
        <v>M2</v>
      </c>
      <c r="E625" s="135"/>
      <c r="F625" s="133"/>
      <c r="G625" s="158"/>
      <c r="H625" s="135"/>
      <c r="I625" s="135"/>
      <c r="J625" s="144"/>
      <c r="K625" s="159">
        <v>0.23400000000000001</v>
      </c>
      <c r="L625" s="167">
        <f t="shared" si="18"/>
        <v>1.4842</v>
      </c>
    </row>
    <row r="626" spans="1:14" s="147" customFormat="1" x14ac:dyDescent="0.2">
      <c r="A626" s="138"/>
      <c r="B626" s="124"/>
      <c r="C626" s="169" t="str">
        <f>C625</f>
        <v xml:space="preserve">Emboço </v>
      </c>
      <c r="D626" s="157" t="str">
        <f>D625</f>
        <v>M2</v>
      </c>
      <c r="E626" s="135">
        <f>16.61*N11</f>
        <v>16.61</v>
      </c>
      <c r="F626" s="133">
        <v>17.5</v>
      </c>
      <c r="G626" s="158">
        <v>1</v>
      </c>
      <c r="H626" s="135"/>
      <c r="I626" s="135">
        <f>E626*G626</f>
        <v>16.61</v>
      </c>
      <c r="J626" s="144"/>
      <c r="K626" s="159">
        <v>0.23400000000000001</v>
      </c>
      <c r="L626" s="167">
        <f t="shared" si="18"/>
        <v>1.4842</v>
      </c>
    </row>
    <row r="627" spans="1:14" s="147" customFormat="1" x14ac:dyDescent="0.2">
      <c r="A627" s="138"/>
      <c r="B627" s="124"/>
      <c r="C627" s="169" t="s">
        <v>431</v>
      </c>
      <c r="D627" s="157" t="s">
        <v>425</v>
      </c>
      <c r="E627" s="135">
        <f>5.21*N11</f>
        <v>5.21</v>
      </c>
      <c r="F627" s="133"/>
      <c r="G627" s="158">
        <v>0.1</v>
      </c>
      <c r="H627" s="135">
        <f>E627*G627</f>
        <v>0.52100000000000002</v>
      </c>
      <c r="I627" s="187"/>
      <c r="J627" s="144"/>
      <c r="K627" s="159">
        <v>0.23400000000000001</v>
      </c>
      <c r="L627" s="167">
        <f t="shared" si="18"/>
        <v>1.4842</v>
      </c>
    </row>
    <row r="628" spans="1:14" s="147" customFormat="1" x14ac:dyDescent="0.2">
      <c r="A628" s="138"/>
      <c r="B628" s="124"/>
      <c r="C628" s="169" t="s">
        <v>434</v>
      </c>
      <c r="D628" s="157" t="s">
        <v>425</v>
      </c>
      <c r="E628" s="135">
        <f>3.77*N11</f>
        <v>3.77</v>
      </c>
      <c r="F628" s="133"/>
      <c r="G628" s="158">
        <v>0.1</v>
      </c>
      <c r="H628" s="135">
        <f>E628*G628</f>
        <v>0.377</v>
      </c>
      <c r="I628" s="187"/>
      <c r="J628" s="144"/>
      <c r="K628" s="159">
        <v>0.23400000000000001</v>
      </c>
      <c r="L628" s="167">
        <f t="shared" si="18"/>
        <v>1.4842</v>
      </c>
    </row>
    <row r="629" spans="1:14" s="147" customFormat="1" x14ac:dyDescent="0.2">
      <c r="A629" s="138"/>
      <c r="B629" s="124"/>
      <c r="C629" s="169"/>
      <c r="D629" s="157"/>
      <c r="E629" s="135"/>
      <c r="F629" s="133"/>
      <c r="G629" s="158"/>
      <c r="H629" s="135"/>
      <c r="I629" s="135"/>
      <c r="J629" s="144"/>
      <c r="K629" s="159">
        <v>0.23400000000000001</v>
      </c>
      <c r="L629" s="167">
        <f t="shared" si="18"/>
        <v>1.4842</v>
      </c>
    </row>
    <row r="630" spans="1:14" s="147" customFormat="1" x14ac:dyDescent="0.2">
      <c r="A630" s="138"/>
      <c r="B630" s="124"/>
      <c r="C630" s="169"/>
      <c r="D630" s="157"/>
      <c r="E630" s="653" t="str">
        <f>E620</f>
        <v>Custo Direto</v>
      </c>
      <c r="F630" s="653"/>
      <c r="G630" s="653"/>
      <c r="H630" s="172">
        <f>SUM(H625:H629)</f>
        <v>0.89800000000000002</v>
      </c>
      <c r="I630" s="172">
        <f>SUM(I625:I629)</f>
        <v>16.61</v>
      </c>
      <c r="J630" s="144"/>
      <c r="K630" s="159">
        <v>0.23400000000000001</v>
      </c>
      <c r="L630" s="167">
        <f t="shared" si="18"/>
        <v>1.4842</v>
      </c>
    </row>
    <row r="631" spans="1:14" s="147" customFormat="1" x14ac:dyDescent="0.2">
      <c r="A631" s="138"/>
      <c r="B631" s="124"/>
      <c r="C631" s="169"/>
      <c r="D631" s="157"/>
      <c r="E631" s="653" t="str">
        <f>E621</f>
        <v>LS(%): 148,42</v>
      </c>
      <c r="F631" s="653"/>
      <c r="G631" s="653"/>
      <c r="H631" s="135">
        <f>SUM(H627:H629)*L631</f>
        <v>1.3328116000000001</v>
      </c>
      <c r="I631" s="141"/>
      <c r="J631" s="144"/>
      <c r="K631" s="159">
        <v>0.23400000000000001</v>
      </c>
      <c r="L631" s="167">
        <f t="shared" si="18"/>
        <v>1.4842</v>
      </c>
    </row>
    <row r="632" spans="1:14" s="147" customFormat="1" x14ac:dyDescent="0.2">
      <c r="A632" s="138"/>
      <c r="B632" s="124"/>
      <c r="C632" s="169"/>
      <c r="D632" s="157"/>
      <c r="E632" s="653" t="str">
        <f>E622</f>
        <v>BDI (%): 23,40</v>
      </c>
      <c r="F632" s="653"/>
      <c r="G632" s="653"/>
      <c r="H632" s="654">
        <f>(H630+I630+H631)*K632</f>
        <v>4.4087499143999995</v>
      </c>
      <c r="I632" s="654"/>
      <c r="J632" s="144"/>
      <c r="K632" s="159">
        <v>0.23400000000000001</v>
      </c>
      <c r="L632" s="167">
        <f t="shared" si="18"/>
        <v>1.4842</v>
      </c>
    </row>
    <row r="633" spans="1:14" s="147" customFormat="1" x14ac:dyDescent="0.2">
      <c r="A633" s="138"/>
      <c r="B633" s="124"/>
      <c r="C633" s="169"/>
      <c r="D633" s="157"/>
      <c r="E633" s="653" t="str">
        <f>E623</f>
        <v>Valor Total c/ Taxas</v>
      </c>
      <c r="F633" s="653"/>
      <c r="G633" s="653"/>
      <c r="H633" s="135"/>
      <c r="I633" s="172">
        <f>(H630+I630+H631+H632)</f>
        <v>23.2495615144</v>
      </c>
      <c r="J633" s="144"/>
      <c r="K633" s="159">
        <v>0.23400000000000001</v>
      </c>
      <c r="L633" s="167">
        <f t="shared" si="18"/>
        <v>1.4842</v>
      </c>
      <c r="N633" s="531">
        <v>23.248560000000001</v>
      </c>
    </row>
    <row r="634" spans="1:14" s="147" customFormat="1" x14ac:dyDescent="0.2">
      <c r="A634" s="138"/>
      <c r="B634" s="124"/>
      <c r="C634" s="169"/>
      <c r="D634" s="157"/>
      <c r="E634" s="135"/>
      <c r="F634" s="133"/>
      <c r="G634" s="158"/>
      <c r="H634" s="135"/>
      <c r="I634" s="135"/>
      <c r="J634" s="144"/>
      <c r="K634" s="159">
        <v>0.23400000000000001</v>
      </c>
      <c r="L634" s="167">
        <f t="shared" si="18"/>
        <v>1.4842</v>
      </c>
    </row>
    <row r="635" spans="1:14" s="147" customFormat="1" x14ac:dyDescent="0.2">
      <c r="A635" s="227"/>
      <c r="B635" s="155" t="str">
        <f>'Planilha Orçamentaria'!A93</f>
        <v>12.4</v>
      </c>
      <c r="C635" s="156" t="str">
        <f>'Planilha Orçamentaria'!C93</f>
        <v xml:space="preserve">Reboco </v>
      </c>
      <c r="D635" s="223" t="str">
        <f>'Planilha Orçamentaria'!D93</f>
        <v>M2</v>
      </c>
      <c r="E635" s="135"/>
      <c r="F635" s="133"/>
      <c r="G635" s="158"/>
      <c r="H635" s="135"/>
      <c r="I635" s="135"/>
      <c r="J635" s="144"/>
      <c r="K635" s="159">
        <v>0.23400000000000001</v>
      </c>
      <c r="L635" s="167">
        <f t="shared" si="18"/>
        <v>1.4842</v>
      </c>
    </row>
    <row r="636" spans="1:14" s="147" customFormat="1" x14ac:dyDescent="0.2">
      <c r="A636" s="138"/>
      <c r="B636" s="124"/>
      <c r="C636" s="169" t="str">
        <f>C635</f>
        <v xml:space="preserve">Reboco </v>
      </c>
      <c r="D636" s="157" t="s">
        <v>1</v>
      </c>
      <c r="E636" s="135">
        <f>1.8*N11</f>
        <v>1.8</v>
      </c>
      <c r="F636" s="133">
        <v>42.3</v>
      </c>
      <c r="G636" s="158">
        <v>1</v>
      </c>
      <c r="H636" s="135"/>
      <c r="I636" s="135">
        <f>E636*G636</f>
        <v>1.8</v>
      </c>
      <c r="J636" s="144"/>
      <c r="K636" s="159">
        <v>0.23400000000000001</v>
      </c>
      <c r="L636" s="167">
        <f t="shared" si="18"/>
        <v>1.4842</v>
      </c>
    </row>
    <row r="637" spans="1:14" s="147" customFormat="1" x14ac:dyDescent="0.2">
      <c r="A637" s="138"/>
      <c r="B637" s="124"/>
      <c r="C637" s="169" t="s">
        <v>521</v>
      </c>
      <c r="D637" s="157" t="s">
        <v>425</v>
      </c>
      <c r="E637" s="135">
        <f>5.21*N11</f>
        <v>5.21</v>
      </c>
      <c r="F637" s="133"/>
      <c r="G637" s="158">
        <v>0.9</v>
      </c>
      <c r="H637" s="135">
        <f>E637*G637</f>
        <v>4.6890000000000001</v>
      </c>
      <c r="I637" s="187"/>
      <c r="J637" s="144"/>
      <c r="K637" s="159">
        <v>0.23400000000000001</v>
      </c>
      <c r="L637" s="167">
        <f t="shared" si="18"/>
        <v>1.4842</v>
      </c>
    </row>
    <row r="638" spans="1:14" s="147" customFormat="1" x14ac:dyDescent="0.2">
      <c r="A638" s="138"/>
      <c r="B638" s="124"/>
      <c r="C638" s="169" t="s">
        <v>489</v>
      </c>
      <c r="D638" s="157" t="s">
        <v>425</v>
      </c>
      <c r="E638" s="135">
        <f>3.77*N11</f>
        <v>3.77</v>
      </c>
      <c r="F638" s="133"/>
      <c r="G638" s="158">
        <v>0.9</v>
      </c>
      <c r="H638" s="135">
        <f>E638*G638</f>
        <v>3.3930000000000002</v>
      </c>
      <c r="I638" s="187"/>
      <c r="J638" s="144"/>
      <c r="K638" s="159">
        <v>0.23400000000000001</v>
      </c>
      <c r="L638" s="167">
        <f t="shared" si="18"/>
        <v>1.4842</v>
      </c>
    </row>
    <row r="639" spans="1:14" s="147" customFormat="1" x14ac:dyDescent="0.2">
      <c r="A639" s="138"/>
      <c r="B639" s="124"/>
      <c r="C639" s="169"/>
      <c r="D639" s="157"/>
      <c r="E639" s="135"/>
      <c r="F639" s="133"/>
      <c r="G639" s="158"/>
      <c r="H639" s="135"/>
      <c r="I639" s="135"/>
      <c r="J639" s="144"/>
      <c r="K639" s="159">
        <v>0.23400000000000001</v>
      </c>
      <c r="L639" s="167">
        <f t="shared" si="18"/>
        <v>1.4842</v>
      </c>
    </row>
    <row r="640" spans="1:14" s="147" customFormat="1" x14ac:dyDescent="0.2">
      <c r="A640" s="138"/>
      <c r="B640" s="124"/>
      <c r="C640" s="169"/>
      <c r="D640" s="157"/>
      <c r="E640" s="653" t="str">
        <f>E620</f>
        <v>Custo Direto</v>
      </c>
      <c r="F640" s="653"/>
      <c r="G640" s="653"/>
      <c r="H640" s="172">
        <f>SUM(H635:H639)</f>
        <v>8.0820000000000007</v>
      </c>
      <c r="I640" s="172">
        <f>SUM(I635:I639)</f>
        <v>1.8</v>
      </c>
      <c r="J640" s="144"/>
      <c r="K640" s="159">
        <v>0.23400000000000001</v>
      </c>
      <c r="L640" s="167">
        <f t="shared" si="18"/>
        <v>1.4842</v>
      </c>
    </row>
    <row r="641" spans="1:14" s="147" customFormat="1" x14ac:dyDescent="0.2">
      <c r="A641" s="138"/>
      <c r="B641" s="124"/>
      <c r="C641" s="169"/>
      <c r="D641" s="157"/>
      <c r="E641" s="653" t="str">
        <f>E621</f>
        <v>LS(%): 148,42</v>
      </c>
      <c r="F641" s="653"/>
      <c r="G641" s="653"/>
      <c r="H641" s="135">
        <f>SUM(H637:H639)*L641</f>
        <v>11.9953044</v>
      </c>
      <c r="I641" s="141"/>
      <c r="J641" s="144"/>
      <c r="K641" s="159">
        <v>0.23400000000000001</v>
      </c>
      <c r="L641" s="167">
        <f t="shared" si="18"/>
        <v>1.4842</v>
      </c>
    </row>
    <row r="642" spans="1:14" s="147" customFormat="1" x14ac:dyDescent="0.2">
      <c r="A642" s="138"/>
      <c r="B642" s="124"/>
      <c r="C642" s="169"/>
      <c r="D642" s="157"/>
      <c r="E642" s="653" t="str">
        <f>E622</f>
        <v>BDI (%): 23,40</v>
      </c>
      <c r="F642" s="653"/>
      <c r="G642" s="653"/>
      <c r="H642" s="654">
        <f>(H640+I640+H641)*K642</f>
        <v>5.1192892296000005</v>
      </c>
      <c r="I642" s="654"/>
      <c r="J642" s="144"/>
      <c r="K642" s="159">
        <v>0.23400000000000001</v>
      </c>
      <c r="L642" s="167">
        <f t="shared" si="18"/>
        <v>1.4842</v>
      </c>
    </row>
    <row r="643" spans="1:14" s="147" customFormat="1" x14ac:dyDescent="0.2">
      <c r="A643" s="138"/>
      <c r="B643" s="124"/>
      <c r="C643" s="169"/>
      <c r="D643" s="157"/>
      <c r="E643" s="653" t="str">
        <f>E623</f>
        <v>Valor Total c/ Taxas</v>
      </c>
      <c r="F643" s="653"/>
      <c r="G643" s="653"/>
      <c r="H643" s="135"/>
      <c r="I643" s="172">
        <f>(H640+I640+H641+H642)</f>
        <v>26.9965936296</v>
      </c>
      <c r="J643" s="144"/>
      <c r="K643" s="159">
        <v>0.23400000000000001</v>
      </c>
      <c r="L643" s="167">
        <f t="shared" si="18"/>
        <v>1.4842</v>
      </c>
      <c r="N643" s="531">
        <v>26.999919999999999</v>
      </c>
    </row>
    <row r="644" spans="1:14" s="147" customFormat="1" x14ac:dyDescent="0.2">
      <c r="A644" s="138"/>
      <c r="B644" s="124"/>
      <c r="C644" s="169"/>
      <c r="D644" s="157"/>
      <c r="E644" s="135"/>
      <c r="F644" s="133"/>
      <c r="G644" s="158"/>
      <c r="H644" s="135"/>
      <c r="I644" s="135"/>
      <c r="J644" s="144"/>
      <c r="K644" s="159">
        <v>0.23400000000000001</v>
      </c>
      <c r="L644" s="167">
        <f t="shared" si="18"/>
        <v>1.4842</v>
      </c>
    </row>
    <row r="645" spans="1:14" s="147" customFormat="1" x14ac:dyDescent="0.2">
      <c r="A645" s="227"/>
      <c r="B645" s="155" t="str">
        <f>'Planilha Orçamentaria'!A96</f>
        <v>13.1</v>
      </c>
      <c r="C645" s="156" t="str">
        <f>'Planilha Orçamentaria'!C96</f>
        <v>Rodape ceramico</v>
      </c>
      <c r="D645" s="223" t="str">
        <f>'Planilha Orçamentaria'!D96</f>
        <v>M</v>
      </c>
      <c r="E645" s="135"/>
      <c r="F645" s="133"/>
      <c r="G645" s="158"/>
      <c r="H645" s="135"/>
      <c r="I645" s="135"/>
      <c r="J645" s="144"/>
      <c r="K645" s="159">
        <v>0.23400000000000001</v>
      </c>
      <c r="L645" s="167">
        <f t="shared" si="18"/>
        <v>1.4842</v>
      </c>
    </row>
    <row r="646" spans="1:14" s="147" customFormat="1" x14ac:dyDescent="0.2">
      <c r="A646" s="138"/>
      <c r="B646" s="124"/>
      <c r="C646" s="169" t="str">
        <f>C645</f>
        <v>Rodape ceramico</v>
      </c>
      <c r="D646" s="157" t="str">
        <f>D645</f>
        <v>M</v>
      </c>
      <c r="E646" s="135">
        <f>8.934*N11</f>
        <v>8.9339999999999993</v>
      </c>
      <c r="F646" s="133">
        <v>46</v>
      </c>
      <c r="G646" s="158">
        <v>1</v>
      </c>
      <c r="H646" s="135"/>
      <c r="I646" s="135">
        <f>E646*G646</f>
        <v>8.9339999999999993</v>
      </c>
      <c r="J646" s="144"/>
      <c r="K646" s="159">
        <v>0.23400000000000001</v>
      </c>
      <c r="L646" s="167">
        <f t="shared" si="18"/>
        <v>1.4842</v>
      </c>
    </row>
    <row r="647" spans="1:14" s="147" customFormat="1" x14ac:dyDescent="0.2">
      <c r="A647" s="138"/>
      <c r="B647" s="124"/>
      <c r="C647" s="169" t="s">
        <v>431</v>
      </c>
      <c r="D647" s="157" t="s">
        <v>425</v>
      </c>
      <c r="E647" s="135">
        <f>5.21*N11</f>
        <v>5.21</v>
      </c>
      <c r="F647" s="133"/>
      <c r="G647" s="158">
        <v>0.01</v>
      </c>
      <c r="H647" s="135">
        <f>E647*G647</f>
        <v>5.21E-2</v>
      </c>
      <c r="I647" s="187"/>
      <c r="J647" s="144"/>
      <c r="K647" s="159">
        <v>0.23400000000000001</v>
      </c>
      <c r="L647" s="167">
        <f t="shared" si="18"/>
        <v>1.4842</v>
      </c>
    </row>
    <row r="648" spans="1:14" s="147" customFormat="1" x14ac:dyDescent="0.2">
      <c r="A648" s="138"/>
      <c r="B648" s="124"/>
      <c r="C648" s="169" t="s">
        <v>434</v>
      </c>
      <c r="D648" s="157" t="s">
        <v>425</v>
      </c>
      <c r="E648" s="135">
        <f>3.77*N11</f>
        <v>3.77</v>
      </c>
      <c r="F648" s="133"/>
      <c r="G648" s="158">
        <v>0.01</v>
      </c>
      <c r="H648" s="135">
        <f>E648*G648</f>
        <v>3.7700000000000004E-2</v>
      </c>
      <c r="I648" s="187"/>
      <c r="J648" s="144"/>
      <c r="K648" s="159">
        <v>0.23400000000000001</v>
      </c>
      <c r="L648" s="167">
        <f t="shared" si="18"/>
        <v>1.4842</v>
      </c>
    </row>
    <row r="649" spans="1:14" s="147" customFormat="1" x14ac:dyDescent="0.2">
      <c r="A649" s="138"/>
      <c r="B649" s="124"/>
      <c r="C649" s="169"/>
      <c r="D649" s="157"/>
      <c r="E649" s="135"/>
      <c r="F649" s="133"/>
      <c r="G649" s="158"/>
      <c r="H649" s="135"/>
      <c r="I649" s="135"/>
      <c r="J649" s="144"/>
      <c r="K649" s="159">
        <v>0.23400000000000001</v>
      </c>
      <c r="L649" s="167">
        <f t="shared" si="18"/>
        <v>1.4842</v>
      </c>
    </row>
    <row r="650" spans="1:14" s="147" customFormat="1" x14ac:dyDescent="0.2">
      <c r="A650" s="138"/>
      <c r="B650" s="124"/>
      <c r="C650" s="169"/>
      <c r="D650" s="157"/>
      <c r="E650" s="653" t="str">
        <f>E640</f>
        <v>Custo Direto</v>
      </c>
      <c r="F650" s="653"/>
      <c r="G650" s="653"/>
      <c r="H650" s="172">
        <f>SUM(H645:H649)</f>
        <v>8.9800000000000005E-2</v>
      </c>
      <c r="I650" s="172">
        <f>SUM(I645:I649)</f>
        <v>8.9339999999999993</v>
      </c>
      <c r="J650" s="144"/>
      <c r="K650" s="159">
        <v>0.23400000000000001</v>
      </c>
      <c r="L650" s="167">
        <f t="shared" si="18"/>
        <v>1.4842</v>
      </c>
    </row>
    <row r="651" spans="1:14" s="147" customFormat="1" x14ac:dyDescent="0.2">
      <c r="A651" s="138"/>
      <c r="B651" s="124"/>
      <c r="C651" s="169"/>
      <c r="D651" s="157"/>
      <c r="E651" s="653" t="str">
        <f>E641</f>
        <v>LS(%): 148,42</v>
      </c>
      <c r="F651" s="653"/>
      <c r="G651" s="653"/>
      <c r="H651" s="135">
        <f>SUM(H647:H649)*L651</f>
        <v>0.13328116000000001</v>
      </c>
      <c r="I651" s="141"/>
      <c r="J651" s="144"/>
      <c r="K651" s="159">
        <v>0.23400000000000001</v>
      </c>
      <c r="L651" s="167">
        <f t="shared" si="18"/>
        <v>1.4842</v>
      </c>
    </row>
    <row r="652" spans="1:14" s="147" customFormat="1" x14ac:dyDescent="0.2">
      <c r="A652" s="138"/>
      <c r="B652" s="124"/>
      <c r="C652" s="169"/>
      <c r="D652" s="157"/>
      <c r="E652" s="653" t="str">
        <f>E642</f>
        <v>BDI (%): 23,40</v>
      </c>
      <c r="F652" s="653"/>
      <c r="G652" s="653"/>
      <c r="H652" s="654">
        <f>(H650+I650+H651)*K652</f>
        <v>2.1427569914399998</v>
      </c>
      <c r="I652" s="654"/>
      <c r="J652" s="144"/>
      <c r="K652" s="159">
        <v>0.23400000000000001</v>
      </c>
      <c r="L652" s="167">
        <f t="shared" si="18"/>
        <v>1.4842</v>
      </c>
    </row>
    <row r="653" spans="1:14" s="147" customFormat="1" x14ac:dyDescent="0.2">
      <c r="A653" s="138"/>
      <c r="B653" s="124"/>
      <c r="C653" s="169"/>
      <c r="D653" s="157"/>
      <c r="E653" s="653" t="str">
        <f>E643</f>
        <v>Valor Total c/ Taxas</v>
      </c>
      <c r="F653" s="653"/>
      <c r="G653" s="653"/>
      <c r="H653" s="135"/>
      <c r="I653" s="172">
        <f>(H650+I650+H651+H652)</f>
        <v>11.299838151439999</v>
      </c>
      <c r="J653" s="144"/>
      <c r="K653" s="159">
        <v>0.23400000000000001</v>
      </c>
      <c r="L653" s="167">
        <f t="shared" si="18"/>
        <v>1.4842</v>
      </c>
      <c r="N653" s="531">
        <v>11.299838151439999</v>
      </c>
    </row>
    <row r="654" spans="1:14" s="147" customFormat="1" x14ac:dyDescent="0.2">
      <c r="A654" s="138"/>
      <c r="B654" s="124"/>
      <c r="C654" s="169"/>
      <c r="D654" s="157"/>
      <c r="E654" s="135"/>
      <c r="F654" s="133"/>
      <c r="G654" s="158"/>
      <c r="H654" s="135"/>
      <c r="I654" s="135"/>
      <c r="J654" s="144"/>
      <c r="K654" s="159">
        <v>0.23400000000000001</v>
      </c>
      <c r="L654" s="167">
        <f t="shared" si="18"/>
        <v>1.4842</v>
      </c>
    </row>
    <row r="655" spans="1:14" s="147" customFormat="1" x14ac:dyDescent="0.2">
      <c r="A655" s="188"/>
      <c r="B655" s="155" t="str">
        <f>'Planilha Orçamentaria'!A99</f>
        <v>14.1</v>
      </c>
      <c r="C655" s="156" t="str">
        <f>'Planilha Orçamentaria'!C99</f>
        <v>Calçada (incl.alicerce, baldrame e concreto c/ junta seca)</v>
      </c>
      <c r="D655" s="223" t="str">
        <f>'Planilha Orçamentaria'!D99</f>
        <v>M2</v>
      </c>
      <c r="E655" s="135"/>
      <c r="F655" s="133"/>
      <c r="G655" s="158"/>
      <c r="H655" s="135"/>
      <c r="I655" s="135"/>
      <c r="J655" s="144"/>
      <c r="K655" s="159">
        <v>0.23400000000000001</v>
      </c>
      <c r="L655" s="167">
        <f t="shared" si="18"/>
        <v>1.4842</v>
      </c>
    </row>
    <row r="656" spans="1:14" s="147" customFormat="1" x14ac:dyDescent="0.2">
      <c r="A656" s="138"/>
      <c r="B656" s="124"/>
      <c r="C656" s="169" t="str">
        <f>C655</f>
        <v>Calçada (incl.alicerce, baldrame e concreto c/ junta seca)</v>
      </c>
      <c r="D656" s="157" t="s">
        <v>442</v>
      </c>
      <c r="E656" s="135">
        <f>42.7*N11</f>
        <v>42.7</v>
      </c>
      <c r="F656" s="133">
        <v>23.44</v>
      </c>
      <c r="G656" s="158">
        <v>1</v>
      </c>
      <c r="H656" s="135"/>
      <c r="I656" s="135">
        <f>E656*G656</f>
        <v>42.7</v>
      </c>
      <c r="J656" s="144"/>
      <c r="K656" s="159">
        <v>0.23400000000000001</v>
      </c>
      <c r="L656" s="167">
        <f t="shared" si="18"/>
        <v>1.4842</v>
      </c>
    </row>
    <row r="657" spans="1:14" s="147" customFormat="1" x14ac:dyDescent="0.2">
      <c r="A657" s="138"/>
      <c r="B657" s="124"/>
      <c r="C657" s="169" t="s">
        <v>431</v>
      </c>
      <c r="D657" s="157" t="s">
        <v>425</v>
      </c>
      <c r="E657" s="135">
        <f>5.21*N11</f>
        <v>5.21</v>
      </c>
      <c r="F657" s="133"/>
      <c r="G657" s="158">
        <v>1</v>
      </c>
      <c r="H657" s="135">
        <f>E657*G657</f>
        <v>5.21</v>
      </c>
      <c r="I657" s="187"/>
      <c r="J657" s="144"/>
      <c r="K657" s="159">
        <v>0.23400000000000001</v>
      </c>
      <c r="L657" s="167">
        <f t="shared" si="18"/>
        <v>1.4842</v>
      </c>
    </row>
    <row r="658" spans="1:14" s="147" customFormat="1" x14ac:dyDescent="0.2">
      <c r="A658" s="138"/>
      <c r="B658" s="124"/>
      <c r="C658" s="169" t="s">
        <v>434</v>
      </c>
      <c r="D658" s="157" t="s">
        <v>425</v>
      </c>
      <c r="E658" s="135">
        <f>3.77*N11</f>
        <v>3.77</v>
      </c>
      <c r="F658" s="133"/>
      <c r="G658" s="158">
        <v>1</v>
      </c>
      <c r="H658" s="135">
        <f>E658*G658</f>
        <v>3.77</v>
      </c>
      <c r="I658" s="187"/>
      <c r="J658" s="144"/>
      <c r="K658" s="159">
        <v>0.23400000000000001</v>
      </c>
      <c r="L658" s="167">
        <f t="shared" si="18"/>
        <v>1.4842</v>
      </c>
    </row>
    <row r="659" spans="1:14" s="147" customFormat="1" x14ac:dyDescent="0.2">
      <c r="A659" s="138"/>
      <c r="B659" s="124"/>
      <c r="C659" s="169"/>
      <c r="D659" s="157"/>
      <c r="E659" s="135"/>
      <c r="F659" s="133"/>
      <c r="G659" s="158"/>
      <c r="H659" s="135"/>
      <c r="I659" s="135"/>
      <c r="J659" s="144"/>
      <c r="K659" s="159">
        <v>0.23400000000000001</v>
      </c>
      <c r="L659" s="167">
        <f t="shared" si="18"/>
        <v>1.4842</v>
      </c>
    </row>
    <row r="660" spans="1:14" s="147" customFormat="1" x14ac:dyDescent="0.2">
      <c r="A660" s="138"/>
      <c r="B660" s="124"/>
      <c r="C660" s="169"/>
      <c r="D660" s="157"/>
      <c r="E660" s="653" t="str">
        <f>E650</f>
        <v>Custo Direto</v>
      </c>
      <c r="F660" s="653"/>
      <c r="G660" s="653"/>
      <c r="H660" s="172">
        <f>SUM(H655:H659)</f>
        <v>8.98</v>
      </c>
      <c r="I660" s="172">
        <f>SUM(I655:I659)</f>
        <v>42.7</v>
      </c>
      <c r="J660" s="144"/>
      <c r="K660" s="159">
        <v>0.23400000000000001</v>
      </c>
      <c r="L660" s="167">
        <f t="shared" si="18"/>
        <v>1.4842</v>
      </c>
    </row>
    <row r="661" spans="1:14" s="147" customFormat="1" x14ac:dyDescent="0.2">
      <c r="A661" s="138"/>
      <c r="B661" s="124"/>
      <c r="C661" s="169"/>
      <c r="D661" s="157"/>
      <c r="E661" s="653" t="str">
        <f>E651</f>
        <v>LS(%): 148,42</v>
      </c>
      <c r="F661" s="653"/>
      <c r="G661" s="653"/>
      <c r="H661" s="135">
        <f>SUM(H657:H659)*L661</f>
        <v>13.328116</v>
      </c>
      <c r="I661" s="141"/>
      <c r="J661" s="144"/>
      <c r="K661" s="159">
        <v>0.23400000000000001</v>
      </c>
      <c r="L661" s="167">
        <f t="shared" si="18"/>
        <v>1.4842</v>
      </c>
    </row>
    <row r="662" spans="1:14" s="147" customFormat="1" x14ac:dyDescent="0.2">
      <c r="A662" s="138"/>
      <c r="B662" s="124"/>
      <c r="C662" s="169"/>
      <c r="D662" s="157"/>
      <c r="E662" s="653" t="str">
        <f>E652</f>
        <v>BDI (%): 23,40</v>
      </c>
      <c r="F662" s="653"/>
      <c r="G662" s="653"/>
      <c r="H662" s="654">
        <f>(H660+I660+H661)*K662</f>
        <v>15.211899144000002</v>
      </c>
      <c r="I662" s="654"/>
      <c r="J662" s="144"/>
      <c r="K662" s="159">
        <v>0.23400000000000001</v>
      </c>
      <c r="L662" s="167">
        <f t="shared" si="18"/>
        <v>1.4842</v>
      </c>
    </row>
    <row r="663" spans="1:14" s="147" customFormat="1" x14ac:dyDescent="0.2">
      <c r="A663" s="138"/>
      <c r="B663" s="124"/>
      <c r="C663" s="169"/>
      <c r="D663" s="157"/>
      <c r="E663" s="653" t="str">
        <f>E653</f>
        <v>Valor Total c/ Taxas</v>
      </c>
      <c r="F663" s="653"/>
      <c r="G663" s="653"/>
      <c r="H663" s="135"/>
      <c r="I663" s="172">
        <f>(H660+I660+H661+H662)</f>
        <v>80.220015144000001</v>
      </c>
      <c r="J663" s="144"/>
      <c r="K663" s="159">
        <v>0.23400000000000001</v>
      </c>
      <c r="L663" s="167">
        <f t="shared" ref="L663:L781" si="19">L662</f>
        <v>1.4842</v>
      </c>
      <c r="N663" s="531">
        <v>80.222340000000003</v>
      </c>
    </row>
    <row r="664" spans="1:14" s="147" customFormat="1" x14ac:dyDescent="0.2">
      <c r="A664" s="138"/>
      <c r="B664" s="148"/>
      <c r="C664" s="169"/>
      <c r="D664" s="157"/>
      <c r="E664" s="171"/>
      <c r="F664" s="171"/>
      <c r="G664" s="171"/>
      <c r="H664" s="135"/>
      <c r="I664" s="172"/>
      <c r="J664" s="144"/>
      <c r="K664" s="159">
        <v>0.23400000000000001</v>
      </c>
      <c r="L664" s="167">
        <f t="shared" si="19"/>
        <v>1.4842</v>
      </c>
      <c r="N664" s="531"/>
    </row>
    <row r="665" spans="1:14" s="147" customFormat="1" x14ac:dyDescent="0.2">
      <c r="A665" s="188"/>
      <c r="B665" s="155" t="str">
        <f>'Planilha Orçamentaria'!A100</f>
        <v>14.2</v>
      </c>
      <c r="C665" s="156" t="str">
        <f>'Planilha Orçamentaria'!C100</f>
        <v>Camada impermeabilizadora e=10cm c/ seixo</v>
      </c>
      <c r="D665" s="223" t="str">
        <f>'Planilha Orçamentaria'!D100</f>
        <v>M2</v>
      </c>
      <c r="E665" s="135"/>
      <c r="F665" s="133"/>
      <c r="G665" s="158"/>
      <c r="H665" s="135"/>
      <c r="I665" s="135"/>
      <c r="J665" s="144"/>
      <c r="K665" s="159">
        <v>0.23400000000000001</v>
      </c>
      <c r="L665" s="167">
        <f t="shared" si="19"/>
        <v>1.4842</v>
      </c>
    </row>
    <row r="666" spans="1:14" s="147" customFormat="1" x14ac:dyDescent="0.2">
      <c r="A666" s="138"/>
      <c r="B666" s="148"/>
      <c r="C666" s="169" t="str">
        <f>C665</f>
        <v>Camada impermeabilizadora e=10cm c/ seixo</v>
      </c>
      <c r="D666" s="157" t="str">
        <f>D665</f>
        <v>M2</v>
      </c>
      <c r="E666" s="135">
        <f>425*N11</f>
        <v>425</v>
      </c>
      <c r="F666" s="133">
        <v>413.98</v>
      </c>
      <c r="G666" s="158">
        <v>3.1E-2</v>
      </c>
      <c r="H666" s="135"/>
      <c r="I666" s="135">
        <f>E666*G666</f>
        <v>13.175000000000001</v>
      </c>
      <c r="J666" s="144"/>
      <c r="K666" s="159">
        <v>0.23400000000000001</v>
      </c>
      <c r="L666" s="167">
        <f t="shared" si="19"/>
        <v>1.4842</v>
      </c>
    </row>
    <row r="667" spans="1:14" s="147" customFormat="1" x14ac:dyDescent="0.2">
      <c r="A667" s="138"/>
      <c r="B667" s="148"/>
      <c r="C667" s="169" t="s">
        <v>431</v>
      </c>
      <c r="D667" s="157" t="s">
        <v>425</v>
      </c>
      <c r="E667" s="135">
        <f>5.21*N11</f>
        <v>5.21</v>
      </c>
      <c r="F667" s="133"/>
      <c r="G667" s="158">
        <v>1</v>
      </c>
      <c r="H667" s="135">
        <f>E667*G667</f>
        <v>5.21</v>
      </c>
      <c r="I667" s="187"/>
      <c r="J667" s="144"/>
      <c r="K667" s="159">
        <v>0.23400000000000001</v>
      </c>
      <c r="L667" s="167">
        <f t="shared" si="19"/>
        <v>1.4842</v>
      </c>
    </row>
    <row r="668" spans="1:14" s="147" customFormat="1" x14ac:dyDescent="0.2">
      <c r="A668" s="138"/>
      <c r="B668" s="148"/>
      <c r="C668" s="169" t="s">
        <v>434</v>
      </c>
      <c r="D668" s="157" t="s">
        <v>425</v>
      </c>
      <c r="E668" s="135">
        <f>3.77*N11</f>
        <v>3.77</v>
      </c>
      <c r="F668" s="133"/>
      <c r="G668" s="158">
        <v>1</v>
      </c>
      <c r="H668" s="135">
        <f>E668*G668</f>
        <v>3.77</v>
      </c>
      <c r="I668" s="187"/>
      <c r="J668" s="144"/>
      <c r="K668" s="159">
        <v>0.23400000000000001</v>
      </c>
      <c r="L668" s="167">
        <f t="shared" si="19"/>
        <v>1.4842</v>
      </c>
    </row>
    <row r="669" spans="1:14" s="147" customFormat="1" x14ac:dyDescent="0.2">
      <c r="A669" s="138"/>
      <c r="B669" s="148"/>
      <c r="C669" s="169"/>
      <c r="D669" s="157"/>
      <c r="E669" s="135"/>
      <c r="F669" s="133"/>
      <c r="G669" s="158"/>
      <c r="H669" s="135"/>
      <c r="I669" s="135"/>
      <c r="J669" s="144"/>
      <c r="K669" s="159">
        <v>0.23400000000000001</v>
      </c>
      <c r="L669" s="167">
        <f t="shared" si="19"/>
        <v>1.4842</v>
      </c>
    </row>
    <row r="670" spans="1:14" s="147" customFormat="1" x14ac:dyDescent="0.2">
      <c r="A670" s="138"/>
      <c r="B670" s="148"/>
      <c r="C670" s="169"/>
      <c r="D670" s="157"/>
      <c r="E670" s="653" t="str">
        <f>E660</f>
        <v>Custo Direto</v>
      </c>
      <c r="F670" s="653"/>
      <c r="G670" s="653"/>
      <c r="H670" s="172">
        <f>SUM(H666:H669)</f>
        <v>8.98</v>
      </c>
      <c r="I670" s="172">
        <f>SUM(I666:I669)</f>
        <v>13.175000000000001</v>
      </c>
      <c r="J670" s="144"/>
      <c r="K670" s="159">
        <v>0.23400000000000001</v>
      </c>
      <c r="L670" s="167">
        <f t="shared" si="19"/>
        <v>1.4842</v>
      </c>
    </row>
    <row r="671" spans="1:14" s="147" customFormat="1" x14ac:dyDescent="0.2">
      <c r="A671" s="138"/>
      <c r="B671" s="148"/>
      <c r="C671" s="169"/>
      <c r="D671" s="157"/>
      <c r="E671" s="653" t="str">
        <f>E661</f>
        <v>LS(%): 148,42</v>
      </c>
      <c r="F671" s="653"/>
      <c r="G671" s="653"/>
      <c r="H671" s="135">
        <f>H670*L671</f>
        <v>13.328116</v>
      </c>
      <c r="I671" s="141"/>
      <c r="J671" s="144"/>
      <c r="K671" s="159">
        <v>0.23400000000000001</v>
      </c>
      <c r="L671" s="167">
        <f t="shared" si="19"/>
        <v>1.4842</v>
      </c>
    </row>
    <row r="672" spans="1:14" s="147" customFormat="1" x14ac:dyDescent="0.2">
      <c r="A672" s="138"/>
      <c r="B672" s="148"/>
      <c r="C672" s="169"/>
      <c r="D672" s="157"/>
      <c r="E672" s="653" t="str">
        <f>E662</f>
        <v>BDI (%): 23,40</v>
      </c>
      <c r="F672" s="653"/>
      <c r="G672" s="653"/>
      <c r="H672" s="654">
        <f>(H670+I670+H671)*K672</f>
        <v>8.3030491440000009</v>
      </c>
      <c r="I672" s="654"/>
      <c r="J672" s="144"/>
      <c r="K672" s="159">
        <v>0.23400000000000001</v>
      </c>
      <c r="L672" s="167">
        <f t="shared" si="19"/>
        <v>1.4842</v>
      </c>
    </row>
    <row r="673" spans="1:14" s="147" customFormat="1" x14ac:dyDescent="0.2">
      <c r="A673" s="138"/>
      <c r="B673" s="148"/>
      <c r="C673" s="169"/>
      <c r="D673" s="157"/>
      <c r="E673" s="653" t="str">
        <f>E663</f>
        <v>Valor Total c/ Taxas</v>
      </c>
      <c r="F673" s="653"/>
      <c r="G673" s="653"/>
      <c r="H673" s="135"/>
      <c r="I673" s="172">
        <f>(H670+I670+H671+H672)</f>
        <v>43.786165144000002</v>
      </c>
      <c r="J673" s="144"/>
      <c r="K673" s="159">
        <v>0.23400000000000001</v>
      </c>
      <c r="L673" s="167">
        <f t="shared" si="19"/>
        <v>1.4842</v>
      </c>
      <c r="N673" s="531">
        <v>43.786165144000002</v>
      </c>
    </row>
    <row r="674" spans="1:14" s="147" customFormat="1" x14ac:dyDescent="0.2">
      <c r="A674" s="138"/>
      <c r="B674" s="148"/>
      <c r="C674" s="169"/>
      <c r="D674" s="157"/>
      <c r="E674" s="171"/>
      <c r="F674" s="133"/>
      <c r="G674" s="181"/>
      <c r="H674" s="135"/>
      <c r="I674" s="172"/>
      <c r="J674" s="144"/>
      <c r="K674" s="159">
        <v>0.23400000000000001</v>
      </c>
      <c r="L674" s="167">
        <f t="shared" si="19"/>
        <v>1.4842</v>
      </c>
    </row>
    <row r="675" spans="1:14" s="147" customFormat="1" x14ac:dyDescent="0.2">
      <c r="A675" s="188"/>
      <c r="B675" s="155" t="str">
        <f>'Planilha Orçamentaria'!A101</f>
        <v>14.3</v>
      </c>
      <c r="C675" s="156" t="str">
        <f>'Planilha Orçamentaria'!C101</f>
        <v>Camada regularizadora no traço 1:4</v>
      </c>
      <c r="D675" s="223" t="str">
        <f>'Planilha Orçamentaria'!D101</f>
        <v>M2</v>
      </c>
      <c r="E675" s="135"/>
      <c r="F675" s="133"/>
      <c r="G675" s="158"/>
      <c r="H675" s="135"/>
      <c r="I675" s="135"/>
      <c r="J675" s="144"/>
      <c r="K675" s="159">
        <v>0.23400000000000001</v>
      </c>
      <c r="L675" s="167">
        <f t="shared" si="19"/>
        <v>1.4842</v>
      </c>
    </row>
    <row r="676" spans="1:14" s="147" customFormat="1" ht="25.5" x14ac:dyDescent="0.2">
      <c r="A676" s="138"/>
      <c r="B676" s="148"/>
      <c r="C676" s="169" t="s">
        <v>537</v>
      </c>
      <c r="D676" s="157" t="str">
        <f>D675</f>
        <v>M2</v>
      </c>
      <c r="E676" s="135">
        <f>33.6*N11</f>
        <v>33.6</v>
      </c>
      <c r="F676" s="133">
        <v>413.98</v>
      </c>
      <c r="G676" s="158">
        <v>3.1E-2</v>
      </c>
      <c r="H676" s="135"/>
      <c r="I676" s="135">
        <f>E676*G676</f>
        <v>1.0416000000000001</v>
      </c>
      <c r="J676" s="144"/>
      <c r="K676" s="159">
        <v>0.23400000000000001</v>
      </c>
      <c r="L676" s="167">
        <f t="shared" si="19"/>
        <v>1.4842</v>
      </c>
    </row>
    <row r="677" spans="1:14" s="147" customFormat="1" x14ac:dyDescent="0.2">
      <c r="A677" s="138"/>
      <c r="B677" s="124"/>
      <c r="C677" s="169" t="s">
        <v>518</v>
      </c>
      <c r="D677" s="157" t="s">
        <v>473</v>
      </c>
      <c r="E677" s="135">
        <f>0.9*N11</f>
        <v>0.9</v>
      </c>
      <c r="F677" s="133" t="e">
        <f>#REF!</f>
        <v>#REF!</v>
      </c>
      <c r="G677" s="158">
        <v>0.09</v>
      </c>
      <c r="H677" s="135"/>
      <c r="I677" s="135">
        <f>E677*G677</f>
        <v>8.1000000000000003E-2</v>
      </c>
      <c r="J677" s="144"/>
      <c r="K677" s="159">
        <v>0.23400000000000001</v>
      </c>
      <c r="L677" s="167">
        <f t="shared" si="19"/>
        <v>1.4842</v>
      </c>
    </row>
    <row r="678" spans="1:14" s="147" customFormat="1" x14ac:dyDescent="0.2">
      <c r="A678" s="138"/>
      <c r="B678" s="124"/>
      <c r="C678" s="169" t="s">
        <v>538</v>
      </c>
      <c r="D678" s="157" t="s">
        <v>480</v>
      </c>
      <c r="E678" s="135">
        <f>F678*N11</f>
        <v>8.44</v>
      </c>
      <c r="F678" s="133">
        <v>8.44</v>
      </c>
      <c r="G678" s="158">
        <v>0.17199999999999999</v>
      </c>
      <c r="H678" s="135"/>
      <c r="I678" s="135">
        <f>E678*G678</f>
        <v>1.4516799999999999</v>
      </c>
      <c r="J678" s="144"/>
      <c r="K678" s="159">
        <v>0.23400000000000001</v>
      </c>
      <c r="L678" s="167">
        <f t="shared" si="19"/>
        <v>1.4842</v>
      </c>
    </row>
    <row r="679" spans="1:14" s="147" customFormat="1" x14ac:dyDescent="0.2">
      <c r="A679" s="138"/>
      <c r="B679" s="124"/>
      <c r="C679" s="169" t="s">
        <v>431</v>
      </c>
      <c r="D679" s="157" t="s">
        <v>425</v>
      </c>
      <c r="E679" s="135">
        <f>5.21*N11</f>
        <v>5.21</v>
      </c>
      <c r="F679" s="133"/>
      <c r="G679" s="158">
        <v>1</v>
      </c>
      <c r="H679" s="135">
        <f>E679*G679</f>
        <v>5.21</v>
      </c>
      <c r="I679" s="187"/>
      <c r="J679" s="144"/>
      <c r="K679" s="159">
        <v>0.23400000000000001</v>
      </c>
      <c r="L679" s="167">
        <f t="shared" si="19"/>
        <v>1.4842</v>
      </c>
    </row>
    <row r="680" spans="1:14" s="147" customFormat="1" x14ac:dyDescent="0.2">
      <c r="A680" s="138"/>
      <c r="B680" s="124"/>
      <c r="C680" s="169" t="s">
        <v>434</v>
      </c>
      <c r="D680" s="157" t="s">
        <v>425</v>
      </c>
      <c r="E680" s="135">
        <f>3.77*N11</f>
        <v>3.77</v>
      </c>
      <c r="F680" s="133"/>
      <c r="G680" s="158">
        <v>0.3</v>
      </c>
      <c r="H680" s="135">
        <f>E680*G680</f>
        <v>1.131</v>
      </c>
      <c r="I680" s="187"/>
      <c r="J680" s="144"/>
      <c r="K680" s="159">
        <v>0.23400000000000001</v>
      </c>
      <c r="L680" s="167">
        <f t="shared" si="19"/>
        <v>1.4842</v>
      </c>
    </row>
    <row r="681" spans="1:14" s="147" customFormat="1" x14ac:dyDescent="0.2">
      <c r="A681" s="138"/>
      <c r="B681" s="124"/>
      <c r="C681" s="169"/>
      <c r="D681" s="157"/>
      <c r="E681" s="135"/>
      <c r="F681" s="133"/>
      <c r="G681" s="158"/>
      <c r="H681" s="135"/>
      <c r="I681" s="135"/>
      <c r="J681" s="144"/>
      <c r="K681" s="159">
        <v>0.23400000000000001</v>
      </c>
      <c r="L681" s="167">
        <f t="shared" si="19"/>
        <v>1.4842</v>
      </c>
    </row>
    <row r="682" spans="1:14" s="147" customFormat="1" x14ac:dyDescent="0.2">
      <c r="A682" s="138"/>
      <c r="B682" s="124"/>
      <c r="C682" s="169"/>
      <c r="D682" s="157"/>
      <c r="E682" s="653" t="s">
        <v>427</v>
      </c>
      <c r="F682" s="653"/>
      <c r="G682" s="653"/>
      <c r="H682" s="172">
        <f>SUM(H676:H681)</f>
        <v>6.3410000000000002</v>
      </c>
      <c r="I682" s="172">
        <f>SUM(I676:I681)</f>
        <v>2.5742799999999999</v>
      </c>
      <c r="J682" s="144"/>
      <c r="K682" s="159">
        <v>0.23400000000000001</v>
      </c>
      <c r="L682" s="167">
        <f t="shared" si="19"/>
        <v>1.4842</v>
      </c>
    </row>
    <row r="683" spans="1:14" s="147" customFormat="1" x14ac:dyDescent="0.2">
      <c r="A683" s="138"/>
      <c r="B683" s="124"/>
      <c r="C683" s="169"/>
      <c r="D683" s="157"/>
      <c r="E683" s="653" t="str">
        <f>E661</f>
        <v>LS(%): 148,42</v>
      </c>
      <c r="F683" s="653"/>
      <c r="G683" s="653"/>
      <c r="H683" s="135">
        <f>H682*L683</f>
        <v>9.4113121999999994</v>
      </c>
      <c r="I683" s="141"/>
      <c r="J683" s="144"/>
      <c r="K683" s="159">
        <v>0.23400000000000001</v>
      </c>
      <c r="L683" s="167">
        <f t="shared" si="19"/>
        <v>1.4842</v>
      </c>
    </row>
    <row r="684" spans="1:14" s="147" customFormat="1" x14ac:dyDescent="0.2">
      <c r="A684" s="138"/>
      <c r="B684" s="124"/>
      <c r="C684" s="169"/>
      <c r="D684" s="157"/>
      <c r="E684" s="653" t="str">
        <f>E662</f>
        <v>BDI (%): 23,40</v>
      </c>
      <c r="F684" s="653"/>
      <c r="G684" s="653"/>
      <c r="H684" s="654">
        <f>(H682+I682+H683)*K684</f>
        <v>4.2884225748000002</v>
      </c>
      <c r="I684" s="654"/>
      <c r="J684" s="144"/>
      <c r="K684" s="159">
        <v>0.23400000000000001</v>
      </c>
      <c r="L684" s="167">
        <f t="shared" si="19"/>
        <v>1.4842</v>
      </c>
    </row>
    <row r="685" spans="1:14" s="147" customFormat="1" x14ac:dyDescent="0.2">
      <c r="A685" s="138"/>
      <c r="B685" s="124"/>
      <c r="C685" s="169"/>
      <c r="D685" s="157"/>
      <c r="E685" s="653" t="s">
        <v>429</v>
      </c>
      <c r="F685" s="653"/>
      <c r="G685" s="653"/>
      <c r="H685" s="135"/>
      <c r="I685" s="172">
        <f>(H682+I682+H683+H684)</f>
        <v>22.615014774800002</v>
      </c>
      <c r="J685" s="144"/>
      <c r="K685" s="159">
        <v>0.23400000000000001</v>
      </c>
      <c r="L685" s="167">
        <f t="shared" si="19"/>
        <v>1.4842</v>
      </c>
      <c r="N685" s="531">
        <v>22.615014774800002</v>
      </c>
    </row>
    <row r="686" spans="1:14" s="147" customFormat="1" x14ac:dyDescent="0.2">
      <c r="A686" s="138"/>
      <c r="B686" s="124"/>
      <c r="C686" s="169"/>
      <c r="D686" s="157"/>
      <c r="E686" s="132"/>
      <c r="F686" s="133"/>
      <c r="G686" s="181"/>
      <c r="H686" s="135"/>
      <c r="I686" s="135"/>
      <c r="J686" s="144"/>
      <c r="K686" s="159">
        <v>0.23400000000000001</v>
      </c>
      <c r="L686" s="167">
        <f t="shared" si="19"/>
        <v>1.4842</v>
      </c>
    </row>
    <row r="687" spans="1:14" s="147" customFormat="1" x14ac:dyDescent="0.2">
      <c r="A687" s="188"/>
      <c r="B687" s="155" t="str">
        <f>'Planilha Orçamentaria'!A102</f>
        <v>14.4</v>
      </c>
      <c r="C687" s="156" t="str">
        <f>'Planilha Orçamentaria'!C102</f>
        <v>Cerâmica anti-derrapante</v>
      </c>
      <c r="D687" s="223" t="str">
        <f>'Planilha Orçamentaria'!D102</f>
        <v>M2</v>
      </c>
      <c r="E687" s="135"/>
      <c r="F687" s="133"/>
      <c r="G687" s="158"/>
      <c r="H687" s="135"/>
      <c r="I687" s="135"/>
      <c r="J687" s="144"/>
      <c r="K687" s="159">
        <v>0.23400000000000001</v>
      </c>
      <c r="L687" s="167">
        <f t="shared" si="19"/>
        <v>1.4842</v>
      </c>
    </row>
    <row r="688" spans="1:14" s="147" customFormat="1" x14ac:dyDescent="0.2">
      <c r="A688" s="138"/>
      <c r="B688" s="148"/>
      <c r="C688" s="169" t="str">
        <f>C687</f>
        <v>Cerâmica anti-derrapante</v>
      </c>
      <c r="D688" s="157" t="str">
        <f>D687</f>
        <v>M2</v>
      </c>
      <c r="E688" s="135">
        <f>29.57*N11</f>
        <v>29.57</v>
      </c>
      <c r="F688" s="133">
        <v>462.09</v>
      </c>
      <c r="G688" s="158">
        <v>1</v>
      </c>
      <c r="H688" s="135"/>
      <c r="I688" s="135">
        <f>E688*G688</f>
        <v>29.57</v>
      </c>
      <c r="J688" s="144"/>
      <c r="K688" s="159">
        <v>0.23400000000000001</v>
      </c>
      <c r="L688" s="167">
        <f t="shared" si="19"/>
        <v>1.4842</v>
      </c>
    </row>
    <row r="689" spans="1:14" s="147" customFormat="1" x14ac:dyDescent="0.2">
      <c r="A689" s="138"/>
      <c r="B689" s="124"/>
      <c r="C689" s="169" t="s">
        <v>431</v>
      </c>
      <c r="D689" s="157" t="s">
        <v>425</v>
      </c>
      <c r="E689" s="135">
        <f>5.21*N11</f>
        <v>5.21</v>
      </c>
      <c r="F689" s="133"/>
      <c r="G689" s="158">
        <v>1</v>
      </c>
      <c r="H689" s="135">
        <f>E689*G689</f>
        <v>5.21</v>
      </c>
      <c r="I689" s="187"/>
      <c r="J689" s="144"/>
      <c r="K689" s="159">
        <v>0.23400000000000001</v>
      </c>
      <c r="L689" s="167">
        <f t="shared" si="19"/>
        <v>1.4842</v>
      </c>
    </row>
    <row r="690" spans="1:14" s="147" customFormat="1" x14ac:dyDescent="0.2">
      <c r="A690" s="138"/>
      <c r="B690" s="124"/>
      <c r="C690" s="169" t="s">
        <v>434</v>
      </c>
      <c r="D690" s="157" t="s">
        <v>425</v>
      </c>
      <c r="E690" s="135">
        <f>3.77*N11</f>
        <v>3.77</v>
      </c>
      <c r="F690" s="133"/>
      <c r="G690" s="158">
        <v>1</v>
      </c>
      <c r="H690" s="135">
        <f>E690*G690</f>
        <v>3.77</v>
      </c>
      <c r="I690" s="187"/>
      <c r="J690" s="144"/>
      <c r="K690" s="159">
        <v>0.23400000000000001</v>
      </c>
      <c r="L690" s="167">
        <f t="shared" si="19"/>
        <v>1.4842</v>
      </c>
    </row>
    <row r="691" spans="1:14" s="147" customFormat="1" x14ac:dyDescent="0.2">
      <c r="A691" s="138"/>
      <c r="B691" s="124"/>
      <c r="C691" s="169"/>
      <c r="D691" s="157"/>
      <c r="E691" s="135"/>
      <c r="F691" s="133"/>
      <c r="G691" s="158"/>
      <c r="H691" s="135"/>
      <c r="I691" s="135"/>
      <c r="J691" s="144"/>
      <c r="K691" s="159">
        <v>0.23400000000000001</v>
      </c>
      <c r="L691" s="167">
        <f t="shared" si="19"/>
        <v>1.4842</v>
      </c>
    </row>
    <row r="692" spans="1:14" s="147" customFormat="1" x14ac:dyDescent="0.2">
      <c r="A692" s="138"/>
      <c r="B692" s="124"/>
      <c r="C692" s="169"/>
      <c r="D692" s="157"/>
      <c r="E692" s="653" t="str">
        <f>E682</f>
        <v>Custo Direto</v>
      </c>
      <c r="F692" s="653"/>
      <c r="G692" s="653"/>
      <c r="H692" s="172">
        <f>SUM(H688:H691)</f>
        <v>8.98</v>
      </c>
      <c r="I692" s="172">
        <f>SUM(I688:I691)</f>
        <v>29.57</v>
      </c>
      <c r="J692" s="144"/>
      <c r="K692" s="159">
        <v>0.23400000000000001</v>
      </c>
      <c r="L692" s="167">
        <f t="shared" si="19"/>
        <v>1.4842</v>
      </c>
    </row>
    <row r="693" spans="1:14" s="147" customFormat="1" x14ac:dyDescent="0.2">
      <c r="A693" s="138"/>
      <c r="B693" s="124"/>
      <c r="C693" s="169"/>
      <c r="D693" s="157"/>
      <c r="E693" s="653" t="str">
        <f>E683</f>
        <v>LS(%): 148,42</v>
      </c>
      <c r="F693" s="653"/>
      <c r="G693" s="653"/>
      <c r="H693" s="135">
        <f>H692*L693</f>
        <v>13.328116</v>
      </c>
      <c r="I693" s="141"/>
      <c r="J693" s="144"/>
      <c r="K693" s="159">
        <v>0.23400000000000001</v>
      </c>
      <c r="L693" s="167">
        <f t="shared" si="19"/>
        <v>1.4842</v>
      </c>
    </row>
    <row r="694" spans="1:14" s="147" customFormat="1" x14ac:dyDescent="0.2">
      <c r="A694" s="138"/>
      <c r="B694" s="124"/>
      <c r="C694" s="169"/>
      <c r="D694" s="157"/>
      <c r="E694" s="653" t="str">
        <f>E684</f>
        <v>BDI (%): 23,40</v>
      </c>
      <c r="F694" s="653"/>
      <c r="G694" s="653"/>
      <c r="H694" s="654">
        <f>(H692+I692+H693)*K694</f>
        <v>12.139479144000001</v>
      </c>
      <c r="I694" s="654"/>
      <c r="J694" s="144"/>
      <c r="K694" s="159">
        <v>0.23400000000000001</v>
      </c>
      <c r="L694" s="167">
        <f t="shared" si="19"/>
        <v>1.4842</v>
      </c>
    </row>
    <row r="695" spans="1:14" s="147" customFormat="1" x14ac:dyDescent="0.2">
      <c r="A695" s="138"/>
      <c r="B695" s="124"/>
      <c r="C695" s="169"/>
      <c r="D695" s="157"/>
      <c r="E695" s="653" t="str">
        <f>E685</f>
        <v>Valor Total c/ Taxas</v>
      </c>
      <c r="F695" s="653"/>
      <c r="G695" s="653"/>
      <c r="H695" s="135"/>
      <c r="I695" s="172">
        <f>(H692+I692+H693+H694)</f>
        <v>64.017595143999998</v>
      </c>
      <c r="J695" s="144"/>
      <c r="K695" s="159">
        <v>0.23400000000000001</v>
      </c>
      <c r="L695" s="167">
        <f t="shared" si="19"/>
        <v>1.4842</v>
      </c>
      <c r="N695" s="531">
        <v>64.017595143999998</v>
      </c>
    </row>
    <row r="696" spans="1:14" s="147" customFormat="1" x14ac:dyDescent="0.2">
      <c r="A696" s="138"/>
      <c r="B696" s="148"/>
      <c r="C696" s="169"/>
      <c r="D696" s="157"/>
      <c r="E696" s="171"/>
      <c r="F696" s="171"/>
      <c r="G696" s="171"/>
      <c r="H696" s="135"/>
      <c r="I696" s="172"/>
      <c r="J696" s="144"/>
      <c r="K696" s="159">
        <v>0.23400000000000001</v>
      </c>
      <c r="L696" s="167">
        <f t="shared" si="19"/>
        <v>1.4842</v>
      </c>
      <c r="N696" s="531"/>
    </row>
    <row r="697" spans="1:14" s="147" customFormat="1" x14ac:dyDescent="0.2">
      <c r="A697" s="188"/>
      <c r="B697" s="155" t="str">
        <f>'Planilha Orçamentaria'!A103</f>
        <v>14.5</v>
      </c>
      <c r="C697" s="156" t="str">
        <f>'Planilha Orçamentaria'!C112</f>
        <v>Esmalte sobre madeira c/ massa e selador</v>
      </c>
      <c r="D697" s="223" t="str">
        <f>'Planilha Orçamentaria'!D112</f>
        <v>M2</v>
      </c>
      <c r="E697" s="135"/>
      <c r="F697" s="133"/>
      <c r="G697" s="158"/>
      <c r="H697" s="135"/>
      <c r="I697" s="135"/>
      <c r="J697" s="144"/>
      <c r="K697" s="159">
        <v>0.23400000000000001</v>
      </c>
      <c r="L697" s="167">
        <f t="shared" si="19"/>
        <v>1.4842</v>
      </c>
    </row>
    <row r="698" spans="1:14" s="147" customFormat="1" x14ac:dyDescent="0.2">
      <c r="A698" s="138"/>
      <c r="B698" s="148"/>
      <c r="C698" s="169" t="str">
        <f>C697</f>
        <v>Esmalte sobre madeira c/ massa e selador</v>
      </c>
      <c r="D698" s="157" t="str">
        <f>D697</f>
        <v>M2</v>
      </c>
      <c r="E698" s="135">
        <f>38.32*N11</f>
        <v>38.32</v>
      </c>
      <c r="F698" s="133">
        <v>462.09</v>
      </c>
      <c r="G698" s="158">
        <v>1</v>
      </c>
      <c r="H698" s="135"/>
      <c r="I698" s="135">
        <f>E698*G698</f>
        <v>38.32</v>
      </c>
      <c r="J698" s="144"/>
      <c r="K698" s="159">
        <v>0.23400000000000001</v>
      </c>
      <c r="L698" s="167">
        <f t="shared" si="19"/>
        <v>1.4842</v>
      </c>
    </row>
    <row r="699" spans="1:14" s="147" customFormat="1" x14ac:dyDescent="0.2">
      <c r="A699" s="138"/>
      <c r="B699" s="148"/>
      <c r="C699" s="169" t="s">
        <v>431</v>
      </c>
      <c r="D699" s="157" t="s">
        <v>425</v>
      </c>
      <c r="E699" s="135">
        <f>5.21*N11</f>
        <v>5.21</v>
      </c>
      <c r="F699" s="133"/>
      <c r="G699" s="158">
        <v>1</v>
      </c>
      <c r="H699" s="135">
        <f>E699*G699</f>
        <v>5.21</v>
      </c>
      <c r="I699" s="187"/>
      <c r="J699" s="144"/>
      <c r="K699" s="159">
        <v>0.23400000000000001</v>
      </c>
      <c r="L699" s="167">
        <f t="shared" si="19"/>
        <v>1.4842</v>
      </c>
    </row>
    <row r="700" spans="1:14" s="147" customFormat="1" x14ac:dyDescent="0.2">
      <c r="A700" s="138"/>
      <c r="B700" s="148"/>
      <c r="C700" s="169" t="s">
        <v>434</v>
      </c>
      <c r="D700" s="157" t="s">
        <v>425</v>
      </c>
      <c r="E700" s="135">
        <f>3.77*N11</f>
        <v>3.77</v>
      </c>
      <c r="F700" s="133"/>
      <c r="G700" s="158">
        <v>1</v>
      </c>
      <c r="H700" s="135">
        <f>E700*G700</f>
        <v>3.77</v>
      </c>
      <c r="I700" s="187"/>
      <c r="J700" s="144"/>
      <c r="K700" s="159">
        <v>0.23400000000000001</v>
      </c>
      <c r="L700" s="167">
        <f t="shared" si="19"/>
        <v>1.4842</v>
      </c>
    </row>
    <row r="701" spans="1:14" s="147" customFormat="1" x14ac:dyDescent="0.2">
      <c r="A701" s="138"/>
      <c r="B701" s="148"/>
      <c r="C701" s="169"/>
      <c r="D701" s="157"/>
      <c r="E701" s="135"/>
      <c r="F701" s="133"/>
      <c r="G701" s="158"/>
      <c r="H701" s="135"/>
      <c r="I701" s="135"/>
      <c r="J701" s="144"/>
      <c r="K701" s="159">
        <v>0.23400000000000001</v>
      </c>
      <c r="L701" s="167">
        <f t="shared" si="19"/>
        <v>1.4842</v>
      </c>
    </row>
    <row r="702" spans="1:14" s="147" customFormat="1" x14ac:dyDescent="0.2">
      <c r="A702" s="138"/>
      <c r="B702" s="148"/>
      <c r="C702" s="169"/>
      <c r="D702" s="157"/>
      <c r="E702" s="653" t="str">
        <f>E692</f>
        <v>Custo Direto</v>
      </c>
      <c r="F702" s="653"/>
      <c r="G702" s="653"/>
      <c r="H702" s="172">
        <f>SUM(H698:H701)</f>
        <v>8.98</v>
      </c>
      <c r="I702" s="172">
        <f>SUM(I698:I701)</f>
        <v>38.32</v>
      </c>
      <c r="J702" s="144"/>
      <c r="K702" s="159">
        <v>0.23400000000000001</v>
      </c>
      <c r="L702" s="167">
        <f t="shared" si="19"/>
        <v>1.4842</v>
      </c>
    </row>
    <row r="703" spans="1:14" s="147" customFormat="1" x14ac:dyDescent="0.2">
      <c r="A703" s="138"/>
      <c r="B703" s="148"/>
      <c r="C703" s="169"/>
      <c r="D703" s="157"/>
      <c r="E703" s="653" t="str">
        <f>E693</f>
        <v>LS(%): 148,42</v>
      </c>
      <c r="F703" s="653"/>
      <c r="G703" s="653"/>
      <c r="H703" s="135">
        <f>H702*L703</f>
        <v>13.328116</v>
      </c>
      <c r="I703" s="141"/>
      <c r="J703" s="144"/>
      <c r="K703" s="159">
        <v>0.23400000000000001</v>
      </c>
      <c r="L703" s="167">
        <f t="shared" si="19"/>
        <v>1.4842</v>
      </c>
    </row>
    <row r="704" spans="1:14" s="147" customFormat="1" x14ac:dyDescent="0.2">
      <c r="A704" s="138"/>
      <c r="B704" s="148"/>
      <c r="C704" s="169"/>
      <c r="D704" s="157"/>
      <c r="E704" s="653" t="str">
        <f>E694</f>
        <v>BDI (%): 23,40</v>
      </c>
      <c r="F704" s="653"/>
      <c r="G704" s="653"/>
      <c r="H704" s="654">
        <f>(H702+I702+H703)*K704</f>
        <v>14.186979144</v>
      </c>
      <c r="I704" s="654"/>
      <c r="J704" s="144"/>
      <c r="K704" s="159">
        <v>0.23400000000000001</v>
      </c>
      <c r="L704" s="167">
        <f t="shared" si="19"/>
        <v>1.4842</v>
      </c>
    </row>
    <row r="705" spans="1:14" s="147" customFormat="1" x14ac:dyDescent="0.2">
      <c r="A705" s="138"/>
      <c r="B705" s="148"/>
      <c r="C705" s="169"/>
      <c r="D705" s="157"/>
      <c r="E705" s="653" t="str">
        <f>E695</f>
        <v>Valor Total c/ Taxas</v>
      </c>
      <c r="F705" s="653"/>
      <c r="G705" s="653"/>
      <c r="H705" s="135"/>
      <c r="I705" s="172">
        <f>(H702+I702+H703+H704)</f>
        <v>74.815095143999997</v>
      </c>
      <c r="J705" s="144"/>
      <c r="K705" s="159">
        <v>0.23400000000000001</v>
      </c>
      <c r="L705" s="167">
        <f t="shared" si="19"/>
        <v>1.4842</v>
      </c>
      <c r="N705" s="531">
        <v>74.817419999999998</v>
      </c>
    </row>
    <row r="706" spans="1:14" s="147" customFormat="1" x14ac:dyDescent="0.2">
      <c r="A706" s="138"/>
      <c r="B706" s="148"/>
      <c r="C706" s="169"/>
      <c r="D706" s="157"/>
      <c r="E706" s="171"/>
      <c r="F706" s="171"/>
      <c r="G706" s="171"/>
      <c r="H706" s="135"/>
      <c r="I706" s="172"/>
      <c r="J706" s="144"/>
      <c r="K706" s="159">
        <v>0.23400000000000001</v>
      </c>
      <c r="L706" s="167">
        <f t="shared" si="19"/>
        <v>1.4842</v>
      </c>
      <c r="N706" s="531"/>
    </row>
    <row r="707" spans="1:14" s="147" customFormat="1" x14ac:dyDescent="0.2">
      <c r="A707" s="188"/>
      <c r="B707" s="155" t="str">
        <f>'Planilha Orçamentaria'!A106</f>
        <v>15.1</v>
      </c>
      <c r="C707" s="156" t="str">
        <f>'Planilha Orçamentaria'!C106</f>
        <v>Barroteamento em madeira de lei p/ forro PVC</v>
      </c>
      <c r="D707" s="223" t="str">
        <f>'Planilha Orçamentaria'!D106</f>
        <v>M2</v>
      </c>
      <c r="E707" s="135"/>
      <c r="F707" s="133"/>
      <c r="G707" s="158"/>
      <c r="H707" s="135"/>
      <c r="I707" s="135"/>
      <c r="J707" s="144"/>
      <c r="K707" s="159">
        <v>0.23400000000000001</v>
      </c>
      <c r="L707" s="167">
        <f t="shared" si="19"/>
        <v>1.4842</v>
      </c>
    </row>
    <row r="708" spans="1:14" s="147" customFormat="1" x14ac:dyDescent="0.2">
      <c r="A708" s="138"/>
      <c r="B708" s="148"/>
      <c r="C708" s="169" t="str">
        <f>C707</f>
        <v>Barroteamento em madeira de lei p/ forro PVC</v>
      </c>
      <c r="D708" s="157" t="str">
        <f>D707</f>
        <v>M2</v>
      </c>
      <c r="E708" s="135">
        <f>17.01*N11</f>
        <v>17.010000000000002</v>
      </c>
      <c r="F708" s="133">
        <v>462.09</v>
      </c>
      <c r="G708" s="158">
        <v>0.9</v>
      </c>
      <c r="H708" s="135"/>
      <c r="I708" s="135">
        <f>E708*G708</f>
        <v>15.309000000000001</v>
      </c>
      <c r="J708" s="144"/>
      <c r="K708" s="159">
        <v>0.23400000000000001</v>
      </c>
      <c r="L708" s="167">
        <f t="shared" si="19"/>
        <v>1.4842</v>
      </c>
    </row>
    <row r="709" spans="1:14" s="147" customFormat="1" x14ac:dyDescent="0.2">
      <c r="A709" s="138"/>
      <c r="B709" s="148"/>
      <c r="C709" s="169" t="s">
        <v>431</v>
      </c>
      <c r="D709" s="157" t="s">
        <v>425</v>
      </c>
      <c r="E709" s="135">
        <f>5.21*N11</f>
        <v>5.21</v>
      </c>
      <c r="F709" s="133"/>
      <c r="G709" s="158">
        <v>0.5</v>
      </c>
      <c r="H709" s="135">
        <f>E709*G709</f>
        <v>2.605</v>
      </c>
      <c r="I709" s="187"/>
      <c r="J709" s="144"/>
      <c r="K709" s="159">
        <v>0.23400000000000001</v>
      </c>
      <c r="L709" s="167">
        <f t="shared" si="19"/>
        <v>1.4842</v>
      </c>
    </row>
    <row r="710" spans="1:14" s="147" customFormat="1" x14ac:dyDescent="0.2">
      <c r="A710" s="138"/>
      <c r="B710" s="148"/>
      <c r="C710" s="169" t="s">
        <v>434</v>
      </c>
      <c r="D710" s="157" t="s">
        <v>425</v>
      </c>
      <c r="E710" s="135">
        <f>3.77*N11</f>
        <v>3.77</v>
      </c>
      <c r="F710" s="133"/>
      <c r="G710" s="158">
        <v>0.5</v>
      </c>
      <c r="H710" s="135">
        <f>E710*G710</f>
        <v>1.885</v>
      </c>
      <c r="I710" s="187"/>
      <c r="J710" s="144"/>
      <c r="K710" s="159">
        <v>0.23400000000000001</v>
      </c>
      <c r="L710" s="167">
        <f t="shared" si="19"/>
        <v>1.4842</v>
      </c>
    </row>
    <row r="711" spans="1:14" s="147" customFormat="1" x14ac:dyDescent="0.2">
      <c r="A711" s="138"/>
      <c r="B711" s="148"/>
      <c r="C711" s="169"/>
      <c r="D711" s="157"/>
      <c r="E711" s="135"/>
      <c r="F711" s="133"/>
      <c r="G711" s="158"/>
      <c r="H711" s="135"/>
      <c r="I711" s="135"/>
      <c r="J711" s="144"/>
      <c r="K711" s="159">
        <v>0.23400000000000001</v>
      </c>
      <c r="L711" s="167">
        <f t="shared" si="19"/>
        <v>1.4842</v>
      </c>
    </row>
    <row r="712" spans="1:14" s="147" customFormat="1" x14ac:dyDescent="0.2">
      <c r="A712" s="138"/>
      <c r="B712" s="148"/>
      <c r="C712" s="169"/>
      <c r="D712" s="157"/>
      <c r="E712" s="653" t="str">
        <f>E702</f>
        <v>Custo Direto</v>
      </c>
      <c r="F712" s="653"/>
      <c r="G712" s="653"/>
      <c r="H712" s="172">
        <f>SUM(H708:H711)</f>
        <v>4.49</v>
      </c>
      <c r="I712" s="172">
        <f>SUM(I708:I711)</f>
        <v>15.309000000000001</v>
      </c>
      <c r="J712" s="144"/>
      <c r="K712" s="159">
        <v>0.23400000000000001</v>
      </c>
      <c r="L712" s="167">
        <f t="shared" si="19"/>
        <v>1.4842</v>
      </c>
    </row>
    <row r="713" spans="1:14" s="147" customFormat="1" x14ac:dyDescent="0.2">
      <c r="A713" s="138"/>
      <c r="B713" s="148"/>
      <c r="C713" s="169"/>
      <c r="D713" s="157"/>
      <c r="E713" s="653" t="str">
        <f>E703</f>
        <v>LS(%): 148,42</v>
      </c>
      <c r="F713" s="653"/>
      <c r="G713" s="653"/>
      <c r="H713" s="135">
        <f>H712*L713</f>
        <v>6.6640579999999998</v>
      </c>
      <c r="I713" s="141"/>
      <c r="J713" s="144"/>
      <c r="K713" s="159">
        <v>0.23400000000000001</v>
      </c>
      <c r="L713" s="167">
        <f t="shared" si="19"/>
        <v>1.4842</v>
      </c>
    </row>
    <row r="714" spans="1:14" s="147" customFormat="1" x14ac:dyDescent="0.2">
      <c r="A714" s="138"/>
      <c r="B714" s="148"/>
      <c r="C714" s="169"/>
      <c r="D714" s="157"/>
      <c r="E714" s="653" t="str">
        <f>E704</f>
        <v>BDI (%): 23,40</v>
      </c>
      <c r="F714" s="653"/>
      <c r="G714" s="653"/>
      <c r="H714" s="654">
        <f>(H712+I712+H713)*K714</f>
        <v>6.1923555720000003</v>
      </c>
      <c r="I714" s="654"/>
      <c r="J714" s="144"/>
      <c r="K714" s="159">
        <v>0.23400000000000001</v>
      </c>
      <c r="L714" s="167">
        <f t="shared" si="19"/>
        <v>1.4842</v>
      </c>
    </row>
    <row r="715" spans="1:14" s="147" customFormat="1" x14ac:dyDescent="0.2">
      <c r="A715" s="138"/>
      <c r="B715" s="148"/>
      <c r="C715" s="169"/>
      <c r="D715" s="157"/>
      <c r="E715" s="653" t="str">
        <f>E705</f>
        <v>Valor Total c/ Taxas</v>
      </c>
      <c r="F715" s="653"/>
      <c r="G715" s="653"/>
      <c r="H715" s="135"/>
      <c r="I715" s="172">
        <f>(H712+I712+H713+H714)</f>
        <v>32.655413572</v>
      </c>
      <c r="J715" s="144"/>
      <c r="K715" s="159">
        <v>0.23400000000000001</v>
      </c>
      <c r="L715" s="167">
        <f t="shared" si="19"/>
        <v>1.4842</v>
      </c>
      <c r="N715" s="531">
        <v>32.663979999999995</v>
      </c>
    </row>
    <row r="716" spans="1:14" s="147" customFormat="1" x14ac:dyDescent="0.2">
      <c r="A716" s="138"/>
      <c r="B716" s="148"/>
      <c r="C716" s="169"/>
      <c r="D716" s="157"/>
      <c r="E716" s="171"/>
      <c r="F716" s="171"/>
      <c r="G716" s="171"/>
      <c r="H716" s="135"/>
      <c r="I716" s="172"/>
      <c r="J716" s="144"/>
      <c r="K716" s="159">
        <v>0.23400000000000001</v>
      </c>
      <c r="L716" s="167">
        <f t="shared" si="19"/>
        <v>1.4842</v>
      </c>
      <c r="N716" s="531"/>
    </row>
    <row r="717" spans="1:14" s="147" customFormat="1" x14ac:dyDescent="0.2">
      <c r="A717" s="188"/>
      <c r="B717" s="155" t="str">
        <f>'Planilha Orçamentaria'!A107</f>
        <v>15.2</v>
      </c>
      <c r="C717" s="156" t="str">
        <f>'Planilha Orçamentaria'!C107</f>
        <v>Forro em lambri de PVC</v>
      </c>
      <c r="D717" s="223" t="str">
        <f>'Planilha Orçamentaria'!D107</f>
        <v>M2</v>
      </c>
      <c r="E717" s="135"/>
      <c r="F717" s="133"/>
      <c r="G717" s="158"/>
      <c r="H717" s="135"/>
      <c r="I717" s="135"/>
      <c r="J717" s="144"/>
      <c r="K717" s="159">
        <v>0.23400000000000001</v>
      </c>
      <c r="L717" s="167">
        <f t="shared" si="19"/>
        <v>1.4842</v>
      </c>
    </row>
    <row r="718" spans="1:14" s="147" customFormat="1" x14ac:dyDescent="0.2">
      <c r="A718" s="138"/>
      <c r="B718" s="148"/>
      <c r="C718" s="169" t="str">
        <f>C717</f>
        <v>Forro em lambri de PVC</v>
      </c>
      <c r="D718" s="157" t="str">
        <f>D717</f>
        <v>M2</v>
      </c>
      <c r="E718" s="135">
        <f>18.001*N11</f>
        <v>18.001000000000001</v>
      </c>
      <c r="F718" s="133">
        <v>462.09</v>
      </c>
      <c r="G718" s="158">
        <v>0.9</v>
      </c>
      <c r="H718" s="135"/>
      <c r="I718" s="135">
        <f>E718*G718</f>
        <v>16.200900000000001</v>
      </c>
      <c r="J718" s="144"/>
      <c r="K718" s="159">
        <v>0.23400000000000001</v>
      </c>
      <c r="L718" s="167">
        <f t="shared" si="19"/>
        <v>1.4842</v>
      </c>
    </row>
    <row r="719" spans="1:14" s="147" customFormat="1" x14ac:dyDescent="0.2">
      <c r="A719" s="138"/>
      <c r="B719" s="148"/>
      <c r="C719" s="169" t="s">
        <v>431</v>
      </c>
      <c r="D719" s="157" t="s">
        <v>425</v>
      </c>
      <c r="E719" s="135">
        <f>5.21*N11</f>
        <v>5.21</v>
      </c>
      <c r="F719" s="133"/>
      <c r="G719" s="158">
        <v>0.5</v>
      </c>
      <c r="H719" s="135">
        <f>E719*G719</f>
        <v>2.605</v>
      </c>
      <c r="I719" s="187"/>
      <c r="J719" s="144"/>
      <c r="K719" s="159">
        <v>0.23400000000000001</v>
      </c>
      <c r="L719" s="167">
        <f t="shared" si="19"/>
        <v>1.4842</v>
      </c>
    </row>
    <row r="720" spans="1:14" s="147" customFormat="1" x14ac:dyDescent="0.2">
      <c r="A720" s="138"/>
      <c r="B720" s="148"/>
      <c r="C720" s="169" t="s">
        <v>434</v>
      </c>
      <c r="D720" s="157" t="s">
        <v>425</v>
      </c>
      <c r="E720" s="135">
        <f>3.77*N11</f>
        <v>3.77</v>
      </c>
      <c r="F720" s="133"/>
      <c r="G720" s="158">
        <v>0.5</v>
      </c>
      <c r="H720" s="135">
        <f>E720*G720</f>
        <v>1.885</v>
      </c>
      <c r="I720" s="187"/>
      <c r="J720" s="144"/>
      <c r="K720" s="159">
        <v>0.23400000000000001</v>
      </c>
      <c r="L720" s="167">
        <f t="shared" si="19"/>
        <v>1.4842</v>
      </c>
    </row>
    <row r="721" spans="1:14" s="147" customFormat="1" x14ac:dyDescent="0.2">
      <c r="A721" s="138"/>
      <c r="B721" s="148"/>
      <c r="C721" s="169"/>
      <c r="D721" s="157"/>
      <c r="E721" s="135"/>
      <c r="F721" s="133"/>
      <c r="G721" s="158"/>
      <c r="H721" s="135"/>
      <c r="I721" s="135"/>
      <c r="J721" s="144"/>
      <c r="K721" s="159">
        <v>0.23400000000000001</v>
      </c>
      <c r="L721" s="167">
        <f t="shared" si="19"/>
        <v>1.4842</v>
      </c>
    </row>
    <row r="722" spans="1:14" s="147" customFormat="1" x14ac:dyDescent="0.2">
      <c r="A722" s="138"/>
      <c r="B722" s="148"/>
      <c r="C722" s="169"/>
      <c r="D722" s="157"/>
      <c r="E722" s="653" t="str">
        <f>E712</f>
        <v>Custo Direto</v>
      </c>
      <c r="F722" s="653"/>
      <c r="G722" s="653"/>
      <c r="H722" s="172">
        <f>SUM(H718:H721)</f>
        <v>4.49</v>
      </c>
      <c r="I722" s="172">
        <f>SUM(I718:I721)</f>
        <v>16.200900000000001</v>
      </c>
      <c r="J722" s="144"/>
      <c r="K722" s="159">
        <v>0.23400000000000001</v>
      </c>
      <c r="L722" s="167">
        <f t="shared" si="19"/>
        <v>1.4842</v>
      </c>
    </row>
    <row r="723" spans="1:14" s="147" customFormat="1" x14ac:dyDescent="0.2">
      <c r="A723" s="138"/>
      <c r="B723" s="148"/>
      <c r="C723" s="169"/>
      <c r="D723" s="157"/>
      <c r="E723" s="653" t="str">
        <f>E713</f>
        <v>LS(%): 148,42</v>
      </c>
      <c r="F723" s="653"/>
      <c r="G723" s="653"/>
      <c r="H723" s="135">
        <f>H722*L723</f>
        <v>6.6640579999999998</v>
      </c>
      <c r="I723" s="141"/>
      <c r="J723" s="144"/>
      <c r="K723" s="159">
        <v>0.23400000000000001</v>
      </c>
      <c r="L723" s="167">
        <f t="shared" si="19"/>
        <v>1.4842</v>
      </c>
    </row>
    <row r="724" spans="1:14" s="147" customFormat="1" x14ac:dyDescent="0.2">
      <c r="A724" s="138"/>
      <c r="B724" s="148"/>
      <c r="C724" s="169"/>
      <c r="D724" s="157"/>
      <c r="E724" s="653" t="str">
        <f>E714</f>
        <v>BDI (%): 23,40</v>
      </c>
      <c r="F724" s="653"/>
      <c r="G724" s="653"/>
      <c r="H724" s="654">
        <f>(H722+I722+H723)*K724</f>
        <v>6.4010601720000002</v>
      </c>
      <c r="I724" s="654"/>
      <c r="J724" s="144"/>
      <c r="K724" s="159">
        <v>0.23400000000000001</v>
      </c>
      <c r="L724" s="167">
        <f t="shared" si="19"/>
        <v>1.4842</v>
      </c>
    </row>
    <row r="725" spans="1:14" s="147" customFormat="1" x14ac:dyDescent="0.2">
      <c r="A725" s="138"/>
      <c r="B725" s="148"/>
      <c r="C725" s="169"/>
      <c r="D725" s="157"/>
      <c r="E725" s="653" t="str">
        <f>E715</f>
        <v>Valor Total c/ Taxas</v>
      </c>
      <c r="F725" s="653"/>
      <c r="G725" s="653"/>
      <c r="H725" s="135"/>
      <c r="I725" s="172">
        <f>(H722+I722+H723+H724)</f>
        <v>33.756018171999997</v>
      </c>
      <c r="J725" s="144"/>
      <c r="K725" s="159">
        <v>0.23400000000000001</v>
      </c>
      <c r="L725" s="167">
        <f t="shared" si="19"/>
        <v>1.4842</v>
      </c>
      <c r="N725" s="531">
        <v>33.762239999999998</v>
      </c>
    </row>
    <row r="726" spans="1:14" s="147" customFormat="1" x14ac:dyDescent="0.2">
      <c r="A726" s="138"/>
      <c r="B726" s="544"/>
      <c r="C726" s="169"/>
      <c r="D726" s="157"/>
      <c r="E726" s="543"/>
      <c r="F726" s="543"/>
      <c r="G726" s="543"/>
      <c r="H726" s="135"/>
      <c r="I726" s="172"/>
      <c r="J726" s="144"/>
      <c r="K726" s="159">
        <v>0.23400000000000001</v>
      </c>
      <c r="L726" s="167">
        <f t="shared" si="19"/>
        <v>1.4842</v>
      </c>
      <c r="N726" s="531"/>
    </row>
    <row r="727" spans="1:14" s="147" customFormat="1" x14ac:dyDescent="0.2">
      <c r="A727" s="188"/>
      <c r="B727" s="155" t="str">
        <f>'Planilha Orçamentaria'!A111</f>
        <v>16.1.1</v>
      </c>
      <c r="C727" s="545" t="str">
        <f>'Planilha Orçamentaria'!C111</f>
        <v>Esmalte sobre grade de ferro (superf. aparelhada)</v>
      </c>
      <c r="D727" s="223" t="str">
        <f>'Planilha Orçamentaria'!D117</f>
        <v>M2</v>
      </c>
      <c r="E727" s="135"/>
      <c r="F727" s="133"/>
      <c r="G727" s="158"/>
      <c r="H727" s="135"/>
      <c r="I727" s="135"/>
      <c r="J727" s="144"/>
      <c r="K727" s="159">
        <v>0.23400000000000001</v>
      </c>
      <c r="L727" s="167">
        <f t="shared" si="19"/>
        <v>1.4842</v>
      </c>
    </row>
    <row r="728" spans="1:14" s="147" customFormat="1" x14ac:dyDescent="0.2">
      <c r="A728" s="138"/>
      <c r="B728" s="544"/>
      <c r="C728" s="169" t="str">
        <f>C727</f>
        <v>Esmalte sobre grade de ferro (superf. aparelhada)</v>
      </c>
      <c r="D728" s="157" t="str">
        <f>D727</f>
        <v>M2</v>
      </c>
      <c r="E728" s="135">
        <f>31.943*N11</f>
        <v>31.943000000000001</v>
      </c>
      <c r="F728" s="133">
        <v>462.09</v>
      </c>
      <c r="G728" s="158">
        <v>0.6</v>
      </c>
      <c r="H728" s="135"/>
      <c r="I728" s="135">
        <f>E728*G728</f>
        <v>19.165800000000001</v>
      </c>
      <c r="J728" s="144"/>
      <c r="K728" s="159">
        <v>0.23400000000000001</v>
      </c>
      <c r="L728" s="167">
        <f t="shared" si="19"/>
        <v>1.4842</v>
      </c>
    </row>
    <row r="729" spans="1:14" s="147" customFormat="1" x14ac:dyDescent="0.2">
      <c r="A729" s="138"/>
      <c r="B729" s="544"/>
      <c r="C729" s="169" t="s">
        <v>481</v>
      </c>
      <c r="D729" s="157" t="s">
        <v>425</v>
      </c>
      <c r="E729" s="135">
        <f>5.21*N11</f>
        <v>5.21</v>
      </c>
      <c r="F729" s="133"/>
      <c r="G729" s="158">
        <v>0.312</v>
      </c>
      <c r="H729" s="135">
        <f>E729*G729</f>
        <v>1.6255200000000001</v>
      </c>
      <c r="I729" s="187"/>
      <c r="J729" s="144"/>
      <c r="K729" s="159">
        <v>0.23400000000000001</v>
      </c>
      <c r="L729" s="167">
        <f t="shared" si="19"/>
        <v>1.4842</v>
      </c>
    </row>
    <row r="730" spans="1:14" s="147" customFormat="1" x14ac:dyDescent="0.2">
      <c r="A730" s="138"/>
      <c r="B730" s="544"/>
      <c r="C730" s="169" t="s">
        <v>434</v>
      </c>
      <c r="D730" s="157" t="s">
        <v>425</v>
      </c>
      <c r="E730" s="135">
        <f>3.77*N11</f>
        <v>3.77</v>
      </c>
      <c r="F730" s="133"/>
      <c r="G730" s="158">
        <v>0.214</v>
      </c>
      <c r="H730" s="135">
        <f>E730*G730</f>
        <v>0.80677999999999994</v>
      </c>
      <c r="I730" s="187"/>
      <c r="J730" s="144"/>
      <c r="K730" s="159">
        <v>0.23400000000000001</v>
      </c>
      <c r="L730" s="167">
        <f t="shared" si="19"/>
        <v>1.4842</v>
      </c>
    </row>
    <row r="731" spans="1:14" s="147" customFormat="1" x14ac:dyDescent="0.2">
      <c r="A731" s="138"/>
      <c r="B731" s="544"/>
      <c r="C731" s="169"/>
      <c r="D731" s="157"/>
      <c r="E731" s="135"/>
      <c r="F731" s="133"/>
      <c r="G731" s="158"/>
      <c r="H731" s="135"/>
      <c r="I731" s="135"/>
      <c r="J731" s="144"/>
      <c r="K731" s="159">
        <v>0.23400000000000001</v>
      </c>
      <c r="L731" s="167">
        <f t="shared" si="19"/>
        <v>1.4842</v>
      </c>
    </row>
    <row r="732" spans="1:14" s="147" customFormat="1" x14ac:dyDescent="0.2">
      <c r="A732" s="138"/>
      <c r="B732" s="544"/>
      <c r="C732" s="169"/>
      <c r="D732" s="157"/>
      <c r="E732" s="653" t="str">
        <f>E722</f>
        <v>Custo Direto</v>
      </c>
      <c r="F732" s="653"/>
      <c r="G732" s="653"/>
      <c r="H732" s="172">
        <f>SUM(H728:H731)</f>
        <v>2.4323000000000001</v>
      </c>
      <c r="I732" s="172">
        <f>SUM(I728:I731)</f>
        <v>19.165800000000001</v>
      </c>
      <c r="J732" s="144"/>
      <c r="K732" s="159">
        <v>0.23400000000000001</v>
      </c>
      <c r="L732" s="167">
        <f t="shared" si="19"/>
        <v>1.4842</v>
      </c>
    </row>
    <row r="733" spans="1:14" s="147" customFormat="1" x14ac:dyDescent="0.2">
      <c r="A733" s="138"/>
      <c r="B733" s="544"/>
      <c r="C733" s="169"/>
      <c r="D733" s="157"/>
      <c r="E733" s="653" t="str">
        <f>E723</f>
        <v>LS(%): 148,42</v>
      </c>
      <c r="F733" s="653"/>
      <c r="G733" s="653"/>
      <c r="H733" s="135">
        <f>H732*L733</f>
        <v>3.6100196600000003</v>
      </c>
      <c r="I733" s="141"/>
      <c r="J733" s="144"/>
      <c r="K733" s="159">
        <v>0.23400000000000001</v>
      </c>
      <c r="L733" s="167">
        <f t="shared" si="19"/>
        <v>1.4842</v>
      </c>
    </row>
    <row r="734" spans="1:14" s="147" customFormat="1" x14ac:dyDescent="0.2">
      <c r="A734" s="138"/>
      <c r="B734" s="544"/>
      <c r="C734" s="169"/>
      <c r="D734" s="157"/>
      <c r="E734" s="653" t="str">
        <f>E724</f>
        <v>BDI (%): 23,40</v>
      </c>
      <c r="F734" s="653"/>
      <c r="G734" s="653"/>
      <c r="H734" s="654">
        <f>(H732+I732+H733)*K734</f>
        <v>5.8987000004400008</v>
      </c>
      <c r="I734" s="654"/>
      <c r="J734" s="144"/>
      <c r="K734" s="159">
        <v>0.23400000000000001</v>
      </c>
      <c r="L734" s="167">
        <f t="shared" si="19"/>
        <v>1.4842</v>
      </c>
    </row>
    <row r="735" spans="1:14" s="147" customFormat="1" x14ac:dyDescent="0.2">
      <c r="A735" s="138"/>
      <c r="B735" s="544"/>
      <c r="C735" s="169"/>
      <c r="D735" s="157"/>
      <c r="E735" s="653" t="str">
        <f>E725</f>
        <v>Valor Total c/ Taxas</v>
      </c>
      <c r="F735" s="653"/>
      <c r="G735" s="653"/>
      <c r="H735" s="135"/>
      <c r="I735" s="172">
        <f>(H732+I732+H733+H734)</f>
        <v>31.106819660440003</v>
      </c>
      <c r="J735" s="144"/>
      <c r="K735" s="159">
        <v>0.23400000000000001</v>
      </c>
      <c r="L735" s="167">
        <f t="shared" si="19"/>
        <v>1.4842</v>
      </c>
      <c r="N735" s="531">
        <v>31.10914</v>
      </c>
    </row>
    <row r="736" spans="1:14" s="147" customFormat="1" x14ac:dyDescent="0.2">
      <c r="A736" s="138"/>
      <c r="B736" s="544"/>
      <c r="C736" s="169"/>
      <c r="D736" s="157"/>
      <c r="E736" s="543"/>
      <c r="F736" s="543"/>
      <c r="G736" s="543"/>
      <c r="H736" s="135"/>
      <c r="I736" s="172"/>
      <c r="J736" s="144"/>
      <c r="K736" s="159">
        <v>0.23400000000000001</v>
      </c>
      <c r="L736" s="167">
        <f t="shared" si="19"/>
        <v>1.4842</v>
      </c>
      <c r="N736" s="531"/>
    </row>
    <row r="737" spans="1:14" s="147" customFormat="1" x14ac:dyDescent="0.2">
      <c r="A737" s="188"/>
      <c r="B737" s="155" t="str">
        <f>'Planilha Orçamentaria'!A112</f>
        <v>16.1.2</v>
      </c>
      <c r="C737" s="545" t="str">
        <f>'Planilha Orçamentaria'!C112</f>
        <v>Esmalte sobre madeira c/ massa e selador</v>
      </c>
      <c r="D737" s="223" t="str">
        <f>'Planilha Orçamentaria'!D112</f>
        <v>M2</v>
      </c>
      <c r="E737" s="135"/>
      <c r="F737" s="133"/>
      <c r="G737" s="158"/>
      <c r="H737" s="135"/>
      <c r="I737" s="135"/>
      <c r="J737" s="144"/>
      <c r="K737" s="159">
        <v>0.23400000000000001</v>
      </c>
      <c r="L737" s="167">
        <f t="shared" si="19"/>
        <v>1.4842</v>
      </c>
    </row>
    <row r="738" spans="1:14" s="147" customFormat="1" x14ac:dyDescent="0.2">
      <c r="A738" s="138"/>
      <c r="B738" s="544"/>
      <c r="C738" s="169" t="str">
        <f>C737</f>
        <v>Esmalte sobre madeira c/ massa e selador</v>
      </c>
      <c r="D738" s="157" t="str">
        <f>D737</f>
        <v>M2</v>
      </c>
      <c r="E738" s="135">
        <f>28.73*N11</f>
        <v>28.73</v>
      </c>
      <c r="F738" s="133">
        <v>462.09</v>
      </c>
      <c r="G738" s="158">
        <v>0.56999999999999995</v>
      </c>
      <c r="H738" s="135"/>
      <c r="I738" s="135">
        <f>E738*G738</f>
        <v>16.376099999999997</v>
      </c>
      <c r="J738" s="144"/>
      <c r="K738" s="159">
        <v>0.23400000000000001</v>
      </c>
      <c r="L738" s="167">
        <f t="shared" si="19"/>
        <v>1.4842</v>
      </c>
    </row>
    <row r="739" spans="1:14" s="147" customFormat="1" x14ac:dyDescent="0.2">
      <c r="A739" s="138"/>
      <c r="B739" s="544"/>
      <c r="C739" s="169" t="s">
        <v>481</v>
      </c>
      <c r="D739" s="157" t="s">
        <v>425</v>
      </c>
      <c r="E739" s="135">
        <f>5.21*N11</f>
        <v>5.21</v>
      </c>
      <c r="F739" s="133"/>
      <c r="G739" s="158">
        <v>0.28999999999999998</v>
      </c>
      <c r="H739" s="135">
        <f>E739*G739</f>
        <v>1.5108999999999999</v>
      </c>
      <c r="I739" s="187"/>
      <c r="J739" s="144"/>
      <c r="K739" s="159">
        <v>0.23400000000000001</v>
      </c>
      <c r="L739" s="167">
        <f t="shared" si="19"/>
        <v>1.4842</v>
      </c>
    </row>
    <row r="740" spans="1:14" s="147" customFormat="1" x14ac:dyDescent="0.2">
      <c r="A740" s="138"/>
      <c r="B740" s="544"/>
      <c r="C740" s="169" t="s">
        <v>434</v>
      </c>
      <c r="D740" s="157" t="s">
        <v>425</v>
      </c>
      <c r="E740" s="135">
        <f>3.77*N11</f>
        <v>3.77</v>
      </c>
      <c r="F740" s="133"/>
      <c r="G740" s="158">
        <v>0.16</v>
      </c>
      <c r="H740" s="135">
        <f>E740*G740</f>
        <v>0.60320000000000007</v>
      </c>
      <c r="I740" s="187"/>
      <c r="J740" s="144"/>
      <c r="K740" s="159">
        <v>0.23400000000000001</v>
      </c>
      <c r="L740" s="167">
        <f t="shared" si="19"/>
        <v>1.4842</v>
      </c>
    </row>
    <row r="741" spans="1:14" s="147" customFormat="1" x14ac:dyDescent="0.2">
      <c r="A741" s="138"/>
      <c r="B741" s="544"/>
      <c r="C741" s="169"/>
      <c r="D741" s="157"/>
      <c r="E741" s="135"/>
      <c r="F741" s="133"/>
      <c r="G741" s="158"/>
      <c r="H741" s="135"/>
      <c r="I741" s="135"/>
      <c r="J741" s="144"/>
      <c r="K741" s="159">
        <v>0.23400000000000001</v>
      </c>
      <c r="L741" s="167">
        <f t="shared" si="19"/>
        <v>1.4842</v>
      </c>
    </row>
    <row r="742" spans="1:14" s="147" customFormat="1" x14ac:dyDescent="0.2">
      <c r="A742" s="138"/>
      <c r="B742" s="544"/>
      <c r="C742" s="169"/>
      <c r="D742" s="157"/>
      <c r="E742" s="653" t="str">
        <f>E732</f>
        <v>Custo Direto</v>
      </c>
      <c r="F742" s="653"/>
      <c r="G742" s="653"/>
      <c r="H742" s="172">
        <f>SUM(H738:H741)</f>
        <v>2.1141000000000001</v>
      </c>
      <c r="I742" s="172">
        <f>SUM(I738:I741)</f>
        <v>16.376099999999997</v>
      </c>
      <c r="J742" s="144"/>
      <c r="K742" s="159">
        <v>0.23400000000000001</v>
      </c>
      <c r="L742" s="167">
        <f t="shared" si="19"/>
        <v>1.4842</v>
      </c>
    </row>
    <row r="743" spans="1:14" s="147" customFormat="1" x14ac:dyDescent="0.2">
      <c r="A743" s="138"/>
      <c r="B743" s="544"/>
      <c r="C743" s="169"/>
      <c r="D743" s="157"/>
      <c r="E743" s="653" t="str">
        <f>E733</f>
        <v>LS(%): 148,42</v>
      </c>
      <c r="F743" s="653"/>
      <c r="G743" s="653"/>
      <c r="H743" s="135">
        <f>H742*L743</f>
        <v>3.1377472200000001</v>
      </c>
      <c r="I743" s="141"/>
      <c r="J743" s="144"/>
      <c r="K743" s="159">
        <v>0.23400000000000001</v>
      </c>
      <c r="L743" s="167">
        <f t="shared" si="19"/>
        <v>1.4842</v>
      </c>
    </row>
    <row r="744" spans="1:14" s="147" customFormat="1" x14ac:dyDescent="0.2">
      <c r="A744" s="138"/>
      <c r="B744" s="544"/>
      <c r="C744" s="169"/>
      <c r="D744" s="157"/>
      <c r="E744" s="653" t="str">
        <f>E734</f>
        <v>BDI (%): 23,40</v>
      </c>
      <c r="F744" s="653"/>
      <c r="G744" s="653"/>
      <c r="H744" s="654">
        <f>(H742+I742+H743)*K744</f>
        <v>5.0609396494799999</v>
      </c>
      <c r="I744" s="654"/>
      <c r="J744" s="144"/>
      <c r="K744" s="159">
        <v>0.23400000000000001</v>
      </c>
      <c r="L744" s="167">
        <f t="shared" si="19"/>
        <v>1.4842</v>
      </c>
    </row>
    <row r="745" spans="1:14" s="147" customFormat="1" x14ac:dyDescent="0.2">
      <c r="A745" s="138"/>
      <c r="B745" s="544"/>
      <c r="C745" s="169"/>
      <c r="D745" s="157"/>
      <c r="E745" s="653" t="str">
        <f>E735</f>
        <v>Valor Total c/ Taxas</v>
      </c>
      <c r="F745" s="653"/>
      <c r="G745" s="653"/>
      <c r="H745" s="135"/>
      <c r="I745" s="172">
        <f>(H742+I742+H743+H744)</f>
        <v>26.688886869480001</v>
      </c>
      <c r="J745" s="144"/>
      <c r="K745" s="159">
        <v>0.23400000000000001</v>
      </c>
      <c r="L745" s="167">
        <f t="shared" si="19"/>
        <v>1.4842</v>
      </c>
      <c r="N745" s="531">
        <v>26.691419999999997</v>
      </c>
    </row>
    <row r="746" spans="1:14" s="213" customFormat="1" x14ac:dyDescent="0.2">
      <c r="A746" s="205"/>
      <c r="B746" s="206"/>
      <c r="C746" s="207"/>
      <c r="D746" s="208"/>
      <c r="E746" s="565"/>
      <c r="F746" s="563"/>
      <c r="G746" s="566"/>
      <c r="H746" s="209"/>
      <c r="I746" s="209"/>
      <c r="J746" s="211"/>
      <c r="K746" s="567">
        <v>0.23400000000000001</v>
      </c>
      <c r="L746" s="167">
        <f t="shared" si="19"/>
        <v>1.4842</v>
      </c>
    </row>
    <row r="747" spans="1:14" s="147" customFormat="1" x14ac:dyDescent="0.2">
      <c r="A747" s="202"/>
      <c r="B747" s="201" t="str">
        <f>'Planilha Orçamentaria'!A114</f>
        <v>16.2.1</v>
      </c>
      <c r="C747" s="156" t="str">
        <f>'Planilha Orçamentaria'!C114</f>
        <v>Acrilica (sobre pintura antiga)</v>
      </c>
      <c r="D747" s="228" t="str">
        <f>'Planilha Orçamentaria'!D114</f>
        <v>M2</v>
      </c>
      <c r="E747" s="135"/>
      <c r="F747" s="133"/>
      <c r="G747" s="158"/>
      <c r="H747" s="135"/>
      <c r="I747" s="135"/>
      <c r="J747" s="144"/>
      <c r="K747" s="159">
        <v>0.23400000000000001</v>
      </c>
      <c r="L747" s="167">
        <f t="shared" si="19"/>
        <v>1.4842</v>
      </c>
    </row>
    <row r="748" spans="1:14" s="147" customFormat="1" x14ac:dyDescent="0.2">
      <c r="A748" s="138"/>
      <c r="B748" s="124"/>
      <c r="C748" s="169" t="str">
        <f>C747</f>
        <v>Acrilica (sobre pintura antiga)</v>
      </c>
      <c r="D748" s="157" t="str">
        <f>D747</f>
        <v>M2</v>
      </c>
      <c r="E748" s="135">
        <f>6.9*N11</f>
        <v>6.9</v>
      </c>
      <c r="F748" s="133">
        <v>38</v>
      </c>
      <c r="G748" s="158">
        <v>1</v>
      </c>
      <c r="H748" s="135"/>
      <c r="I748" s="135">
        <f>E748*G748</f>
        <v>6.9</v>
      </c>
      <c r="J748" s="144"/>
      <c r="K748" s="159">
        <v>0.23400000000000001</v>
      </c>
      <c r="L748" s="167">
        <f t="shared" si="19"/>
        <v>1.4842</v>
      </c>
    </row>
    <row r="749" spans="1:14" s="147" customFormat="1" x14ac:dyDescent="0.2">
      <c r="A749" s="138"/>
      <c r="B749" s="124"/>
      <c r="C749" s="169" t="s">
        <v>481</v>
      </c>
      <c r="D749" s="157" t="s">
        <v>425</v>
      </c>
      <c r="E749" s="135">
        <f>5.21*N11</f>
        <v>5.21</v>
      </c>
      <c r="F749" s="133"/>
      <c r="G749" s="158">
        <v>8.9999999999999993E-3</v>
      </c>
      <c r="H749" s="135">
        <f>E749*G749</f>
        <v>4.6889999999999994E-2</v>
      </c>
      <c r="I749" s="187"/>
      <c r="J749" s="144"/>
      <c r="K749" s="159">
        <v>0.23400000000000001</v>
      </c>
      <c r="L749" s="167">
        <f t="shared" si="19"/>
        <v>1.4842</v>
      </c>
    </row>
    <row r="750" spans="1:14" s="147" customFormat="1" x14ac:dyDescent="0.2">
      <c r="A750" s="138"/>
      <c r="B750" s="124"/>
      <c r="C750" s="169" t="s">
        <v>434</v>
      </c>
      <c r="D750" s="157" t="s">
        <v>425</v>
      </c>
      <c r="E750" s="135">
        <f>3.77*N11</f>
        <v>3.77</v>
      </c>
      <c r="F750" s="133"/>
      <c r="G750" s="158">
        <v>0.04</v>
      </c>
      <c r="H750" s="135">
        <f>E750*G750</f>
        <v>0.15080000000000002</v>
      </c>
      <c r="I750" s="187"/>
      <c r="J750" s="144"/>
      <c r="K750" s="159">
        <v>0.23400000000000001</v>
      </c>
      <c r="L750" s="167">
        <f t="shared" si="19"/>
        <v>1.4842</v>
      </c>
    </row>
    <row r="751" spans="1:14" s="147" customFormat="1" x14ac:dyDescent="0.2">
      <c r="A751" s="138"/>
      <c r="B751" s="124"/>
      <c r="C751" s="169"/>
      <c r="D751" s="157"/>
      <c r="E751" s="135"/>
      <c r="F751" s="133"/>
      <c r="G751" s="158"/>
      <c r="H751" s="135"/>
      <c r="I751" s="135"/>
      <c r="J751" s="144"/>
      <c r="K751" s="159">
        <v>0.23400000000000001</v>
      </c>
      <c r="L751" s="167">
        <f t="shared" si="19"/>
        <v>1.4842</v>
      </c>
    </row>
    <row r="752" spans="1:14" s="147" customFormat="1" x14ac:dyDescent="0.2">
      <c r="A752" s="138"/>
      <c r="B752" s="124"/>
      <c r="C752" s="169"/>
      <c r="D752" s="157"/>
      <c r="E752" s="653" t="str">
        <f>E692</f>
        <v>Custo Direto</v>
      </c>
      <c r="F752" s="653"/>
      <c r="G752" s="653"/>
      <c r="H752" s="172">
        <f>SUM(H748:H751)</f>
        <v>0.19769</v>
      </c>
      <c r="I752" s="172">
        <f>SUM(I748:I751)</f>
        <v>6.9</v>
      </c>
      <c r="J752" s="144"/>
      <c r="K752" s="159">
        <v>0.23400000000000001</v>
      </c>
      <c r="L752" s="167">
        <f t="shared" si="19"/>
        <v>1.4842</v>
      </c>
    </row>
    <row r="753" spans="1:14" s="147" customFormat="1" x14ac:dyDescent="0.2">
      <c r="A753" s="138"/>
      <c r="B753" s="124"/>
      <c r="C753" s="169"/>
      <c r="D753" s="157"/>
      <c r="E753" s="653" t="str">
        <f>E693</f>
        <v>LS(%): 148,42</v>
      </c>
      <c r="F753" s="653"/>
      <c r="G753" s="653"/>
      <c r="H753" s="135">
        <f>H752*L753</f>
        <v>0.29341149799999999</v>
      </c>
      <c r="I753" s="141"/>
      <c r="J753" s="144"/>
      <c r="K753" s="159">
        <v>0.23400000000000001</v>
      </c>
      <c r="L753" s="167">
        <f t="shared" si="19"/>
        <v>1.4842</v>
      </c>
    </row>
    <row r="754" spans="1:14" s="147" customFormat="1" x14ac:dyDescent="0.2">
      <c r="A754" s="138"/>
      <c r="B754" s="124"/>
      <c r="C754" s="169"/>
      <c r="D754" s="157"/>
      <c r="E754" s="653" t="str">
        <f>E694</f>
        <v>BDI (%): 23,40</v>
      </c>
      <c r="F754" s="653"/>
      <c r="G754" s="653"/>
      <c r="H754" s="654">
        <f>(H752+I752+H753)*K754</f>
        <v>1.7295177505320001</v>
      </c>
      <c r="I754" s="654"/>
      <c r="J754" s="144"/>
      <c r="K754" s="159">
        <v>0.23400000000000001</v>
      </c>
      <c r="L754" s="167">
        <f t="shared" si="19"/>
        <v>1.4842</v>
      </c>
    </row>
    <row r="755" spans="1:14" s="147" customFormat="1" x14ac:dyDescent="0.2">
      <c r="A755" s="138"/>
      <c r="B755" s="124"/>
      <c r="C755" s="169"/>
      <c r="D755" s="157"/>
      <c r="E755" s="653" t="str">
        <f>E695</f>
        <v>Valor Total c/ Taxas</v>
      </c>
      <c r="F755" s="653"/>
      <c r="G755" s="653"/>
      <c r="H755" s="135"/>
      <c r="I755" s="172">
        <f>(H752+I752+H753+H754)</f>
        <v>9.1206192485319999</v>
      </c>
      <c r="J755" s="144"/>
      <c r="K755" s="159">
        <v>0.23400000000000001</v>
      </c>
      <c r="L755" s="167">
        <f t="shared" si="19"/>
        <v>1.4842</v>
      </c>
      <c r="N755" s="531">
        <v>9.1192599999999988</v>
      </c>
    </row>
    <row r="756" spans="1:14" s="147" customFormat="1" x14ac:dyDescent="0.2">
      <c r="A756" s="138"/>
      <c r="B756" s="124"/>
      <c r="C756" s="169"/>
      <c r="D756" s="157"/>
      <c r="E756" s="135"/>
      <c r="F756" s="133"/>
      <c r="G756" s="158"/>
      <c r="H756" s="135"/>
      <c r="I756" s="135"/>
      <c r="J756" s="144"/>
      <c r="K756" s="159">
        <v>0.23400000000000001</v>
      </c>
      <c r="L756" s="167">
        <f t="shared" si="19"/>
        <v>1.4842</v>
      </c>
    </row>
    <row r="757" spans="1:14" s="147" customFormat="1" x14ac:dyDescent="0.2">
      <c r="A757" s="202"/>
      <c r="B757" s="201" t="str">
        <f>'Planilha Orçamentaria'!A115</f>
        <v>16.2.2</v>
      </c>
      <c r="C757" s="545" t="str">
        <f>'Planilha Orçamentaria'!C115</f>
        <v>Acrilica fosca int./ext. c/massa e selador - 3 demaos</v>
      </c>
      <c r="D757" s="546" t="str">
        <f>'Planilha Orçamentaria'!D115</f>
        <v>M2</v>
      </c>
      <c r="E757" s="135"/>
      <c r="F757" s="133"/>
      <c r="G757" s="158"/>
      <c r="H757" s="135"/>
      <c r="I757" s="135"/>
      <c r="J757" s="144"/>
      <c r="K757" s="159">
        <v>0.23400000000000001</v>
      </c>
      <c r="L757" s="167">
        <f t="shared" si="19"/>
        <v>1.4842</v>
      </c>
    </row>
    <row r="758" spans="1:14" s="147" customFormat="1" x14ac:dyDescent="0.2">
      <c r="A758" s="138"/>
      <c r="B758" s="124"/>
      <c r="C758" s="169" t="str">
        <f>C757</f>
        <v>Acrilica fosca int./ext. c/massa e selador - 3 demaos</v>
      </c>
      <c r="D758" s="157" t="s">
        <v>423</v>
      </c>
      <c r="E758" s="135">
        <f>26*N11</f>
        <v>26</v>
      </c>
      <c r="F758" s="133" t="e">
        <f>#REF!</f>
        <v>#REF!</v>
      </c>
      <c r="G758" s="158">
        <v>0.7</v>
      </c>
      <c r="H758" s="135"/>
      <c r="I758" s="135">
        <f>E758*G758</f>
        <v>18.2</v>
      </c>
      <c r="J758" s="144"/>
      <c r="K758" s="159">
        <v>0.23400000000000001</v>
      </c>
      <c r="L758" s="167">
        <f t="shared" si="19"/>
        <v>1.4842</v>
      </c>
    </row>
    <row r="759" spans="1:14" s="147" customFormat="1" x14ac:dyDescent="0.2">
      <c r="A759" s="138"/>
      <c r="B759" s="124"/>
      <c r="C759" s="169" t="s">
        <v>481</v>
      </c>
      <c r="D759" s="157" t="s">
        <v>425</v>
      </c>
      <c r="E759" s="135">
        <f>5.21*N11</f>
        <v>5.21</v>
      </c>
      <c r="F759" s="133"/>
      <c r="G759" s="158">
        <v>0.24199999999999999</v>
      </c>
      <c r="H759" s="135">
        <f>E759*G759</f>
        <v>1.2608200000000001</v>
      </c>
      <c r="I759" s="187"/>
      <c r="J759" s="144"/>
      <c r="K759" s="159">
        <v>0.23400000000000001</v>
      </c>
      <c r="L759" s="167">
        <f t="shared" si="19"/>
        <v>1.4842</v>
      </c>
    </row>
    <row r="760" spans="1:14" s="147" customFormat="1" x14ac:dyDescent="0.2">
      <c r="A760" s="138"/>
      <c r="B760" s="124"/>
      <c r="C760" s="169" t="s">
        <v>434</v>
      </c>
      <c r="D760" s="157" t="s">
        <v>425</v>
      </c>
      <c r="E760" s="135">
        <f>3.77*N11</f>
        <v>3.77</v>
      </c>
      <c r="F760" s="133"/>
      <c r="G760" s="158">
        <v>0.19</v>
      </c>
      <c r="H760" s="135">
        <f>E760*G760</f>
        <v>0.71630000000000005</v>
      </c>
      <c r="I760" s="187"/>
      <c r="J760" s="144"/>
      <c r="K760" s="159">
        <v>0.23400000000000001</v>
      </c>
      <c r="L760" s="167">
        <f t="shared" si="19"/>
        <v>1.4842</v>
      </c>
    </row>
    <row r="761" spans="1:14" s="147" customFormat="1" x14ac:dyDescent="0.2">
      <c r="A761" s="138"/>
      <c r="B761" s="124"/>
      <c r="C761" s="169"/>
      <c r="D761" s="157"/>
      <c r="E761" s="135"/>
      <c r="F761" s="133"/>
      <c r="G761" s="158"/>
      <c r="H761" s="135"/>
      <c r="I761" s="135"/>
      <c r="J761" s="144"/>
      <c r="K761" s="159">
        <v>0.23400000000000001</v>
      </c>
      <c r="L761" s="167">
        <f t="shared" si="19"/>
        <v>1.4842</v>
      </c>
    </row>
    <row r="762" spans="1:14" s="147" customFormat="1" x14ac:dyDescent="0.2">
      <c r="A762" s="138"/>
      <c r="B762" s="124"/>
      <c r="C762" s="169"/>
      <c r="D762" s="157"/>
      <c r="E762" s="653" t="str">
        <f>E752</f>
        <v>Custo Direto</v>
      </c>
      <c r="F762" s="653"/>
      <c r="G762" s="653"/>
      <c r="H762" s="172">
        <f>SUM(H758:H761)</f>
        <v>1.9771200000000002</v>
      </c>
      <c r="I762" s="172">
        <f>SUM(I758:I761)</f>
        <v>18.2</v>
      </c>
      <c r="J762" s="144"/>
      <c r="K762" s="159">
        <v>0.23400000000000001</v>
      </c>
      <c r="L762" s="167">
        <f t="shared" si="19"/>
        <v>1.4842</v>
      </c>
    </row>
    <row r="763" spans="1:14" s="147" customFormat="1" x14ac:dyDescent="0.2">
      <c r="A763" s="138"/>
      <c r="B763" s="124"/>
      <c r="C763" s="169"/>
      <c r="D763" s="157"/>
      <c r="E763" s="653" t="str">
        <f>E753</f>
        <v>LS(%): 148,42</v>
      </c>
      <c r="F763" s="653"/>
      <c r="G763" s="653"/>
      <c r="H763" s="135">
        <f>H762*L763</f>
        <v>2.934441504</v>
      </c>
      <c r="I763" s="141"/>
      <c r="J763" s="144"/>
      <c r="K763" s="159">
        <v>0.23400000000000001</v>
      </c>
      <c r="L763" s="167">
        <f t="shared" si="19"/>
        <v>1.4842</v>
      </c>
    </row>
    <row r="764" spans="1:14" s="147" customFormat="1" x14ac:dyDescent="0.2">
      <c r="A764" s="138"/>
      <c r="B764" s="124"/>
      <c r="C764" s="169"/>
      <c r="D764" s="157"/>
      <c r="E764" s="653" t="str">
        <f>E754</f>
        <v>BDI (%): 23,40</v>
      </c>
      <c r="F764" s="653"/>
      <c r="G764" s="653"/>
      <c r="H764" s="654">
        <f>(H762+I762+H763)*K764</f>
        <v>5.408105391936</v>
      </c>
      <c r="I764" s="654"/>
      <c r="J764" s="144"/>
      <c r="K764" s="159">
        <v>0.23400000000000001</v>
      </c>
      <c r="L764" s="167">
        <f t="shared" si="19"/>
        <v>1.4842</v>
      </c>
    </row>
    <row r="765" spans="1:14" s="147" customFormat="1" x14ac:dyDescent="0.2">
      <c r="A765" s="138"/>
      <c r="B765" s="124"/>
      <c r="C765" s="169"/>
      <c r="D765" s="157"/>
      <c r="E765" s="653" t="str">
        <f>E755</f>
        <v>Valor Total c/ Taxas</v>
      </c>
      <c r="F765" s="653"/>
      <c r="G765" s="653"/>
      <c r="H765" s="135"/>
      <c r="I765" s="172">
        <f>(H762+I762+H763+H764)</f>
        <v>28.519666895935998</v>
      </c>
      <c r="J765" s="144"/>
      <c r="K765" s="159">
        <v>0.23400000000000001</v>
      </c>
      <c r="L765" s="167">
        <f t="shared" si="19"/>
        <v>1.4842</v>
      </c>
      <c r="N765" s="531">
        <v>28.51774</v>
      </c>
    </row>
    <row r="766" spans="1:14" s="147" customFormat="1" x14ac:dyDescent="0.2">
      <c r="A766" s="138"/>
      <c r="B766" s="124"/>
      <c r="C766" s="169"/>
      <c r="D766" s="157"/>
      <c r="E766" s="135"/>
      <c r="F766" s="133"/>
      <c r="G766" s="158"/>
      <c r="H766" s="135"/>
      <c r="I766" s="135"/>
      <c r="J766" s="144"/>
      <c r="K766" s="159">
        <v>0.23400000000000001</v>
      </c>
      <c r="L766" s="167">
        <f t="shared" si="19"/>
        <v>1.4842</v>
      </c>
    </row>
    <row r="767" spans="1:14" s="147" customFormat="1" x14ac:dyDescent="0.2">
      <c r="A767" s="202"/>
      <c r="B767" s="201" t="str">
        <f>'Planilha Orçamentaria'!A117</f>
        <v>16.3.1</v>
      </c>
      <c r="C767" s="545" t="str">
        <f>'Planilha Orçamentaria'!C117</f>
        <v>Acrílica para piso</v>
      </c>
      <c r="D767" s="546" t="str">
        <f>'Planilha Orçamentaria'!D117</f>
        <v>M2</v>
      </c>
      <c r="E767" s="135"/>
      <c r="F767" s="133"/>
      <c r="G767" s="158"/>
      <c r="H767" s="135"/>
      <c r="I767" s="135"/>
      <c r="J767" s="144"/>
      <c r="K767" s="159">
        <v>0.23400000000000001</v>
      </c>
      <c r="L767" s="167">
        <f t="shared" si="19"/>
        <v>1.4842</v>
      </c>
    </row>
    <row r="768" spans="1:14" s="147" customFormat="1" x14ac:dyDescent="0.2">
      <c r="A768" s="138"/>
      <c r="B768" s="124"/>
      <c r="C768" s="169" t="str">
        <f>C767</f>
        <v>Acrílica para piso</v>
      </c>
      <c r="D768" s="157" t="s">
        <v>444</v>
      </c>
      <c r="E768" s="135">
        <f>11.41*N11</f>
        <v>11.41</v>
      </c>
      <c r="F768" s="133">
        <v>28</v>
      </c>
      <c r="G768" s="158">
        <v>0.8</v>
      </c>
      <c r="H768" s="135"/>
      <c r="I768" s="135">
        <f>E768*G768</f>
        <v>9.1280000000000001</v>
      </c>
      <c r="J768" s="144"/>
      <c r="K768" s="159">
        <v>0.23400000000000001</v>
      </c>
      <c r="L768" s="167">
        <f t="shared" si="19"/>
        <v>1.4842</v>
      </c>
    </row>
    <row r="769" spans="1:14" s="147" customFormat="1" x14ac:dyDescent="0.2">
      <c r="A769" s="138"/>
      <c r="B769" s="124"/>
      <c r="C769" s="169" t="s">
        <v>481</v>
      </c>
      <c r="D769" s="157" t="s">
        <v>425</v>
      </c>
      <c r="E769" s="135">
        <f>5.21*N11</f>
        <v>5.21</v>
      </c>
      <c r="F769" s="133"/>
      <c r="G769" s="158">
        <v>0.03</v>
      </c>
      <c r="H769" s="135">
        <f>E769*G769</f>
        <v>0.15629999999999999</v>
      </c>
      <c r="I769" s="187"/>
      <c r="J769" s="144"/>
      <c r="K769" s="159">
        <v>0.23400000000000001</v>
      </c>
      <c r="L769" s="167">
        <f t="shared" si="19"/>
        <v>1.4842</v>
      </c>
    </row>
    <row r="770" spans="1:14" s="147" customFormat="1" x14ac:dyDescent="0.2">
      <c r="A770" s="138"/>
      <c r="B770" s="124"/>
      <c r="C770" s="169" t="s">
        <v>434</v>
      </c>
      <c r="D770" s="157" t="s">
        <v>425</v>
      </c>
      <c r="E770" s="135">
        <f>3.77*N11</f>
        <v>3.77</v>
      </c>
      <c r="F770" s="133"/>
      <c r="G770" s="158">
        <v>8.9999999999999993E-3</v>
      </c>
      <c r="H770" s="135">
        <f>E770*G770</f>
        <v>3.3929999999999995E-2</v>
      </c>
      <c r="I770" s="187"/>
      <c r="J770" s="144"/>
      <c r="K770" s="159">
        <v>0.23400000000000001</v>
      </c>
      <c r="L770" s="167">
        <f t="shared" si="19"/>
        <v>1.4842</v>
      </c>
    </row>
    <row r="771" spans="1:14" s="147" customFormat="1" x14ac:dyDescent="0.2">
      <c r="A771" s="138"/>
      <c r="B771" s="124"/>
      <c r="C771" s="169"/>
      <c r="D771" s="157"/>
      <c r="E771" s="135"/>
      <c r="F771" s="133"/>
      <c r="G771" s="158"/>
      <c r="H771" s="135"/>
      <c r="I771" s="135"/>
      <c r="J771" s="144"/>
      <c r="K771" s="159">
        <v>0.23400000000000001</v>
      </c>
      <c r="L771" s="167">
        <f t="shared" si="19"/>
        <v>1.4842</v>
      </c>
    </row>
    <row r="772" spans="1:14" s="147" customFormat="1" x14ac:dyDescent="0.2">
      <c r="A772" s="138"/>
      <c r="B772" s="124"/>
      <c r="C772" s="169"/>
      <c r="D772" s="157"/>
      <c r="E772" s="653" t="str">
        <f>E762</f>
        <v>Custo Direto</v>
      </c>
      <c r="F772" s="653"/>
      <c r="G772" s="653"/>
      <c r="H772" s="172">
        <f>SUM(H768:H771)</f>
        <v>0.19022999999999998</v>
      </c>
      <c r="I772" s="172">
        <f>SUM(I768:I771)</f>
        <v>9.1280000000000001</v>
      </c>
      <c r="J772" s="144"/>
      <c r="K772" s="159">
        <v>0.23400000000000001</v>
      </c>
      <c r="L772" s="167">
        <f t="shared" si="19"/>
        <v>1.4842</v>
      </c>
    </row>
    <row r="773" spans="1:14" s="147" customFormat="1" x14ac:dyDescent="0.2">
      <c r="A773" s="138"/>
      <c r="B773" s="124"/>
      <c r="C773" s="169"/>
      <c r="D773" s="157"/>
      <c r="E773" s="653" t="str">
        <f>E763</f>
        <v>LS(%): 148,42</v>
      </c>
      <c r="F773" s="653"/>
      <c r="G773" s="653"/>
      <c r="H773" s="135">
        <f>H772*L773</f>
        <v>0.28233936599999998</v>
      </c>
      <c r="I773" s="141"/>
      <c r="J773" s="144"/>
      <c r="K773" s="159">
        <v>0.23400000000000001</v>
      </c>
      <c r="L773" s="167">
        <f t="shared" si="19"/>
        <v>1.4842</v>
      </c>
    </row>
    <row r="774" spans="1:14" s="147" customFormat="1" x14ac:dyDescent="0.2">
      <c r="A774" s="138"/>
      <c r="B774" s="124"/>
      <c r="C774" s="169"/>
      <c r="D774" s="157"/>
      <c r="E774" s="653" t="str">
        <f>E764</f>
        <v>BDI (%): 23,40</v>
      </c>
      <c r="F774" s="653"/>
      <c r="G774" s="653"/>
      <c r="H774" s="654">
        <f>(H772+I772+H773)*K774</f>
        <v>2.2465332316440003</v>
      </c>
      <c r="I774" s="654"/>
      <c r="J774" s="144"/>
      <c r="K774" s="159">
        <v>0.23400000000000001</v>
      </c>
      <c r="L774" s="167">
        <f t="shared" si="19"/>
        <v>1.4842</v>
      </c>
    </row>
    <row r="775" spans="1:14" s="147" customFormat="1" x14ac:dyDescent="0.2">
      <c r="A775" s="138"/>
      <c r="B775" s="124"/>
      <c r="C775" s="169"/>
      <c r="D775" s="157"/>
      <c r="E775" s="653" t="str">
        <f>E765</f>
        <v>Valor Total c/ Taxas</v>
      </c>
      <c r="F775" s="653"/>
      <c r="G775" s="653"/>
      <c r="H775" s="135"/>
      <c r="I775" s="172">
        <f>(H772+I772+H773+H774)</f>
        <v>11.847102597644</v>
      </c>
      <c r="J775" s="144"/>
      <c r="K775" s="159">
        <v>0.23400000000000001</v>
      </c>
      <c r="L775" s="167">
        <f t="shared" si="19"/>
        <v>1.4842</v>
      </c>
      <c r="N775" s="531">
        <v>11.846399999999999</v>
      </c>
    </row>
    <row r="776" spans="1:14" s="147" customFormat="1" x14ac:dyDescent="0.2">
      <c r="A776" s="202"/>
      <c r="B776" s="201"/>
      <c r="C776" s="545"/>
      <c r="D776" s="546"/>
      <c r="E776" s="135"/>
      <c r="F776" s="133"/>
      <c r="G776" s="158"/>
      <c r="H776" s="135"/>
      <c r="I776" s="135"/>
      <c r="J776" s="144"/>
      <c r="K776" s="159">
        <v>0.23400000000000001</v>
      </c>
      <c r="L776" s="167">
        <f t="shared" si="19"/>
        <v>1.4842</v>
      </c>
    </row>
    <row r="777" spans="1:14" s="147" customFormat="1" x14ac:dyDescent="0.2">
      <c r="A777" s="188"/>
      <c r="B777" s="155" t="str">
        <f>'Planilha Orçamentaria'!A121</f>
        <v>17.1.1</v>
      </c>
      <c r="C777" s="156" t="str">
        <f>'Planilha Orçamentaria'!C121</f>
        <v>Centro de distribuição p/ 16 disjuntores (c/ barramento)</v>
      </c>
      <c r="D777" s="223" t="str">
        <f>'Planilha Orçamentaria'!D121</f>
        <v>UN</v>
      </c>
      <c r="E777" s="135"/>
      <c r="F777" s="133"/>
      <c r="G777" s="158"/>
      <c r="H777" s="135"/>
      <c r="I777" s="135"/>
      <c r="J777" s="144"/>
      <c r="K777" s="159">
        <v>0.23400000000000001</v>
      </c>
      <c r="L777" s="167">
        <f t="shared" si="19"/>
        <v>1.4842</v>
      </c>
    </row>
    <row r="778" spans="1:14" s="147" customFormat="1" x14ac:dyDescent="0.2">
      <c r="A778" s="138"/>
      <c r="B778" s="124"/>
      <c r="C778" s="169" t="str">
        <f>C777</f>
        <v>Centro de distribuição p/ 16 disjuntores (c/ barramento)</v>
      </c>
      <c r="D778" s="157" t="str">
        <f>D777</f>
        <v>UN</v>
      </c>
      <c r="E778" s="135">
        <f>114.414*N11</f>
        <v>114.414</v>
      </c>
      <c r="F778" s="133">
        <v>75.98</v>
      </c>
      <c r="G778" s="158">
        <v>2.5</v>
      </c>
      <c r="H778" s="135"/>
      <c r="I778" s="135">
        <f>E778*G778</f>
        <v>286.03500000000003</v>
      </c>
      <c r="J778" s="144"/>
      <c r="K778" s="159">
        <v>0.23400000000000001</v>
      </c>
      <c r="L778" s="167">
        <f t="shared" si="19"/>
        <v>1.4842</v>
      </c>
    </row>
    <row r="779" spans="1:14" s="147" customFormat="1" x14ac:dyDescent="0.2">
      <c r="A779" s="138"/>
      <c r="B779" s="124"/>
      <c r="C779" s="169" t="s">
        <v>470</v>
      </c>
      <c r="D779" s="157" t="s">
        <v>425</v>
      </c>
      <c r="E779" s="135">
        <f>5.21*N11</f>
        <v>5.21</v>
      </c>
      <c r="F779" s="133"/>
      <c r="G779" s="158">
        <v>2.5</v>
      </c>
      <c r="H779" s="135">
        <f>E779*G779</f>
        <v>13.025</v>
      </c>
      <c r="I779" s="187"/>
      <c r="J779" s="144"/>
      <c r="K779" s="159">
        <v>0.23400000000000001</v>
      </c>
      <c r="L779" s="167">
        <f t="shared" si="19"/>
        <v>1.4842</v>
      </c>
    </row>
    <row r="780" spans="1:14" s="147" customFormat="1" x14ac:dyDescent="0.2">
      <c r="A780" s="138"/>
      <c r="B780" s="124"/>
      <c r="C780" s="169" t="s">
        <v>434</v>
      </c>
      <c r="D780" s="157" t="s">
        <v>425</v>
      </c>
      <c r="E780" s="135">
        <f>3.77*N11</f>
        <v>3.77</v>
      </c>
      <c r="F780" s="133"/>
      <c r="G780" s="158">
        <v>1.5</v>
      </c>
      <c r="H780" s="135">
        <f>E780*G780</f>
        <v>5.6550000000000002</v>
      </c>
      <c r="I780" s="187"/>
      <c r="J780" s="144"/>
      <c r="K780" s="159">
        <v>0.23400000000000001</v>
      </c>
      <c r="L780" s="167">
        <f t="shared" si="19"/>
        <v>1.4842</v>
      </c>
    </row>
    <row r="781" spans="1:14" s="147" customFormat="1" x14ac:dyDescent="0.2">
      <c r="A781" s="138"/>
      <c r="B781" s="124"/>
      <c r="C781" s="169"/>
      <c r="D781" s="157"/>
      <c r="E781" s="135"/>
      <c r="F781" s="133"/>
      <c r="G781" s="158"/>
      <c r="H781" s="135"/>
      <c r="I781" s="135"/>
      <c r="J781" s="144"/>
      <c r="K781" s="159">
        <v>0.23400000000000001</v>
      </c>
      <c r="L781" s="167">
        <f t="shared" si="19"/>
        <v>1.4842</v>
      </c>
    </row>
    <row r="782" spans="1:14" s="147" customFormat="1" x14ac:dyDescent="0.2">
      <c r="A782" s="138"/>
      <c r="B782" s="124"/>
      <c r="C782" s="169"/>
      <c r="D782" s="157"/>
      <c r="E782" s="653" t="str">
        <f>E772</f>
        <v>Custo Direto</v>
      </c>
      <c r="F782" s="653"/>
      <c r="G782" s="653"/>
      <c r="H782" s="172">
        <f>SUM(H778:H781)</f>
        <v>18.68</v>
      </c>
      <c r="I782" s="172">
        <f>SUM(I778:I781)</f>
        <v>286.03500000000003</v>
      </c>
      <c r="J782" s="144"/>
      <c r="K782" s="159">
        <v>0.23400000000000001</v>
      </c>
      <c r="L782" s="167">
        <f>L781</f>
        <v>1.4842</v>
      </c>
    </row>
    <row r="783" spans="1:14" s="147" customFormat="1" x14ac:dyDescent="0.2">
      <c r="A783" s="138"/>
      <c r="B783" s="124"/>
      <c r="C783" s="169"/>
      <c r="D783" s="157"/>
      <c r="E783" s="653" t="str">
        <f>E773</f>
        <v>LS(%): 148,42</v>
      </c>
      <c r="F783" s="653"/>
      <c r="G783" s="653"/>
      <c r="H783" s="135">
        <f>H782*L783</f>
        <v>27.724855999999999</v>
      </c>
      <c r="I783" s="141"/>
      <c r="J783" s="144"/>
      <c r="K783" s="159">
        <v>0.23400000000000001</v>
      </c>
      <c r="L783" s="167">
        <f>L782</f>
        <v>1.4842</v>
      </c>
    </row>
    <row r="784" spans="1:14" s="147" customFormat="1" x14ac:dyDescent="0.2">
      <c r="A784" s="138"/>
      <c r="B784" s="124"/>
      <c r="C784" s="169"/>
      <c r="D784" s="157"/>
      <c r="E784" s="653" t="str">
        <f>E774</f>
        <v>BDI (%): 23,40</v>
      </c>
      <c r="F784" s="653"/>
      <c r="G784" s="653"/>
      <c r="H784" s="654">
        <f>(H782+I782+H783)*K784</f>
        <v>77.79092630400001</v>
      </c>
      <c r="I784" s="654"/>
      <c r="J784" s="144"/>
      <c r="K784" s="159">
        <v>0.23400000000000001</v>
      </c>
      <c r="L784" s="167">
        <f>L783</f>
        <v>1.4842</v>
      </c>
    </row>
    <row r="785" spans="1:14" s="147" customFormat="1" x14ac:dyDescent="0.2">
      <c r="A785" s="138"/>
      <c r="B785" s="124"/>
      <c r="C785" s="169"/>
      <c r="D785" s="157"/>
      <c r="E785" s="653" t="str">
        <f>E775</f>
        <v>Valor Total c/ Taxas</v>
      </c>
      <c r="F785" s="653"/>
      <c r="G785" s="653"/>
      <c r="H785" s="135"/>
      <c r="I785" s="172">
        <f>(H782+I782+H783+H784)</f>
        <v>410.23078230400006</v>
      </c>
      <c r="J785" s="144"/>
      <c r="K785" s="159">
        <v>0.23400000000000001</v>
      </c>
      <c r="L785" s="167">
        <f t="shared" ref="L785:L839" si="20">L784</f>
        <v>1.4842</v>
      </c>
      <c r="N785" s="531">
        <v>410.23095999999998</v>
      </c>
    </row>
    <row r="786" spans="1:14" s="147" customFormat="1" x14ac:dyDescent="0.2">
      <c r="A786" s="138"/>
      <c r="B786" s="124"/>
      <c r="C786" s="169"/>
      <c r="D786" s="157"/>
      <c r="E786" s="135"/>
      <c r="F786" s="133"/>
      <c r="G786" s="158"/>
      <c r="H786" s="135"/>
      <c r="I786" s="172"/>
      <c r="J786" s="144"/>
      <c r="K786" s="159">
        <v>0.23400000000000001</v>
      </c>
      <c r="L786" s="167">
        <f t="shared" si="20"/>
        <v>1.4842</v>
      </c>
    </row>
    <row r="787" spans="1:14" s="147" customFormat="1" x14ac:dyDescent="0.2">
      <c r="A787" s="188"/>
      <c r="B787" s="155" t="str">
        <f>'Planilha Orçamentaria'!A122</f>
        <v>17.1.2</v>
      </c>
      <c r="C787" s="545" t="str">
        <f>'Planilha Orçamentaria'!C122</f>
        <v>Quadro de mediçao trifasico (c/ disjuntor)</v>
      </c>
      <c r="D787" s="223" t="str">
        <f>'Planilha Orçamentaria'!D122</f>
        <v>UN</v>
      </c>
      <c r="E787" s="135"/>
      <c r="F787" s="133"/>
      <c r="G787" s="158"/>
      <c r="H787" s="135"/>
      <c r="I787" s="135"/>
      <c r="J787" s="144"/>
      <c r="K787" s="159">
        <v>0.23400000000000001</v>
      </c>
      <c r="L787" s="167">
        <f t="shared" si="20"/>
        <v>1.4842</v>
      </c>
    </row>
    <row r="788" spans="1:14" s="147" customFormat="1" x14ac:dyDescent="0.2">
      <c r="A788" s="138"/>
      <c r="B788" s="544"/>
      <c r="C788" s="169" t="str">
        <f>C787</f>
        <v>Quadro de mediçao trifasico (c/ disjuntor)</v>
      </c>
      <c r="D788" s="157" t="str">
        <f>D787</f>
        <v>UN</v>
      </c>
      <c r="E788" s="135">
        <f>147.992*N11</f>
        <v>147.99199999999999</v>
      </c>
      <c r="F788" s="133">
        <v>44</v>
      </c>
      <c r="G788" s="158">
        <v>2.6</v>
      </c>
      <c r="H788" s="135"/>
      <c r="I788" s="135">
        <f>E788*G788</f>
        <v>384.7792</v>
      </c>
      <c r="J788" s="144"/>
      <c r="K788" s="159">
        <v>0.23400000000000001</v>
      </c>
      <c r="L788" s="167">
        <f t="shared" si="20"/>
        <v>1.4842</v>
      </c>
    </row>
    <row r="789" spans="1:14" s="147" customFormat="1" x14ac:dyDescent="0.2">
      <c r="A789" s="138"/>
      <c r="B789" s="124"/>
      <c r="C789" s="169" t="s">
        <v>470</v>
      </c>
      <c r="D789" s="157" t="s">
        <v>425</v>
      </c>
      <c r="E789" s="135">
        <f>5.21*N11</f>
        <v>5.21</v>
      </c>
      <c r="F789" s="133"/>
      <c r="G789" s="158">
        <v>2.5</v>
      </c>
      <c r="H789" s="135">
        <f>E789*G789</f>
        <v>13.025</v>
      </c>
      <c r="I789" s="187"/>
      <c r="J789" s="144"/>
      <c r="K789" s="159">
        <v>0.23400000000000001</v>
      </c>
      <c r="L789" s="167">
        <f t="shared" si="20"/>
        <v>1.4842</v>
      </c>
    </row>
    <row r="790" spans="1:14" s="147" customFormat="1" x14ac:dyDescent="0.2">
      <c r="A790" s="138"/>
      <c r="B790" s="124"/>
      <c r="C790" s="169" t="s">
        <v>434</v>
      </c>
      <c r="D790" s="157" t="s">
        <v>425</v>
      </c>
      <c r="E790" s="135">
        <f>3.77*N11</f>
        <v>3.77</v>
      </c>
      <c r="F790" s="133"/>
      <c r="G790" s="158">
        <v>1.5</v>
      </c>
      <c r="H790" s="135">
        <f>E790*G790</f>
        <v>5.6550000000000002</v>
      </c>
      <c r="I790" s="187"/>
      <c r="J790" s="144"/>
      <c r="K790" s="159">
        <v>0.23400000000000001</v>
      </c>
      <c r="L790" s="167">
        <f t="shared" si="20"/>
        <v>1.4842</v>
      </c>
    </row>
    <row r="791" spans="1:14" s="147" customFormat="1" x14ac:dyDescent="0.2">
      <c r="A791" s="138"/>
      <c r="B791" s="124"/>
      <c r="C791" s="169"/>
      <c r="D791" s="157"/>
      <c r="E791" s="135"/>
      <c r="F791" s="133"/>
      <c r="G791" s="158"/>
      <c r="H791" s="135"/>
      <c r="I791" s="135"/>
      <c r="J791" s="144"/>
      <c r="K791" s="159">
        <v>0.23400000000000001</v>
      </c>
      <c r="L791" s="167">
        <f t="shared" si="20"/>
        <v>1.4842</v>
      </c>
    </row>
    <row r="792" spans="1:14" s="147" customFormat="1" x14ac:dyDescent="0.2">
      <c r="A792" s="138"/>
      <c r="B792" s="124"/>
      <c r="C792" s="169"/>
      <c r="D792" s="157"/>
      <c r="E792" s="653" t="str">
        <f>E782</f>
        <v>Custo Direto</v>
      </c>
      <c r="F792" s="653"/>
      <c r="G792" s="653"/>
      <c r="H792" s="172">
        <f>SUM(H788:H791)</f>
        <v>18.68</v>
      </c>
      <c r="I792" s="172">
        <f>SUM(I788:I791)</f>
        <v>384.7792</v>
      </c>
      <c r="J792" s="144"/>
      <c r="K792" s="159">
        <v>0.23400000000000001</v>
      </c>
      <c r="L792" s="167">
        <f t="shared" si="20"/>
        <v>1.4842</v>
      </c>
    </row>
    <row r="793" spans="1:14" s="147" customFormat="1" x14ac:dyDescent="0.2">
      <c r="A793" s="138"/>
      <c r="B793" s="124"/>
      <c r="C793" s="169"/>
      <c r="D793" s="157"/>
      <c r="E793" s="653" t="str">
        <f>E783</f>
        <v>LS(%): 148,42</v>
      </c>
      <c r="F793" s="653"/>
      <c r="G793" s="653"/>
      <c r="H793" s="135">
        <f>H792*L793</f>
        <v>27.724855999999999</v>
      </c>
      <c r="I793" s="141"/>
      <c r="J793" s="144"/>
      <c r="K793" s="159">
        <v>0.23400000000000001</v>
      </c>
      <c r="L793" s="167">
        <f t="shared" si="20"/>
        <v>1.4842</v>
      </c>
    </row>
    <row r="794" spans="1:14" s="147" customFormat="1" x14ac:dyDescent="0.2">
      <c r="A794" s="138"/>
      <c r="B794" s="124"/>
      <c r="C794" s="169"/>
      <c r="D794" s="157"/>
      <c r="E794" s="653" t="str">
        <f>E784</f>
        <v>BDI (%): 23,40</v>
      </c>
      <c r="F794" s="653"/>
      <c r="G794" s="653"/>
      <c r="H794" s="654">
        <f>(H792+I792+H793)*K794</f>
        <v>100.89706910400001</v>
      </c>
      <c r="I794" s="654"/>
      <c r="J794" s="144"/>
      <c r="K794" s="159">
        <v>0.23400000000000001</v>
      </c>
      <c r="L794" s="167">
        <f t="shared" si="20"/>
        <v>1.4842</v>
      </c>
    </row>
    <row r="795" spans="1:14" s="147" customFormat="1" x14ac:dyDescent="0.2">
      <c r="A795" s="138"/>
      <c r="B795" s="124"/>
      <c r="C795" s="169"/>
      <c r="D795" s="157"/>
      <c r="E795" s="653" t="str">
        <f>E785</f>
        <v>Valor Total c/ Taxas</v>
      </c>
      <c r="F795" s="653"/>
      <c r="G795" s="653"/>
      <c r="H795" s="135"/>
      <c r="I795" s="172">
        <f>(H792+I792+H793+H794)</f>
        <v>532.08112510399997</v>
      </c>
      <c r="J795" s="144"/>
      <c r="K795" s="159">
        <v>0.23400000000000001</v>
      </c>
      <c r="L795" s="167">
        <f t="shared" si="20"/>
        <v>1.4842</v>
      </c>
      <c r="N795" s="531">
        <v>532.07611999999995</v>
      </c>
    </row>
    <row r="796" spans="1:14" s="147" customFormat="1" x14ac:dyDescent="0.2">
      <c r="A796" s="138"/>
      <c r="B796" s="124"/>
      <c r="C796" s="169"/>
      <c r="D796" s="157"/>
      <c r="E796" s="135"/>
      <c r="F796" s="133"/>
      <c r="G796" s="158"/>
      <c r="H796" s="135"/>
      <c r="I796" s="135"/>
      <c r="J796" s="144"/>
      <c r="K796" s="159">
        <v>0.23400000000000001</v>
      </c>
      <c r="L796" s="167">
        <f t="shared" si="20"/>
        <v>1.4842</v>
      </c>
    </row>
    <row r="797" spans="1:14" s="147" customFormat="1" x14ac:dyDescent="0.2">
      <c r="A797" s="229"/>
      <c r="B797" s="201" t="str">
        <f>'Planilha Orçamentaria'!A124</f>
        <v>17.2.1</v>
      </c>
      <c r="C797" s="156" t="str">
        <f>'Planilha Orçamentaria'!C124</f>
        <v>Ponto de força (tubul., fiaçao e disjuntor) acima de 200W</v>
      </c>
      <c r="D797" s="228" t="str">
        <f>'Planilha Orçamentaria'!D124</f>
        <v>Pt</v>
      </c>
      <c r="E797" s="135"/>
      <c r="F797" s="133"/>
      <c r="G797" s="158"/>
      <c r="H797" s="135"/>
      <c r="I797" s="135"/>
      <c r="J797" s="144"/>
      <c r="K797" s="159">
        <v>0.23400000000000001</v>
      </c>
      <c r="L797" s="167">
        <f t="shared" si="20"/>
        <v>1.4842</v>
      </c>
    </row>
    <row r="798" spans="1:14" s="147" customFormat="1" ht="15" customHeight="1" x14ac:dyDescent="0.2">
      <c r="A798" s="138"/>
      <c r="B798" s="124"/>
      <c r="C798" s="169" t="str">
        <f>C797</f>
        <v>Ponto de força (tubul., fiaçao e disjuntor) acima de 200W</v>
      </c>
      <c r="D798" s="157" t="str">
        <f>D797</f>
        <v>Pt</v>
      </c>
      <c r="E798" s="135">
        <f>50.503*N11</f>
        <v>50.503</v>
      </c>
      <c r="F798" s="133">
        <v>31</v>
      </c>
      <c r="G798" s="158">
        <v>3.5</v>
      </c>
      <c r="H798" s="135"/>
      <c r="I798" s="135">
        <f>E798*G798</f>
        <v>176.76050000000001</v>
      </c>
      <c r="J798" s="144"/>
      <c r="K798" s="159">
        <v>0.23400000000000001</v>
      </c>
      <c r="L798" s="167">
        <f t="shared" si="20"/>
        <v>1.4842</v>
      </c>
    </row>
    <row r="799" spans="1:14" s="147" customFormat="1" x14ac:dyDescent="0.2">
      <c r="A799" s="138"/>
      <c r="B799" s="124"/>
      <c r="C799" s="169" t="s">
        <v>470</v>
      </c>
      <c r="D799" s="157" t="s">
        <v>425</v>
      </c>
      <c r="E799" s="135">
        <f>5.21*N11</f>
        <v>5.21</v>
      </c>
      <c r="F799" s="133"/>
      <c r="G799" s="158">
        <v>2.5</v>
      </c>
      <c r="H799" s="135">
        <f>E799*G799</f>
        <v>13.025</v>
      </c>
      <c r="I799" s="187"/>
      <c r="J799" s="144"/>
      <c r="K799" s="159">
        <v>0.23400000000000001</v>
      </c>
      <c r="L799" s="167">
        <f t="shared" si="20"/>
        <v>1.4842</v>
      </c>
    </row>
    <row r="800" spans="1:14" s="147" customFormat="1" x14ac:dyDescent="0.2">
      <c r="A800" s="138"/>
      <c r="B800" s="124"/>
      <c r="C800" s="169" t="s">
        <v>434</v>
      </c>
      <c r="D800" s="157" t="s">
        <v>425</v>
      </c>
      <c r="E800" s="135">
        <f>3.77*N11</f>
        <v>3.77</v>
      </c>
      <c r="F800" s="133"/>
      <c r="G800" s="158">
        <v>1.5</v>
      </c>
      <c r="H800" s="135">
        <f>E800*G800</f>
        <v>5.6550000000000002</v>
      </c>
      <c r="I800" s="187"/>
      <c r="J800" s="144"/>
      <c r="K800" s="159">
        <v>0.23400000000000001</v>
      </c>
      <c r="L800" s="167">
        <f t="shared" si="20"/>
        <v>1.4842</v>
      </c>
    </row>
    <row r="801" spans="1:14" s="147" customFormat="1" x14ac:dyDescent="0.2">
      <c r="A801" s="138"/>
      <c r="B801" s="124"/>
      <c r="C801" s="169"/>
      <c r="D801" s="157"/>
      <c r="E801" s="135"/>
      <c r="F801" s="133"/>
      <c r="G801" s="158"/>
      <c r="H801" s="135"/>
      <c r="I801" s="135"/>
      <c r="J801" s="144"/>
      <c r="K801" s="159">
        <v>0.23400000000000001</v>
      </c>
      <c r="L801" s="167">
        <f t="shared" si="20"/>
        <v>1.4842</v>
      </c>
    </row>
    <row r="802" spans="1:14" s="147" customFormat="1" x14ac:dyDescent="0.2">
      <c r="A802" s="138"/>
      <c r="B802" s="124"/>
      <c r="C802" s="169"/>
      <c r="D802" s="157"/>
      <c r="E802" s="653" t="str">
        <f>E792</f>
        <v>Custo Direto</v>
      </c>
      <c r="F802" s="653"/>
      <c r="G802" s="653"/>
      <c r="H802" s="172">
        <f>SUM(H797:H801)</f>
        <v>18.68</v>
      </c>
      <c r="I802" s="172">
        <f>SUM(I797:I801)</f>
        <v>176.76050000000001</v>
      </c>
      <c r="J802" s="144"/>
      <c r="K802" s="159">
        <v>0.23400000000000001</v>
      </c>
      <c r="L802" s="167">
        <f t="shared" si="20"/>
        <v>1.4842</v>
      </c>
    </row>
    <row r="803" spans="1:14" s="147" customFormat="1" x14ac:dyDescent="0.2">
      <c r="A803" s="138"/>
      <c r="B803" s="124"/>
      <c r="C803" s="169"/>
      <c r="D803" s="157"/>
      <c r="E803" s="653" t="str">
        <f>E793</f>
        <v>LS(%): 148,42</v>
      </c>
      <c r="F803" s="653"/>
      <c r="G803" s="653"/>
      <c r="H803" s="135">
        <f>H802*L803</f>
        <v>27.724855999999999</v>
      </c>
      <c r="I803" s="141"/>
      <c r="J803" s="144"/>
      <c r="K803" s="159">
        <v>0.23400000000000001</v>
      </c>
      <c r="L803" s="167">
        <f t="shared" si="20"/>
        <v>1.4842</v>
      </c>
    </row>
    <row r="804" spans="1:14" s="147" customFormat="1" x14ac:dyDescent="0.2">
      <c r="A804" s="138"/>
      <c r="B804" s="124"/>
      <c r="C804" s="169"/>
      <c r="D804" s="157"/>
      <c r="E804" s="653" t="str">
        <f>E794</f>
        <v>BDI (%): 23,40</v>
      </c>
      <c r="F804" s="653"/>
      <c r="G804" s="653"/>
      <c r="H804" s="654">
        <f>(H802+I802+H803)*K804</f>
        <v>52.220693304000001</v>
      </c>
      <c r="I804" s="654"/>
      <c r="J804" s="144"/>
      <c r="K804" s="159">
        <v>0.23400000000000001</v>
      </c>
      <c r="L804" s="167">
        <f t="shared" si="20"/>
        <v>1.4842</v>
      </c>
    </row>
    <row r="805" spans="1:14" s="147" customFormat="1" x14ac:dyDescent="0.2">
      <c r="A805" s="138"/>
      <c r="B805" s="124"/>
      <c r="C805" s="169"/>
      <c r="D805" s="157"/>
      <c r="E805" s="653" t="str">
        <f>E795</f>
        <v>Valor Total c/ Taxas</v>
      </c>
      <c r="F805" s="653"/>
      <c r="G805" s="653"/>
      <c r="H805" s="135"/>
      <c r="I805" s="172">
        <f>(H802+I802+H803+H804)</f>
        <v>275.38604930399998</v>
      </c>
      <c r="J805" s="144"/>
      <c r="K805" s="159">
        <v>0.23400000000000001</v>
      </c>
      <c r="L805" s="167">
        <f t="shared" si="20"/>
        <v>1.4842</v>
      </c>
      <c r="N805" s="531">
        <v>275.38604930399998</v>
      </c>
    </row>
    <row r="806" spans="1:14" s="147" customFormat="1" x14ac:dyDescent="0.2">
      <c r="A806" s="138"/>
      <c r="B806" s="124"/>
      <c r="C806" s="169"/>
      <c r="D806" s="157"/>
      <c r="E806" s="132"/>
      <c r="F806" s="133"/>
      <c r="G806" s="181"/>
      <c r="H806" s="135"/>
      <c r="I806" s="135"/>
      <c r="J806" s="144"/>
      <c r="K806" s="159">
        <v>0.23400000000000001</v>
      </c>
      <c r="L806" s="167">
        <f t="shared" si="20"/>
        <v>1.4842</v>
      </c>
    </row>
    <row r="807" spans="1:14" s="147" customFormat="1" x14ac:dyDescent="0.2">
      <c r="A807" s="229"/>
      <c r="B807" s="201" t="str">
        <f>'Planilha Orçamentaria'!A125</f>
        <v>17.2.2</v>
      </c>
      <c r="C807" s="156" t="str">
        <f>'Planilha Orçamentaria'!C125</f>
        <v>Ponto de luz / força (c/tubul., cx. e fiaçao) ate 200W</v>
      </c>
      <c r="D807" s="228" t="str">
        <f>'Planilha Orçamentaria'!D125</f>
        <v>Pt</v>
      </c>
      <c r="E807" s="135"/>
      <c r="F807" s="133"/>
      <c r="G807" s="158"/>
      <c r="H807" s="135"/>
      <c r="I807" s="135"/>
      <c r="J807" s="144"/>
      <c r="K807" s="159">
        <v>0.23400000000000001</v>
      </c>
      <c r="L807" s="167">
        <f t="shared" si="20"/>
        <v>1.4842</v>
      </c>
    </row>
    <row r="808" spans="1:14" s="147" customFormat="1" x14ac:dyDescent="0.2">
      <c r="A808" s="138"/>
      <c r="B808" s="124"/>
      <c r="C808" s="169" t="str">
        <f>C807</f>
        <v>Ponto de luz / força (c/tubul., cx. e fiaçao) ate 200W</v>
      </c>
      <c r="D808" s="157" t="str">
        <f>D807</f>
        <v>Pt</v>
      </c>
      <c r="E808" s="135">
        <f>42.525*N11</f>
        <v>42.524999999999999</v>
      </c>
      <c r="F808" s="133">
        <v>50</v>
      </c>
      <c r="G808" s="158">
        <v>2</v>
      </c>
      <c r="H808" s="135"/>
      <c r="I808" s="135">
        <f>E808*G808</f>
        <v>85.05</v>
      </c>
      <c r="J808" s="144"/>
      <c r="K808" s="159">
        <v>0.23400000000000001</v>
      </c>
      <c r="L808" s="167">
        <f t="shared" si="20"/>
        <v>1.4842</v>
      </c>
    </row>
    <row r="809" spans="1:14" s="147" customFormat="1" x14ac:dyDescent="0.2">
      <c r="A809" s="138"/>
      <c r="B809" s="124"/>
      <c r="C809" s="169" t="s">
        <v>470</v>
      </c>
      <c r="D809" s="157" t="s">
        <v>425</v>
      </c>
      <c r="E809" s="135">
        <f>5.21*N11</f>
        <v>5.21</v>
      </c>
      <c r="F809" s="133"/>
      <c r="G809" s="158">
        <v>1</v>
      </c>
      <c r="H809" s="135">
        <f>E809*G809</f>
        <v>5.21</v>
      </c>
      <c r="I809" s="187"/>
      <c r="J809" s="144"/>
      <c r="K809" s="159">
        <v>0.23400000000000001</v>
      </c>
      <c r="L809" s="167">
        <f t="shared" si="20"/>
        <v>1.4842</v>
      </c>
    </row>
    <row r="810" spans="1:14" s="147" customFormat="1" x14ac:dyDescent="0.2">
      <c r="A810" s="138"/>
      <c r="B810" s="124"/>
      <c r="C810" s="169" t="s">
        <v>434</v>
      </c>
      <c r="D810" s="157" t="s">
        <v>425</v>
      </c>
      <c r="E810" s="135">
        <f>3.77*N11</f>
        <v>3.77</v>
      </c>
      <c r="F810" s="133"/>
      <c r="G810" s="158">
        <v>1</v>
      </c>
      <c r="H810" s="135">
        <f>E810*G810</f>
        <v>3.77</v>
      </c>
      <c r="I810" s="187"/>
      <c r="J810" s="144"/>
      <c r="K810" s="159">
        <v>0.23400000000000001</v>
      </c>
      <c r="L810" s="167">
        <f t="shared" si="20"/>
        <v>1.4842</v>
      </c>
    </row>
    <row r="811" spans="1:14" s="147" customFormat="1" hidden="1" x14ac:dyDescent="0.2">
      <c r="A811" s="138"/>
      <c r="B811" s="124"/>
      <c r="C811" s="169"/>
      <c r="D811" s="157"/>
      <c r="E811" s="135"/>
      <c r="F811" s="133"/>
      <c r="G811" s="158"/>
      <c r="H811" s="135"/>
      <c r="I811" s="135"/>
      <c r="J811" s="144"/>
      <c r="K811" s="159">
        <v>0.23400000000000001</v>
      </c>
      <c r="L811" s="167">
        <f t="shared" si="20"/>
        <v>1.4842</v>
      </c>
    </row>
    <row r="812" spans="1:14" s="147" customFormat="1" x14ac:dyDescent="0.2">
      <c r="A812" s="138"/>
      <c r="B812" s="124"/>
      <c r="C812" s="169"/>
      <c r="D812" s="157"/>
      <c r="E812" s="653" t="str">
        <f>E802</f>
        <v>Custo Direto</v>
      </c>
      <c r="F812" s="653"/>
      <c r="G812" s="653"/>
      <c r="H812" s="172">
        <f>SUM(H807:H811)</f>
        <v>8.98</v>
      </c>
      <c r="I812" s="172">
        <f>SUM(I807:I811)</f>
        <v>85.05</v>
      </c>
      <c r="J812" s="144"/>
      <c r="K812" s="159">
        <v>0.23400000000000001</v>
      </c>
      <c r="L812" s="167">
        <f t="shared" si="20"/>
        <v>1.4842</v>
      </c>
    </row>
    <row r="813" spans="1:14" s="147" customFormat="1" x14ac:dyDescent="0.2">
      <c r="A813" s="138"/>
      <c r="B813" s="124"/>
      <c r="C813" s="169"/>
      <c r="D813" s="157"/>
      <c r="E813" s="653" t="str">
        <f>E803</f>
        <v>LS(%): 148,42</v>
      </c>
      <c r="F813" s="653"/>
      <c r="G813" s="653"/>
      <c r="H813" s="135">
        <f>H812*L813</f>
        <v>13.328116</v>
      </c>
      <c r="I813" s="141"/>
      <c r="J813" s="144"/>
      <c r="K813" s="159">
        <v>0.23400000000000001</v>
      </c>
      <c r="L813" s="167">
        <f t="shared" si="20"/>
        <v>1.4842</v>
      </c>
    </row>
    <row r="814" spans="1:14" s="147" customFormat="1" x14ac:dyDescent="0.2">
      <c r="A814" s="138"/>
      <c r="B814" s="124"/>
      <c r="C814" s="169"/>
      <c r="D814" s="157"/>
      <c r="E814" s="653" t="str">
        <f>E804</f>
        <v>BDI (%): 23,40</v>
      </c>
      <c r="F814" s="653"/>
      <c r="G814" s="653"/>
      <c r="H814" s="654">
        <f>(H812+I812+H813)*K814</f>
        <v>25.121799144000001</v>
      </c>
      <c r="I814" s="654"/>
      <c r="J814" s="144"/>
      <c r="K814" s="159">
        <v>0.23400000000000001</v>
      </c>
      <c r="L814" s="167">
        <f t="shared" si="20"/>
        <v>1.4842</v>
      </c>
    </row>
    <row r="815" spans="1:14" s="147" customFormat="1" x14ac:dyDescent="0.2">
      <c r="A815" s="138"/>
      <c r="B815" s="124"/>
      <c r="C815" s="169"/>
      <c r="D815" s="157"/>
      <c r="E815" s="653" t="str">
        <f>E805</f>
        <v>Valor Total c/ Taxas</v>
      </c>
      <c r="F815" s="653"/>
      <c r="G815" s="653"/>
      <c r="H815" s="135"/>
      <c r="I815" s="172">
        <f>(H812+I812+H813+H814)</f>
        <v>132.47991514399999</v>
      </c>
      <c r="J815" s="144"/>
      <c r="K815" s="159">
        <v>0.23400000000000001</v>
      </c>
      <c r="L815" s="167">
        <f t="shared" si="20"/>
        <v>1.4842</v>
      </c>
      <c r="N815" s="531">
        <v>132.48223999999999</v>
      </c>
    </row>
    <row r="816" spans="1:14" s="147" customFormat="1" ht="14.25" customHeight="1" x14ac:dyDescent="0.2">
      <c r="A816" s="138"/>
      <c r="B816" s="124"/>
      <c r="C816" s="169"/>
      <c r="D816" s="157"/>
      <c r="E816" s="132"/>
      <c r="F816" s="133"/>
      <c r="G816" s="181"/>
      <c r="H816" s="135"/>
      <c r="I816" s="135"/>
      <c r="J816" s="144"/>
      <c r="K816" s="159">
        <v>0.23400000000000001</v>
      </c>
      <c r="L816" s="167">
        <f t="shared" si="20"/>
        <v>1.4842</v>
      </c>
    </row>
    <row r="817" spans="1:14" s="147" customFormat="1" x14ac:dyDescent="0.2">
      <c r="A817" s="188"/>
      <c r="B817" s="155" t="str">
        <f>'Planilha Orçamentaria'!A126</f>
        <v>17.2.3</v>
      </c>
      <c r="C817" s="156" t="str">
        <f>'Planilha Orçamentaria'!C126</f>
        <v>Ponto p/ ventilador de teto (c/ fiaçao)</v>
      </c>
      <c r="D817" s="223" t="str">
        <f>'Planilha Orçamentaria'!D126</f>
        <v>Pt</v>
      </c>
      <c r="E817" s="135"/>
      <c r="F817" s="133"/>
      <c r="G817" s="158"/>
      <c r="H817" s="135"/>
      <c r="I817" s="135"/>
      <c r="J817" s="144"/>
      <c r="K817" s="159">
        <v>0.23400000000000001</v>
      </c>
      <c r="L817" s="167">
        <f t="shared" si="20"/>
        <v>1.4842</v>
      </c>
    </row>
    <row r="818" spans="1:14" s="147" customFormat="1" x14ac:dyDescent="0.2">
      <c r="A818" s="138"/>
      <c r="B818" s="124"/>
      <c r="C818" s="169" t="str">
        <f>C817</f>
        <v>Ponto p/ ventilador de teto (c/ fiaçao)</v>
      </c>
      <c r="D818" s="157" t="str">
        <f>D817</f>
        <v>Pt</v>
      </c>
      <c r="E818" s="135">
        <f>11.5*N11</f>
        <v>11.5</v>
      </c>
      <c r="F818" s="133">
        <v>30</v>
      </c>
      <c r="G818" s="158">
        <v>1.7135</v>
      </c>
      <c r="H818" s="135"/>
      <c r="I818" s="135">
        <f>E818*G818</f>
        <v>19.705249999999999</v>
      </c>
      <c r="J818" s="144"/>
      <c r="K818" s="159">
        <v>0.23400000000000001</v>
      </c>
      <c r="L818" s="167">
        <f t="shared" si="20"/>
        <v>1.4842</v>
      </c>
    </row>
    <row r="819" spans="1:14" s="147" customFormat="1" x14ac:dyDescent="0.2">
      <c r="A819" s="138"/>
      <c r="B819" s="124"/>
      <c r="C819" s="169" t="s">
        <v>470</v>
      </c>
      <c r="D819" s="157" t="s">
        <v>425</v>
      </c>
      <c r="E819" s="135">
        <f>5.21*N11</f>
        <v>5.21</v>
      </c>
      <c r="F819" s="133"/>
      <c r="G819" s="158">
        <v>1.5</v>
      </c>
      <c r="H819" s="135">
        <f>E819*G819</f>
        <v>7.8149999999999995</v>
      </c>
      <c r="I819" s="187"/>
      <c r="J819" s="144"/>
      <c r="K819" s="159">
        <v>0.23400000000000001</v>
      </c>
      <c r="L819" s="167">
        <f t="shared" si="20"/>
        <v>1.4842</v>
      </c>
    </row>
    <row r="820" spans="1:14" s="147" customFormat="1" x14ac:dyDescent="0.2">
      <c r="A820" s="138"/>
      <c r="B820" s="124"/>
      <c r="C820" s="169" t="s">
        <v>434</v>
      </c>
      <c r="D820" s="157" t="s">
        <v>425</v>
      </c>
      <c r="E820" s="135">
        <f>3.77*N11</f>
        <v>3.77</v>
      </c>
      <c r="F820" s="133"/>
      <c r="G820" s="158">
        <v>1.5</v>
      </c>
      <c r="H820" s="135">
        <f>E820*G820</f>
        <v>5.6550000000000002</v>
      </c>
      <c r="I820" s="187"/>
      <c r="J820" s="144"/>
      <c r="K820" s="159">
        <v>0.23400000000000001</v>
      </c>
      <c r="L820" s="167">
        <f t="shared" si="20"/>
        <v>1.4842</v>
      </c>
    </row>
    <row r="821" spans="1:14" s="147" customFormat="1" hidden="1" x14ac:dyDescent="0.2">
      <c r="A821" s="138"/>
      <c r="B821" s="124"/>
      <c r="C821" s="169"/>
      <c r="D821" s="157"/>
      <c r="E821" s="135"/>
      <c r="F821" s="133"/>
      <c r="G821" s="158"/>
      <c r="H821" s="135"/>
      <c r="I821" s="135"/>
      <c r="J821" s="144"/>
      <c r="K821" s="159">
        <v>0.23400000000000001</v>
      </c>
      <c r="L821" s="167">
        <f t="shared" si="20"/>
        <v>1.4842</v>
      </c>
    </row>
    <row r="822" spans="1:14" s="147" customFormat="1" x14ac:dyDescent="0.2">
      <c r="A822" s="138"/>
      <c r="B822" s="124"/>
      <c r="C822" s="169"/>
      <c r="D822" s="157"/>
      <c r="E822" s="653" t="str">
        <f>E812</f>
        <v>Custo Direto</v>
      </c>
      <c r="F822" s="653"/>
      <c r="G822" s="653"/>
      <c r="H822" s="172">
        <f>SUM(H818:H821)</f>
        <v>13.469999999999999</v>
      </c>
      <c r="I822" s="172">
        <f>SUM(I818:I821)</f>
        <v>19.705249999999999</v>
      </c>
      <c r="J822" s="144"/>
      <c r="K822" s="159">
        <v>0.23400000000000001</v>
      </c>
      <c r="L822" s="167">
        <f t="shared" si="20"/>
        <v>1.4842</v>
      </c>
    </row>
    <row r="823" spans="1:14" s="147" customFormat="1" x14ac:dyDescent="0.2">
      <c r="A823" s="138"/>
      <c r="B823" s="124"/>
      <c r="C823" s="169"/>
      <c r="D823" s="157"/>
      <c r="E823" s="653" t="str">
        <f>E813</f>
        <v>LS(%): 148,42</v>
      </c>
      <c r="F823" s="653"/>
      <c r="G823" s="653"/>
      <c r="H823" s="135">
        <f>H822*L823</f>
        <v>19.992173999999999</v>
      </c>
      <c r="I823" s="141"/>
      <c r="J823" s="144"/>
      <c r="K823" s="159">
        <v>0.23400000000000001</v>
      </c>
      <c r="L823" s="167">
        <f t="shared" si="20"/>
        <v>1.4842</v>
      </c>
    </row>
    <row r="824" spans="1:14" s="147" customFormat="1" x14ac:dyDescent="0.2">
      <c r="A824" s="138"/>
      <c r="B824" s="124"/>
      <c r="C824" s="169"/>
      <c r="D824" s="157"/>
      <c r="E824" s="653" t="str">
        <f>E814</f>
        <v>BDI (%): 23,40</v>
      </c>
      <c r="F824" s="653"/>
      <c r="G824" s="653"/>
      <c r="H824" s="654">
        <f>(H822+I822+H823)*K824</f>
        <v>12.441177216</v>
      </c>
      <c r="I824" s="654"/>
      <c r="J824" s="144"/>
      <c r="K824" s="159">
        <v>0.23400000000000001</v>
      </c>
      <c r="L824" s="167">
        <f t="shared" si="20"/>
        <v>1.4842</v>
      </c>
    </row>
    <row r="825" spans="1:14" s="147" customFormat="1" x14ac:dyDescent="0.2">
      <c r="A825" s="138"/>
      <c r="B825" s="124"/>
      <c r="C825" s="169"/>
      <c r="D825" s="157"/>
      <c r="E825" s="653" t="str">
        <f>E815</f>
        <v>Valor Total c/ Taxas</v>
      </c>
      <c r="F825" s="653"/>
      <c r="G825" s="653"/>
      <c r="H825" s="135"/>
      <c r="I825" s="172">
        <f>(H822+I822+H823+H824)</f>
        <v>65.608601215999997</v>
      </c>
      <c r="J825" s="144"/>
      <c r="K825" s="159">
        <v>0.23400000000000001</v>
      </c>
      <c r="L825" s="167">
        <f t="shared" si="20"/>
        <v>1.4842</v>
      </c>
      <c r="N825" s="531">
        <v>65.611779999999996</v>
      </c>
    </row>
    <row r="826" spans="1:14" s="147" customFormat="1" x14ac:dyDescent="0.2">
      <c r="A826" s="138"/>
      <c r="B826" s="124"/>
      <c r="C826" s="169"/>
      <c r="D826" s="157"/>
      <c r="E826" s="132"/>
      <c r="F826" s="133"/>
      <c r="G826" s="181"/>
      <c r="H826" s="135"/>
      <c r="I826" s="172"/>
      <c r="J826" s="144"/>
      <c r="K826" s="159">
        <v>0.23400000000000001</v>
      </c>
      <c r="L826" s="167">
        <f t="shared" si="20"/>
        <v>1.4842</v>
      </c>
    </row>
    <row r="827" spans="1:14" s="147" customFormat="1" x14ac:dyDescent="0.2">
      <c r="A827" s="188"/>
      <c r="B827" s="155" t="str">
        <f>'Planilha Orçamentaria'!A128</f>
        <v>17.3.1</v>
      </c>
      <c r="C827" s="156" t="str">
        <f>'Planilha Orçamentaria'!C128</f>
        <v>Luminária  p/ lâmp PLL de embutir</v>
      </c>
      <c r="D827" s="223" t="str">
        <f>'Planilha Orçamentaria'!D128</f>
        <v>UN</v>
      </c>
      <c r="E827" s="135"/>
      <c r="F827" s="133"/>
      <c r="G827" s="158"/>
      <c r="H827" s="135"/>
      <c r="I827" s="135"/>
      <c r="J827" s="144"/>
      <c r="K827" s="159">
        <v>0.23400000000000001</v>
      </c>
      <c r="L827" s="167">
        <f t="shared" si="20"/>
        <v>1.4842</v>
      </c>
    </row>
    <row r="828" spans="1:14" s="147" customFormat="1" x14ac:dyDescent="0.2">
      <c r="A828" s="138"/>
      <c r="B828" s="124"/>
      <c r="C828" s="169" t="str">
        <f>C827</f>
        <v>Luminária  p/ lâmp PLL de embutir</v>
      </c>
      <c r="D828" s="157" t="str">
        <f>D827</f>
        <v>UN</v>
      </c>
      <c r="E828" s="135">
        <f>20.666*N11</f>
        <v>20.666</v>
      </c>
      <c r="F828" s="133">
        <v>21</v>
      </c>
      <c r="G828" s="158">
        <v>1.8</v>
      </c>
      <c r="H828" s="135"/>
      <c r="I828" s="135">
        <f>E828*G828</f>
        <v>37.198799999999999</v>
      </c>
      <c r="J828" s="144"/>
      <c r="K828" s="159">
        <v>0.23400000000000001</v>
      </c>
      <c r="L828" s="167">
        <f t="shared" si="20"/>
        <v>1.4842</v>
      </c>
    </row>
    <row r="829" spans="1:14" s="147" customFormat="1" x14ac:dyDescent="0.2">
      <c r="A829" s="138"/>
      <c r="B829" s="124"/>
      <c r="C829" s="169" t="s">
        <v>470</v>
      </c>
      <c r="D829" s="157" t="s">
        <v>425</v>
      </c>
      <c r="E829" s="135">
        <f>5.21*N11</f>
        <v>5.21</v>
      </c>
      <c r="F829" s="133"/>
      <c r="G829" s="158">
        <v>1.2</v>
      </c>
      <c r="H829" s="135">
        <f>E829*G829</f>
        <v>6.2519999999999998</v>
      </c>
      <c r="I829" s="187"/>
      <c r="J829" s="144"/>
      <c r="K829" s="159">
        <v>0.23400000000000001</v>
      </c>
      <c r="L829" s="167">
        <f t="shared" si="20"/>
        <v>1.4842</v>
      </c>
    </row>
    <row r="830" spans="1:14" s="147" customFormat="1" x14ac:dyDescent="0.2">
      <c r="A830" s="138"/>
      <c r="B830" s="124"/>
      <c r="C830" s="169" t="s">
        <v>434</v>
      </c>
      <c r="D830" s="157" t="s">
        <v>425</v>
      </c>
      <c r="E830" s="135">
        <f>3.77*N11</f>
        <v>3.77</v>
      </c>
      <c r="F830" s="133"/>
      <c r="G830" s="158">
        <v>1.2</v>
      </c>
      <c r="H830" s="135">
        <f>E830*G830</f>
        <v>4.524</v>
      </c>
      <c r="I830" s="187"/>
      <c r="J830" s="144"/>
      <c r="K830" s="159">
        <v>0.23400000000000001</v>
      </c>
      <c r="L830" s="167">
        <f t="shared" si="20"/>
        <v>1.4842</v>
      </c>
    </row>
    <row r="831" spans="1:14" s="147" customFormat="1" x14ac:dyDescent="0.2">
      <c r="A831" s="138"/>
      <c r="B831" s="124"/>
      <c r="C831" s="169"/>
      <c r="D831" s="157"/>
      <c r="E831" s="135"/>
      <c r="F831" s="133"/>
      <c r="G831" s="158"/>
      <c r="H831" s="135"/>
      <c r="I831" s="135"/>
      <c r="J831" s="144"/>
      <c r="K831" s="159">
        <v>0.23400000000000001</v>
      </c>
      <c r="L831" s="167">
        <f t="shared" si="20"/>
        <v>1.4842</v>
      </c>
    </row>
    <row r="832" spans="1:14" s="147" customFormat="1" x14ac:dyDescent="0.2">
      <c r="A832" s="138"/>
      <c r="B832" s="124"/>
      <c r="C832" s="169"/>
      <c r="D832" s="157"/>
      <c r="E832" s="653" t="str">
        <f>E822</f>
        <v>Custo Direto</v>
      </c>
      <c r="F832" s="653"/>
      <c r="G832" s="653"/>
      <c r="H832" s="172">
        <f>SUM(H828:H831)</f>
        <v>10.776</v>
      </c>
      <c r="I832" s="172">
        <f>SUM(I828:I831)</f>
        <v>37.198799999999999</v>
      </c>
      <c r="J832" s="144"/>
      <c r="K832" s="159">
        <v>0.23400000000000001</v>
      </c>
      <c r="L832" s="167">
        <f t="shared" si="20"/>
        <v>1.4842</v>
      </c>
    </row>
    <row r="833" spans="1:14" s="147" customFormat="1" x14ac:dyDescent="0.2">
      <c r="A833" s="138"/>
      <c r="B833" s="124"/>
      <c r="C833" s="169"/>
      <c r="D833" s="157"/>
      <c r="E833" s="653" t="str">
        <f>E823</f>
        <v>LS(%): 148,42</v>
      </c>
      <c r="F833" s="653"/>
      <c r="G833" s="653"/>
      <c r="H833" s="135">
        <f>H832*L833</f>
        <v>15.993739199999998</v>
      </c>
      <c r="I833" s="141"/>
      <c r="J833" s="144"/>
      <c r="K833" s="159">
        <v>0.23400000000000001</v>
      </c>
      <c r="L833" s="167">
        <f t="shared" si="20"/>
        <v>1.4842</v>
      </c>
      <c r="N833" s="531"/>
    </row>
    <row r="834" spans="1:14" s="147" customFormat="1" x14ac:dyDescent="0.2">
      <c r="A834" s="138"/>
      <c r="B834" s="124"/>
      <c r="C834" s="169"/>
      <c r="D834" s="157"/>
      <c r="E834" s="653" t="str">
        <f>E824</f>
        <v>BDI (%): 23,40</v>
      </c>
      <c r="F834" s="653"/>
      <c r="G834" s="653"/>
      <c r="H834" s="654">
        <f>(H832+I832+H833)*K834</f>
        <v>14.968638172800002</v>
      </c>
      <c r="I834" s="654"/>
      <c r="J834" s="144"/>
      <c r="K834" s="159">
        <v>0.23400000000000001</v>
      </c>
      <c r="L834" s="167">
        <f t="shared" si="20"/>
        <v>1.4842</v>
      </c>
    </row>
    <row r="835" spans="1:14" s="147" customFormat="1" x14ac:dyDescent="0.2">
      <c r="A835" s="138"/>
      <c r="B835" s="124"/>
      <c r="C835" s="169"/>
      <c r="D835" s="157"/>
      <c r="E835" s="653" t="str">
        <f>E825</f>
        <v>Valor Total c/ Taxas</v>
      </c>
      <c r="F835" s="653"/>
      <c r="G835" s="653"/>
      <c r="H835" s="135"/>
      <c r="I835" s="172">
        <f>(H832+I832+H833+H834)</f>
        <v>78.937177372800008</v>
      </c>
      <c r="J835" s="144"/>
      <c r="K835" s="159">
        <v>0.23400000000000001</v>
      </c>
      <c r="L835" s="167">
        <f t="shared" si="20"/>
        <v>1.4842</v>
      </c>
      <c r="N835" s="531">
        <v>78.938980000000001</v>
      </c>
    </row>
    <row r="836" spans="1:14" s="217" customFormat="1" x14ac:dyDescent="0.2">
      <c r="A836" s="239"/>
      <c r="B836" s="569"/>
      <c r="C836" s="169"/>
      <c r="D836" s="157"/>
      <c r="E836" s="568"/>
      <c r="F836" s="574"/>
      <c r="G836" s="181"/>
      <c r="H836" s="135"/>
      <c r="I836" s="172"/>
      <c r="J836" s="216"/>
      <c r="K836" s="575">
        <v>0.23400000000000001</v>
      </c>
      <c r="L836" s="576">
        <f t="shared" si="20"/>
        <v>1.4842</v>
      </c>
    </row>
    <row r="837" spans="1:14" s="147" customFormat="1" x14ac:dyDescent="0.2">
      <c r="A837" s="221"/>
      <c r="B837" s="201" t="str">
        <f>'Planilha Orçamentaria'!A132</f>
        <v>18.1.1</v>
      </c>
      <c r="C837" s="156" t="str">
        <f>'Planilha Orçamentaria'!C132</f>
        <v>Ponto de agua (incl. tubos e conexoes)</v>
      </c>
      <c r="D837" s="228" t="str">
        <f>'Planilha Orçamentaria'!D132</f>
        <v>Pt</v>
      </c>
      <c r="E837" s="135"/>
      <c r="F837" s="133"/>
      <c r="G837" s="158"/>
      <c r="H837" s="135"/>
      <c r="I837" s="135"/>
      <c r="J837" s="144"/>
      <c r="K837" s="159">
        <v>0.23400000000000001</v>
      </c>
      <c r="L837" s="576">
        <f t="shared" si="20"/>
        <v>1.4842</v>
      </c>
    </row>
    <row r="838" spans="1:14" s="147" customFormat="1" x14ac:dyDescent="0.2">
      <c r="A838" s="138"/>
      <c r="B838" s="124"/>
      <c r="C838" s="169" t="str">
        <f>C837</f>
        <v>Ponto de agua (incl. tubos e conexoes)</v>
      </c>
      <c r="D838" s="157" t="str">
        <f>D837</f>
        <v>Pt</v>
      </c>
      <c r="E838" s="135">
        <f>139.48*N11</f>
        <v>139.47999999999999</v>
      </c>
      <c r="F838" s="133">
        <v>2.23</v>
      </c>
      <c r="G838" s="158">
        <v>1</v>
      </c>
      <c r="H838" s="135"/>
      <c r="I838" s="135">
        <f>E838*G838</f>
        <v>139.47999999999999</v>
      </c>
      <c r="J838" s="144"/>
      <c r="K838" s="159">
        <v>0.23400000000000001</v>
      </c>
      <c r="L838" s="576">
        <f t="shared" si="20"/>
        <v>1.4842</v>
      </c>
    </row>
    <row r="839" spans="1:14" s="147" customFormat="1" x14ac:dyDescent="0.2">
      <c r="A839" s="138"/>
      <c r="B839" s="124"/>
      <c r="C839" s="169" t="s">
        <v>433</v>
      </c>
      <c r="D839" s="157" t="s">
        <v>425</v>
      </c>
      <c r="E839" s="135">
        <f>5.21*N11</f>
        <v>5.21</v>
      </c>
      <c r="F839" s="233"/>
      <c r="G839" s="158">
        <v>2.5</v>
      </c>
      <c r="H839" s="135">
        <f>E839*G839</f>
        <v>13.025</v>
      </c>
      <c r="I839" s="187"/>
      <c r="J839" s="144"/>
      <c r="K839" s="159">
        <v>0.23400000000000001</v>
      </c>
      <c r="L839" s="576">
        <f t="shared" si="20"/>
        <v>1.4842</v>
      </c>
    </row>
    <row r="840" spans="1:14" s="147" customFormat="1" x14ac:dyDescent="0.2">
      <c r="A840" s="138"/>
      <c r="B840" s="124"/>
      <c r="C840" s="169" t="s">
        <v>434</v>
      </c>
      <c r="D840" s="157" t="s">
        <v>425</v>
      </c>
      <c r="E840" s="135">
        <f>3.77*N11</f>
        <v>3.77</v>
      </c>
      <c r="F840" s="233"/>
      <c r="G840" s="158">
        <v>1</v>
      </c>
      <c r="H840" s="135">
        <f>E840*G840</f>
        <v>3.77</v>
      </c>
      <c r="I840" s="187"/>
      <c r="J840" s="144"/>
      <c r="K840" s="159">
        <v>0.23400000000000001</v>
      </c>
      <c r="L840" s="167">
        <f t="shared" ref="L840:L886" si="21">L839</f>
        <v>1.4842</v>
      </c>
    </row>
    <row r="841" spans="1:14" s="147" customFormat="1" x14ac:dyDescent="0.2">
      <c r="A841" s="138"/>
      <c r="B841" s="124"/>
      <c r="C841" s="169"/>
      <c r="D841" s="157"/>
      <c r="E841" s="135"/>
      <c r="F841" s="133"/>
      <c r="G841" s="158"/>
      <c r="H841" s="135"/>
      <c r="I841" s="135"/>
      <c r="J841" s="144"/>
      <c r="K841" s="159">
        <v>0.23400000000000001</v>
      </c>
      <c r="L841" s="167">
        <f t="shared" si="21"/>
        <v>1.4842</v>
      </c>
    </row>
    <row r="842" spans="1:14" s="147" customFormat="1" x14ac:dyDescent="0.2">
      <c r="A842" s="138"/>
      <c r="B842" s="124"/>
      <c r="C842" s="169"/>
      <c r="D842" s="157"/>
      <c r="E842" s="653" t="str">
        <f>E832</f>
        <v>Custo Direto</v>
      </c>
      <c r="F842" s="653"/>
      <c r="G842" s="653"/>
      <c r="H842" s="172">
        <f>SUM(H837:H841)</f>
        <v>16.795000000000002</v>
      </c>
      <c r="I842" s="172">
        <f>SUM(I838:I841)</f>
        <v>139.47999999999999</v>
      </c>
      <c r="J842" s="144"/>
      <c r="K842" s="159">
        <v>0.23400000000000001</v>
      </c>
      <c r="L842" s="167">
        <f t="shared" si="21"/>
        <v>1.4842</v>
      </c>
    </row>
    <row r="843" spans="1:14" s="147" customFormat="1" x14ac:dyDescent="0.2">
      <c r="A843" s="138"/>
      <c r="B843" s="124"/>
      <c r="C843" s="169"/>
      <c r="D843" s="157"/>
      <c r="E843" s="653" t="str">
        <f>E833</f>
        <v>LS(%): 148,42</v>
      </c>
      <c r="F843" s="653"/>
      <c r="G843" s="653"/>
      <c r="H843" s="135">
        <f>SUM(H842)*L843</f>
        <v>24.927139</v>
      </c>
      <c r="I843" s="141"/>
      <c r="J843" s="144"/>
      <c r="K843" s="159">
        <v>0.23400000000000001</v>
      </c>
      <c r="L843" s="167">
        <f t="shared" si="21"/>
        <v>1.4842</v>
      </c>
    </row>
    <row r="844" spans="1:14" s="147" customFormat="1" x14ac:dyDescent="0.2">
      <c r="A844" s="138"/>
      <c r="B844" s="124"/>
      <c r="C844" s="169"/>
      <c r="D844" s="157"/>
      <c r="E844" s="653" t="str">
        <f>E834</f>
        <v>BDI (%): 23,40</v>
      </c>
      <c r="F844" s="653"/>
      <c r="G844" s="653"/>
      <c r="H844" s="654">
        <f>(H842+I842+H843)*K844</f>
        <v>42.401300526</v>
      </c>
      <c r="I844" s="654"/>
      <c r="J844" s="144"/>
      <c r="K844" s="159">
        <v>0.23400000000000001</v>
      </c>
      <c r="L844" s="167">
        <f t="shared" si="21"/>
        <v>1.4842</v>
      </c>
    </row>
    <row r="845" spans="1:14" s="147" customFormat="1" x14ac:dyDescent="0.2">
      <c r="A845" s="138"/>
      <c r="B845" s="124"/>
      <c r="C845" s="169"/>
      <c r="D845" s="157"/>
      <c r="E845" s="653" t="str">
        <f>E835</f>
        <v>Valor Total c/ Taxas</v>
      </c>
      <c r="F845" s="653"/>
      <c r="G845" s="653"/>
      <c r="H845" s="135"/>
      <c r="I845" s="172">
        <f>(H842+I842+H843+H844)</f>
        <v>223.60343952599999</v>
      </c>
      <c r="J845" s="144"/>
      <c r="K845" s="159">
        <v>0.23400000000000001</v>
      </c>
      <c r="L845" s="167">
        <f t="shared" si="21"/>
        <v>1.4842</v>
      </c>
      <c r="N845" s="531">
        <v>223.60343952599999</v>
      </c>
    </row>
    <row r="846" spans="1:14" s="147" customFormat="1" x14ac:dyDescent="0.2">
      <c r="A846" s="138"/>
      <c r="B846" s="124"/>
      <c r="C846" s="169"/>
      <c r="D846" s="157"/>
      <c r="E846" s="135"/>
      <c r="F846" s="133"/>
      <c r="G846" s="158"/>
      <c r="H846" s="135"/>
      <c r="I846" s="135"/>
      <c r="J846" s="144"/>
      <c r="K846" s="159">
        <v>0.23400000000000001</v>
      </c>
      <c r="L846" s="167">
        <f t="shared" si="21"/>
        <v>1.4842</v>
      </c>
    </row>
    <row r="847" spans="1:14" s="147" customFormat="1" x14ac:dyDescent="0.2">
      <c r="A847" s="177"/>
      <c r="B847" s="201" t="str">
        <f>'Planilha Orçamentaria'!A133</f>
        <v>18.1.2</v>
      </c>
      <c r="C847" s="156" t="str">
        <f>'Planilha Orçamentaria'!C133</f>
        <v>Reservatório em fibra de vidro  3.000 L</v>
      </c>
      <c r="D847" s="228" t="str">
        <f>'Planilha Orçamentaria'!D133</f>
        <v>UN</v>
      </c>
      <c r="E847" s="135"/>
      <c r="F847" s="133"/>
      <c r="G847" s="158"/>
      <c r="H847" s="135"/>
      <c r="I847" s="135"/>
      <c r="J847" s="144"/>
      <c r="K847" s="159">
        <v>0.23400000000000001</v>
      </c>
      <c r="L847" s="167">
        <f t="shared" si="21"/>
        <v>1.4842</v>
      </c>
    </row>
    <row r="848" spans="1:14" s="147" customFormat="1" x14ac:dyDescent="0.2">
      <c r="A848" s="138"/>
      <c r="B848" s="124"/>
      <c r="C848" s="169" t="str">
        <f>C847</f>
        <v>Reservatório em fibra de vidro  3.000 L</v>
      </c>
      <c r="D848" s="157" t="s">
        <v>435</v>
      </c>
      <c r="E848" s="135">
        <f>1255.83*N11</f>
        <v>1255.83</v>
      </c>
      <c r="F848" s="133">
        <v>2.37</v>
      </c>
      <c r="G848" s="158">
        <v>1</v>
      </c>
      <c r="H848" s="135"/>
      <c r="I848" s="135">
        <f>E848*G848</f>
        <v>1255.83</v>
      </c>
      <c r="J848" s="144"/>
      <c r="K848" s="159">
        <v>0.23400000000000001</v>
      </c>
      <c r="L848" s="167">
        <f t="shared" si="21"/>
        <v>1.4842</v>
      </c>
    </row>
    <row r="849" spans="1:14" s="147" customFormat="1" x14ac:dyDescent="0.2">
      <c r="A849" s="138"/>
      <c r="B849" s="124"/>
      <c r="C849" s="169" t="s">
        <v>433</v>
      </c>
      <c r="D849" s="157" t="s">
        <v>425</v>
      </c>
      <c r="E849" s="135">
        <f>5.21*N11</f>
        <v>5.21</v>
      </c>
      <c r="F849" s="233"/>
      <c r="G849" s="158">
        <v>3.5</v>
      </c>
      <c r="H849" s="135">
        <f>E849*G849</f>
        <v>18.234999999999999</v>
      </c>
      <c r="I849" s="187"/>
      <c r="J849" s="144"/>
      <c r="K849" s="159">
        <v>0.23400000000000001</v>
      </c>
      <c r="L849" s="167">
        <f t="shared" si="21"/>
        <v>1.4842</v>
      </c>
    </row>
    <row r="850" spans="1:14" s="147" customFormat="1" x14ac:dyDescent="0.2">
      <c r="A850" s="138"/>
      <c r="B850" s="124"/>
      <c r="C850" s="169" t="s">
        <v>434</v>
      </c>
      <c r="D850" s="157" t="s">
        <v>425</v>
      </c>
      <c r="E850" s="135">
        <f>3.77*N11</f>
        <v>3.77</v>
      </c>
      <c r="F850" s="233"/>
      <c r="G850" s="158">
        <v>2.5</v>
      </c>
      <c r="H850" s="135">
        <f>E850*G850</f>
        <v>9.4250000000000007</v>
      </c>
      <c r="I850" s="187"/>
      <c r="J850" s="144"/>
      <c r="K850" s="159">
        <v>0.23400000000000001</v>
      </c>
      <c r="L850" s="167">
        <f t="shared" si="21"/>
        <v>1.4842</v>
      </c>
    </row>
    <row r="851" spans="1:14" s="147" customFormat="1" x14ac:dyDescent="0.2">
      <c r="A851" s="138"/>
      <c r="B851" s="124"/>
      <c r="C851" s="169"/>
      <c r="D851" s="157"/>
      <c r="E851" s="135"/>
      <c r="F851" s="133"/>
      <c r="G851" s="158"/>
      <c r="H851" s="135"/>
      <c r="I851" s="135"/>
      <c r="J851" s="144"/>
      <c r="K851" s="159">
        <v>0.23400000000000001</v>
      </c>
      <c r="L851" s="167">
        <f t="shared" si="21"/>
        <v>1.4842</v>
      </c>
    </row>
    <row r="852" spans="1:14" s="147" customFormat="1" x14ac:dyDescent="0.2">
      <c r="A852" s="138"/>
      <c r="B852" s="124"/>
      <c r="C852" s="169"/>
      <c r="D852" s="157"/>
      <c r="E852" s="653" t="str">
        <f>E842</f>
        <v>Custo Direto</v>
      </c>
      <c r="F852" s="653"/>
      <c r="G852" s="653"/>
      <c r="H852" s="172">
        <f>SUM(H848:H851)</f>
        <v>27.66</v>
      </c>
      <c r="I852" s="172">
        <f>SUM(I848:I851)</f>
        <v>1255.83</v>
      </c>
      <c r="J852" s="144"/>
      <c r="K852" s="159">
        <v>0.23400000000000001</v>
      </c>
      <c r="L852" s="167">
        <f t="shared" si="21"/>
        <v>1.4842</v>
      </c>
    </row>
    <row r="853" spans="1:14" s="147" customFormat="1" x14ac:dyDescent="0.2">
      <c r="A853" s="138"/>
      <c r="B853" s="124"/>
      <c r="C853" s="169"/>
      <c r="D853" s="157"/>
      <c r="E853" s="653" t="str">
        <f>E843</f>
        <v>LS(%): 148,42</v>
      </c>
      <c r="F853" s="653"/>
      <c r="G853" s="653"/>
      <c r="H853" s="135">
        <f>SUM(H852)*L853</f>
        <v>41.052971999999997</v>
      </c>
      <c r="I853" s="141"/>
      <c r="J853" s="144"/>
      <c r="K853" s="159">
        <v>0.23400000000000001</v>
      </c>
      <c r="L853" s="167">
        <f t="shared" si="21"/>
        <v>1.4842</v>
      </c>
    </row>
    <row r="854" spans="1:14" s="147" customFormat="1" x14ac:dyDescent="0.2">
      <c r="A854" s="138"/>
      <c r="B854" s="124"/>
      <c r="C854" s="169"/>
      <c r="D854" s="157"/>
      <c r="E854" s="653" t="str">
        <f>E844</f>
        <v>BDI (%): 23,40</v>
      </c>
      <c r="F854" s="653"/>
      <c r="G854" s="653"/>
      <c r="H854" s="654">
        <f>(H852+I852+H853)*K854</f>
        <v>309.943055448</v>
      </c>
      <c r="I854" s="654"/>
      <c r="J854" s="144"/>
      <c r="K854" s="159">
        <v>0.23400000000000001</v>
      </c>
      <c r="L854" s="167">
        <f t="shared" si="21"/>
        <v>1.4842</v>
      </c>
    </row>
    <row r="855" spans="1:14" s="147" customFormat="1" x14ac:dyDescent="0.2">
      <c r="A855" s="138"/>
      <c r="B855" s="124"/>
      <c r="C855" s="169"/>
      <c r="D855" s="157"/>
      <c r="E855" s="653" t="str">
        <f>E845</f>
        <v>Valor Total c/ Taxas</v>
      </c>
      <c r="F855" s="653"/>
      <c r="G855" s="653"/>
      <c r="H855" s="135"/>
      <c r="I855" s="172">
        <f>(H852+I852+H853+H854)</f>
        <v>1634.486027448</v>
      </c>
      <c r="J855" s="144"/>
      <c r="K855" s="159">
        <v>0.23400000000000001</v>
      </c>
      <c r="L855" s="167">
        <f t="shared" si="21"/>
        <v>1.4842</v>
      </c>
      <c r="N855" s="531">
        <v>1634.486027448</v>
      </c>
    </row>
    <row r="856" spans="1:14" s="147" customFormat="1" x14ac:dyDescent="0.2">
      <c r="A856" s="138"/>
      <c r="B856" s="124"/>
      <c r="C856" s="169"/>
      <c r="D856" s="157"/>
      <c r="E856" s="135"/>
      <c r="F856" s="133"/>
      <c r="G856" s="158"/>
      <c r="H856" s="135"/>
      <c r="I856" s="135"/>
      <c r="J856" s="144"/>
      <c r="K856" s="159">
        <v>0.23400000000000001</v>
      </c>
      <c r="L856" s="167">
        <f t="shared" si="21"/>
        <v>1.4842</v>
      </c>
    </row>
    <row r="857" spans="1:14" s="147" customFormat="1" x14ac:dyDescent="0.2">
      <c r="A857" s="177"/>
      <c r="B857" s="201" t="str">
        <f>'Planilha Orçamentaria'!A135</f>
        <v>18.2.1</v>
      </c>
      <c r="C857" s="570" t="str">
        <f>'Planilha Orçamentaria'!C135</f>
        <v>Fossa septica em concreto armado - cap=150 pessoas</v>
      </c>
      <c r="D857" s="571" t="str">
        <f>'Planilha Orçamentaria'!D135</f>
        <v>UN</v>
      </c>
      <c r="E857" s="135"/>
      <c r="F857" s="133"/>
      <c r="G857" s="158"/>
      <c r="H857" s="135"/>
      <c r="I857" s="135"/>
      <c r="J857" s="144"/>
      <c r="K857" s="159">
        <v>0.23400000000000001</v>
      </c>
      <c r="L857" s="167">
        <f t="shared" si="21"/>
        <v>1.4842</v>
      </c>
    </row>
    <row r="858" spans="1:14" s="147" customFormat="1" x14ac:dyDescent="0.2">
      <c r="A858" s="138"/>
      <c r="B858" s="569"/>
      <c r="C858" s="169" t="str">
        <f>C857</f>
        <v>Fossa septica em concreto armado - cap=150 pessoas</v>
      </c>
      <c r="D858" s="157" t="s">
        <v>435</v>
      </c>
      <c r="E858" s="135">
        <f>7635.862*N11</f>
        <v>7635.8620000000001</v>
      </c>
      <c r="F858" s="133">
        <v>950</v>
      </c>
      <c r="G858" s="158">
        <v>1</v>
      </c>
      <c r="H858" s="135"/>
      <c r="I858" s="135">
        <f>E858*G858</f>
        <v>7635.8620000000001</v>
      </c>
      <c r="J858" s="144"/>
      <c r="K858" s="159">
        <v>0.23400000000000001</v>
      </c>
      <c r="L858" s="167">
        <f t="shared" si="21"/>
        <v>1.4842</v>
      </c>
    </row>
    <row r="859" spans="1:14" s="147" customFormat="1" x14ac:dyDescent="0.2">
      <c r="A859" s="138"/>
      <c r="B859" s="569"/>
      <c r="C859" s="169" t="s">
        <v>552</v>
      </c>
      <c r="D859" s="157" t="s">
        <v>425</v>
      </c>
      <c r="E859" s="135">
        <f>5.21*N11</f>
        <v>5.21</v>
      </c>
      <c r="F859" s="133"/>
      <c r="G859" s="158">
        <v>3</v>
      </c>
      <c r="H859" s="135">
        <f>E859*G859</f>
        <v>15.629999999999999</v>
      </c>
      <c r="I859" s="187"/>
      <c r="J859" s="144"/>
      <c r="K859" s="159">
        <v>0.23400000000000001</v>
      </c>
      <c r="L859" s="167">
        <f t="shared" si="21"/>
        <v>1.4842</v>
      </c>
    </row>
    <row r="860" spans="1:14" s="147" customFormat="1" x14ac:dyDescent="0.2">
      <c r="A860" s="138"/>
      <c r="B860" s="569"/>
      <c r="C860" s="169" t="s">
        <v>553</v>
      </c>
      <c r="D860" s="157" t="s">
        <v>425</v>
      </c>
      <c r="E860" s="135">
        <f>6.75*N11</f>
        <v>6.75</v>
      </c>
      <c r="F860" s="133"/>
      <c r="G860" s="158">
        <v>22.552</v>
      </c>
      <c r="H860" s="135">
        <f>E860*G860</f>
        <v>152.226</v>
      </c>
      <c r="I860" s="187"/>
      <c r="J860" s="144"/>
      <c r="K860" s="159">
        <v>0.23400000000000001</v>
      </c>
      <c r="L860" s="167">
        <f t="shared" si="21"/>
        <v>1.4842</v>
      </c>
    </row>
    <row r="861" spans="1:14" s="147" customFormat="1" x14ac:dyDescent="0.2">
      <c r="A861" s="138"/>
      <c r="B861" s="569"/>
      <c r="C861" s="169" t="s">
        <v>431</v>
      </c>
      <c r="D861" s="157" t="s">
        <v>425</v>
      </c>
      <c r="E861" s="135">
        <f>5.21*N11</f>
        <v>5.21</v>
      </c>
      <c r="F861" s="133"/>
      <c r="G861" s="158">
        <v>11.638999999999999</v>
      </c>
      <c r="H861" s="135">
        <f>E861*G861</f>
        <v>60.639189999999999</v>
      </c>
      <c r="I861" s="187"/>
      <c r="J861" s="144"/>
      <c r="K861" s="159">
        <v>0.23400000000000001</v>
      </c>
      <c r="L861" s="167">
        <f t="shared" si="21"/>
        <v>1.4842</v>
      </c>
    </row>
    <row r="862" spans="1:14" s="147" customFormat="1" x14ac:dyDescent="0.2">
      <c r="A862" s="138"/>
      <c r="B862" s="569"/>
      <c r="C862" s="169" t="s">
        <v>434</v>
      </c>
      <c r="D862" s="157" t="s">
        <v>425</v>
      </c>
      <c r="E862" s="135">
        <f>3.77*N11</f>
        <v>3.77</v>
      </c>
      <c r="F862" s="133"/>
      <c r="G862" s="158">
        <v>16.434999999999999</v>
      </c>
      <c r="H862" s="135">
        <f>E862*G862</f>
        <v>61.959949999999992</v>
      </c>
      <c r="I862" s="187"/>
      <c r="J862" s="144"/>
      <c r="K862" s="159">
        <v>0.23400000000000001</v>
      </c>
      <c r="L862" s="167">
        <f t="shared" si="21"/>
        <v>1.4842</v>
      </c>
    </row>
    <row r="863" spans="1:14" s="147" customFormat="1" hidden="1" x14ac:dyDescent="0.2">
      <c r="A863" s="138"/>
      <c r="B863" s="569"/>
      <c r="C863" s="169"/>
      <c r="D863" s="157"/>
      <c r="E863" s="135"/>
      <c r="F863" s="133"/>
      <c r="G863" s="158"/>
      <c r="H863" s="135"/>
      <c r="I863" s="135"/>
      <c r="J863" s="144"/>
      <c r="K863" s="159">
        <v>0.23400000000000001</v>
      </c>
      <c r="L863" s="167">
        <f t="shared" si="21"/>
        <v>1.4842</v>
      </c>
    </row>
    <row r="864" spans="1:14" s="147" customFormat="1" x14ac:dyDescent="0.2">
      <c r="A864" s="138"/>
      <c r="B864" s="569"/>
      <c r="C864" s="169"/>
      <c r="D864" s="157"/>
      <c r="E864" s="135"/>
      <c r="F864" s="133"/>
      <c r="G864" s="158"/>
      <c r="H864" s="135"/>
      <c r="I864" s="135"/>
      <c r="J864" s="144"/>
      <c r="K864" s="159">
        <v>0.23400000000000001</v>
      </c>
      <c r="L864" s="167">
        <f t="shared" si="21"/>
        <v>1.4842</v>
      </c>
    </row>
    <row r="865" spans="1:14" s="147" customFormat="1" x14ac:dyDescent="0.2">
      <c r="A865" s="138"/>
      <c r="B865" s="569"/>
      <c r="C865" s="169"/>
      <c r="D865" s="157"/>
      <c r="E865" s="653" t="str">
        <f>E852</f>
        <v>Custo Direto</v>
      </c>
      <c r="F865" s="653"/>
      <c r="G865" s="653"/>
      <c r="H865" s="172">
        <f>SUM(H858:H863)</f>
        <v>290.45513999999997</v>
      </c>
      <c r="I865" s="172">
        <f>SUM(I858:I863)</f>
        <v>7635.8620000000001</v>
      </c>
      <c r="J865" s="144"/>
      <c r="K865" s="159">
        <v>0.23400000000000001</v>
      </c>
      <c r="L865" s="167">
        <f t="shared" si="21"/>
        <v>1.4842</v>
      </c>
    </row>
    <row r="866" spans="1:14" s="147" customFormat="1" x14ac:dyDescent="0.2">
      <c r="A866" s="138"/>
      <c r="B866" s="569"/>
      <c r="C866" s="169"/>
      <c r="D866" s="157"/>
      <c r="E866" s="653" t="str">
        <f>E853</f>
        <v>LS(%): 148,42</v>
      </c>
      <c r="F866" s="653"/>
      <c r="G866" s="653"/>
      <c r="H866" s="135">
        <f>SUM(H861:H863)*L866</f>
        <v>181.96164358799999</v>
      </c>
      <c r="I866" s="141"/>
      <c r="J866" s="144"/>
      <c r="K866" s="159">
        <v>0.23400000000000001</v>
      </c>
      <c r="L866" s="167">
        <f t="shared" si="21"/>
        <v>1.4842</v>
      </c>
    </row>
    <row r="867" spans="1:14" s="147" customFormat="1" x14ac:dyDescent="0.2">
      <c r="A867" s="138"/>
      <c r="B867" s="569"/>
      <c r="C867" s="169"/>
      <c r="D867" s="157"/>
      <c r="E867" s="653" t="str">
        <f>E854</f>
        <v>BDI (%): 23,40</v>
      </c>
      <c r="F867" s="653"/>
      <c r="G867" s="653"/>
      <c r="H867" s="654">
        <f>(H865+I865+H866)*K867</f>
        <v>1897.3372353595921</v>
      </c>
      <c r="I867" s="654"/>
      <c r="J867" s="144"/>
      <c r="K867" s="159">
        <v>0.23400000000000001</v>
      </c>
      <c r="L867" s="167">
        <f t="shared" si="21"/>
        <v>1.4842</v>
      </c>
    </row>
    <row r="868" spans="1:14" s="147" customFormat="1" x14ac:dyDescent="0.2">
      <c r="A868" s="138"/>
      <c r="B868" s="569"/>
      <c r="C868" s="169"/>
      <c r="D868" s="157"/>
      <c r="E868" s="653" t="str">
        <f>E855</f>
        <v>Valor Total c/ Taxas</v>
      </c>
      <c r="F868" s="653"/>
      <c r="G868" s="653"/>
      <c r="H868" s="135"/>
      <c r="I868" s="172">
        <f>(H865+I865+H866+H867)</f>
        <v>10005.616018947592</v>
      </c>
      <c r="J868" s="144"/>
      <c r="K868" s="159">
        <v>0.23400000000000001</v>
      </c>
      <c r="L868" s="167">
        <f t="shared" si="21"/>
        <v>1.4842</v>
      </c>
      <c r="N868" s="531">
        <v>10005.616018947592</v>
      </c>
    </row>
    <row r="869" spans="1:14" s="147" customFormat="1" x14ac:dyDescent="0.2">
      <c r="A869" s="138"/>
      <c r="B869" s="569"/>
      <c r="C869" s="169"/>
      <c r="D869" s="157"/>
      <c r="E869" s="653"/>
      <c r="F869" s="653"/>
      <c r="G869" s="653"/>
      <c r="H869" s="135"/>
      <c r="I869" s="172"/>
      <c r="J869" s="144"/>
      <c r="K869" s="159">
        <v>0.23400000000000001</v>
      </c>
      <c r="L869" s="167">
        <f t="shared" si="21"/>
        <v>1.4842</v>
      </c>
    </row>
    <row r="870" spans="1:14" s="147" customFormat="1" x14ac:dyDescent="0.2">
      <c r="A870" s="234"/>
      <c r="B870" s="201" t="str">
        <f>'Planilha Orçamentaria'!A136</f>
        <v>18.2.2</v>
      </c>
      <c r="C870" s="156" t="str">
        <f>'Planilha Orçamentaria'!C136</f>
        <v>Ponto de esgoto (incl. tubos, conexoes,cx. e ralos)</v>
      </c>
      <c r="D870" s="228" t="str">
        <f>'Planilha Orçamentaria'!D136</f>
        <v>Pt</v>
      </c>
      <c r="E870" s="135"/>
      <c r="F870" s="133"/>
      <c r="G870" s="158"/>
      <c r="H870" s="135"/>
      <c r="I870" s="135"/>
      <c r="J870" s="144"/>
      <c r="K870" s="159">
        <v>0.23400000000000001</v>
      </c>
      <c r="L870" s="167">
        <f t="shared" si="21"/>
        <v>1.4842</v>
      </c>
    </row>
    <row r="871" spans="1:14" s="147" customFormat="1" x14ac:dyDescent="0.2">
      <c r="A871" s="138"/>
      <c r="B871" s="124"/>
      <c r="C871" s="169" t="str">
        <f>C870</f>
        <v>Ponto de esgoto (incl. tubos, conexoes,cx. e ralos)</v>
      </c>
      <c r="D871" s="157" t="str">
        <f>D870</f>
        <v>Pt</v>
      </c>
      <c r="E871" s="135">
        <f>141.13*N11</f>
        <v>141.13</v>
      </c>
      <c r="F871" s="133">
        <v>38.840000000000003</v>
      </c>
      <c r="G871" s="158">
        <v>1</v>
      </c>
      <c r="H871" s="135"/>
      <c r="I871" s="135">
        <f>E871*G871</f>
        <v>141.13</v>
      </c>
      <c r="J871" s="144"/>
      <c r="K871" s="159">
        <v>0.23400000000000001</v>
      </c>
      <c r="L871" s="167">
        <f t="shared" si="21"/>
        <v>1.4842</v>
      </c>
    </row>
    <row r="872" spans="1:14" s="147" customFormat="1" x14ac:dyDescent="0.2">
      <c r="A872" s="138"/>
      <c r="B872" s="124"/>
      <c r="C872" s="169" t="s">
        <v>433</v>
      </c>
      <c r="D872" s="157" t="s">
        <v>425</v>
      </c>
      <c r="E872" s="135">
        <f>5.21*N11</f>
        <v>5.21</v>
      </c>
      <c r="F872" s="233"/>
      <c r="G872" s="158">
        <v>2.2999999999999998</v>
      </c>
      <c r="H872" s="135">
        <f>E872*G872</f>
        <v>11.982999999999999</v>
      </c>
      <c r="I872" s="187"/>
      <c r="J872" s="144"/>
      <c r="K872" s="159">
        <v>0.23400000000000001</v>
      </c>
      <c r="L872" s="167">
        <f t="shared" si="21"/>
        <v>1.4842</v>
      </c>
    </row>
    <row r="873" spans="1:14" s="147" customFormat="1" x14ac:dyDescent="0.2">
      <c r="A873" s="138"/>
      <c r="B873" s="124"/>
      <c r="C873" s="169" t="s">
        <v>434</v>
      </c>
      <c r="D873" s="157" t="s">
        <v>425</v>
      </c>
      <c r="E873" s="135">
        <f>3.77*N11</f>
        <v>3.77</v>
      </c>
      <c r="F873" s="233"/>
      <c r="G873" s="158">
        <v>1.5</v>
      </c>
      <c r="H873" s="135">
        <f>E873*G873</f>
        <v>5.6550000000000002</v>
      </c>
      <c r="I873" s="187"/>
      <c r="J873" s="144"/>
      <c r="K873" s="159">
        <v>0.23400000000000001</v>
      </c>
      <c r="L873" s="167">
        <f t="shared" si="21"/>
        <v>1.4842</v>
      </c>
    </row>
    <row r="874" spans="1:14" s="147" customFormat="1" hidden="1" x14ac:dyDescent="0.2">
      <c r="A874" s="138"/>
      <c r="B874" s="124"/>
      <c r="C874" s="169"/>
      <c r="D874" s="157"/>
      <c r="E874" s="135"/>
      <c r="F874" s="133"/>
      <c r="G874" s="158"/>
      <c r="H874" s="135"/>
      <c r="I874" s="135"/>
      <c r="J874" s="144"/>
      <c r="K874" s="159">
        <v>0.23400000000000001</v>
      </c>
      <c r="L874" s="167">
        <f t="shared" si="21"/>
        <v>1.4842</v>
      </c>
    </row>
    <row r="875" spans="1:14" s="147" customFormat="1" x14ac:dyDescent="0.2">
      <c r="A875" s="138"/>
      <c r="B875" s="569"/>
      <c r="C875" s="169"/>
      <c r="D875" s="157"/>
      <c r="E875" s="135"/>
      <c r="F875" s="133"/>
      <c r="G875" s="158"/>
      <c r="H875" s="135"/>
      <c r="I875" s="135"/>
      <c r="J875" s="144"/>
      <c r="K875" s="159">
        <v>0.23400000000000001</v>
      </c>
      <c r="L875" s="167">
        <f t="shared" si="21"/>
        <v>1.4842</v>
      </c>
    </row>
    <row r="876" spans="1:14" s="147" customFormat="1" x14ac:dyDescent="0.2">
      <c r="A876" s="138"/>
      <c r="B876" s="124"/>
      <c r="C876" s="169"/>
      <c r="D876" s="157"/>
      <c r="E876" s="653" t="str">
        <f>E865</f>
        <v>Custo Direto</v>
      </c>
      <c r="F876" s="653"/>
      <c r="G876" s="653"/>
      <c r="H876" s="172">
        <f>SUM(H871:H874)</f>
        <v>17.637999999999998</v>
      </c>
      <c r="I876" s="172">
        <f>SUM(I871:I874)</f>
        <v>141.13</v>
      </c>
      <c r="J876" s="144"/>
      <c r="K876" s="159">
        <v>0.23400000000000001</v>
      </c>
      <c r="L876" s="167">
        <f t="shared" si="21"/>
        <v>1.4842</v>
      </c>
    </row>
    <row r="877" spans="1:14" s="147" customFormat="1" x14ac:dyDescent="0.2">
      <c r="A877" s="138"/>
      <c r="B877" s="124"/>
      <c r="C877" s="169"/>
      <c r="D877" s="157"/>
      <c r="E877" s="653" t="str">
        <f>E866</f>
        <v>LS(%): 148,42</v>
      </c>
      <c r="F877" s="653"/>
      <c r="G877" s="653"/>
      <c r="H877" s="135">
        <f>SUM(H876)*L877</f>
        <v>26.178319599999998</v>
      </c>
      <c r="I877" s="141"/>
      <c r="J877" s="144"/>
      <c r="K877" s="159">
        <v>0.23400000000000001</v>
      </c>
      <c r="L877" s="167">
        <f t="shared" si="21"/>
        <v>1.4842</v>
      </c>
    </row>
    <row r="878" spans="1:14" s="147" customFormat="1" x14ac:dyDescent="0.2">
      <c r="A878" s="138"/>
      <c r="B878" s="124"/>
      <c r="C878" s="169"/>
      <c r="D878" s="157"/>
      <c r="E878" s="653" t="str">
        <f>E867</f>
        <v>BDI (%): 23,40</v>
      </c>
      <c r="F878" s="653"/>
      <c r="G878" s="653"/>
      <c r="H878" s="654">
        <f>(H876+I876+H877)*K878</f>
        <v>43.277438786400005</v>
      </c>
      <c r="I878" s="654"/>
      <c r="J878" s="144"/>
      <c r="K878" s="159">
        <v>0.23400000000000001</v>
      </c>
      <c r="L878" s="167">
        <f t="shared" si="21"/>
        <v>1.4842</v>
      </c>
    </row>
    <row r="879" spans="1:14" s="147" customFormat="1" x14ac:dyDescent="0.2">
      <c r="A879" s="138"/>
      <c r="B879" s="124"/>
      <c r="C879" s="169"/>
      <c r="D879" s="157"/>
      <c r="E879" s="653" t="str">
        <f>E868</f>
        <v>Valor Total c/ Taxas</v>
      </c>
      <c r="F879" s="653"/>
      <c r="G879" s="653"/>
      <c r="H879" s="135"/>
      <c r="I879" s="172">
        <f>(H876+I876+H877+H878)</f>
        <v>228.22375838640002</v>
      </c>
      <c r="J879" s="144"/>
      <c r="K879" s="159">
        <v>0.23400000000000001</v>
      </c>
      <c r="L879" s="167">
        <f t="shared" si="21"/>
        <v>1.4842</v>
      </c>
      <c r="N879" s="531">
        <v>228.22375838640002</v>
      </c>
    </row>
    <row r="880" spans="1:14" s="147" customFormat="1" x14ac:dyDescent="0.2">
      <c r="A880" s="138"/>
      <c r="B880" s="124"/>
      <c r="C880" s="169"/>
      <c r="D880" s="157"/>
      <c r="E880" s="135"/>
      <c r="F880" s="133"/>
      <c r="G880" s="158"/>
      <c r="H880" s="135"/>
      <c r="I880" s="135"/>
      <c r="J880" s="144"/>
      <c r="K880" s="159">
        <v>0.23400000000000001</v>
      </c>
      <c r="L880" s="167">
        <f t="shared" si="21"/>
        <v>1.4842</v>
      </c>
    </row>
    <row r="881" spans="1:14" s="147" customFormat="1" x14ac:dyDescent="0.2">
      <c r="A881" s="235"/>
      <c r="B881" s="201" t="str">
        <f>'Planilha Orçamentaria'!A137</f>
        <v>18.2.3</v>
      </c>
      <c r="C881" s="156" t="str">
        <f>'Planilha Orçamentaria'!C137</f>
        <v>Sumidouro em alvenaria c/ tpo.em concreto - cap=150 pessoas</v>
      </c>
      <c r="D881" s="228" t="str">
        <f>'Planilha Orçamentaria'!D137</f>
        <v>UN</v>
      </c>
      <c r="E881" s="135"/>
      <c r="F881" s="133"/>
      <c r="G881" s="158"/>
      <c r="H881" s="135"/>
      <c r="I881" s="135"/>
      <c r="J881" s="144"/>
      <c r="K881" s="159">
        <v>0.23400000000000001</v>
      </c>
      <c r="L881" s="167">
        <f t="shared" si="21"/>
        <v>1.4842</v>
      </c>
    </row>
    <row r="882" spans="1:14" s="147" customFormat="1" x14ac:dyDescent="0.2">
      <c r="A882" s="138"/>
      <c r="B882" s="124"/>
      <c r="C882" s="169" t="str">
        <f>C881</f>
        <v>Sumidouro em alvenaria c/ tpo.em concreto - cap=150 pessoas</v>
      </c>
      <c r="D882" s="157" t="s">
        <v>435</v>
      </c>
      <c r="E882" s="135">
        <f>3281.073*N11</f>
        <v>3281.0729999999999</v>
      </c>
      <c r="F882" s="133">
        <v>1.5</v>
      </c>
      <c r="G882" s="158">
        <v>1</v>
      </c>
      <c r="H882" s="135"/>
      <c r="I882" s="135">
        <f>E882*G882</f>
        <v>3281.0729999999999</v>
      </c>
      <c r="J882" s="144"/>
      <c r="K882" s="159">
        <v>0.23400000000000001</v>
      </c>
      <c r="L882" s="167">
        <f t="shared" si="21"/>
        <v>1.4842</v>
      </c>
    </row>
    <row r="883" spans="1:14" s="147" customFormat="1" x14ac:dyDescent="0.2">
      <c r="A883" s="138"/>
      <c r="B883" s="124"/>
      <c r="C883" s="169" t="s">
        <v>552</v>
      </c>
      <c r="D883" s="157" t="s">
        <v>425</v>
      </c>
      <c r="E883" s="135">
        <f>5.21*N11</f>
        <v>5.21</v>
      </c>
      <c r="F883" s="133"/>
      <c r="G883" s="158">
        <v>3</v>
      </c>
      <c r="H883" s="135"/>
      <c r="I883" s="135">
        <f>E883*G883</f>
        <v>15.629999999999999</v>
      </c>
      <c r="J883" s="144"/>
      <c r="K883" s="159">
        <v>0.23400000000000001</v>
      </c>
      <c r="L883" s="167">
        <f t="shared" si="21"/>
        <v>1.4842</v>
      </c>
    </row>
    <row r="884" spans="1:14" s="147" customFormat="1" x14ac:dyDescent="0.2">
      <c r="A884" s="138"/>
      <c r="B884" s="124"/>
      <c r="C884" s="169" t="s">
        <v>553</v>
      </c>
      <c r="D884" s="157" t="s">
        <v>425</v>
      </c>
      <c r="E884" s="135">
        <f>6.75*N11</f>
        <v>6.75</v>
      </c>
      <c r="F884" s="133"/>
      <c r="G884" s="158">
        <v>22.552</v>
      </c>
      <c r="H884" s="135"/>
      <c r="I884" s="135">
        <f>E884*G884</f>
        <v>152.226</v>
      </c>
      <c r="J884" s="144"/>
      <c r="K884" s="159">
        <v>0.23400000000000001</v>
      </c>
      <c r="L884" s="167">
        <f t="shared" si="21"/>
        <v>1.4842</v>
      </c>
    </row>
    <row r="885" spans="1:14" s="147" customFormat="1" x14ac:dyDescent="0.2">
      <c r="A885" s="138"/>
      <c r="B885" s="124"/>
      <c r="C885" s="169" t="s">
        <v>431</v>
      </c>
      <c r="D885" s="157" t="s">
        <v>425</v>
      </c>
      <c r="E885" s="135">
        <f>5.21*N11</f>
        <v>5.21</v>
      </c>
      <c r="F885" s="133"/>
      <c r="G885" s="158">
        <v>11.638999999999999</v>
      </c>
      <c r="H885" s="135">
        <f>E885*G885</f>
        <v>60.639189999999999</v>
      </c>
      <c r="I885" s="187"/>
      <c r="J885" s="144"/>
      <c r="K885" s="159">
        <v>0.23400000000000001</v>
      </c>
      <c r="L885" s="167">
        <f t="shared" si="21"/>
        <v>1.4842</v>
      </c>
    </row>
    <row r="886" spans="1:14" s="147" customFormat="1" x14ac:dyDescent="0.2">
      <c r="A886" s="138"/>
      <c r="B886" s="124"/>
      <c r="C886" s="169" t="s">
        <v>434</v>
      </c>
      <c r="D886" s="157" t="s">
        <v>425</v>
      </c>
      <c r="E886" s="135">
        <f>3.77*N11</f>
        <v>3.77</v>
      </c>
      <c r="F886" s="133"/>
      <c r="G886" s="158">
        <v>16.434999999999999</v>
      </c>
      <c r="H886" s="135">
        <f>E886*G886</f>
        <v>61.959949999999992</v>
      </c>
      <c r="I886" s="187"/>
      <c r="J886" s="144"/>
      <c r="K886" s="159">
        <v>0.23400000000000001</v>
      </c>
      <c r="L886" s="167">
        <f t="shared" si="21"/>
        <v>1.4842</v>
      </c>
    </row>
    <row r="887" spans="1:14" s="147" customFormat="1" x14ac:dyDescent="0.2">
      <c r="A887" s="138"/>
      <c r="B887" s="124"/>
      <c r="C887" s="169"/>
      <c r="D887" s="157"/>
      <c r="E887" s="135"/>
      <c r="F887" s="133"/>
      <c r="G887" s="158"/>
      <c r="H887" s="135"/>
      <c r="I887" s="135"/>
      <c r="J887" s="144"/>
      <c r="K887" s="159">
        <v>0.23400000000000001</v>
      </c>
      <c r="L887" s="167">
        <f t="shared" ref="L887:L923" si="22">L886</f>
        <v>1.4842</v>
      </c>
    </row>
    <row r="888" spans="1:14" s="147" customFormat="1" x14ac:dyDescent="0.2">
      <c r="A888" s="138"/>
      <c r="B888" s="124"/>
      <c r="C888" s="169"/>
      <c r="D888" s="157"/>
      <c r="E888" s="653" t="str">
        <f>E876</f>
        <v>Custo Direto</v>
      </c>
      <c r="F888" s="653"/>
      <c r="G888" s="653"/>
      <c r="H888" s="172">
        <f>SUM(H882:H887)</f>
        <v>122.59913999999999</v>
      </c>
      <c r="I888" s="172">
        <f>SUM(I882:I887)</f>
        <v>3448.9290000000001</v>
      </c>
      <c r="J888" s="144"/>
      <c r="K888" s="159">
        <v>0.23400000000000001</v>
      </c>
      <c r="L888" s="167">
        <f t="shared" si="22"/>
        <v>1.4842</v>
      </c>
    </row>
    <row r="889" spans="1:14" s="147" customFormat="1" x14ac:dyDescent="0.2">
      <c r="A889" s="138"/>
      <c r="B889" s="124"/>
      <c r="C889" s="169"/>
      <c r="D889" s="157"/>
      <c r="E889" s="653" t="str">
        <f>E877</f>
        <v>LS(%): 148,42</v>
      </c>
      <c r="F889" s="653"/>
      <c r="G889" s="653"/>
      <c r="H889" s="135">
        <f>SUM(H888)*L889</f>
        <v>181.96164358799999</v>
      </c>
      <c r="I889" s="141"/>
      <c r="J889" s="144"/>
      <c r="K889" s="159">
        <v>0.23400000000000001</v>
      </c>
      <c r="L889" s="167">
        <f t="shared" si="22"/>
        <v>1.4842</v>
      </c>
    </row>
    <row r="890" spans="1:14" s="147" customFormat="1" x14ac:dyDescent="0.2">
      <c r="A890" s="138"/>
      <c r="B890" s="124"/>
      <c r="C890" s="169"/>
      <c r="D890" s="157"/>
      <c r="E890" s="653" t="str">
        <f>E878</f>
        <v>BDI (%): 23,40</v>
      </c>
      <c r="F890" s="653"/>
      <c r="G890" s="653"/>
      <c r="H890" s="654">
        <f>(H888+I888+H889)*K890</f>
        <v>878.31660935959201</v>
      </c>
      <c r="I890" s="654"/>
      <c r="J890" s="144"/>
      <c r="K890" s="159">
        <v>0.23400000000000001</v>
      </c>
      <c r="L890" s="167">
        <f t="shared" si="22"/>
        <v>1.4842</v>
      </c>
    </row>
    <row r="891" spans="1:14" s="147" customFormat="1" x14ac:dyDescent="0.2">
      <c r="A891" s="138"/>
      <c r="B891" s="124"/>
      <c r="C891" s="169"/>
      <c r="D891" s="157"/>
      <c r="E891" s="653" t="str">
        <f>E879</f>
        <v>Valor Total c/ Taxas</v>
      </c>
      <c r="F891" s="653"/>
      <c r="G891" s="653"/>
      <c r="H891" s="135"/>
      <c r="I891" s="210">
        <f>(H888+I888+H889+H890)</f>
        <v>4631.806392947592</v>
      </c>
      <c r="J891" s="144"/>
      <c r="K891" s="159">
        <v>0.23400000000000001</v>
      </c>
      <c r="L891" s="167">
        <f t="shared" si="22"/>
        <v>1.4842</v>
      </c>
      <c r="N891" s="531">
        <v>4631.806392947592</v>
      </c>
    </row>
    <row r="892" spans="1:14" s="147" customFormat="1" x14ac:dyDescent="0.2">
      <c r="A892" s="138"/>
      <c r="B892" s="124"/>
      <c r="C892" s="169"/>
      <c r="D892" s="157"/>
      <c r="E892" s="135"/>
      <c r="F892" s="133"/>
      <c r="G892" s="158"/>
      <c r="H892" s="135"/>
      <c r="I892" s="135"/>
      <c r="J892" s="144"/>
      <c r="K892" s="159">
        <v>0.23400000000000001</v>
      </c>
      <c r="L892" s="167">
        <f t="shared" si="22"/>
        <v>1.4842</v>
      </c>
    </row>
    <row r="893" spans="1:14" s="147" customFormat="1" x14ac:dyDescent="0.2">
      <c r="A893" s="235"/>
      <c r="B893" s="201" t="str">
        <f>'Planilha Orçamentaria'!A138</f>
        <v>18.2.4</v>
      </c>
      <c r="C893" s="570" t="str">
        <f>'Planilha Orçamentaria'!C138</f>
        <v>Tubo em PVC - 100mm (LS)</v>
      </c>
      <c r="D893" s="571" t="str">
        <f>'Planilha Orçamentaria'!D138</f>
        <v>M</v>
      </c>
      <c r="E893" s="135"/>
      <c r="F893" s="133"/>
      <c r="G893" s="158"/>
      <c r="H893" s="135"/>
      <c r="I893" s="135"/>
      <c r="J893" s="144"/>
      <c r="K893" s="159">
        <v>0.23400000000000001</v>
      </c>
      <c r="L893" s="167">
        <f t="shared" si="22"/>
        <v>1.4842</v>
      </c>
    </row>
    <row r="894" spans="1:14" s="147" customFormat="1" x14ac:dyDescent="0.2">
      <c r="A894" s="138"/>
      <c r="B894" s="569"/>
      <c r="C894" s="169" t="str">
        <f>C893</f>
        <v>Tubo em PVC - 100mm (LS)</v>
      </c>
      <c r="D894" s="157" t="str">
        <f>D893</f>
        <v>M</v>
      </c>
      <c r="E894" s="135">
        <f>16.06*N11</f>
        <v>16.059999999999999</v>
      </c>
      <c r="F894" s="133">
        <v>98.99</v>
      </c>
      <c r="G894" s="158">
        <v>1</v>
      </c>
      <c r="H894" s="135"/>
      <c r="I894" s="135">
        <f>E894*G894</f>
        <v>16.059999999999999</v>
      </c>
      <c r="J894" s="144"/>
      <c r="K894" s="159">
        <v>0.23400000000000001</v>
      </c>
      <c r="L894" s="167">
        <f t="shared" si="22"/>
        <v>1.4842</v>
      </c>
    </row>
    <row r="895" spans="1:14" s="147" customFormat="1" x14ac:dyDescent="0.2">
      <c r="A895" s="138"/>
      <c r="B895" s="124"/>
      <c r="C895" s="169" t="s">
        <v>433</v>
      </c>
      <c r="D895" s="157" t="s">
        <v>425</v>
      </c>
      <c r="E895" s="135">
        <f>5.21*N11</f>
        <v>5.21</v>
      </c>
      <c r="F895" s="233"/>
      <c r="G895" s="158">
        <v>0.14399999999999999</v>
      </c>
      <c r="H895" s="135">
        <f>E895*G895</f>
        <v>0.75023999999999991</v>
      </c>
      <c r="I895" s="187"/>
      <c r="J895" s="144"/>
      <c r="K895" s="159">
        <v>0.23400000000000001</v>
      </c>
      <c r="L895" s="167">
        <f t="shared" si="22"/>
        <v>1.4842</v>
      </c>
    </row>
    <row r="896" spans="1:14" s="147" customFormat="1" x14ac:dyDescent="0.2">
      <c r="A896" s="138"/>
      <c r="B896" s="124"/>
      <c r="C896" s="169" t="s">
        <v>434</v>
      </c>
      <c r="D896" s="157" t="s">
        <v>425</v>
      </c>
      <c r="E896" s="135">
        <f>3.77*N11</f>
        <v>3.77</v>
      </c>
      <c r="F896" s="233"/>
      <c r="G896" s="158">
        <v>0.14399999999999999</v>
      </c>
      <c r="H896" s="135">
        <f>E896*G896</f>
        <v>0.54287999999999992</v>
      </c>
      <c r="I896" s="187"/>
      <c r="J896" s="144"/>
      <c r="K896" s="159">
        <v>0.23400000000000001</v>
      </c>
      <c r="L896" s="167">
        <f t="shared" si="22"/>
        <v>1.4842</v>
      </c>
    </row>
    <row r="897" spans="1:14" s="147" customFormat="1" x14ac:dyDescent="0.2">
      <c r="A897" s="138"/>
      <c r="B897" s="124"/>
      <c r="C897" s="169"/>
      <c r="D897" s="157"/>
      <c r="E897" s="135"/>
      <c r="F897" s="133"/>
      <c r="G897" s="158"/>
      <c r="H897" s="135"/>
      <c r="I897" s="135"/>
      <c r="J897" s="144"/>
      <c r="K897" s="159">
        <v>0.23400000000000001</v>
      </c>
      <c r="L897" s="167">
        <f t="shared" si="22"/>
        <v>1.4842</v>
      </c>
    </row>
    <row r="898" spans="1:14" s="147" customFormat="1" x14ac:dyDescent="0.2">
      <c r="A898" s="138"/>
      <c r="B898" s="124"/>
      <c r="C898" s="169"/>
      <c r="D898" s="157"/>
      <c r="E898" s="653" t="str">
        <f>E888</f>
        <v>Custo Direto</v>
      </c>
      <c r="F898" s="653"/>
      <c r="G898" s="653"/>
      <c r="H898" s="172">
        <f>SUM(H894:H897)</f>
        <v>1.2931199999999998</v>
      </c>
      <c r="I898" s="172">
        <f>SUM(I894:I897)</f>
        <v>16.059999999999999</v>
      </c>
      <c r="J898" s="144"/>
      <c r="K898" s="159">
        <v>0.23400000000000001</v>
      </c>
      <c r="L898" s="167">
        <f t="shared" si="22"/>
        <v>1.4842</v>
      </c>
    </row>
    <row r="899" spans="1:14" s="147" customFormat="1" x14ac:dyDescent="0.2">
      <c r="A899" s="138"/>
      <c r="B899" s="124"/>
      <c r="C899" s="169"/>
      <c r="D899" s="157"/>
      <c r="E899" s="653" t="str">
        <f>E889</f>
        <v>LS(%): 148,42</v>
      </c>
      <c r="F899" s="653"/>
      <c r="G899" s="653"/>
      <c r="H899" s="135">
        <f>SUM(H898)*L899</f>
        <v>1.9192487039999997</v>
      </c>
      <c r="I899" s="141"/>
      <c r="J899" s="144"/>
      <c r="K899" s="159">
        <v>0.23400000000000001</v>
      </c>
      <c r="L899" s="167">
        <f t="shared" si="22"/>
        <v>1.4842</v>
      </c>
    </row>
    <row r="900" spans="1:14" s="147" customFormat="1" x14ac:dyDescent="0.2">
      <c r="A900" s="138"/>
      <c r="B900" s="124"/>
      <c r="C900" s="169"/>
      <c r="D900" s="157"/>
      <c r="E900" s="653" t="str">
        <f>E890</f>
        <v>BDI (%): 23,40</v>
      </c>
      <c r="F900" s="653"/>
      <c r="G900" s="653"/>
      <c r="H900" s="654">
        <f>(H898+I898+H899)*K900</f>
        <v>4.5097342767359994</v>
      </c>
      <c r="I900" s="654"/>
      <c r="J900" s="144"/>
      <c r="K900" s="159">
        <v>0.23400000000000001</v>
      </c>
      <c r="L900" s="167">
        <f t="shared" si="22"/>
        <v>1.4842</v>
      </c>
    </row>
    <row r="901" spans="1:14" s="147" customFormat="1" x14ac:dyDescent="0.2">
      <c r="A901" s="138"/>
      <c r="B901" s="124"/>
      <c r="C901" s="169"/>
      <c r="D901" s="157"/>
      <c r="E901" s="653" t="str">
        <f>E891</f>
        <v>Valor Total c/ Taxas</v>
      </c>
      <c r="F901" s="653"/>
      <c r="G901" s="653"/>
      <c r="H901" s="135"/>
      <c r="I901" s="172">
        <f>(H898+I898+H899+H900)</f>
        <v>23.782102980735999</v>
      </c>
      <c r="J901" s="144"/>
      <c r="K901" s="159">
        <v>0.23400000000000001</v>
      </c>
      <c r="L901" s="167">
        <f t="shared" si="22"/>
        <v>1.4842</v>
      </c>
      <c r="N901" s="531">
        <v>23.782102980735999</v>
      </c>
    </row>
    <row r="902" spans="1:14" s="147" customFormat="1" x14ac:dyDescent="0.2">
      <c r="A902" s="138"/>
      <c r="B902" s="124"/>
      <c r="C902" s="169"/>
      <c r="D902" s="157"/>
      <c r="E902" s="135"/>
      <c r="F902" s="133"/>
      <c r="G902" s="158"/>
      <c r="H902" s="135"/>
      <c r="I902" s="135"/>
      <c r="J902" s="144"/>
      <c r="K902" s="159">
        <v>0.23400000000000001</v>
      </c>
      <c r="L902" s="167">
        <f t="shared" si="22"/>
        <v>1.4842</v>
      </c>
    </row>
    <row r="903" spans="1:14" s="147" customFormat="1" x14ac:dyDescent="0.2">
      <c r="A903" s="235"/>
      <c r="B903" s="201" t="str">
        <f>'Planilha Orçamentaria'!A140</f>
        <v>18.3.1</v>
      </c>
      <c r="C903" s="570" t="str">
        <f>'Planilha Orçamentaria'!C140</f>
        <v>Joelho/Cotovelo 90º RC em PVC - JS - 100mm-LS</v>
      </c>
      <c r="D903" s="571" t="str">
        <f>'Planilha Orçamentaria'!D140</f>
        <v>UN</v>
      </c>
      <c r="E903" s="135"/>
      <c r="F903" s="133"/>
      <c r="G903" s="158"/>
      <c r="H903" s="135"/>
      <c r="I903" s="135"/>
      <c r="J903" s="144"/>
      <c r="K903" s="159">
        <v>0.23400000000000001</v>
      </c>
      <c r="L903" s="167">
        <f t="shared" si="22"/>
        <v>1.4842</v>
      </c>
    </row>
    <row r="904" spans="1:14" s="147" customFormat="1" x14ac:dyDescent="0.2">
      <c r="A904" s="138"/>
      <c r="B904" s="569"/>
      <c r="C904" s="169" t="str">
        <f>C903</f>
        <v>Joelho/Cotovelo 90º RC em PVC - JS - 100mm-LS</v>
      </c>
      <c r="D904" s="157" t="s">
        <v>435</v>
      </c>
      <c r="E904" s="135">
        <f>12.77*N11</f>
        <v>12.77</v>
      </c>
      <c r="F904" s="133">
        <v>76</v>
      </c>
      <c r="G904" s="158">
        <v>1</v>
      </c>
      <c r="H904" s="135"/>
      <c r="I904" s="135">
        <f>E904*G904</f>
        <v>12.77</v>
      </c>
      <c r="J904" s="144"/>
      <c r="K904" s="159">
        <v>0.23400000000000001</v>
      </c>
      <c r="L904" s="167">
        <f t="shared" si="22"/>
        <v>1.4842</v>
      </c>
    </row>
    <row r="905" spans="1:14" s="147" customFormat="1" x14ac:dyDescent="0.2">
      <c r="A905" s="138"/>
      <c r="B905" s="124"/>
      <c r="C905" s="169" t="s">
        <v>433</v>
      </c>
      <c r="D905" s="157" t="s">
        <v>425</v>
      </c>
      <c r="E905" s="135">
        <f>5.21*N11</f>
        <v>5.21</v>
      </c>
      <c r="F905" s="233"/>
      <c r="G905" s="158">
        <v>7.1999999999999995E-2</v>
      </c>
      <c r="H905" s="135">
        <f>E905*G905</f>
        <v>0.37511999999999995</v>
      </c>
      <c r="I905" s="187"/>
      <c r="J905" s="144"/>
      <c r="K905" s="159">
        <v>0.23400000000000001</v>
      </c>
      <c r="L905" s="167">
        <f t="shared" si="22"/>
        <v>1.4842</v>
      </c>
    </row>
    <row r="906" spans="1:14" s="147" customFormat="1" x14ac:dyDescent="0.2">
      <c r="A906" s="138"/>
      <c r="B906" s="124"/>
      <c r="C906" s="169" t="s">
        <v>434</v>
      </c>
      <c r="D906" s="157" t="s">
        <v>425</v>
      </c>
      <c r="E906" s="135">
        <f>3.77*N11</f>
        <v>3.77</v>
      </c>
      <c r="F906" s="233"/>
      <c r="G906" s="158">
        <v>7.1999999999999995E-2</v>
      </c>
      <c r="H906" s="135">
        <f>E906*G906</f>
        <v>0.27143999999999996</v>
      </c>
      <c r="I906" s="187"/>
      <c r="J906" s="144"/>
      <c r="K906" s="159">
        <v>0.23400000000000001</v>
      </c>
      <c r="L906" s="167">
        <f t="shared" si="22"/>
        <v>1.4842</v>
      </c>
    </row>
    <row r="907" spans="1:14" s="147" customFormat="1" x14ac:dyDescent="0.2">
      <c r="A907" s="138"/>
      <c r="B907" s="124"/>
      <c r="C907" s="169"/>
      <c r="D907" s="157"/>
      <c r="E907" s="135"/>
      <c r="F907" s="133"/>
      <c r="G907" s="158"/>
      <c r="H907" s="135"/>
      <c r="I907" s="135"/>
      <c r="J907" s="144"/>
      <c r="K907" s="159">
        <v>0.23400000000000001</v>
      </c>
      <c r="L907" s="167">
        <f t="shared" si="22"/>
        <v>1.4842</v>
      </c>
    </row>
    <row r="908" spans="1:14" s="147" customFormat="1" x14ac:dyDescent="0.2">
      <c r="A908" s="138"/>
      <c r="B908" s="124"/>
      <c r="C908" s="169"/>
      <c r="D908" s="157"/>
      <c r="E908" s="653" t="str">
        <f>E898</f>
        <v>Custo Direto</v>
      </c>
      <c r="F908" s="653"/>
      <c r="G908" s="653"/>
      <c r="H908" s="172">
        <f>SUM(H904:H907)</f>
        <v>0.64655999999999991</v>
      </c>
      <c r="I908" s="172">
        <f>SUM(I904:I907)</f>
        <v>12.77</v>
      </c>
      <c r="J908" s="144"/>
      <c r="K908" s="159">
        <v>0.23400000000000001</v>
      </c>
      <c r="L908" s="167">
        <f t="shared" si="22"/>
        <v>1.4842</v>
      </c>
    </row>
    <row r="909" spans="1:14" s="147" customFormat="1" x14ac:dyDescent="0.2">
      <c r="A909" s="138"/>
      <c r="B909" s="124"/>
      <c r="C909" s="169"/>
      <c r="D909" s="157"/>
      <c r="E909" s="653" t="str">
        <f>E899</f>
        <v>LS(%): 148,42</v>
      </c>
      <c r="F909" s="653"/>
      <c r="G909" s="653"/>
      <c r="H909" s="135">
        <f>SUM(H908)*L909</f>
        <v>0.95962435199999985</v>
      </c>
      <c r="I909" s="141"/>
      <c r="J909" s="144"/>
      <c r="K909" s="159">
        <v>0.23400000000000001</v>
      </c>
      <c r="L909" s="167">
        <f t="shared" si="22"/>
        <v>1.4842</v>
      </c>
    </row>
    <row r="910" spans="1:14" s="147" customFormat="1" x14ac:dyDescent="0.2">
      <c r="A910" s="138"/>
      <c r="B910" s="124"/>
      <c r="C910" s="169"/>
      <c r="D910" s="157"/>
      <c r="E910" s="653" t="str">
        <f>E900</f>
        <v>BDI (%): 23,40</v>
      </c>
      <c r="F910" s="653"/>
      <c r="G910" s="653"/>
      <c r="H910" s="654">
        <f>(H908+I908+H909)*K910</f>
        <v>3.3640271383679998</v>
      </c>
      <c r="I910" s="654"/>
      <c r="J910" s="144"/>
      <c r="K910" s="159">
        <v>0.23400000000000001</v>
      </c>
      <c r="L910" s="167">
        <f t="shared" si="22"/>
        <v>1.4842</v>
      </c>
    </row>
    <row r="911" spans="1:14" s="147" customFormat="1" x14ac:dyDescent="0.2">
      <c r="A911" s="138"/>
      <c r="B911" s="124"/>
      <c r="C911" s="169"/>
      <c r="D911" s="157"/>
      <c r="E911" s="653" t="str">
        <f>E901</f>
        <v>Valor Total c/ Taxas</v>
      </c>
      <c r="F911" s="653"/>
      <c r="G911" s="653"/>
      <c r="H911" s="135"/>
      <c r="I911" s="172">
        <f>(H908+I908+H909+H910)</f>
        <v>17.740211490367997</v>
      </c>
      <c r="J911" s="144"/>
      <c r="K911" s="159">
        <v>0.23400000000000001</v>
      </c>
      <c r="L911" s="167">
        <f t="shared" si="22"/>
        <v>1.4842</v>
      </c>
      <c r="N911" s="531">
        <v>17.74492</v>
      </c>
    </row>
    <row r="912" spans="1:14" s="147" customFormat="1" x14ac:dyDescent="0.2">
      <c r="A912" s="138"/>
      <c r="B912" s="124"/>
      <c r="C912" s="169"/>
      <c r="D912" s="157"/>
      <c r="E912" s="135"/>
      <c r="F912" s="133"/>
      <c r="G912" s="158"/>
      <c r="H912" s="135"/>
      <c r="I912" s="135"/>
      <c r="J912" s="144"/>
      <c r="K912" s="159">
        <v>0.23400000000000001</v>
      </c>
      <c r="L912" s="167">
        <f t="shared" si="22"/>
        <v>1.4842</v>
      </c>
    </row>
    <row r="913" spans="1:14" s="147" customFormat="1" x14ac:dyDescent="0.2">
      <c r="A913" s="235"/>
      <c r="B913" s="201" t="str">
        <f>'Planilha Orçamentaria'!A143</f>
        <v>19.1</v>
      </c>
      <c r="C913" s="570" t="str">
        <f>'Planilha Orçamentaria'!C143</f>
        <v>Extintor de incêndio (pó químico) - 12 kg</v>
      </c>
      <c r="D913" s="571" t="str">
        <f>'Planilha Orçamentaria'!D143</f>
        <v>UN</v>
      </c>
      <c r="E913" s="135"/>
      <c r="F913" s="133"/>
      <c r="G913" s="158"/>
      <c r="H913" s="135"/>
      <c r="I913" s="135"/>
      <c r="J913" s="144"/>
      <c r="K913" s="159">
        <v>0.23400000000000001</v>
      </c>
      <c r="L913" s="167">
        <f t="shared" si="22"/>
        <v>1.4842</v>
      </c>
    </row>
    <row r="914" spans="1:14" s="147" customFormat="1" x14ac:dyDescent="0.2">
      <c r="A914" s="138"/>
      <c r="B914" s="569"/>
      <c r="C914" s="169" t="str">
        <f>C913</f>
        <v>Extintor de incêndio (pó químico) - 12 kg</v>
      </c>
      <c r="D914" s="157" t="str">
        <f>D913</f>
        <v>UN</v>
      </c>
      <c r="E914" s="135">
        <f>122.508*N11</f>
        <v>122.508</v>
      </c>
      <c r="F914" s="133">
        <v>8.06</v>
      </c>
      <c r="G914" s="158">
        <v>2.5</v>
      </c>
      <c r="H914" s="135"/>
      <c r="I914" s="135">
        <f>E914*G914</f>
        <v>306.27</v>
      </c>
      <c r="J914" s="144"/>
      <c r="K914" s="159">
        <v>0.23400000000000001</v>
      </c>
      <c r="L914" s="167">
        <f t="shared" si="22"/>
        <v>1.4842</v>
      </c>
    </row>
    <row r="915" spans="1:14" s="147" customFormat="1" x14ac:dyDescent="0.2">
      <c r="A915" s="138"/>
      <c r="B915" s="124"/>
      <c r="C915" s="169" t="s">
        <v>433</v>
      </c>
      <c r="D915" s="157" t="s">
        <v>425</v>
      </c>
      <c r="E915" s="135">
        <f>5.21*N11</f>
        <v>5.21</v>
      </c>
      <c r="F915" s="233"/>
      <c r="G915" s="158">
        <v>1.8</v>
      </c>
      <c r="H915" s="135">
        <f>E915*G915</f>
        <v>9.3780000000000001</v>
      </c>
      <c r="I915" s="187"/>
      <c r="J915" s="144"/>
      <c r="K915" s="159">
        <v>0.23400000000000001</v>
      </c>
      <c r="L915" s="167">
        <f t="shared" si="22"/>
        <v>1.4842</v>
      </c>
    </row>
    <row r="916" spans="1:14" s="147" customFormat="1" x14ac:dyDescent="0.2">
      <c r="A916" s="138"/>
      <c r="B916" s="124"/>
      <c r="C916" s="169" t="s">
        <v>434</v>
      </c>
      <c r="D916" s="157" t="s">
        <v>425</v>
      </c>
      <c r="E916" s="135">
        <f>3.77*N11</f>
        <v>3.77</v>
      </c>
      <c r="F916" s="233"/>
      <c r="G916" s="158">
        <v>1</v>
      </c>
      <c r="H916" s="135">
        <f>E916*G916</f>
        <v>3.77</v>
      </c>
      <c r="I916" s="187"/>
      <c r="J916" s="144"/>
      <c r="K916" s="159">
        <v>0.23400000000000001</v>
      </c>
      <c r="L916" s="167">
        <f t="shared" si="22"/>
        <v>1.4842</v>
      </c>
    </row>
    <row r="917" spans="1:14" s="147" customFormat="1" x14ac:dyDescent="0.2">
      <c r="A917" s="138"/>
      <c r="B917" s="124"/>
      <c r="C917" s="169"/>
      <c r="D917" s="157"/>
      <c r="E917" s="135"/>
      <c r="F917" s="133"/>
      <c r="G917" s="158"/>
      <c r="H917" s="135"/>
      <c r="I917" s="135"/>
      <c r="J917" s="144"/>
      <c r="K917" s="159">
        <v>0.23400000000000001</v>
      </c>
      <c r="L917" s="167">
        <f t="shared" si="22"/>
        <v>1.4842</v>
      </c>
    </row>
    <row r="918" spans="1:14" s="147" customFormat="1" x14ac:dyDescent="0.2">
      <c r="A918" s="138"/>
      <c r="B918" s="124"/>
      <c r="C918" s="169"/>
      <c r="D918" s="157"/>
      <c r="E918" s="653" t="str">
        <f>E908</f>
        <v>Custo Direto</v>
      </c>
      <c r="F918" s="653"/>
      <c r="G918" s="653"/>
      <c r="H918" s="172">
        <f>SUM(H914:H917)</f>
        <v>13.148</v>
      </c>
      <c r="I918" s="172">
        <f>SUM(I914:I917)</f>
        <v>306.27</v>
      </c>
      <c r="J918" s="144"/>
      <c r="K918" s="159">
        <v>0.23400000000000001</v>
      </c>
      <c r="L918" s="167">
        <f t="shared" si="22"/>
        <v>1.4842</v>
      </c>
    </row>
    <row r="919" spans="1:14" s="147" customFormat="1" x14ac:dyDescent="0.2">
      <c r="A919" s="138"/>
      <c r="B919" s="124"/>
      <c r="C919" s="169"/>
      <c r="D919" s="157"/>
      <c r="E919" s="653" t="str">
        <f>E909</f>
        <v>LS(%): 148,42</v>
      </c>
      <c r="F919" s="653"/>
      <c r="G919" s="653"/>
      <c r="H919" s="135">
        <f>SUM(H918)*L919</f>
        <v>19.514261599999998</v>
      </c>
      <c r="I919" s="141"/>
      <c r="J919" s="144"/>
      <c r="K919" s="159">
        <v>0.23400000000000001</v>
      </c>
      <c r="L919" s="167">
        <f t="shared" si="22"/>
        <v>1.4842</v>
      </c>
    </row>
    <row r="920" spans="1:14" s="147" customFormat="1" x14ac:dyDescent="0.2">
      <c r="A920" s="138"/>
      <c r="B920" s="124"/>
      <c r="C920" s="169"/>
      <c r="D920" s="157"/>
      <c r="E920" s="653" t="str">
        <f>E910</f>
        <v>BDI (%): 23,40</v>
      </c>
      <c r="F920" s="653"/>
      <c r="G920" s="653"/>
      <c r="H920" s="654">
        <f>(H918+I918+H919)*K920</f>
        <v>79.310149214399999</v>
      </c>
      <c r="I920" s="654"/>
      <c r="J920" s="144"/>
      <c r="K920" s="159">
        <v>0.23400000000000001</v>
      </c>
      <c r="L920" s="167">
        <f t="shared" si="22"/>
        <v>1.4842</v>
      </c>
    </row>
    <row r="921" spans="1:14" s="147" customFormat="1" x14ac:dyDescent="0.2">
      <c r="A921" s="138"/>
      <c r="B921" s="124"/>
      <c r="C921" s="169"/>
      <c r="D921" s="157"/>
      <c r="E921" s="653" t="str">
        <f>E911</f>
        <v>Valor Total c/ Taxas</v>
      </c>
      <c r="F921" s="653"/>
      <c r="G921" s="653"/>
      <c r="H921" s="135"/>
      <c r="I921" s="172">
        <f>(H918+I918+H919+H920)</f>
        <v>418.24241081439999</v>
      </c>
      <c r="J921" s="144"/>
      <c r="K921" s="159">
        <v>0.23400000000000001</v>
      </c>
      <c r="L921" s="167">
        <f t="shared" si="22"/>
        <v>1.4842</v>
      </c>
      <c r="N921" s="531">
        <v>418.24241081439999</v>
      </c>
    </row>
    <row r="922" spans="1:14" s="147" customFormat="1" x14ac:dyDescent="0.2">
      <c r="A922" s="138"/>
      <c r="B922" s="124"/>
      <c r="C922" s="169"/>
      <c r="D922" s="157"/>
      <c r="E922" s="135"/>
      <c r="F922" s="133"/>
      <c r="G922" s="158"/>
      <c r="H922" s="135"/>
      <c r="I922" s="135"/>
      <c r="J922" s="144"/>
      <c r="K922" s="159">
        <v>0.23400000000000001</v>
      </c>
      <c r="L922" s="167">
        <f t="shared" si="22"/>
        <v>1.4842</v>
      </c>
    </row>
    <row r="923" spans="1:14" s="147" customFormat="1" x14ac:dyDescent="0.2">
      <c r="A923" s="235"/>
      <c r="B923" s="201" t="str">
        <f>'Planilha Orçamentaria'!A144</f>
        <v>19.2</v>
      </c>
      <c r="C923" s="570" t="str">
        <f>'Planilha Orçamentaria'!C144</f>
        <v>Extintor de incêndio ABC - 12Kg</v>
      </c>
      <c r="D923" s="571" t="str">
        <f>'Planilha Orçamentaria'!D144</f>
        <v>UN</v>
      </c>
      <c r="E923" s="135"/>
      <c r="F923" s="133"/>
      <c r="G923" s="158"/>
      <c r="H923" s="135"/>
      <c r="I923" s="135"/>
      <c r="J923" s="144"/>
      <c r="K923" s="159">
        <v>0.23400000000000001</v>
      </c>
      <c r="L923" s="167">
        <f t="shared" si="22"/>
        <v>1.4842</v>
      </c>
    </row>
    <row r="924" spans="1:14" s="147" customFormat="1" x14ac:dyDescent="0.2">
      <c r="A924" s="138"/>
      <c r="B924" s="569"/>
      <c r="C924" s="169" t="str">
        <f>C923</f>
        <v>Extintor de incêndio ABC - 12Kg</v>
      </c>
      <c r="D924" s="157" t="s">
        <v>435</v>
      </c>
      <c r="E924" s="135">
        <f>193.162*N11</f>
        <v>193.16200000000001</v>
      </c>
      <c r="F924" s="133">
        <v>48</v>
      </c>
      <c r="G924" s="158">
        <v>1.5</v>
      </c>
      <c r="H924" s="135"/>
      <c r="I924" s="135">
        <f>E924*G924</f>
        <v>289.74299999999999</v>
      </c>
      <c r="J924" s="144"/>
      <c r="K924" s="159">
        <v>0.23400000000000001</v>
      </c>
      <c r="L924" s="167">
        <f t="shared" ref="L924:L932" si="23">L923</f>
        <v>1.4842</v>
      </c>
    </row>
    <row r="925" spans="1:14" s="147" customFormat="1" x14ac:dyDescent="0.2">
      <c r="A925" s="138"/>
      <c r="B925" s="124"/>
      <c r="C925" s="169" t="s">
        <v>433</v>
      </c>
      <c r="D925" s="157" t="s">
        <v>425</v>
      </c>
      <c r="E925" s="135">
        <f>5.21*N11</f>
        <v>5.21</v>
      </c>
      <c r="F925" s="233"/>
      <c r="G925" s="158">
        <v>0.86</v>
      </c>
      <c r="H925" s="135">
        <f>E925*G925</f>
        <v>4.4805999999999999</v>
      </c>
      <c r="I925" s="187"/>
      <c r="J925" s="144"/>
      <c r="K925" s="159">
        <v>0.23400000000000001</v>
      </c>
      <c r="L925" s="167">
        <f t="shared" si="23"/>
        <v>1.4842</v>
      </c>
    </row>
    <row r="926" spans="1:14" s="147" customFormat="1" x14ac:dyDescent="0.2">
      <c r="A926" s="138"/>
      <c r="B926" s="124"/>
      <c r="C926" s="169" t="s">
        <v>434</v>
      </c>
      <c r="D926" s="157" t="s">
        <v>425</v>
      </c>
      <c r="E926" s="135">
        <f>3.77*N11</f>
        <v>3.77</v>
      </c>
      <c r="F926" s="233"/>
      <c r="G926" s="158">
        <v>0.86</v>
      </c>
      <c r="H926" s="135">
        <f>E926*G926</f>
        <v>3.2422</v>
      </c>
      <c r="I926" s="187"/>
      <c r="J926" s="144"/>
      <c r="K926" s="159">
        <v>0.23400000000000001</v>
      </c>
      <c r="L926" s="167">
        <f t="shared" si="23"/>
        <v>1.4842</v>
      </c>
    </row>
    <row r="927" spans="1:14" s="147" customFormat="1" x14ac:dyDescent="0.2">
      <c r="A927" s="138"/>
      <c r="B927" s="124"/>
      <c r="C927" s="169"/>
      <c r="D927" s="157"/>
      <c r="E927" s="135"/>
      <c r="F927" s="133"/>
      <c r="G927" s="158"/>
      <c r="H927" s="135"/>
      <c r="I927" s="135"/>
      <c r="J927" s="144"/>
      <c r="K927" s="159">
        <v>0.23400000000000001</v>
      </c>
      <c r="L927" s="167">
        <f t="shared" si="23"/>
        <v>1.4842</v>
      </c>
    </row>
    <row r="928" spans="1:14" s="147" customFormat="1" x14ac:dyDescent="0.2">
      <c r="A928" s="138"/>
      <c r="B928" s="124"/>
      <c r="C928" s="169"/>
      <c r="D928" s="157"/>
      <c r="E928" s="653" t="str">
        <f>E918</f>
        <v>Custo Direto</v>
      </c>
      <c r="F928" s="653"/>
      <c r="G928" s="653"/>
      <c r="H928" s="172">
        <f>SUM(H924:H927)</f>
        <v>7.7227999999999994</v>
      </c>
      <c r="I928" s="172">
        <f>SUM(I924:I927)</f>
        <v>289.74299999999999</v>
      </c>
      <c r="J928" s="144"/>
      <c r="K928" s="159">
        <v>0.23400000000000001</v>
      </c>
      <c r="L928" s="167">
        <f t="shared" si="23"/>
        <v>1.4842</v>
      </c>
    </row>
    <row r="929" spans="1:14" s="147" customFormat="1" x14ac:dyDescent="0.2">
      <c r="A929" s="138"/>
      <c r="B929" s="124"/>
      <c r="C929" s="169"/>
      <c r="D929" s="157"/>
      <c r="E929" s="653" t="str">
        <f>E919</f>
        <v>LS(%): 148,42</v>
      </c>
      <c r="F929" s="653"/>
      <c r="G929" s="653"/>
      <c r="H929" s="135">
        <f>SUM(H925:H927)*L929</f>
        <v>11.46217976</v>
      </c>
      <c r="I929" s="141"/>
      <c r="J929" s="144"/>
      <c r="K929" s="159">
        <v>0.23400000000000001</v>
      </c>
      <c r="L929" s="167">
        <f t="shared" si="23"/>
        <v>1.4842</v>
      </c>
    </row>
    <row r="930" spans="1:14" s="147" customFormat="1" x14ac:dyDescent="0.2">
      <c r="A930" s="138"/>
      <c r="B930" s="124"/>
      <c r="C930" s="169"/>
      <c r="D930" s="157"/>
      <c r="E930" s="653" t="str">
        <f>E920</f>
        <v>BDI (%): 23,40</v>
      </c>
      <c r="F930" s="653"/>
      <c r="G930" s="653"/>
      <c r="H930" s="654">
        <f>(H928+I928+H929)*K930</f>
        <v>72.289147263840007</v>
      </c>
      <c r="I930" s="654"/>
      <c r="J930" s="144"/>
      <c r="K930" s="159">
        <v>0.23400000000000001</v>
      </c>
      <c r="L930" s="167">
        <f t="shared" si="23"/>
        <v>1.4842</v>
      </c>
    </row>
    <row r="931" spans="1:14" s="147" customFormat="1" x14ac:dyDescent="0.2">
      <c r="A931" s="138"/>
      <c r="B931" s="124"/>
      <c r="C931" s="169"/>
      <c r="D931" s="157"/>
      <c r="E931" s="653" t="str">
        <f>E921</f>
        <v>Valor Total c/ Taxas</v>
      </c>
      <c r="F931" s="653"/>
      <c r="G931" s="653"/>
      <c r="H931" s="135"/>
      <c r="I931" s="172">
        <f>(H928+I928+H929+H930)</f>
        <v>381.21712702384002</v>
      </c>
      <c r="J931" s="144"/>
      <c r="K931" s="159">
        <v>0.23400000000000001</v>
      </c>
      <c r="L931" s="167">
        <f t="shared" si="23"/>
        <v>1.4842</v>
      </c>
      <c r="N931" s="531">
        <v>381.21712702384002</v>
      </c>
    </row>
    <row r="932" spans="1:14" s="147" customFormat="1" x14ac:dyDescent="0.2">
      <c r="A932" s="138"/>
      <c r="B932" s="124"/>
      <c r="C932" s="169"/>
      <c r="D932" s="157"/>
      <c r="E932" s="135"/>
      <c r="F932" s="133"/>
      <c r="G932" s="158"/>
      <c r="H932" s="135"/>
      <c r="I932" s="135"/>
      <c r="J932" s="144"/>
      <c r="K932" s="159">
        <v>0.23400000000000001</v>
      </c>
      <c r="L932" s="167">
        <f t="shared" si="23"/>
        <v>1.4842</v>
      </c>
    </row>
    <row r="933" spans="1:14" s="147" customFormat="1" x14ac:dyDescent="0.2">
      <c r="A933" s="235"/>
      <c r="B933" s="201" t="str">
        <f>'Planilha Orçamentaria'!A145</f>
        <v>19.3</v>
      </c>
      <c r="C933" s="570" t="str">
        <f>'Planilha Orçamentaria'!C145</f>
        <v>Extintor de incendio CO2-6kg</v>
      </c>
      <c r="D933" s="571" t="str">
        <f>'Planilha Orçamentaria'!D145</f>
        <v>UN</v>
      </c>
      <c r="E933" s="135"/>
      <c r="F933" s="133"/>
      <c r="G933" s="158"/>
      <c r="H933" s="135"/>
      <c r="I933" s="135"/>
      <c r="J933" s="144"/>
      <c r="K933" s="159">
        <v>0.23400000000000001</v>
      </c>
      <c r="L933" s="167">
        <f t="shared" ref="L933:L952" si="24">L932</f>
        <v>1.4842</v>
      </c>
    </row>
    <row r="934" spans="1:14" s="147" customFormat="1" x14ac:dyDescent="0.2">
      <c r="A934" s="138"/>
      <c r="B934" s="569"/>
      <c r="C934" s="169" t="str">
        <f>C933</f>
        <v>Extintor de incendio CO2-6kg</v>
      </c>
      <c r="D934" s="157" t="s">
        <v>435</v>
      </c>
      <c r="E934" s="135">
        <f>150.792*N11</f>
        <v>150.792</v>
      </c>
      <c r="F934" s="133">
        <v>0.53</v>
      </c>
      <c r="G934" s="158">
        <v>2.5</v>
      </c>
      <c r="H934" s="135"/>
      <c r="I934" s="135">
        <f>E934*G934</f>
        <v>376.98</v>
      </c>
      <c r="J934" s="144"/>
      <c r="K934" s="159">
        <v>0.23400000000000001</v>
      </c>
      <c r="L934" s="167">
        <f t="shared" si="24"/>
        <v>1.4842</v>
      </c>
    </row>
    <row r="935" spans="1:14" s="147" customFormat="1" x14ac:dyDescent="0.2">
      <c r="A935" s="138"/>
      <c r="B935" s="124"/>
      <c r="C935" s="169" t="s">
        <v>433</v>
      </c>
      <c r="D935" s="157" t="s">
        <v>425</v>
      </c>
      <c r="E935" s="135">
        <f>5.21*N11</f>
        <v>5.21</v>
      </c>
      <c r="F935" s="233"/>
      <c r="G935" s="158">
        <v>1.6</v>
      </c>
      <c r="H935" s="135">
        <f>E935*G935</f>
        <v>8.3360000000000003</v>
      </c>
      <c r="I935" s="187"/>
      <c r="J935" s="144"/>
      <c r="K935" s="159">
        <v>0.23400000000000001</v>
      </c>
      <c r="L935" s="167">
        <f t="shared" si="24"/>
        <v>1.4842</v>
      </c>
    </row>
    <row r="936" spans="1:14" s="147" customFormat="1" x14ac:dyDescent="0.2">
      <c r="A936" s="138"/>
      <c r="B936" s="124"/>
      <c r="C936" s="169" t="s">
        <v>434</v>
      </c>
      <c r="D936" s="157" t="s">
        <v>425</v>
      </c>
      <c r="E936" s="135">
        <f>3.77*N11</f>
        <v>3.77</v>
      </c>
      <c r="F936" s="233"/>
      <c r="G936" s="158">
        <v>1.2</v>
      </c>
      <c r="H936" s="135">
        <f>E936*G936</f>
        <v>4.524</v>
      </c>
      <c r="I936" s="187"/>
      <c r="J936" s="144"/>
      <c r="K936" s="159">
        <v>0.23400000000000001</v>
      </c>
      <c r="L936" s="167">
        <f t="shared" si="24"/>
        <v>1.4842</v>
      </c>
    </row>
    <row r="937" spans="1:14" s="147" customFormat="1" x14ac:dyDescent="0.2">
      <c r="A937" s="138"/>
      <c r="B937" s="124"/>
      <c r="C937" s="169"/>
      <c r="D937" s="157"/>
      <c r="E937" s="135"/>
      <c r="F937" s="133"/>
      <c r="G937" s="158"/>
      <c r="H937" s="135"/>
      <c r="I937" s="135"/>
      <c r="J937" s="144"/>
      <c r="K937" s="159">
        <v>0.23400000000000001</v>
      </c>
      <c r="L937" s="167">
        <f t="shared" si="24"/>
        <v>1.4842</v>
      </c>
    </row>
    <row r="938" spans="1:14" s="147" customFormat="1" x14ac:dyDescent="0.2">
      <c r="A938" s="138"/>
      <c r="B938" s="124"/>
      <c r="C938" s="169"/>
      <c r="D938" s="157"/>
      <c r="E938" s="653" t="str">
        <f>E908</f>
        <v>Custo Direto</v>
      </c>
      <c r="F938" s="653"/>
      <c r="G938" s="653"/>
      <c r="H938" s="172">
        <f>SUM(H934:H937)</f>
        <v>12.86</v>
      </c>
      <c r="I938" s="172">
        <f>SUM(I934:I937)</f>
        <v>376.98</v>
      </c>
      <c r="J938" s="144"/>
      <c r="K938" s="159">
        <v>0.23400000000000001</v>
      </c>
      <c r="L938" s="167">
        <f t="shared" si="24"/>
        <v>1.4842</v>
      </c>
    </row>
    <row r="939" spans="1:14" s="147" customFormat="1" x14ac:dyDescent="0.2">
      <c r="A939" s="138"/>
      <c r="B939" s="124"/>
      <c r="C939" s="169"/>
      <c r="D939" s="157"/>
      <c r="E939" s="653" t="str">
        <f>E909</f>
        <v>LS(%): 148,42</v>
      </c>
      <c r="F939" s="653"/>
      <c r="G939" s="653"/>
      <c r="H939" s="135">
        <f>SUM(H938)*L939</f>
        <v>19.086811999999998</v>
      </c>
      <c r="I939" s="141"/>
      <c r="J939" s="144"/>
      <c r="K939" s="159">
        <v>0.23400000000000001</v>
      </c>
      <c r="L939" s="167">
        <f t="shared" si="24"/>
        <v>1.4842</v>
      </c>
    </row>
    <row r="940" spans="1:14" s="147" customFormat="1" x14ac:dyDescent="0.2">
      <c r="A940" s="138"/>
      <c r="B940" s="124"/>
      <c r="C940" s="169"/>
      <c r="D940" s="157"/>
      <c r="E940" s="653" t="str">
        <f>E910</f>
        <v>BDI (%): 23,40</v>
      </c>
      <c r="F940" s="653"/>
      <c r="G940" s="653"/>
      <c r="H940" s="654">
        <f>(H938+I938+H939)*K940</f>
        <v>95.688874008000013</v>
      </c>
      <c r="I940" s="654"/>
      <c r="J940" s="144"/>
      <c r="K940" s="159">
        <v>0.23400000000000001</v>
      </c>
      <c r="L940" s="167">
        <f t="shared" si="24"/>
        <v>1.4842</v>
      </c>
    </row>
    <row r="941" spans="1:14" s="147" customFormat="1" x14ac:dyDescent="0.2">
      <c r="A941" s="138"/>
      <c r="B941" s="124"/>
      <c r="C941" s="169"/>
      <c r="D941" s="157"/>
      <c r="E941" s="653" t="str">
        <f>E911</f>
        <v>Valor Total c/ Taxas</v>
      </c>
      <c r="F941" s="653"/>
      <c r="G941" s="653"/>
      <c r="H941" s="135"/>
      <c r="I941" s="172">
        <f>(H938+I938+H939+H940)</f>
        <v>504.61568600800007</v>
      </c>
      <c r="J941" s="144"/>
      <c r="K941" s="159">
        <v>0.23400000000000001</v>
      </c>
      <c r="L941" s="167">
        <f t="shared" si="24"/>
        <v>1.4842</v>
      </c>
      <c r="N941" s="531">
        <v>504.61568600800007</v>
      </c>
    </row>
    <row r="942" spans="1:14" s="147" customFormat="1" x14ac:dyDescent="0.2">
      <c r="A942" s="138"/>
      <c r="B942" s="124"/>
      <c r="C942" s="169"/>
      <c r="D942" s="157"/>
      <c r="E942" s="135"/>
      <c r="F942" s="133"/>
      <c r="G942" s="158"/>
      <c r="H942" s="135"/>
      <c r="I942" s="135"/>
      <c r="J942" s="144"/>
      <c r="K942" s="159">
        <v>0.23400000000000001</v>
      </c>
      <c r="L942" s="167">
        <f t="shared" si="24"/>
        <v>1.4842</v>
      </c>
    </row>
    <row r="943" spans="1:14" s="147" customFormat="1" x14ac:dyDescent="0.2">
      <c r="A943" s="235"/>
      <c r="B943" s="201" t="str">
        <f>'Planilha Orçamentaria'!A148</f>
        <v>20.1</v>
      </c>
      <c r="C943" s="570" t="str">
        <f>'Planilha Orçamentaria'!C148</f>
        <v>Bacia sifonada  - PNE</v>
      </c>
      <c r="D943" s="571" t="str">
        <f>'Planilha Orçamentaria'!D148</f>
        <v>UN</v>
      </c>
      <c r="E943" s="135"/>
      <c r="F943" s="133"/>
      <c r="G943" s="158"/>
      <c r="H943" s="135"/>
      <c r="I943" s="135"/>
      <c r="J943" s="144"/>
      <c r="K943" s="159">
        <v>0.23400000000000001</v>
      </c>
      <c r="L943" s="167">
        <f t="shared" si="24"/>
        <v>1.4842</v>
      </c>
    </row>
    <row r="944" spans="1:14" s="147" customFormat="1" x14ac:dyDescent="0.2">
      <c r="A944" s="138"/>
      <c r="B944" s="569"/>
      <c r="C944" s="169" t="str">
        <f>C943</f>
        <v>Bacia sifonada  - PNE</v>
      </c>
      <c r="D944" s="157" t="str">
        <f>D943</f>
        <v>UN</v>
      </c>
      <c r="E944" s="135">
        <f>250.072*N11</f>
        <v>250.072</v>
      </c>
      <c r="F944" s="133">
        <v>0.6</v>
      </c>
      <c r="G944" s="158">
        <v>2.7</v>
      </c>
      <c r="H944" s="135"/>
      <c r="I944" s="135">
        <f>E944*G944</f>
        <v>675.19440000000009</v>
      </c>
      <c r="J944" s="144"/>
      <c r="K944" s="159">
        <v>0.23400000000000001</v>
      </c>
      <c r="L944" s="167">
        <f t="shared" si="24"/>
        <v>1.4842</v>
      </c>
    </row>
    <row r="945" spans="1:14" s="147" customFormat="1" x14ac:dyDescent="0.2">
      <c r="A945" s="138"/>
      <c r="B945" s="124"/>
      <c r="C945" s="169" t="s">
        <v>433</v>
      </c>
      <c r="D945" s="157" t="s">
        <v>425</v>
      </c>
      <c r="E945" s="135">
        <f>5.21*N11</f>
        <v>5.21</v>
      </c>
      <c r="F945" s="233"/>
      <c r="G945" s="158">
        <v>1.4</v>
      </c>
      <c r="H945" s="135">
        <f>E945*G945</f>
        <v>7.2939999999999996</v>
      </c>
      <c r="I945" s="187"/>
      <c r="J945" s="144"/>
      <c r="K945" s="159">
        <v>0.23400000000000001</v>
      </c>
      <c r="L945" s="167">
        <f t="shared" si="24"/>
        <v>1.4842</v>
      </c>
    </row>
    <row r="946" spans="1:14" s="147" customFormat="1" x14ac:dyDescent="0.2">
      <c r="A946" s="138"/>
      <c r="B946" s="124"/>
      <c r="C946" s="169" t="s">
        <v>434</v>
      </c>
      <c r="D946" s="157" t="s">
        <v>425</v>
      </c>
      <c r="E946" s="135">
        <f>3.77*N11</f>
        <v>3.77</v>
      </c>
      <c r="F946" s="233"/>
      <c r="G946" s="158">
        <v>1</v>
      </c>
      <c r="H946" s="135">
        <f>E946*G946</f>
        <v>3.77</v>
      </c>
      <c r="I946" s="187"/>
      <c r="J946" s="144"/>
      <c r="K946" s="159">
        <v>0.23400000000000001</v>
      </c>
      <c r="L946" s="167">
        <f t="shared" si="24"/>
        <v>1.4842</v>
      </c>
    </row>
    <row r="947" spans="1:14" s="147" customFormat="1" hidden="1" x14ac:dyDescent="0.2">
      <c r="A947" s="138"/>
      <c r="B947" s="124"/>
      <c r="C947" s="169"/>
      <c r="D947" s="157"/>
      <c r="E947" s="135"/>
      <c r="F947" s="133"/>
      <c r="G947" s="158"/>
      <c r="H947" s="135"/>
      <c r="I947" s="135"/>
      <c r="J947" s="144"/>
      <c r="K947" s="159">
        <v>0.23400000000000001</v>
      </c>
      <c r="L947" s="167">
        <f t="shared" si="24"/>
        <v>1.4842</v>
      </c>
    </row>
    <row r="948" spans="1:14" s="147" customFormat="1" x14ac:dyDescent="0.2">
      <c r="A948" s="138"/>
      <c r="B948" s="569"/>
      <c r="C948" s="169"/>
      <c r="D948" s="157"/>
      <c r="E948" s="135"/>
      <c r="F948" s="133"/>
      <c r="G948" s="158"/>
      <c r="H948" s="135"/>
      <c r="I948" s="135"/>
      <c r="J948" s="144"/>
      <c r="K948" s="159">
        <v>0.23400000000000001</v>
      </c>
      <c r="L948" s="167"/>
    </row>
    <row r="949" spans="1:14" s="147" customFormat="1" x14ac:dyDescent="0.2">
      <c r="A949" s="138"/>
      <c r="B949" s="124"/>
      <c r="C949" s="169"/>
      <c r="D949" s="157"/>
      <c r="E949" s="653" t="str">
        <f>E938</f>
        <v>Custo Direto</v>
      </c>
      <c r="F949" s="653"/>
      <c r="G949" s="653"/>
      <c r="H949" s="172">
        <f>SUM(H944:H947)</f>
        <v>11.064</v>
      </c>
      <c r="I949" s="172">
        <f>SUM(I944:I947)</f>
        <v>675.19440000000009</v>
      </c>
      <c r="J949" s="144"/>
      <c r="K949" s="159">
        <v>0.23400000000000001</v>
      </c>
      <c r="L949" s="167">
        <f>L947</f>
        <v>1.4842</v>
      </c>
    </row>
    <row r="950" spans="1:14" s="147" customFormat="1" x14ac:dyDescent="0.2">
      <c r="A950" s="138"/>
      <c r="B950" s="124"/>
      <c r="C950" s="169"/>
      <c r="D950" s="157"/>
      <c r="E950" s="653" t="str">
        <f>E939</f>
        <v>LS(%): 148,42</v>
      </c>
      <c r="F950" s="653"/>
      <c r="G950" s="653"/>
      <c r="H950" s="135">
        <f>SUM(H945:H947)*L950</f>
        <v>16.421188799999999</v>
      </c>
      <c r="I950" s="141"/>
      <c r="J950" s="144"/>
      <c r="K950" s="159">
        <v>0.23400000000000001</v>
      </c>
      <c r="L950" s="167">
        <f t="shared" si="24"/>
        <v>1.4842</v>
      </c>
    </row>
    <row r="951" spans="1:14" s="147" customFormat="1" x14ac:dyDescent="0.2">
      <c r="A951" s="138"/>
      <c r="B951" s="124"/>
      <c r="C951" s="169"/>
      <c r="D951" s="157"/>
      <c r="E951" s="653" t="str">
        <f>E940</f>
        <v>BDI (%): 23,40</v>
      </c>
      <c r="F951" s="653"/>
      <c r="G951" s="653"/>
      <c r="H951" s="654">
        <f>(H949+I949+H950)*K951</f>
        <v>164.42702377920003</v>
      </c>
      <c r="I951" s="654"/>
      <c r="J951" s="144"/>
      <c r="K951" s="159">
        <v>0.23400000000000001</v>
      </c>
      <c r="L951" s="167">
        <f t="shared" si="24"/>
        <v>1.4842</v>
      </c>
    </row>
    <row r="952" spans="1:14" s="147" customFormat="1" x14ac:dyDescent="0.2">
      <c r="A952" s="138"/>
      <c r="B952" s="124"/>
      <c r="C952" s="169"/>
      <c r="D952" s="157"/>
      <c r="E952" s="653" t="str">
        <f>E941</f>
        <v>Valor Total c/ Taxas</v>
      </c>
      <c r="F952" s="653"/>
      <c r="G952" s="653"/>
      <c r="H952" s="135"/>
      <c r="I952" s="172">
        <f>(H949+I949+H950+H951)</f>
        <v>867.10661257920003</v>
      </c>
      <c r="J952" s="144"/>
      <c r="K952" s="159">
        <v>0.23400000000000001</v>
      </c>
      <c r="L952" s="167">
        <f t="shared" si="24"/>
        <v>1.4842</v>
      </c>
      <c r="N952" s="531">
        <v>867.10661257920003</v>
      </c>
    </row>
    <row r="953" spans="1:14" s="147" customFormat="1" x14ac:dyDescent="0.2">
      <c r="A953" s="138"/>
      <c r="B953" s="124"/>
      <c r="C953" s="169"/>
      <c r="D953" s="157"/>
      <c r="E953" s="135"/>
      <c r="F953" s="133"/>
      <c r="G953" s="158"/>
      <c r="H953" s="135"/>
      <c r="I953" s="135"/>
      <c r="J953" s="144"/>
      <c r="K953" s="159">
        <v>0.23400000000000001</v>
      </c>
      <c r="L953" s="167">
        <f>L938</f>
        <v>1.4842</v>
      </c>
    </row>
    <row r="954" spans="1:14" s="147" customFormat="1" x14ac:dyDescent="0.2">
      <c r="A954" s="235"/>
      <c r="B954" s="201" t="str">
        <f>'Planilha Orçamentaria'!A149</f>
        <v>20.2</v>
      </c>
      <c r="C954" s="570" t="str">
        <f>'Planilha Orçamentaria'!C149</f>
        <v>Bacia sifonada c/cx. descarga acoplada c/ assento</v>
      </c>
      <c r="D954" s="571" t="str">
        <f>'Planilha Orçamentaria'!D149</f>
        <v>UN</v>
      </c>
      <c r="E954" s="135"/>
      <c r="F954" s="133"/>
      <c r="G954" s="158"/>
      <c r="H954" s="135"/>
      <c r="I954" s="135"/>
      <c r="J954" s="144"/>
      <c r="K954" s="159">
        <v>0.23400000000000001</v>
      </c>
      <c r="L954" s="167">
        <f t="shared" ref="L954:L997" si="25">L953</f>
        <v>1.4842</v>
      </c>
    </row>
    <row r="955" spans="1:14" s="147" customFormat="1" x14ac:dyDescent="0.2">
      <c r="A955" s="138"/>
      <c r="B955" s="569"/>
      <c r="C955" s="169" t="str">
        <f>C954</f>
        <v>Bacia sifonada c/cx. descarga acoplada c/ assento</v>
      </c>
      <c r="D955" s="157" t="s">
        <v>435</v>
      </c>
      <c r="E955" s="135">
        <f>153.207*N11</f>
        <v>153.20699999999999</v>
      </c>
      <c r="F955" s="133">
        <v>1.75</v>
      </c>
      <c r="G955" s="158">
        <v>2.2999999999999998</v>
      </c>
      <c r="H955" s="135"/>
      <c r="I955" s="135">
        <f>E955*G955</f>
        <v>352.37609999999995</v>
      </c>
      <c r="J955" s="144"/>
      <c r="K955" s="159">
        <v>0.23400000000000001</v>
      </c>
      <c r="L955" s="167">
        <f t="shared" si="25"/>
        <v>1.4842</v>
      </c>
    </row>
    <row r="956" spans="1:14" s="147" customFormat="1" x14ac:dyDescent="0.2">
      <c r="A956" s="138"/>
      <c r="B956" s="124"/>
      <c r="C956" s="169" t="s">
        <v>433</v>
      </c>
      <c r="D956" s="157" t="s">
        <v>425</v>
      </c>
      <c r="E956" s="135">
        <f>5.21*N11</f>
        <v>5.21</v>
      </c>
      <c r="F956" s="233"/>
      <c r="G956" s="158">
        <v>1.2</v>
      </c>
      <c r="H956" s="135">
        <f>E956*G956</f>
        <v>6.2519999999999998</v>
      </c>
      <c r="I956" s="187"/>
      <c r="J956" s="144"/>
      <c r="K956" s="159">
        <v>0.23400000000000001</v>
      </c>
      <c r="L956" s="167">
        <f t="shared" si="25"/>
        <v>1.4842</v>
      </c>
    </row>
    <row r="957" spans="1:14" s="147" customFormat="1" x14ac:dyDescent="0.2">
      <c r="A957" s="138"/>
      <c r="B957" s="124"/>
      <c r="C957" s="169" t="s">
        <v>434</v>
      </c>
      <c r="D957" s="157" t="s">
        <v>425</v>
      </c>
      <c r="E957" s="135">
        <f>3.77*N11</f>
        <v>3.77</v>
      </c>
      <c r="F957" s="233"/>
      <c r="G957" s="158">
        <v>1</v>
      </c>
      <c r="H957" s="135">
        <f>E957*G957</f>
        <v>3.77</v>
      </c>
      <c r="I957" s="187"/>
      <c r="J957" s="144"/>
      <c r="K957" s="159">
        <v>0.23400000000000001</v>
      </c>
      <c r="L957" s="167">
        <f t="shared" si="25"/>
        <v>1.4842</v>
      </c>
    </row>
    <row r="958" spans="1:14" s="147" customFormat="1" hidden="1" x14ac:dyDescent="0.2">
      <c r="A958" s="138"/>
      <c r="B958" s="124"/>
      <c r="C958" s="169"/>
      <c r="D958" s="157"/>
      <c r="E958" s="135"/>
      <c r="F958" s="133"/>
      <c r="G958" s="158"/>
      <c r="H958" s="135"/>
      <c r="I958" s="135"/>
      <c r="J958" s="144"/>
      <c r="K958" s="159">
        <v>0.23400000000000001</v>
      </c>
      <c r="L958" s="167">
        <f t="shared" si="25"/>
        <v>1.4842</v>
      </c>
    </row>
    <row r="959" spans="1:14" s="147" customFormat="1" x14ac:dyDescent="0.2">
      <c r="A959" s="138"/>
      <c r="B959" s="569"/>
      <c r="C959" s="169"/>
      <c r="D959" s="157"/>
      <c r="E959" s="135"/>
      <c r="F959" s="133"/>
      <c r="G959" s="158"/>
      <c r="H959" s="135"/>
      <c r="I959" s="135"/>
      <c r="J959" s="144"/>
      <c r="K959" s="159">
        <v>0.23400000000000001</v>
      </c>
      <c r="L959" s="167">
        <f t="shared" si="25"/>
        <v>1.4842</v>
      </c>
    </row>
    <row r="960" spans="1:14" s="147" customFormat="1" x14ac:dyDescent="0.2">
      <c r="A960" s="138"/>
      <c r="B960" s="124"/>
      <c r="C960" s="169"/>
      <c r="D960" s="157"/>
      <c r="E960" s="653" t="str">
        <f>E949</f>
        <v>Custo Direto</v>
      </c>
      <c r="F960" s="653"/>
      <c r="G960" s="653"/>
      <c r="H960" s="172">
        <f>SUM(H955:H958)</f>
        <v>10.022</v>
      </c>
      <c r="I960" s="172">
        <f>SUM(I955:I958)</f>
        <v>352.37609999999995</v>
      </c>
      <c r="J960" s="144"/>
      <c r="K960" s="159">
        <v>0.23400000000000001</v>
      </c>
      <c r="L960" s="167">
        <f t="shared" si="25"/>
        <v>1.4842</v>
      </c>
    </row>
    <row r="961" spans="1:14" s="147" customFormat="1" x14ac:dyDescent="0.2">
      <c r="A961" s="138"/>
      <c r="B961" s="124"/>
      <c r="C961" s="169"/>
      <c r="D961" s="157"/>
      <c r="E961" s="653" t="str">
        <f>E950</f>
        <v>LS(%): 148,42</v>
      </c>
      <c r="F961" s="653"/>
      <c r="G961" s="653"/>
      <c r="H961" s="135">
        <f>SUM(H956:H958)*L961</f>
        <v>14.8746524</v>
      </c>
      <c r="I961" s="141"/>
      <c r="J961" s="144"/>
      <c r="K961" s="159">
        <v>0.23400000000000001</v>
      </c>
      <c r="L961" s="167">
        <f t="shared" si="25"/>
        <v>1.4842</v>
      </c>
    </row>
    <row r="962" spans="1:14" s="147" customFormat="1" x14ac:dyDescent="0.2">
      <c r="A962" s="138"/>
      <c r="B962" s="124"/>
      <c r="C962" s="169"/>
      <c r="D962" s="157"/>
      <c r="E962" s="653" t="str">
        <f>E951</f>
        <v>BDI (%): 23,40</v>
      </c>
      <c r="F962" s="653"/>
      <c r="G962" s="653"/>
      <c r="H962" s="654">
        <f>(H960+I960+H961)*K962</f>
        <v>88.281824061599991</v>
      </c>
      <c r="I962" s="654"/>
      <c r="J962" s="144"/>
      <c r="K962" s="159">
        <v>0.23400000000000001</v>
      </c>
      <c r="L962" s="167">
        <f t="shared" si="25"/>
        <v>1.4842</v>
      </c>
    </row>
    <row r="963" spans="1:14" s="147" customFormat="1" x14ac:dyDescent="0.2">
      <c r="A963" s="138"/>
      <c r="B963" s="124"/>
      <c r="C963" s="169"/>
      <c r="D963" s="157"/>
      <c r="E963" s="653" t="str">
        <f>E952</f>
        <v>Valor Total c/ Taxas</v>
      </c>
      <c r="F963" s="653"/>
      <c r="G963" s="653"/>
      <c r="H963" s="135"/>
      <c r="I963" s="172">
        <f>(H960+I960+H961+H962)</f>
        <v>465.55457646159994</v>
      </c>
      <c r="J963" s="144"/>
      <c r="K963" s="159">
        <v>0.23400000000000001</v>
      </c>
      <c r="L963" s="167">
        <f t="shared" si="25"/>
        <v>1.4842</v>
      </c>
      <c r="N963" s="531">
        <v>465.55117999999999</v>
      </c>
    </row>
    <row r="964" spans="1:14" s="147" customFormat="1" x14ac:dyDescent="0.2">
      <c r="A964" s="138"/>
      <c r="B964" s="124"/>
      <c r="C964" s="169"/>
      <c r="D964" s="157"/>
      <c r="E964" s="135"/>
      <c r="F964" s="133"/>
      <c r="G964" s="158"/>
      <c r="H964" s="135"/>
      <c r="I964" s="135"/>
      <c r="J964" s="144"/>
      <c r="K964" s="159">
        <v>0.23400000000000001</v>
      </c>
      <c r="L964" s="167">
        <f t="shared" si="25"/>
        <v>1.4842</v>
      </c>
    </row>
    <row r="965" spans="1:14" s="147" customFormat="1" x14ac:dyDescent="0.2">
      <c r="A965" s="235"/>
      <c r="B965" s="201" t="str">
        <f>'Planilha Orçamentaria'!A150</f>
        <v>20.3</v>
      </c>
      <c r="C965" s="570" t="str">
        <f>'Planilha Orçamentaria'!C150</f>
        <v>Barra em aço inox (PNE)</v>
      </c>
      <c r="D965" s="571" t="str">
        <f>'Planilha Orçamentaria'!D150</f>
        <v>M</v>
      </c>
      <c r="E965" s="135"/>
      <c r="F965" s="133"/>
      <c r="G965" s="158"/>
      <c r="H965" s="135"/>
      <c r="I965" s="135"/>
      <c r="J965" s="144"/>
      <c r="K965" s="159">
        <v>0.23400000000000001</v>
      </c>
      <c r="L965" s="167">
        <f t="shared" si="25"/>
        <v>1.4842</v>
      </c>
    </row>
    <row r="966" spans="1:14" s="147" customFormat="1" x14ac:dyDescent="0.2">
      <c r="A966" s="138"/>
      <c r="B966" s="569"/>
      <c r="C966" s="169" t="str">
        <f>C965</f>
        <v>Barra em aço inox (PNE)</v>
      </c>
      <c r="D966" s="157" t="str">
        <f>D965</f>
        <v>M</v>
      </c>
      <c r="E966" s="135">
        <f>127.632*N11</f>
        <v>127.63200000000001</v>
      </c>
      <c r="F966" s="133">
        <v>2.5299999999999998</v>
      </c>
      <c r="G966" s="158">
        <v>1.4</v>
      </c>
      <c r="H966" s="135"/>
      <c r="I966" s="135">
        <f>E966*G966</f>
        <v>178.6848</v>
      </c>
      <c r="J966" s="144"/>
      <c r="K966" s="159">
        <v>0.23400000000000001</v>
      </c>
      <c r="L966" s="167">
        <f t="shared" si="25"/>
        <v>1.4842</v>
      </c>
    </row>
    <row r="967" spans="1:14" s="147" customFormat="1" x14ac:dyDescent="0.2">
      <c r="A967" s="138"/>
      <c r="B967" s="124"/>
      <c r="C967" s="169" t="s">
        <v>433</v>
      </c>
      <c r="D967" s="157" t="s">
        <v>425</v>
      </c>
      <c r="E967" s="135">
        <f>5.21*N11</f>
        <v>5.21</v>
      </c>
      <c r="F967" s="233"/>
      <c r="G967" s="158">
        <v>1</v>
      </c>
      <c r="H967" s="135">
        <f>E967*G967</f>
        <v>5.21</v>
      </c>
      <c r="I967" s="187"/>
      <c r="J967" s="144"/>
      <c r="K967" s="159">
        <v>0.23400000000000001</v>
      </c>
      <c r="L967" s="167">
        <f t="shared" si="25"/>
        <v>1.4842</v>
      </c>
    </row>
    <row r="968" spans="1:14" s="147" customFormat="1" x14ac:dyDescent="0.2">
      <c r="A968" s="138"/>
      <c r="B968" s="124"/>
      <c r="C968" s="169" t="s">
        <v>434</v>
      </c>
      <c r="D968" s="157" t="s">
        <v>425</v>
      </c>
      <c r="E968" s="135">
        <f>3.77*N11</f>
        <v>3.77</v>
      </c>
      <c r="F968" s="233"/>
      <c r="G968" s="158">
        <v>1</v>
      </c>
      <c r="H968" s="135">
        <f>E968*G968</f>
        <v>3.77</v>
      </c>
      <c r="I968" s="187"/>
      <c r="J968" s="144"/>
      <c r="K968" s="159">
        <v>0.23400000000000001</v>
      </c>
      <c r="L968" s="167">
        <f t="shared" si="25"/>
        <v>1.4842</v>
      </c>
    </row>
    <row r="969" spans="1:14" s="147" customFormat="1" hidden="1" x14ac:dyDescent="0.2">
      <c r="A969" s="138"/>
      <c r="B969" s="124"/>
      <c r="C969" s="169"/>
      <c r="D969" s="157"/>
      <c r="E969" s="135"/>
      <c r="F969" s="133"/>
      <c r="G969" s="158"/>
      <c r="H969" s="135"/>
      <c r="I969" s="135"/>
      <c r="J969" s="144"/>
      <c r="K969" s="159">
        <v>0.23400000000000001</v>
      </c>
      <c r="L969" s="167">
        <f t="shared" si="25"/>
        <v>1.4842</v>
      </c>
    </row>
    <row r="970" spans="1:14" s="147" customFormat="1" x14ac:dyDescent="0.2">
      <c r="A970" s="138"/>
      <c r="B970" s="569"/>
      <c r="C970" s="169"/>
      <c r="D970" s="157"/>
      <c r="E970" s="135"/>
      <c r="F970" s="133"/>
      <c r="G970" s="158"/>
      <c r="H970" s="135"/>
      <c r="I970" s="135"/>
      <c r="J970" s="144"/>
      <c r="K970" s="159">
        <v>0.23400000000000001</v>
      </c>
      <c r="L970" s="167">
        <f t="shared" si="25"/>
        <v>1.4842</v>
      </c>
    </row>
    <row r="971" spans="1:14" s="147" customFormat="1" x14ac:dyDescent="0.2">
      <c r="A971" s="138"/>
      <c r="B971" s="124"/>
      <c r="C971" s="169"/>
      <c r="D971" s="157"/>
      <c r="E971" s="653" t="str">
        <f>E949</f>
        <v>Custo Direto</v>
      </c>
      <c r="F971" s="653"/>
      <c r="G971" s="653"/>
      <c r="H971" s="172">
        <f>SUM(H966:H969)</f>
        <v>8.98</v>
      </c>
      <c r="I971" s="172">
        <f>SUM(I966:I969)</f>
        <v>178.6848</v>
      </c>
      <c r="J971" s="144"/>
      <c r="K971" s="159">
        <v>0.23400000000000001</v>
      </c>
      <c r="L971" s="167">
        <f t="shared" si="25"/>
        <v>1.4842</v>
      </c>
    </row>
    <row r="972" spans="1:14" s="147" customFormat="1" x14ac:dyDescent="0.2">
      <c r="A972" s="138"/>
      <c r="B972" s="124"/>
      <c r="C972" s="169"/>
      <c r="D972" s="157"/>
      <c r="E972" s="653" t="str">
        <f>E950</f>
        <v>LS(%): 148,42</v>
      </c>
      <c r="F972" s="653"/>
      <c r="G972" s="653"/>
      <c r="H972" s="135">
        <f>SUM(H967:H969)*L972</f>
        <v>13.328116</v>
      </c>
      <c r="I972" s="141"/>
      <c r="J972" s="144"/>
      <c r="K972" s="159">
        <v>0.23400000000000001</v>
      </c>
      <c r="L972" s="167">
        <f t="shared" si="25"/>
        <v>1.4842</v>
      </c>
    </row>
    <row r="973" spans="1:14" s="147" customFormat="1" x14ac:dyDescent="0.2">
      <c r="A973" s="138"/>
      <c r="B973" s="124"/>
      <c r="C973" s="169"/>
      <c r="D973" s="157"/>
      <c r="E973" s="653" t="str">
        <f>E951</f>
        <v>BDI (%): 23,40</v>
      </c>
      <c r="F973" s="653"/>
      <c r="G973" s="653"/>
      <c r="H973" s="654">
        <f>(H971+I971+H972)*K973</f>
        <v>47.032342344</v>
      </c>
      <c r="I973" s="654"/>
      <c r="J973" s="144"/>
      <c r="K973" s="159">
        <v>0.23400000000000001</v>
      </c>
      <c r="L973" s="167">
        <f t="shared" si="25"/>
        <v>1.4842</v>
      </c>
    </row>
    <row r="974" spans="1:14" s="147" customFormat="1" x14ac:dyDescent="0.2">
      <c r="A974" s="138"/>
      <c r="B974" s="124"/>
      <c r="C974" s="169"/>
      <c r="D974" s="157"/>
      <c r="E974" s="653" t="str">
        <f>E952</f>
        <v>Valor Total c/ Taxas</v>
      </c>
      <c r="F974" s="653"/>
      <c r="G974" s="653"/>
      <c r="H974" s="135"/>
      <c r="I974" s="172">
        <f>(H971+I971+H972+H973)</f>
        <v>248.02525834399998</v>
      </c>
      <c r="J974" s="144"/>
      <c r="K974" s="159">
        <v>0.23400000000000001</v>
      </c>
      <c r="L974" s="167">
        <f t="shared" si="25"/>
        <v>1.4842</v>
      </c>
      <c r="N974" s="531">
        <v>248.02525834399998</v>
      </c>
    </row>
    <row r="975" spans="1:14" s="147" customFormat="1" x14ac:dyDescent="0.2">
      <c r="A975" s="138"/>
      <c r="B975" s="124"/>
      <c r="C975" s="169"/>
      <c r="D975" s="157"/>
      <c r="E975" s="135"/>
      <c r="F975" s="133"/>
      <c r="G975" s="158"/>
      <c r="H975" s="135"/>
      <c r="I975" s="135"/>
      <c r="J975" s="144"/>
      <c r="K975" s="159">
        <v>0.23400000000000001</v>
      </c>
      <c r="L975" s="167">
        <f t="shared" si="25"/>
        <v>1.4842</v>
      </c>
    </row>
    <row r="976" spans="1:14" s="147" customFormat="1" x14ac:dyDescent="0.2">
      <c r="A976" s="235"/>
      <c r="B976" s="201" t="str">
        <f>'Planilha Orçamentaria'!A151</f>
        <v>20.4</v>
      </c>
      <c r="C976" s="570" t="str">
        <f>'Planilha Orçamentaria'!C151</f>
        <v>Bebedouro aço inox c/4 torneiras e filtro (det.5)</v>
      </c>
      <c r="D976" s="571" t="str">
        <f>'Planilha Orçamentaria'!D151</f>
        <v>UN</v>
      </c>
      <c r="E976" s="135"/>
      <c r="F976" s="133"/>
      <c r="G976" s="158"/>
      <c r="H976" s="135"/>
      <c r="I976" s="135"/>
      <c r="J976" s="144"/>
      <c r="K976" s="159">
        <v>0.23400000000000001</v>
      </c>
      <c r="L976" s="167">
        <f t="shared" si="25"/>
        <v>1.4842</v>
      </c>
    </row>
    <row r="977" spans="1:14" s="147" customFormat="1" x14ac:dyDescent="0.2">
      <c r="A977" s="138"/>
      <c r="B977" s="569"/>
      <c r="C977" s="169" t="str">
        <f>C976</f>
        <v>Bebedouro aço inox c/4 torneiras e filtro (det.5)</v>
      </c>
      <c r="D977" s="157" t="s">
        <v>435</v>
      </c>
      <c r="E977" s="135">
        <f>974.075*N11</f>
        <v>974.07500000000005</v>
      </c>
      <c r="F977" s="133">
        <v>6.7</v>
      </c>
      <c r="G977" s="158">
        <v>3</v>
      </c>
      <c r="H977" s="135"/>
      <c r="I977" s="135">
        <f>E977*G977</f>
        <v>2922.2250000000004</v>
      </c>
      <c r="J977" s="144"/>
      <c r="K977" s="159">
        <v>0.23400000000000001</v>
      </c>
      <c r="L977" s="167">
        <f t="shared" si="25"/>
        <v>1.4842</v>
      </c>
    </row>
    <row r="978" spans="1:14" s="147" customFormat="1" x14ac:dyDescent="0.2">
      <c r="A978" s="138"/>
      <c r="B978" s="124"/>
      <c r="C978" s="169" t="s">
        <v>433</v>
      </c>
      <c r="D978" s="157" t="s">
        <v>425</v>
      </c>
      <c r="E978" s="135">
        <f>5.21*N11</f>
        <v>5.21</v>
      </c>
      <c r="F978" s="233"/>
      <c r="G978" s="158">
        <v>2.5</v>
      </c>
      <c r="H978" s="135">
        <f>E978*G978</f>
        <v>13.025</v>
      </c>
      <c r="I978" s="187"/>
      <c r="J978" s="144"/>
      <c r="K978" s="159">
        <v>0.23400000000000001</v>
      </c>
      <c r="L978" s="167">
        <f t="shared" si="25"/>
        <v>1.4842</v>
      </c>
    </row>
    <row r="979" spans="1:14" s="147" customFormat="1" x14ac:dyDescent="0.2">
      <c r="A979" s="138"/>
      <c r="B979" s="124"/>
      <c r="C979" s="169" t="s">
        <v>434</v>
      </c>
      <c r="D979" s="157" t="s">
        <v>425</v>
      </c>
      <c r="E979" s="135">
        <f>3.77*N11</f>
        <v>3.77</v>
      </c>
      <c r="F979" s="233"/>
      <c r="G979" s="158">
        <v>1.7</v>
      </c>
      <c r="H979" s="135">
        <f>E979*G979</f>
        <v>6.4089999999999998</v>
      </c>
      <c r="I979" s="187"/>
      <c r="J979" s="144"/>
      <c r="K979" s="159">
        <v>0.23400000000000001</v>
      </c>
      <c r="L979" s="167">
        <f t="shared" si="25"/>
        <v>1.4842</v>
      </c>
    </row>
    <row r="980" spans="1:14" s="147" customFormat="1" hidden="1" x14ac:dyDescent="0.2">
      <c r="A980" s="138"/>
      <c r="B980" s="124"/>
      <c r="C980" s="169"/>
      <c r="D980" s="157"/>
      <c r="E980" s="135"/>
      <c r="F980" s="133"/>
      <c r="G980" s="158"/>
      <c r="H980" s="135"/>
      <c r="I980" s="135"/>
      <c r="J980" s="144"/>
      <c r="K980" s="159">
        <v>0.23400000000000001</v>
      </c>
      <c r="L980" s="167">
        <f t="shared" si="25"/>
        <v>1.4842</v>
      </c>
    </row>
    <row r="981" spans="1:14" s="147" customFormat="1" x14ac:dyDescent="0.2">
      <c r="A981" s="138"/>
      <c r="B981" s="569"/>
      <c r="C981" s="169"/>
      <c r="D981" s="157"/>
      <c r="E981" s="135"/>
      <c r="F981" s="133"/>
      <c r="G981" s="158"/>
      <c r="H981" s="135"/>
      <c r="I981" s="135"/>
      <c r="J981" s="144"/>
      <c r="K981" s="159">
        <v>0.23400000000000001</v>
      </c>
      <c r="L981" s="167">
        <f t="shared" si="25"/>
        <v>1.4842</v>
      </c>
    </row>
    <row r="982" spans="1:14" s="147" customFormat="1" x14ac:dyDescent="0.2">
      <c r="A982" s="138"/>
      <c r="B982" s="124"/>
      <c r="C982" s="169"/>
      <c r="D982" s="157"/>
      <c r="E982" s="653" t="str">
        <f>E971</f>
        <v>Custo Direto</v>
      </c>
      <c r="F982" s="653"/>
      <c r="G982" s="653"/>
      <c r="H982" s="172">
        <f>SUM(H977:H980)</f>
        <v>19.434000000000001</v>
      </c>
      <c r="I982" s="172">
        <f>SUM(I977:I980)</f>
        <v>2922.2250000000004</v>
      </c>
      <c r="J982" s="144"/>
      <c r="K982" s="159">
        <v>0.23400000000000001</v>
      </c>
      <c r="L982" s="167">
        <f t="shared" si="25"/>
        <v>1.4842</v>
      </c>
    </row>
    <row r="983" spans="1:14" s="147" customFormat="1" x14ac:dyDescent="0.2">
      <c r="A983" s="138"/>
      <c r="B983" s="124"/>
      <c r="C983" s="169"/>
      <c r="D983" s="157"/>
      <c r="E983" s="653" t="str">
        <f>E972</f>
        <v>LS(%): 148,42</v>
      </c>
      <c r="F983" s="653"/>
      <c r="G983" s="653"/>
      <c r="H983" s="135">
        <f>SUM(H978:H980)*L983</f>
        <v>28.843942800000001</v>
      </c>
      <c r="I983" s="141"/>
      <c r="J983" s="144"/>
      <c r="K983" s="159">
        <v>0.23400000000000001</v>
      </c>
      <c r="L983" s="167">
        <f t="shared" si="25"/>
        <v>1.4842</v>
      </c>
    </row>
    <row r="984" spans="1:14" s="147" customFormat="1" x14ac:dyDescent="0.2">
      <c r="A984" s="138"/>
      <c r="B984" s="124"/>
      <c r="C984" s="169"/>
      <c r="D984" s="157"/>
      <c r="E984" s="653" t="str">
        <f>E973</f>
        <v>BDI (%): 23,40</v>
      </c>
      <c r="F984" s="653"/>
      <c r="G984" s="653"/>
      <c r="H984" s="654">
        <f>(H982+I982+H983)*K984</f>
        <v>695.09768861520024</v>
      </c>
      <c r="I984" s="654"/>
      <c r="J984" s="144"/>
      <c r="K984" s="159">
        <v>0.23400000000000001</v>
      </c>
      <c r="L984" s="167">
        <f t="shared" si="25"/>
        <v>1.4842</v>
      </c>
    </row>
    <row r="985" spans="1:14" s="147" customFormat="1" x14ac:dyDescent="0.2">
      <c r="A985" s="138"/>
      <c r="B985" s="124"/>
      <c r="C985" s="169"/>
      <c r="D985" s="157"/>
      <c r="E985" s="653" t="str">
        <f>E974</f>
        <v>Valor Total c/ Taxas</v>
      </c>
      <c r="F985" s="653"/>
      <c r="G985" s="653"/>
      <c r="H985" s="135"/>
      <c r="I985" s="172">
        <f>(H982+I982+H983+H984)</f>
        <v>3665.600631415201</v>
      </c>
      <c r="J985" s="144"/>
      <c r="K985" s="159">
        <v>0.23400000000000001</v>
      </c>
      <c r="L985" s="167">
        <f t="shared" si="25"/>
        <v>1.4842</v>
      </c>
      <c r="N985" s="531">
        <v>3665.5969999999998</v>
      </c>
    </row>
    <row r="986" spans="1:14" s="147" customFormat="1" x14ac:dyDescent="0.2">
      <c r="A986" s="138"/>
      <c r="B986" s="124"/>
      <c r="C986" s="169"/>
      <c r="D986" s="157"/>
      <c r="E986" s="135"/>
      <c r="F986" s="133"/>
      <c r="G986" s="158"/>
      <c r="H986" s="135"/>
      <c r="I986" s="135"/>
      <c r="J986" s="144"/>
      <c r="K986" s="159">
        <v>0.23400000000000001</v>
      </c>
      <c r="L986" s="167">
        <f t="shared" si="25"/>
        <v>1.4842</v>
      </c>
    </row>
    <row r="987" spans="1:14" s="147" customFormat="1" x14ac:dyDescent="0.2">
      <c r="A987" s="235"/>
      <c r="B987" s="201" t="str">
        <f>'Planilha Orçamentaria'!A152</f>
        <v>20.5</v>
      </c>
      <c r="C987" s="570" t="str">
        <f>'Planilha Orçamentaria'!C152</f>
        <v>Lavatorio de louça c/col.,torn.,mistur.,sifao e valv.</v>
      </c>
      <c r="D987" s="571" t="str">
        <f>'Planilha Orçamentaria'!D152</f>
        <v>UN</v>
      </c>
      <c r="E987" s="135"/>
      <c r="F987" s="133"/>
      <c r="G987" s="158"/>
      <c r="H987" s="135"/>
      <c r="I987" s="135"/>
      <c r="J987" s="144"/>
      <c r="K987" s="159">
        <v>0.23400000000000001</v>
      </c>
      <c r="L987" s="167">
        <f t="shared" si="25"/>
        <v>1.4842</v>
      </c>
    </row>
    <row r="988" spans="1:14" s="147" customFormat="1" x14ac:dyDescent="0.2">
      <c r="A988" s="138"/>
      <c r="B988" s="569"/>
      <c r="C988" s="169" t="str">
        <f>C987</f>
        <v>Lavatorio de louça c/col.,torn.,mistur.,sifao e valv.</v>
      </c>
      <c r="D988" s="157" t="s">
        <v>435</v>
      </c>
      <c r="E988" s="135">
        <f>219.076*N11</f>
        <v>219.07599999999999</v>
      </c>
      <c r="F988" s="133">
        <v>11.57</v>
      </c>
      <c r="G988" s="158">
        <v>1.5</v>
      </c>
      <c r="H988" s="135"/>
      <c r="I988" s="135">
        <f>E988*G988</f>
        <v>328.61399999999998</v>
      </c>
      <c r="J988" s="144"/>
      <c r="K988" s="159">
        <v>0.23400000000000001</v>
      </c>
      <c r="L988" s="167">
        <f t="shared" si="25"/>
        <v>1.4842</v>
      </c>
    </row>
    <row r="989" spans="1:14" s="147" customFormat="1" x14ac:dyDescent="0.2">
      <c r="A989" s="138"/>
      <c r="B989" s="124"/>
      <c r="C989" s="169" t="s">
        <v>433</v>
      </c>
      <c r="D989" s="157" t="s">
        <v>425</v>
      </c>
      <c r="E989" s="135">
        <f>5.21*N11</f>
        <v>5.21</v>
      </c>
      <c r="F989" s="233"/>
      <c r="G989" s="158">
        <v>1</v>
      </c>
      <c r="H989" s="135">
        <f>E989*G989</f>
        <v>5.21</v>
      </c>
      <c r="I989" s="187"/>
      <c r="J989" s="144"/>
      <c r="K989" s="159">
        <v>0.23400000000000001</v>
      </c>
      <c r="L989" s="167">
        <f t="shared" si="25"/>
        <v>1.4842</v>
      </c>
    </row>
    <row r="990" spans="1:14" s="147" customFormat="1" x14ac:dyDescent="0.2">
      <c r="A990" s="138"/>
      <c r="B990" s="124"/>
      <c r="C990" s="169" t="s">
        <v>434</v>
      </c>
      <c r="D990" s="157" t="s">
        <v>425</v>
      </c>
      <c r="E990" s="135">
        <f>3.77*N11</f>
        <v>3.77</v>
      </c>
      <c r="F990" s="233"/>
      <c r="G990" s="158">
        <v>1</v>
      </c>
      <c r="H990" s="135">
        <f>E990*G990</f>
        <v>3.77</v>
      </c>
      <c r="I990" s="187"/>
      <c r="J990" s="144"/>
      <c r="K990" s="159">
        <v>0.23400000000000001</v>
      </c>
      <c r="L990" s="167">
        <f t="shared" si="25"/>
        <v>1.4842</v>
      </c>
    </row>
    <row r="991" spans="1:14" s="147" customFormat="1" hidden="1" x14ac:dyDescent="0.2">
      <c r="A991" s="138"/>
      <c r="B991" s="124"/>
      <c r="C991" s="169"/>
      <c r="D991" s="157"/>
      <c r="E991" s="135"/>
      <c r="F991" s="133"/>
      <c r="G991" s="158"/>
      <c r="H991" s="135"/>
      <c r="I991" s="135"/>
      <c r="J991" s="144"/>
      <c r="K991" s="159">
        <v>0.23400000000000001</v>
      </c>
      <c r="L991" s="167">
        <f t="shared" si="25"/>
        <v>1.4842</v>
      </c>
    </row>
    <row r="992" spans="1:14" s="147" customFormat="1" x14ac:dyDescent="0.2">
      <c r="A992" s="138"/>
      <c r="B992" s="569"/>
      <c r="C992" s="169"/>
      <c r="D992" s="157"/>
      <c r="E992" s="135"/>
      <c r="F992" s="133"/>
      <c r="G992" s="158"/>
      <c r="H992" s="135"/>
      <c r="I992" s="135"/>
      <c r="J992" s="144"/>
      <c r="K992" s="159">
        <v>0.23400000000000001</v>
      </c>
      <c r="L992" s="167">
        <f t="shared" si="25"/>
        <v>1.4842</v>
      </c>
    </row>
    <row r="993" spans="1:14" s="147" customFormat="1" x14ac:dyDescent="0.2">
      <c r="A993" s="138"/>
      <c r="B993" s="124"/>
      <c r="C993" s="169"/>
      <c r="D993" s="157"/>
      <c r="E993" s="653" t="str">
        <f>E982</f>
        <v>Custo Direto</v>
      </c>
      <c r="F993" s="653"/>
      <c r="G993" s="653"/>
      <c r="H993" s="172">
        <f>SUM(H988:H991)</f>
        <v>8.98</v>
      </c>
      <c r="I993" s="172">
        <f>SUM(I988:I991)</f>
        <v>328.61399999999998</v>
      </c>
      <c r="J993" s="144"/>
      <c r="K993" s="159">
        <v>0.23400000000000001</v>
      </c>
      <c r="L993" s="167">
        <f t="shared" si="25"/>
        <v>1.4842</v>
      </c>
    </row>
    <row r="994" spans="1:14" s="147" customFormat="1" x14ac:dyDescent="0.2">
      <c r="A994" s="138"/>
      <c r="B994" s="124"/>
      <c r="C994" s="169"/>
      <c r="D994" s="157"/>
      <c r="E994" s="653" t="str">
        <f>E983</f>
        <v>LS(%): 148,42</v>
      </c>
      <c r="F994" s="653"/>
      <c r="G994" s="653"/>
      <c r="H994" s="135">
        <f>SUM(H989:H991)*L994</f>
        <v>13.328116</v>
      </c>
      <c r="I994" s="141"/>
      <c r="J994" s="144"/>
      <c r="K994" s="159">
        <v>0.23400000000000001</v>
      </c>
      <c r="L994" s="167">
        <f t="shared" si="25"/>
        <v>1.4842</v>
      </c>
    </row>
    <row r="995" spans="1:14" s="147" customFormat="1" x14ac:dyDescent="0.2">
      <c r="A995" s="138"/>
      <c r="B995" s="124"/>
      <c r="C995" s="169"/>
      <c r="D995" s="157"/>
      <c r="E995" s="653" t="str">
        <f>E984</f>
        <v>BDI (%): 23,40</v>
      </c>
      <c r="F995" s="653"/>
      <c r="G995" s="653"/>
      <c r="H995" s="654">
        <f>(H993+I993+H994)*K995</f>
        <v>82.115775144000011</v>
      </c>
      <c r="I995" s="654"/>
      <c r="J995" s="144"/>
      <c r="K995" s="159">
        <v>0.23400000000000001</v>
      </c>
      <c r="L995" s="167">
        <f t="shared" si="25"/>
        <v>1.4842</v>
      </c>
    </row>
    <row r="996" spans="1:14" s="147" customFormat="1" x14ac:dyDescent="0.2">
      <c r="A996" s="138"/>
      <c r="B996" s="124"/>
      <c r="C996" s="169"/>
      <c r="D996" s="157"/>
      <c r="E996" s="653" t="str">
        <f>E985</f>
        <v>Valor Total c/ Taxas</v>
      </c>
      <c r="F996" s="653"/>
      <c r="G996" s="653"/>
      <c r="H996" s="135"/>
      <c r="I996" s="172">
        <f>(H993+I993+H994+H995)</f>
        <v>433.03789114400001</v>
      </c>
      <c r="J996" s="144"/>
      <c r="K996" s="159">
        <v>0.23400000000000001</v>
      </c>
      <c r="L996" s="167">
        <f t="shared" si="25"/>
        <v>1.4842</v>
      </c>
      <c r="N996" s="531">
        <v>433.03789114400001</v>
      </c>
    </row>
    <row r="997" spans="1:14" s="147" customFormat="1" x14ac:dyDescent="0.2">
      <c r="A997" s="138"/>
      <c r="B997" s="124"/>
      <c r="C997" s="169"/>
      <c r="D997" s="157"/>
      <c r="E997" s="135"/>
      <c r="F997" s="133"/>
      <c r="G997" s="158"/>
      <c r="H997" s="135"/>
      <c r="I997" s="135"/>
      <c r="J997" s="144"/>
      <c r="K997" s="159">
        <v>0.23400000000000001</v>
      </c>
      <c r="L997" s="167">
        <f t="shared" si="25"/>
        <v>1.4842</v>
      </c>
    </row>
    <row r="998" spans="1:14" s="147" customFormat="1" x14ac:dyDescent="0.2">
      <c r="A998" s="235"/>
      <c r="B998" s="201" t="str">
        <f>'Planilha Orçamentaria'!A153</f>
        <v>20.6</v>
      </c>
      <c r="C998" s="570" t="str">
        <f>'Planilha Orçamentaria'!C153</f>
        <v>Mictório coletivo em aço c/ registro de pressão - 1,5m</v>
      </c>
      <c r="D998" s="571" t="str">
        <f>'Planilha Orçamentaria'!D153</f>
        <v>UN</v>
      </c>
      <c r="E998" s="135"/>
      <c r="F998" s="133"/>
      <c r="G998" s="158"/>
      <c r="H998" s="135"/>
      <c r="I998" s="135"/>
      <c r="J998" s="144"/>
      <c r="K998" s="159">
        <v>0.23400000000000001</v>
      </c>
      <c r="L998" s="167">
        <f t="shared" ref="L998:L1008" si="26">L997</f>
        <v>1.4842</v>
      </c>
    </row>
    <row r="999" spans="1:14" s="147" customFormat="1" x14ac:dyDescent="0.2">
      <c r="A999" s="138"/>
      <c r="B999" s="569"/>
      <c r="C999" s="169" t="str">
        <f>C998</f>
        <v>Mictório coletivo em aço c/ registro de pressão - 1,5m</v>
      </c>
      <c r="D999" s="157" t="s">
        <v>435</v>
      </c>
      <c r="E999" s="135">
        <f>357.433*N11</f>
        <v>357.43299999999999</v>
      </c>
      <c r="F999" s="133">
        <v>13.65</v>
      </c>
      <c r="G999" s="158">
        <v>2</v>
      </c>
      <c r="H999" s="135"/>
      <c r="I999" s="135">
        <f>E999*G999</f>
        <v>714.86599999999999</v>
      </c>
      <c r="J999" s="144"/>
      <c r="K999" s="159">
        <v>0.23400000000000001</v>
      </c>
      <c r="L999" s="167">
        <f t="shared" si="26"/>
        <v>1.4842</v>
      </c>
    </row>
    <row r="1000" spans="1:14" s="147" customFormat="1" x14ac:dyDescent="0.2">
      <c r="A1000" s="138"/>
      <c r="B1000" s="124"/>
      <c r="C1000" s="169" t="s">
        <v>433</v>
      </c>
      <c r="D1000" s="157" t="s">
        <v>425</v>
      </c>
      <c r="E1000" s="135">
        <f>5.21*N11</f>
        <v>5.21</v>
      </c>
      <c r="F1000" s="233"/>
      <c r="G1000" s="158">
        <v>1.5</v>
      </c>
      <c r="H1000" s="135">
        <f>E1000*G1000</f>
        <v>7.8149999999999995</v>
      </c>
      <c r="I1000" s="187"/>
      <c r="J1000" s="144"/>
      <c r="K1000" s="159">
        <v>0.23400000000000001</v>
      </c>
      <c r="L1000" s="167">
        <f t="shared" si="26"/>
        <v>1.4842</v>
      </c>
    </row>
    <row r="1001" spans="1:14" s="147" customFormat="1" x14ac:dyDescent="0.2">
      <c r="A1001" s="138"/>
      <c r="B1001" s="124"/>
      <c r="C1001" s="169" t="s">
        <v>434</v>
      </c>
      <c r="D1001" s="157" t="s">
        <v>425</v>
      </c>
      <c r="E1001" s="135">
        <f>3.77*N11</f>
        <v>3.77</v>
      </c>
      <c r="F1001" s="233"/>
      <c r="G1001" s="158">
        <v>1.2</v>
      </c>
      <c r="H1001" s="135">
        <f>E1001*G1001</f>
        <v>4.524</v>
      </c>
      <c r="I1001" s="187"/>
      <c r="J1001" s="144"/>
      <c r="K1001" s="159">
        <v>0.23400000000000001</v>
      </c>
      <c r="L1001" s="167">
        <f t="shared" si="26"/>
        <v>1.4842</v>
      </c>
    </row>
    <row r="1002" spans="1:14" s="147" customFormat="1" hidden="1" x14ac:dyDescent="0.2">
      <c r="A1002" s="138"/>
      <c r="B1002" s="124"/>
      <c r="C1002" s="169"/>
      <c r="D1002" s="157"/>
      <c r="E1002" s="135"/>
      <c r="F1002" s="133"/>
      <c r="G1002" s="158"/>
      <c r="H1002" s="135"/>
      <c r="I1002" s="135"/>
      <c r="J1002" s="144"/>
      <c r="K1002" s="159">
        <v>0.23400000000000001</v>
      </c>
      <c r="L1002" s="167">
        <f t="shared" si="26"/>
        <v>1.4842</v>
      </c>
    </row>
    <row r="1003" spans="1:14" s="147" customFormat="1" x14ac:dyDescent="0.2">
      <c r="A1003" s="138"/>
      <c r="B1003" s="569"/>
      <c r="C1003" s="169"/>
      <c r="D1003" s="157"/>
      <c r="E1003" s="135"/>
      <c r="F1003" s="133"/>
      <c r="G1003" s="158"/>
      <c r="H1003" s="135"/>
      <c r="I1003" s="135"/>
      <c r="J1003" s="144"/>
      <c r="K1003" s="159">
        <v>0.23400000000000001</v>
      </c>
      <c r="L1003" s="167">
        <f t="shared" si="26"/>
        <v>1.4842</v>
      </c>
    </row>
    <row r="1004" spans="1:14" s="147" customFormat="1" x14ac:dyDescent="0.2">
      <c r="A1004" s="138"/>
      <c r="B1004" s="124"/>
      <c r="C1004" s="169"/>
      <c r="D1004" s="157"/>
      <c r="E1004" s="653" t="str">
        <f>E993</f>
        <v>Custo Direto</v>
      </c>
      <c r="F1004" s="653"/>
      <c r="G1004" s="653"/>
      <c r="H1004" s="172">
        <f>SUM(H999:H1002)</f>
        <v>12.338999999999999</v>
      </c>
      <c r="I1004" s="172">
        <f>SUM(I999:I1002)</f>
        <v>714.86599999999999</v>
      </c>
      <c r="J1004" s="144"/>
      <c r="K1004" s="159">
        <v>0.23400000000000001</v>
      </c>
      <c r="L1004" s="167">
        <f t="shared" si="26"/>
        <v>1.4842</v>
      </c>
    </row>
    <row r="1005" spans="1:14" s="147" customFormat="1" x14ac:dyDescent="0.2">
      <c r="A1005" s="138"/>
      <c r="B1005" s="124"/>
      <c r="C1005" s="169"/>
      <c r="D1005" s="157"/>
      <c r="E1005" s="653" t="str">
        <f>E994</f>
        <v>LS(%): 148,42</v>
      </c>
      <c r="F1005" s="653"/>
      <c r="G1005" s="653"/>
      <c r="H1005" s="135">
        <f>SUM(H1000:H1002)*L1005</f>
        <v>18.313543799999998</v>
      </c>
      <c r="I1005" s="141"/>
      <c r="J1005" s="144"/>
      <c r="K1005" s="159">
        <v>0.23400000000000001</v>
      </c>
      <c r="L1005" s="167">
        <f t="shared" si="26"/>
        <v>1.4842</v>
      </c>
    </row>
    <row r="1006" spans="1:14" s="147" customFormat="1" x14ac:dyDescent="0.2">
      <c r="A1006" s="138"/>
      <c r="B1006" s="124"/>
      <c r="C1006" s="169"/>
      <c r="D1006" s="157"/>
      <c r="E1006" s="653" t="str">
        <f>E995</f>
        <v>BDI (%): 23,40</v>
      </c>
      <c r="F1006" s="653"/>
      <c r="G1006" s="653"/>
      <c r="H1006" s="654">
        <f>(H1004+I1004+H1005)*K1006</f>
        <v>174.4513392492</v>
      </c>
      <c r="I1006" s="654"/>
      <c r="J1006" s="144"/>
      <c r="K1006" s="159">
        <v>0.23400000000000001</v>
      </c>
      <c r="L1006" s="167">
        <f t="shared" si="26"/>
        <v>1.4842</v>
      </c>
    </row>
    <row r="1007" spans="1:14" s="147" customFormat="1" x14ac:dyDescent="0.2">
      <c r="A1007" s="138"/>
      <c r="B1007" s="124"/>
      <c r="C1007" s="169"/>
      <c r="D1007" s="157"/>
      <c r="E1007" s="653" t="str">
        <f>E996</f>
        <v>Valor Total c/ Taxas</v>
      </c>
      <c r="F1007" s="653"/>
      <c r="G1007" s="653"/>
      <c r="H1007" s="135"/>
      <c r="I1007" s="172">
        <f>(H1004+I1004+H1005+H1006)</f>
        <v>919.96988304920001</v>
      </c>
      <c r="J1007" s="144"/>
      <c r="K1007" s="159">
        <v>0.23400000000000001</v>
      </c>
      <c r="L1007" s="167">
        <f t="shared" si="26"/>
        <v>1.4842</v>
      </c>
      <c r="N1007" s="531">
        <v>919.96988304920001</v>
      </c>
    </row>
    <row r="1008" spans="1:14" s="147" customFormat="1" x14ac:dyDescent="0.2">
      <c r="A1008" s="138"/>
      <c r="B1008" s="124"/>
      <c r="C1008" s="169"/>
      <c r="D1008" s="157"/>
      <c r="E1008" s="135"/>
      <c r="F1008" s="133"/>
      <c r="G1008" s="158"/>
      <c r="H1008" s="135"/>
      <c r="I1008" s="135"/>
      <c r="J1008" s="144"/>
      <c r="K1008" s="159">
        <v>0.23400000000000001</v>
      </c>
      <c r="L1008" s="167">
        <f t="shared" si="26"/>
        <v>1.4842</v>
      </c>
    </row>
    <row r="1009" spans="1:14" s="147" customFormat="1" x14ac:dyDescent="0.2">
      <c r="A1009" s="235"/>
      <c r="B1009" s="201" t="str">
        <f>'Planilha Orçamentaria'!A154</f>
        <v>20.7</v>
      </c>
      <c r="C1009" s="570" t="str">
        <f>'Planilha Orçamentaria'!C154</f>
        <v>Pia 02 cubas em aço inox.c/torn.,sifoes e valv.(2.0m)</v>
      </c>
      <c r="D1009" s="571" t="str">
        <f>'Planilha Orçamentaria'!D154</f>
        <v>UN</v>
      </c>
      <c r="E1009" s="135"/>
      <c r="F1009" s="133"/>
      <c r="G1009" s="158"/>
      <c r="H1009" s="135"/>
      <c r="I1009" s="135"/>
      <c r="J1009" s="144"/>
      <c r="K1009" s="159">
        <v>0.23400000000000001</v>
      </c>
      <c r="L1009" s="167">
        <f>L1008</f>
        <v>1.4842</v>
      </c>
    </row>
    <row r="1010" spans="1:14" s="147" customFormat="1" x14ac:dyDescent="0.2">
      <c r="A1010" s="138"/>
      <c r="B1010" s="569"/>
      <c r="C1010" s="169" t="str">
        <f>C1009</f>
        <v>Pia 02 cubas em aço inox.c/torn.,sifoes e valv.(2.0m)</v>
      </c>
      <c r="D1010" s="157" t="s">
        <v>435</v>
      </c>
      <c r="E1010" s="135">
        <f>358.423*N11</f>
        <v>358.423</v>
      </c>
      <c r="F1010" s="133">
        <v>5.76</v>
      </c>
      <c r="G1010" s="158">
        <v>2</v>
      </c>
      <c r="H1010" s="135"/>
      <c r="I1010" s="135">
        <f>E1010*G1010</f>
        <v>716.846</v>
      </c>
      <c r="J1010" s="144"/>
      <c r="K1010" s="159">
        <v>0.23400000000000001</v>
      </c>
      <c r="L1010" s="167">
        <f t="shared" ref="L1010:L1020" si="27">L1009</f>
        <v>1.4842</v>
      </c>
    </row>
    <row r="1011" spans="1:14" s="147" customFormat="1" x14ac:dyDescent="0.2">
      <c r="A1011" s="138"/>
      <c r="B1011" s="124"/>
      <c r="C1011" s="169" t="s">
        <v>433</v>
      </c>
      <c r="D1011" s="157" t="s">
        <v>425</v>
      </c>
      <c r="E1011" s="135">
        <f>5.21*N11</f>
        <v>5.21</v>
      </c>
      <c r="F1011" s="233"/>
      <c r="G1011" s="158">
        <v>1</v>
      </c>
      <c r="H1011" s="135">
        <f>E1011*G1011</f>
        <v>5.21</v>
      </c>
      <c r="I1011" s="187"/>
      <c r="J1011" s="144"/>
      <c r="K1011" s="159">
        <v>0.23400000000000001</v>
      </c>
      <c r="L1011" s="167">
        <f t="shared" si="27"/>
        <v>1.4842</v>
      </c>
    </row>
    <row r="1012" spans="1:14" s="147" customFormat="1" x14ac:dyDescent="0.2">
      <c r="A1012" s="138"/>
      <c r="B1012" s="124"/>
      <c r="C1012" s="169" t="s">
        <v>434</v>
      </c>
      <c r="D1012" s="157" t="s">
        <v>425</v>
      </c>
      <c r="E1012" s="135">
        <f>3.77*N11</f>
        <v>3.77</v>
      </c>
      <c r="F1012" s="233"/>
      <c r="G1012" s="158">
        <v>1</v>
      </c>
      <c r="H1012" s="135">
        <f>E1012*G1012</f>
        <v>3.77</v>
      </c>
      <c r="I1012" s="187"/>
      <c r="J1012" s="144"/>
      <c r="K1012" s="159">
        <v>0.23400000000000001</v>
      </c>
      <c r="L1012" s="167">
        <f t="shared" si="27"/>
        <v>1.4842</v>
      </c>
    </row>
    <row r="1013" spans="1:14" s="147" customFormat="1" hidden="1" x14ac:dyDescent="0.2">
      <c r="A1013" s="138"/>
      <c r="B1013" s="124"/>
      <c r="C1013" s="169"/>
      <c r="D1013" s="157"/>
      <c r="E1013" s="135"/>
      <c r="F1013" s="133"/>
      <c r="G1013" s="158"/>
      <c r="H1013" s="135"/>
      <c r="I1013" s="135"/>
      <c r="J1013" s="144"/>
      <c r="K1013" s="159">
        <v>0.23400000000000001</v>
      </c>
      <c r="L1013" s="167">
        <f t="shared" si="27"/>
        <v>1.4842</v>
      </c>
    </row>
    <row r="1014" spans="1:14" s="147" customFormat="1" x14ac:dyDescent="0.2">
      <c r="A1014" s="138"/>
      <c r="B1014" s="569"/>
      <c r="C1014" s="169"/>
      <c r="D1014" s="157"/>
      <c r="E1014" s="135"/>
      <c r="F1014" s="133"/>
      <c r="G1014" s="158"/>
      <c r="H1014" s="135"/>
      <c r="I1014" s="135"/>
      <c r="J1014" s="144"/>
      <c r="K1014" s="159">
        <v>0.23400000000000001</v>
      </c>
      <c r="L1014" s="167">
        <f t="shared" si="27"/>
        <v>1.4842</v>
      </c>
    </row>
    <row r="1015" spans="1:14" s="147" customFormat="1" x14ac:dyDescent="0.2">
      <c r="A1015" s="138"/>
      <c r="B1015" s="124"/>
      <c r="C1015" s="169"/>
      <c r="D1015" s="157"/>
      <c r="E1015" s="653" t="str">
        <f>E1004</f>
        <v>Custo Direto</v>
      </c>
      <c r="F1015" s="653"/>
      <c r="G1015" s="653"/>
      <c r="H1015" s="172">
        <f>SUM(H1010:H1013)</f>
        <v>8.98</v>
      </c>
      <c r="I1015" s="172">
        <f>SUM(I1010:I1013)</f>
        <v>716.846</v>
      </c>
      <c r="J1015" s="144"/>
      <c r="K1015" s="159">
        <v>0.23400000000000001</v>
      </c>
      <c r="L1015" s="167">
        <f t="shared" si="27"/>
        <v>1.4842</v>
      </c>
    </row>
    <row r="1016" spans="1:14" s="147" customFormat="1" x14ac:dyDescent="0.2">
      <c r="A1016" s="138"/>
      <c r="B1016" s="124"/>
      <c r="C1016" s="169"/>
      <c r="D1016" s="157"/>
      <c r="E1016" s="653" t="str">
        <f>E1005</f>
        <v>LS(%): 148,42</v>
      </c>
      <c r="F1016" s="653"/>
      <c r="G1016" s="653"/>
      <c r="H1016" s="135">
        <f>SUM(H1011:H1013)*L1016</f>
        <v>13.328116</v>
      </c>
      <c r="I1016" s="141"/>
      <c r="J1016" s="144"/>
      <c r="K1016" s="159">
        <v>0.23400000000000001</v>
      </c>
      <c r="L1016" s="167">
        <f t="shared" si="27"/>
        <v>1.4842</v>
      </c>
    </row>
    <row r="1017" spans="1:14" s="147" customFormat="1" x14ac:dyDescent="0.2">
      <c r="A1017" s="138"/>
      <c r="B1017" s="124"/>
      <c r="C1017" s="169"/>
      <c r="D1017" s="157"/>
      <c r="E1017" s="653" t="str">
        <f>E1006</f>
        <v>BDI (%): 23,40</v>
      </c>
      <c r="F1017" s="653"/>
      <c r="G1017" s="653"/>
      <c r="H1017" s="654">
        <f>(H1015+I1015+H1016)*K1017</f>
        <v>172.96206314400001</v>
      </c>
      <c r="I1017" s="654"/>
      <c r="J1017" s="144"/>
      <c r="K1017" s="159">
        <v>0.23400000000000001</v>
      </c>
      <c r="L1017" s="167">
        <f t="shared" si="27"/>
        <v>1.4842</v>
      </c>
    </row>
    <row r="1018" spans="1:14" s="147" customFormat="1" x14ac:dyDescent="0.2">
      <c r="A1018" s="138"/>
      <c r="B1018" s="124"/>
      <c r="C1018" s="169"/>
      <c r="D1018" s="157"/>
      <c r="E1018" s="653" t="str">
        <f>E1007</f>
        <v>Valor Total c/ Taxas</v>
      </c>
      <c r="F1018" s="653"/>
      <c r="G1018" s="653"/>
      <c r="H1018" s="135"/>
      <c r="I1018" s="230">
        <f>(H1015+I1015+H1016+H1017)</f>
        <v>912.11617914400006</v>
      </c>
      <c r="J1018" s="144"/>
      <c r="K1018" s="159">
        <v>0.23400000000000001</v>
      </c>
      <c r="L1018" s="167">
        <f t="shared" si="27"/>
        <v>1.4842</v>
      </c>
      <c r="N1018" s="531">
        <v>912.11617914400006</v>
      </c>
    </row>
    <row r="1019" spans="1:14" s="147" customFormat="1" x14ac:dyDescent="0.2">
      <c r="A1019" s="138"/>
      <c r="B1019" s="124"/>
      <c r="C1019" s="169"/>
      <c r="D1019" s="157"/>
      <c r="E1019" s="135"/>
      <c r="F1019" s="133"/>
      <c r="G1019" s="158"/>
      <c r="H1019" s="135"/>
      <c r="I1019" s="135"/>
      <c r="J1019" s="144"/>
      <c r="K1019" s="159">
        <v>0.23400000000000001</v>
      </c>
      <c r="L1019" s="167">
        <f t="shared" si="27"/>
        <v>1.4842</v>
      </c>
    </row>
    <row r="1020" spans="1:14" s="147" customFormat="1" x14ac:dyDescent="0.2">
      <c r="A1020" s="235"/>
      <c r="B1020" s="201" t="str">
        <f>'Planilha Orçamentaria'!A155</f>
        <v>20.8</v>
      </c>
      <c r="C1020" s="570" t="str">
        <f>'Planilha Orçamentaria'!C155</f>
        <v>Porta papel higiênico - Polipropileno</v>
      </c>
      <c r="D1020" s="571" t="str">
        <f>'Planilha Orçamentaria'!D155</f>
        <v>UN</v>
      </c>
      <c r="E1020" s="135"/>
      <c r="F1020" s="133"/>
      <c r="G1020" s="158"/>
      <c r="H1020" s="135"/>
      <c r="I1020" s="135"/>
      <c r="J1020" s="144"/>
      <c r="K1020" s="159">
        <v>0.23400000000000001</v>
      </c>
      <c r="L1020" s="167">
        <f t="shared" si="27"/>
        <v>1.4842</v>
      </c>
    </row>
    <row r="1021" spans="1:14" s="147" customFormat="1" x14ac:dyDescent="0.2">
      <c r="A1021" s="138"/>
      <c r="B1021" s="569"/>
      <c r="C1021" s="169" t="str">
        <f>C1020</f>
        <v>Porta papel higiênico - Polipropileno</v>
      </c>
      <c r="D1021" s="157" t="s">
        <v>435</v>
      </c>
      <c r="E1021" s="135">
        <f>13.122*N11</f>
        <v>13.122</v>
      </c>
      <c r="F1021" s="133">
        <v>1.96</v>
      </c>
      <c r="G1021" s="158">
        <v>1.3</v>
      </c>
      <c r="H1021" s="135"/>
      <c r="I1021" s="135">
        <f>E1021*G1021</f>
        <v>17.058600000000002</v>
      </c>
      <c r="J1021" s="144"/>
      <c r="K1021" s="159">
        <v>0.23400000000000001</v>
      </c>
      <c r="L1021" s="167">
        <f t="shared" ref="L1021:L1029" si="28">L1020</f>
        <v>1.4842</v>
      </c>
    </row>
    <row r="1022" spans="1:14" s="147" customFormat="1" x14ac:dyDescent="0.2">
      <c r="A1022" s="138"/>
      <c r="B1022" s="124"/>
      <c r="C1022" s="169" t="s">
        <v>433</v>
      </c>
      <c r="D1022" s="157" t="s">
        <v>425</v>
      </c>
      <c r="E1022" s="135">
        <f>5.21*N11</f>
        <v>5.21</v>
      </c>
      <c r="F1022" s="233"/>
      <c r="G1022" s="158">
        <v>0.9</v>
      </c>
      <c r="H1022" s="135">
        <f>E1022*G1022</f>
        <v>4.6890000000000001</v>
      </c>
      <c r="I1022" s="187"/>
      <c r="J1022" s="144"/>
      <c r="K1022" s="159">
        <v>0.23400000000000001</v>
      </c>
      <c r="L1022" s="167">
        <f t="shared" si="28"/>
        <v>1.4842</v>
      </c>
    </row>
    <row r="1023" spans="1:14" s="147" customFormat="1" x14ac:dyDescent="0.2">
      <c r="A1023" s="138"/>
      <c r="B1023" s="124"/>
      <c r="C1023" s="169" t="s">
        <v>434</v>
      </c>
      <c r="D1023" s="157" t="s">
        <v>425</v>
      </c>
      <c r="E1023" s="135">
        <f>3.77*N11</f>
        <v>3.77</v>
      </c>
      <c r="F1023" s="233"/>
      <c r="G1023" s="158">
        <v>0.9</v>
      </c>
      <c r="H1023" s="135">
        <f>E1023*G1023</f>
        <v>3.3930000000000002</v>
      </c>
      <c r="I1023" s="187"/>
      <c r="J1023" s="144"/>
      <c r="K1023" s="159">
        <v>0.23400000000000001</v>
      </c>
      <c r="L1023" s="167">
        <f t="shared" si="28"/>
        <v>1.4842</v>
      </c>
    </row>
    <row r="1024" spans="1:14" s="147" customFormat="1" hidden="1" x14ac:dyDescent="0.2">
      <c r="A1024" s="138"/>
      <c r="B1024" s="124"/>
      <c r="C1024" s="169"/>
      <c r="D1024" s="157"/>
      <c r="E1024" s="135"/>
      <c r="F1024" s="133"/>
      <c r="G1024" s="158"/>
      <c r="H1024" s="135"/>
      <c r="I1024" s="135"/>
      <c r="J1024" s="144"/>
      <c r="K1024" s="159">
        <v>0.23400000000000001</v>
      </c>
      <c r="L1024" s="167">
        <f t="shared" si="28"/>
        <v>1.4842</v>
      </c>
    </row>
    <row r="1025" spans="1:14" s="147" customFormat="1" x14ac:dyDescent="0.2">
      <c r="A1025" s="138"/>
      <c r="B1025" s="569"/>
      <c r="C1025" s="169"/>
      <c r="D1025" s="157"/>
      <c r="E1025" s="135"/>
      <c r="F1025" s="133"/>
      <c r="G1025" s="158"/>
      <c r="H1025" s="135"/>
      <c r="I1025" s="135"/>
      <c r="J1025" s="144"/>
      <c r="K1025" s="159">
        <v>0.23400000000000001</v>
      </c>
      <c r="L1025" s="167">
        <f t="shared" si="28"/>
        <v>1.4842</v>
      </c>
    </row>
    <row r="1026" spans="1:14" s="147" customFormat="1" x14ac:dyDescent="0.2">
      <c r="A1026" s="138"/>
      <c r="B1026" s="124"/>
      <c r="C1026" s="169"/>
      <c r="D1026" s="157"/>
      <c r="E1026" s="653" t="str">
        <f>E1015</f>
        <v>Custo Direto</v>
      </c>
      <c r="F1026" s="653"/>
      <c r="G1026" s="653"/>
      <c r="H1026" s="172">
        <f>SUM(H1021:H1024)</f>
        <v>8.0820000000000007</v>
      </c>
      <c r="I1026" s="172">
        <f>SUM(I1021:I1024)</f>
        <v>17.058600000000002</v>
      </c>
      <c r="J1026" s="144"/>
      <c r="K1026" s="159">
        <v>0.23400000000000001</v>
      </c>
      <c r="L1026" s="167">
        <f t="shared" si="28"/>
        <v>1.4842</v>
      </c>
    </row>
    <row r="1027" spans="1:14" s="147" customFormat="1" x14ac:dyDescent="0.2">
      <c r="A1027" s="138"/>
      <c r="B1027" s="124"/>
      <c r="C1027" s="169"/>
      <c r="D1027" s="157"/>
      <c r="E1027" s="653" t="str">
        <f>E1016</f>
        <v>LS(%): 148,42</v>
      </c>
      <c r="F1027" s="653"/>
      <c r="G1027" s="653"/>
      <c r="H1027" s="135">
        <f>SUM(H1022:H1024)*L1027</f>
        <v>11.9953044</v>
      </c>
      <c r="I1027" s="141"/>
      <c r="J1027" s="144"/>
      <c r="K1027" s="159">
        <v>0.23400000000000001</v>
      </c>
      <c r="L1027" s="167">
        <f t="shared" si="28"/>
        <v>1.4842</v>
      </c>
    </row>
    <row r="1028" spans="1:14" s="147" customFormat="1" x14ac:dyDescent="0.2">
      <c r="A1028" s="138"/>
      <c r="B1028" s="124"/>
      <c r="C1028" s="169"/>
      <c r="D1028" s="157"/>
      <c r="E1028" s="653" t="str">
        <f>E1017</f>
        <v>BDI (%): 23,40</v>
      </c>
      <c r="F1028" s="653"/>
      <c r="G1028" s="653"/>
      <c r="H1028" s="654">
        <f>(H1026+I1026+H1027)*K1028</f>
        <v>8.6898016296000016</v>
      </c>
      <c r="I1028" s="654"/>
      <c r="J1028" s="144"/>
      <c r="K1028" s="159">
        <v>0.23400000000000001</v>
      </c>
      <c r="L1028" s="167">
        <f t="shared" si="28"/>
        <v>1.4842</v>
      </c>
    </row>
    <row r="1029" spans="1:14" s="147" customFormat="1" x14ac:dyDescent="0.2">
      <c r="A1029" s="138"/>
      <c r="B1029" s="124"/>
      <c r="C1029" s="169"/>
      <c r="D1029" s="157"/>
      <c r="E1029" s="653" t="str">
        <f>E1018</f>
        <v>Valor Total c/ Taxas</v>
      </c>
      <c r="F1029" s="653"/>
      <c r="G1029" s="653"/>
      <c r="H1029" s="135"/>
      <c r="I1029" s="172">
        <f>(H1026+I1026+H1027+H1028)</f>
        <v>45.825706029599999</v>
      </c>
      <c r="J1029" s="144"/>
      <c r="K1029" s="159">
        <v>0.23400000000000001</v>
      </c>
      <c r="L1029" s="167">
        <f t="shared" si="28"/>
        <v>1.4842</v>
      </c>
      <c r="N1029" s="531">
        <v>45.825706029599999</v>
      </c>
    </row>
    <row r="1030" spans="1:14" s="147" customFormat="1" x14ac:dyDescent="0.2">
      <c r="A1030" s="138"/>
      <c r="B1030" s="124"/>
      <c r="C1030" s="169"/>
      <c r="D1030" s="157"/>
      <c r="E1030" s="135"/>
      <c r="F1030" s="133"/>
      <c r="G1030" s="158"/>
      <c r="H1030" s="135"/>
      <c r="I1030" s="135"/>
      <c r="J1030" s="144"/>
      <c r="K1030" s="159">
        <v>0.23400000000000001</v>
      </c>
      <c r="L1030" s="167">
        <f>L996</f>
        <v>1.4842</v>
      </c>
    </row>
    <row r="1031" spans="1:14" s="147" customFormat="1" x14ac:dyDescent="0.2">
      <c r="A1031" s="235"/>
      <c r="B1031" s="201" t="str">
        <f>'Planilha Orçamentaria'!A156</f>
        <v>20.9</v>
      </c>
      <c r="C1031" s="570" t="str">
        <f>'Planilha Orçamentaria'!C156</f>
        <v>Porta toalha de papel - Polipropileno</v>
      </c>
      <c r="D1031" s="571" t="str">
        <f>'Planilha Orçamentaria'!D156</f>
        <v>UN</v>
      </c>
      <c r="E1031" s="135"/>
      <c r="F1031" s="133"/>
      <c r="G1031" s="158"/>
      <c r="H1031" s="135"/>
      <c r="I1031" s="135"/>
      <c r="J1031" s="144"/>
      <c r="K1031" s="159">
        <v>0.23400000000000001</v>
      </c>
      <c r="L1031" s="167">
        <f>L1030</f>
        <v>1.4842</v>
      </c>
    </row>
    <row r="1032" spans="1:14" s="147" customFormat="1" x14ac:dyDescent="0.2">
      <c r="A1032" s="138"/>
      <c r="B1032" s="569"/>
      <c r="C1032" s="169" t="str">
        <f>C1031</f>
        <v>Porta toalha de papel - Polipropileno</v>
      </c>
      <c r="D1032" s="157" t="s">
        <v>435</v>
      </c>
      <c r="E1032" s="135">
        <f>58.022*N11</f>
        <v>58.021999999999998</v>
      </c>
      <c r="F1032" s="133">
        <v>3.66</v>
      </c>
      <c r="G1032" s="158">
        <v>1.2</v>
      </c>
      <c r="H1032" s="135"/>
      <c r="I1032" s="135">
        <f>E1032*G1032</f>
        <v>69.62639999999999</v>
      </c>
      <c r="J1032" s="144"/>
      <c r="K1032" s="159">
        <v>0.23400000000000001</v>
      </c>
      <c r="L1032" s="167">
        <f t="shared" ref="L1032:L1060" si="29">L1031</f>
        <v>1.4842</v>
      </c>
    </row>
    <row r="1033" spans="1:14" s="147" customFormat="1" x14ac:dyDescent="0.2">
      <c r="A1033" s="138"/>
      <c r="B1033" s="124"/>
      <c r="C1033" s="169" t="s">
        <v>433</v>
      </c>
      <c r="D1033" s="157" t="s">
        <v>425</v>
      </c>
      <c r="E1033" s="135">
        <f>5.21*N11</f>
        <v>5.21</v>
      </c>
      <c r="F1033" s="233"/>
      <c r="G1033" s="158">
        <v>1</v>
      </c>
      <c r="H1033" s="135">
        <f>E1033*G1033</f>
        <v>5.21</v>
      </c>
      <c r="I1033" s="187"/>
      <c r="J1033" s="144"/>
      <c r="K1033" s="159">
        <v>0.23400000000000001</v>
      </c>
      <c r="L1033" s="167">
        <f t="shared" si="29"/>
        <v>1.4842</v>
      </c>
    </row>
    <row r="1034" spans="1:14" s="147" customFormat="1" x14ac:dyDescent="0.2">
      <c r="A1034" s="138"/>
      <c r="B1034" s="124"/>
      <c r="C1034" s="169" t="s">
        <v>434</v>
      </c>
      <c r="D1034" s="157" t="s">
        <v>425</v>
      </c>
      <c r="E1034" s="135">
        <f>3.77*N11</f>
        <v>3.77</v>
      </c>
      <c r="F1034" s="233"/>
      <c r="G1034" s="158">
        <v>1</v>
      </c>
      <c r="H1034" s="135">
        <f>E1034*G1034</f>
        <v>3.77</v>
      </c>
      <c r="I1034" s="187"/>
      <c r="J1034" s="144"/>
      <c r="K1034" s="159">
        <v>0.23400000000000001</v>
      </c>
      <c r="L1034" s="167">
        <f t="shared" si="29"/>
        <v>1.4842</v>
      </c>
    </row>
    <row r="1035" spans="1:14" s="147" customFormat="1" hidden="1" x14ac:dyDescent="0.2">
      <c r="A1035" s="138"/>
      <c r="B1035" s="124"/>
      <c r="C1035" s="169"/>
      <c r="D1035" s="157"/>
      <c r="E1035" s="135"/>
      <c r="F1035" s="133"/>
      <c r="G1035" s="158"/>
      <c r="H1035" s="135"/>
      <c r="I1035" s="135"/>
      <c r="J1035" s="144"/>
      <c r="K1035" s="159">
        <v>0.23400000000000001</v>
      </c>
      <c r="L1035" s="167">
        <f t="shared" si="29"/>
        <v>1.4842</v>
      </c>
    </row>
    <row r="1036" spans="1:14" s="147" customFormat="1" x14ac:dyDescent="0.2">
      <c r="A1036" s="138"/>
      <c r="B1036" s="569"/>
      <c r="C1036" s="169"/>
      <c r="D1036" s="157"/>
      <c r="E1036" s="135"/>
      <c r="F1036" s="133"/>
      <c r="G1036" s="158"/>
      <c r="H1036" s="135"/>
      <c r="I1036" s="135"/>
      <c r="J1036" s="144"/>
      <c r="K1036" s="159">
        <v>0.23400000000000001</v>
      </c>
      <c r="L1036" s="167">
        <f t="shared" si="29"/>
        <v>1.4842</v>
      </c>
    </row>
    <row r="1037" spans="1:14" s="147" customFormat="1" x14ac:dyDescent="0.2">
      <c r="A1037" s="138"/>
      <c r="B1037" s="124"/>
      <c r="C1037" s="169"/>
      <c r="D1037" s="157"/>
      <c r="E1037" s="653" t="str">
        <f>E993</f>
        <v>Custo Direto</v>
      </c>
      <c r="F1037" s="653"/>
      <c r="G1037" s="653"/>
      <c r="H1037" s="172">
        <f>SUM(H1032:H1035)</f>
        <v>8.98</v>
      </c>
      <c r="I1037" s="172">
        <f>SUM(I1032:I1035)</f>
        <v>69.62639999999999</v>
      </c>
      <c r="J1037" s="144"/>
      <c r="K1037" s="159">
        <v>0.23400000000000001</v>
      </c>
      <c r="L1037" s="167">
        <f t="shared" si="29"/>
        <v>1.4842</v>
      </c>
    </row>
    <row r="1038" spans="1:14" s="147" customFormat="1" x14ac:dyDescent="0.2">
      <c r="A1038" s="138"/>
      <c r="B1038" s="124"/>
      <c r="C1038" s="169"/>
      <c r="D1038" s="157"/>
      <c r="E1038" s="653" t="str">
        <f>E994</f>
        <v>LS(%): 148,42</v>
      </c>
      <c r="F1038" s="653"/>
      <c r="G1038" s="653"/>
      <c r="H1038" s="135">
        <f>SUM(H1033:H1035)*L1038</f>
        <v>13.328116</v>
      </c>
      <c r="I1038" s="141"/>
      <c r="J1038" s="144"/>
      <c r="K1038" s="159">
        <v>0.23400000000000001</v>
      </c>
      <c r="L1038" s="167">
        <f t="shared" si="29"/>
        <v>1.4842</v>
      </c>
    </row>
    <row r="1039" spans="1:14" s="147" customFormat="1" x14ac:dyDescent="0.2">
      <c r="A1039" s="138"/>
      <c r="B1039" s="124"/>
      <c r="C1039" s="169"/>
      <c r="D1039" s="157"/>
      <c r="E1039" s="653" t="str">
        <f>E995</f>
        <v>BDI (%): 23,40</v>
      </c>
      <c r="F1039" s="653"/>
      <c r="G1039" s="653"/>
      <c r="H1039" s="654">
        <f>(H1037+I1037+H1038)*K1039</f>
        <v>21.512676744</v>
      </c>
      <c r="I1039" s="654"/>
      <c r="J1039" s="144"/>
      <c r="K1039" s="159">
        <v>0.23400000000000001</v>
      </c>
      <c r="L1039" s="167">
        <f t="shared" si="29"/>
        <v>1.4842</v>
      </c>
    </row>
    <row r="1040" spans="1:14" s="147" customFormat="1" x14ac:dyDescent="0.2">
      <c r="A1040" s="138"/>
      <c r="B1040" s="124"/>
      <c r="C1040" s="169"/>
      <c r="D1040" s="157"/>
      <c r="E1040" s="653" t="str">
        <f>E996</f>
        <v>Valor Total c/ Taxas</v>
      </c>
      <c r="F1040" s="653"/>
      <c r="G1040" s="653"/>
      <c r="H1040" s="135"/>
      <c r="I1040" s="172">
        <f>(H1037+I1037+H1038+H1039)</f>
        <v>113.44719274399999</v>
      </c>
      <c r="J1040" s="144"/>
      <c r="K1040" s="159">
        <v>0.23400000000000001</v>
      </c>
      <c r="L1040" s="167">
        <f t="shared" si="29"/>
        <v>1.4842</v>
      </c>
      <c r="N1040" s="531">
        <v>113.44719274399999</v>
      </c>
    </row>
    <row r="1041" spans="1:14" s="147" customFormat="1" x14ac:dyDescent="0.2">
      <c r="A1041" s="138"/>
      <c r="B1041" s="124"/>
      <c r="C1041" s="169"/>
      <c r="D1041" s="157"/>
      <c r="E1041" s="135"/>
      <c r="F1041" s="133"/>
      <c r="G1041" s="158"/>
      <c r="H1041" s="135"/>
      <c r="I1041" s="135"/>
      <c r="J1041" s="144"/>
      <c r="K1041" s="159">
        <v>0.23400000000000001</v>
      </c>
      <c r="L1041" s="167">
        <f t="shared" si="29"/>
        <v>1.4842</v>
      </c>
    </row>
    <row r="1042" spans="1:14" s="147" customFormat="1" x14ac:dyDescent="0.2">
      <c r="A1042" s="235"/>
      <c r="B1042" s="201" t="str">
        <f>'Planilha Orçamentaria'!A157</f>
        <v>20.10</v>
      </c>
      <c r="C1042" s="570" t="str">
        <f>'Planilha Orçamentaria'!C157</f>
        <v>Saboneteira c/ reservatório - Polipropileno</v>
      </c>
      <c r="D1042" s="571" t="str">
        <f>'Planilha Orçamentaria'!D157</f>
        <v>UN</v>
      </c>
      <c r="E1042" s="135"/>
      <c r="F1042" s="133"/>
      <c r="G1042" s="158"/>
      <c r="H1042" s="135"/>
      <c r="I1042" s="135"/>
      <c r="J1042" s="144"/>
      <c r="K1042" s="159">
        <v>0.23400000000000001</v>
      </c>
      <c r="L1042" s="167">
        <f t="shared" si="29"/>
        <v>1.4842</v>
      </c>
    </row>
    <row r="1043" spans="1:14" s="147" customFormat="1" x14ac:dyDescent="0.2">
      <c r="A1043" s="138"/>
      <c r="B1043" s="569"/>
      <c r="C1043" s="169" t="str">
        <f>C1042</f>
        <v>Saboneteira c/ reservatório - Polipropileno</v>
      </c>
      <c r="D1043" s="157" t="s">
        <v>435</v>
      </c>
      <c r="E1043" s="135">
        <f>7.44*N11</f>
        <v>7.44</v>
      </c>
      <c r="F1043" s="133">
        <v>9.5</v>
      </c>
      <c r="G1043" s="158">
        <v>1.5</v>
      </c>
      <c r="H1043" s="135"/>
      <c r="I1043" s="135">
        <f>E1043*G1043</f>
        <v>11.16</v>
      </c>
      <c r="J1043" s="144"/>
      <c r="K1043" s="159">
        <v>0.23400000000000001</v>
      </c>
      <c r="L1043" s="167">
        <f t="shared" si="29"/>
        <v>1.4842</v>
      </c>
    </row>
    <row r="1044" spans="1:14" s="147" customFormat="1" x14ac:dyDescent="0.2">
      <c r="A1044" s="138"/>
      <c r="B1044" s="124"/>
      <c r="C1044" s="169" t="s">
        <v>433</v>
      </c>
      <c r="D1044" s="157" t="s">
        <v>425</v>
      </c>
      <c r="E1044" s="135">
        <f>5.21*N11</f>
        <v>5.21</v>
      </c>
      <c r="F1044" s="233"/>
      <c r="G1044" s="158">
        <v>1</v>
      </c>
      <c r="H1044" s="135">
        <f>E1044*G1044</f>
        <v>5.21</v>
      </c>
      <c r="I1044" s="187"/>
      <c r="J1044" s="144"/>
      <c r="K1044" s="159">
        <v>0.23400000000000001</v>
      </c>
      <c r="L1044" s="167">
        <f t="shared" si="29"/>
        <v>1.4842</v>
      </c>
    </row>
    <row r="1045" spans="1:14" s="147" customFormat="1" x14ac:dyDescent="0.2">
      <c r="A1045" s="138"/>
      <c r="B1045" s="124"/>
      <c r="C1045" s="169" t="s">
        <v>434</v>
      </c>
      <c r="D1045" s="157" t="s">
        <v>425</v>
      </c>
      <c r="E1045" s="135">
        <f>3.77*N11</f>
        <v>3.77</v>
      </c>
      <c r="F1045" s="233"/>
      <c r="G1045" s="158">
        <v>1</v>
      </c>
      <c r="H1045" s="135">
        <f>E1045*G1045</f>
        <v>3.77</v>
      </c>
      <c r="I1045" s="187"/>
      <c r="J1045" s="144"/>
      <c r="K1045" s="159">
        <v>0.23400000000000001</v>
      </c>
      <c r="L1045" s="167">
        <f t="shared" si="29"/>
        <v>1.4842</v>
      </c>
    </row>
    <row r="1046" spans="1:14" s="147" customFormat="1" x14ac:dyDescent="0.2">
      <c r="A1046" s="138"/>
      <c r="B1046" s="124"/>
      <c r="C1046" s="169"/>
      <c r="D1046" s="157"/>
      <c r="E1046" s="135"/>
      <c r="F1046" s="133"/>
      <c r="G1046" s="158"/>
      <c r="H1046" s="135"/>
      <c r="I1046" s="135"/>
      <c r="J1046" s="144"/>
      <c r="K1046" s="159">
        <v>0.23400000000000001</v>
      </c>
      <c r="L1046" s="167">
        <f t="shared" si="29"/>
        <v>1.4842</v>
      </c>
    </row>
    <row r="1047" spans="1:14" s="147" customFormat="1" x14ac:dyDescent="0.2">
      <c r="A1047" s="138"/>
      <c r="B1047" s="124"/>
      <c r="C1047" s="169"/>
      <c r="D1047" s="157"/>
      <c r="E1047" s="653" t="str">
        <f>E1037</f>
        <v>Custo Direto</v>
      </c>
      <c r="F1047" s="653"/>
      <c r="G1047" s="653"/>
      <c r="H1047" s="172">
        <f>SUM(H1043:H1046)</f>
        <v>8.98</v>
      </c>
      <c r="I1047" s="172">
        <f>SUM(I1043:I1046)</f>
        <v>11.16</v>
      </c>
      <c r="J1047" s="144"/>
      <c r="K1047" s="159">
        <v>0.23400000000000001</v>
      </c>
      <c r="L1047" s="167">
        <f t="shared" si="29"/>
        <v>1.4842</v>
      </c>
    </row>
    <row r="1048" spans="1:14" s="147" customFormat="1" x14ac:dyDescent="0.2">
      <c r="A1048" s="138"/>
      <c r="B1048" s="124"/>
      <c r="C1048" s="169"/>
      <c r="D1048" s="157"/>
      <c r="E1048" s="653" t="str">
        <f>E1038</f>
        <v>LS(%): 148,42</v>
      </c>
      <c r="F1048" s="653"/>
      <c r="G1048" s="653"/>
      <c r="H1048" s="135">
        <f>SUM(H1044:H1046)*L1048</f>
        <v>13.328116</v>
      </c>
      <c r="I1048" s="141"/>
      <c r="J1048" s="144"/>
      <c r="K1048" s="159">
        <v>0.23400000000000001</v>
      </c>
      <c r="L1048" s="167">
        <f t="shared" si="29"/>
        <v>1.4842</v>
      </c>
    </row>
    <row r="1049" spans="1:14" s="147" customFormat="1" x14ac:dyDescent="0.2">
      <c r="A1049" s="138"/>
      <c r="B1049" s="124"/>
      <c r="C1049" s="169"/>
      <c r="D1049" s="157"/>
      <c r="E1049" s="653" t="str">
        <f>E1039</f>
        <v>BDI (%): 23,40</v>
      </c>
      <c r="F1049" s="653"/>
      <c r="G1049" s="653"/>
      <c r="H1049" s="654">
        <f>(H1047+I1047+H1048)*K1049</f>
        <v>7.8315391440000006</v>
      </c>
      <c r="I1049" s="654"/>
      <c r="J1049" s="144"/>
      <c r="K1049" s="159">
        <v>0.23400000000000001</v>
      </c>
      <c r="L1049" s="167">
        <f t="shared" si="29"/>
        <v>1.4842</v>
      </c>
    </row>
    <row r="1050" spans="1:14" s="147" customFormat="1" x14ac:dyDescent="0.2">
      <c r="A1050" s="138"/>
      <c r="B1050" s="124"/>
      <c r="C1050" s="169"/>
      <c r="D1050" s="157"/>
      <c r="E1050" s="653" t="str">
        <f>E1040</f>
        <v>Valor Total c/ Taxas</v>
      </c>
      <c r="F1050" s="653"/>
      <c r="G1050" s="653"/>
      <c r="H1050" s="135"/>
      <c r="I1050" s="172">
        <f>(H1047+I1047+H1048+H1049)</f>
        <v>41.299655143999999</v>
      </c>
      <c r="J1050" s="144"/>
      <c r="K1050" s="159">
        <v>0.23400000000000001</v>
      </c>
      <c r="L1050" s="167">
        <f t="shared" si="29"/>
        <v>1.4842</v>
      </c>
      <c r="N1050" s="531">
        <v>41.299655143999999</v>
      </c>
    </row>
    <row r="1051" spans="1:14" s="147" customFormat="1" x14ac:dyDescent="0.2">
      <c r="A1051" s="138"/>
      <c r="B1051" s="124"/>
      <c r="C1051" s="169"/>
      <c r="D1051" s="157"/>
      <c r="E1051" s="135"/>
      <c r="F1051" s="133"/>
      <c r="G1051" s="158"/>
      <c r="H1051" s="135"/>
      <c r="I1051" s="135"/>
      <c r="J1051" s="144"/>
      <c r="K1051" s="159">
        <v>0.23400000000000001</v>
      </c>
      <c r="L1051" s="167">
        <f t="shared" si="29"/>
        <v>1.4842</v>
      </c>
    </row>
    <row r="1052" spans="1:14" s="147" customFormat="1" x14ac:dyDescent="0.2">
      <c r="A1052" s="235"/>
      <c r="B1052" s="201" t="str">
        <f>'Planilha Orçamentaria'!A160</f>
        <v>21.1</v>
      </c>
      <c r="C1052" s="570" t="str">
        <f>'Planilha Orçamentaria'!C160</f>
        <v>Escada de marinheiro c/ proteçao</v>
      </c>
      <c r="D1052" s="571" t="str">
        <f>'Planilha Orçamentaria'!D160</f>
        <v>M</v>
      </c>
      <c r="E1052" s="135"/>
      <c r="F1052" s="133"/>
      <c r="G1052" s="158"/>
      <c r="H1052" s="135"/>
      <c r="I1052" s="135"/>
      <c r="J1052" s="144"/>
      <c r="K1052" s="159">
        <v>0.23400000000000001</v>
      </c>
      <c r="L1052" s="167">
        <f t="shared" si="29"/>
        <v>1.4842</v>
      </c>
    </row>
    <row r="1053" spans="1:14" s="147" customFormat="1" x14ac:dyDescent="0.2">
      <c r="A1053" s="138"/>
      <c r="B1053" s="569"/>
      <c r="C1053" s="169" t="str">
        <f>C1052</f>
        <v>Escada de marinheiro c/ proteçao</v>
      </c>
      <c r="D1053" s="157" t="str">
        <f>D1052</f>
        <v>M</v>
      </c>
      <c r="E1053" s="135">
        <f>140.696*N11</f>
        <v>140.696</v>
      </c>
      <c r="F1053" s="133">
        <v>10.56</v>
      </c>
      <c r="G1053" s="158">
        <v>2</v>
      </c>
      <c r="H1053" s="135"/>
      <c r="I1053" s="135">
        <f>E1053*G1053</f>
        <v>281.392</v>
      </c>
      <c r="J1053" s="144"/>
      <c r="K1053" s="159">
        <v>0.23400000000000001</v>
      </c>
      <c r="L1053" s="167">
        <f t="shared" si="29"/>
        <v>1.4842</v>
      </c>
    </row>
    <row r="1054" spans="1:14" s="147" customFormat="1" x14ac:dyDescent="0.2">
      <c r="A1054" s="138"/>
      <c r="B1054" s="124"/>
      <c r="C1054" s="169" t="s">
        <v>469</v>
      </c>
      <c r="D1054" s="157" t="s">
        <v>425</v>
      </c>
      <c r="E1054" s="135">
        <f>5.21*N11</f>
        <v>5.21</v>
      </c>
      <c r="F1054" s="233"/>
      <c r="G1054" s="158">
        <v>1</v>
      </c>
      <c r="H1054" s="135">
        <f>E1054*G1054</f>
        <v>5.21</v>
      </c>
      <c r="I1054" s="187"/>
      <c r="J1054" s="144"/>
      <c r="K1054" s="159">
        <v>0.23400000000000001</v>
      </c>
      <c r="L1054" s="167">
        <f t="shared" si="29"/>
        <v>1.4842</v>
      </c>
    </row>
    <row r="1055" spans="1:14" s="147" customFormat="1" x14ac:dyDescent="0.2">
      <c r="A1055" s="138"/>
      <c r="B1055" s="124"/>
      <c r="C1055" s="169" t="s">
        <v>434</v>
      </c>
      <c r="D1055" s="157" t="s">
        <v>425</v>
      </c>
      <c r="E1055" s="135">
        <f>3.77*N11</f>
        <v>3.77</v>
      </c>
      <c r="F1055" s="233"/>
      <c r="G1055" s="158">
        <v>1</v>
      </c>
      <c r="H1055" s="135">
        <f>E1055*G1055</f>
        <v>3.77</v>
      </c>
      <c r="I1055" s="187"/>
      <c r="J1055" s="144"/>
      <c r="K1055" s="159">
        <v>0.23400000000000001</v>
      </c>
      <c r="L1055" s="167">
        <f t="shared" si="29"/>
        <v>1.4842</v>
      </c>
    </row>
    <row r="1056" spans="1:14" s="147" customFormat="1" x14ac:dyDescent="0.2">
      <c r="A1056" s="138"/>
      <c r="B1056" s="124"/>
      <c r="C1056" s="169"/>
      <c r="D1056" s="157"/>
      <c r="E1056" s="135"/>
      <c r="F1056" s="133"/>
      <c r="G1056" s="158"/>
      <c r="H1056" s="135"/>
      <c r="I1056" s="135"/>
      <c r="J1056" s="144"/>
      <c r="K1056" s="159">
        <v>0.23400000000000001</v>
      </c>
      <c r="L1056" s="167">
        <f t="shared" si="29"/>
        <v>1.4842</v>
      </c>
    </row>
    <row r="1057" spans="1:14" s="147" customFormat="1" x14ac:dyDescent="0.2">
      <c r="A1057" s="138"/>
      <c r="B1057" s="124"/>
      <c r="C1057" s="169"/>
      <c r="D1057" s="157"/>
      <c r="E1057" s="653" t="str">
        <f>E1047</f>
        <v>Custo Direto</v>
      </c>
      <c r="F1057" s="653"/>
      <c r="G1057" s="653"/>
      <c r="H1057" s="172">
        <f>SUM(H1053:H1056)</f>
        <v>8.98</v>
      </c>
      <c r="I1057" s="172">
        <f>SUM(I1053:I1056)</f>
        <v>281.392</v>
      </c>
      <c r="J1057" s="144"/>
      <c r="K1057" s="159">
        <v>0.23400000000000001</v>
      </c>
      <c r="L1057" s="167">
        <f t="shared" si="29"/>
        <v>1.4842</v>
      </c>
    </row>
    <row r="1058" spans="1:14" s="147" customFormat="1" x14ac:dyDescent="0.2">
      <c r="A1058" s="138"/>
      <c r="B1058" s="124"/>
      <c r="C1058" s="169"/>
      <c r="D1058" s="157"/>
      <c r="E1058" s="653" t="str">
        <f>E1048</f>
        <v>LS(%): 148,42</v>
      </c>
      <c r="F1058" s="653"/>
      <c r="G1058" s="653"/>
      <c r="H1058" s="135">
        <f>SUM(H1054:H1056)*L1058</f>
        <v>13.328116</v>
      </c>
      <c r="I1058" s="141"/>
      <c r="J1058" s="144"/>
      <c r="K1058" s="159">
        <v>0.23400000000000001</v>
      </c>
      <c r="L1058" s="167">
        <f t="shared" si="29"/>
        <v>1.4842</v>
      </c>
    </row>
    <row r="1059" spans="1:14" s="147" customFormat="1" x14ac:dyDescent="0.2">
      <c r="A1059" s="138"/>
      <c r="B1059" s="124"/>
      <c r="C1059" s="169"/>
      <c r="D1059" s="157"/>
      <c r="E1059" s="653" t="str">
        <f>E1049</f>
        <v>BDI (%): 23,40</v>
      </c>
      <c r="F1059" s="653"/>
      <c r="G1059" s="653"/>
      <c r="H1059" s="654">
        <f>(H1057+I1057+H1058)*K1059</f>
        <v>71.065827144000011</v>
      </c>
      <c r="I1059" s="654"/>
      <c r="J1059" s="144"/>
      <c r="K1059" s="159">
        <v>0.23400000000000001</v>
      </c>
      <c r="L1059" s="167">
        <f t="shared" si="29"/>
        <v>1.4842</v>
      </c>
    </row>
    <row r="1060" spans="1:14" s="147" customFormat="1" x14ac:dyDescent="0.2">
      <c r="A1060" s="138"/>
      <c r="B1060" s="124"/>
      <c r="C1060" s="169"/>
      <c r="D1060" s="157"/>
      <c r="E1060" s="653" t="str">
        <f>E1050</f>
        <v>Valor Total c/ Taxas</v>
      </c>
      <c r="F1060" s="653"/>
      <c r="G1060" s="653"/>
      <c r="H1060" s="135"/>
      <c r="I1060" s="172">
        <f>(H1057+I1057+H1058+H1059)</f>
        <v>374.76594314400006</v>
      </c>
      <c r="J1060" s="144"/>
      <c r="K1060" s="159">
        <v>0.23400000000000001</v>
      </c>
      <c r="L1060" s="167">
        <f t="shared" si="29"/>
        <v>1.4842</v>
      </c>
      <c r="N1060" s="531">
        <v>374.76594314400006</v>
      </c>
    </row>
    <row r="1061" spans="1:14" s="147" customFormat="1" x14ac:dyDescent="0.2">
      <c r="A1061" s="138"/>
      <c r="B1061" s="124"/>
      <c r="C1061" s="169"/>
      <c r="D1061" s="157"/>
      <c r="E1061" s="135"/>
      <c r="F1061" s="133"/>
      <c r="G1061" s="158"/>
      <c r="H1061" s="135"/>
      <c r="I1061" s="135"/>
      <c r="J1061" s="144"/>
      <c r="K1061" s="159">
        <v>0.23400000000000001</v>
      </c>
      <c r="L1061" s="167">
        <f>L1050</f>
        <v>1.4842</v>
      </c>
    </row>
    <row r="1062" spans="1:14" s="147" customFormat="1" ht="25.5" x14ac:dyDescent="0.2">
      <c r="A1062" s="236"/>
      <c r="B1062" s="201" t="str">
        <f>'Planilha Orçamentaria'!A163</f>
        <v>22.1</v>
      </c>
      <c r="C1062" s="156" t="str">
        <f>'Planilha Orçamentaria'!C163</f>
        <v xml:space="preserve">Quadro magnético branco c/ apoio para apagador e pincéis e moldura em alumínio 3,15 x 1,25 m </v>
      </c>
      <c r="D1062" s="228" t="str">
        <f>'Planilha Orçamentaria'!D163</f>
        <v>M2</v>
      </c>
      <c r="E1062" s="135"/>
      <c r="F1062" s="133"/>
      <c r="G1062" s="158"/>
      <c r="H1062" s="135"/>
      <c r="I1062" s="135"/>
      <c r="J1062" s="144"/>
      <c r="K1062" s="159">
        <v>0.23400000000000001</v>
      </c>
      <c r="L1062" s="167">
        <f t="shared" ref="L1062:L1070" si="30">L1061</f>
        <v>1.4842</v>
      </c>
    </row>
    <row r="1063" spans="1:14" s="147" customFormat="1" ht="25.5" x14ac:dyDescent="0.2">
      <c r="A1063" s="138"/>
      <c r="B1063" s="124"/>
      <c r="C1063" s="169" t="str">
        <f>C1062</f>
        <v xml:space="preserve">Quadro magnético branco c/ apoio para apagador e pincéis e moldura em alumínio 3,15 x 1,25 m </v>
      </c>
      <c r="D1063" s="157" t="str">
        <f>D1062</f>
        <v>M2</v>
      </c>
      <c r="E1063" s="135">
        <f>115.72*N11</f>
        <v>115.72</v>
      </c>
      <c r="F1063" s="133">
        <v>3.5</v>
      </c>
      <c r="G1063" s="158">
        <v>2</v>
      </c>
      <c r="H1063" s="135"/>
      <c r="I1063" s="135">
        <f>E1063*G1063</f>
        <v>231.44</v>
      </c>
      <c r="J1063" s="144"/>
      <c r="K1063" s="159">
        <v>0.23400000000000001</v>
      </c>
      <c r="L1063" s="167">
        <f t="shared" si="30"/>
        <v>1.4842</v>
      </c>
    </row>
    <row r="1064" spans="1:14" s="147" customFormat="1" x14ac:dyDescent="0.2">
      <c r="A1064" s="138"/>
      <c r="B1064" s="124"/>
      <c r="C1064" s="169" t="s">
        <v>1777</v>
      </c>
      <c r="D1064" s="157" t="s">
        <v>425</v>
      </c>
      <c r="E1064" s="135">
        <f>5.21*N11</f>
        <v>5.21</v>
      </c>
      <c r="F1064" s="233"/>
      <c r="G1064" s="158">
        <v>1</v>
      </c>
      <c r="H1064" s="135">
        <f>E1064*G1064</f>
        <v>5.21</v>
      </c>
      <c r="I1064" s="187"/>
      <c r="J1064" s="144"/>
      <c r="K1064" s="159">
        <v>0.23400000000000001</v>
      </c>
      <c r="L1064" s="167">
        <f t="shared" si="30"/>
        <v>1.4842</v>
      </c>
    </row>
    <row r="1065" spans="1:14" s="147" customFormat="1" x14ac:dyDescent="0.2">
      <c r="A1065" s="138"/>
      <c r="B1065" s="124"/>
      <c r="C1065" s="169" t="s">
        <v>434</v>
      </c>
      <c r="D1065" s="157" t="s">
        <v>425</v>
      </c>
      <c r="E1065" s="135">
        <f>3.77*N11</f>
        <v>3.77</v>
      </c>
      <c r="F1065" s="233"/>
      <c r="G1065" s="158">
        <v>1</v>
      </c>
      <c r="H1065" s="135">
        <f>E1065*G1065</f>
        <v>3.77</v>
      </c>
      <c r="I1065" s="187"/>
      <c r="J1065" s="144"/>
      <c r="K1065" s="159">
        <v>0.23400000000000001</v>
      </c>
      <c r="L1065" s="167">
        <f t="shared" si="30"/>
        <v>1.4842</v>
      </c>
    </row>
    <row r="1066" spans="1:14" s="147" customFormat="1" x14ac:dyDescent="0.2">
      <c r="A1066" s="138"/>
      <c r="B1066" s="124"/>
      <c r="C1066" s="169"/>
      <c r="D1066" s="157"/>
      <c r="E1066" s="135"/>
      <c r="F1066" s="133"/>
      <c r="G1066" s="158"/>
      <c r="H1066" s="135"/>
      <c r="I1066" s="135"/>
      <c r="J1066" s="144"/>
      <c r="K1066" s="159">
        <v>0.23400000000000001</v>
      </c>
      <c r="L1066" s="167">
        <f t="shared" si="30"/>
        <v>1.4842</v>
      </c>
    </row>
    <row r="1067" spans="1:14" s="147" customFormat="1" x14ac:dyDescent="0.2">
      <c r="A1067" s="138"/>
      <c r="B1067" s="124"/>
      <c r="C1067" s="169"/>
      <c r="D1067" s="157"/>
      <c r="E1067" s="653" t="str">
        <f>E1047</f>
        <v>Custo Direto</v>
      </c>
      <c r="F1067" s="653"/>
      <c r="G1067" s="653"/>
      <c r="H1067" s="172">
        <f>SUM(H1063:H1066)</f>
        <v>8.98</v>
      </c>
      <c r="I1067" s="172">
        <f>SUM(I1063:I1066)</f>
        <v>231.44</v>
      </c>
      <c r="J1067" s="144"/>
      <c r="K1067" s="159">
        <v>0.23400000000000001</v>
      </c>
      <c r="L1067" s="167">
        <f t="shared" si="30"/>
        <v>1.4842</v>
      </c>
    </row>
    <row r="1068" spans="1:14" s="147" customFormat="1" x14ac:dyDescent="0.2">
      <c r="A1068" s="138"/>
      <c r="B1068" s="124"/>
      <c r="C1068" s="169"/>
      <c r="D1068" s="157"/>
      <c r="E1068" s="653" t="str">
        <f>E1048</f>
        <v>LS(%): 148,42</v>
      </c>
      <c r="F1068" s="653"/>
      <c r="G1068" s="653"/>
      <c r="H1068" s="135">
        <f>SUM(H1064:H1066)*L1068</f>
        <v>13.328116</v>
      </c>
      <c r="I1068" s="141"/>
      <c r="J1068" s="144"/>
      <c r="K1068" s="159">
        <v>0.23400000000000001</v>
      </c>
      <c r="L1068" s="167">
        <f t="shared" si="30"/>
        <v>1.4842</v>
      </c>
    </row>
    <row r="1069" spans="1:14" s="147" customFormat="1" x14ac:dyDescent="0.2">
      <c r="A1069" s="138"/>
      <c r="B1069" s="124"/>
      <c r="C1069" s="169"/>
      <c r="D1069" s="157"/>
      <c r="E1069" s="653" t="str">
        <f>E1049</f>
        <v>BDI (%): 23,40</v>
      </c>
      <c r="F1069" s="653"/>
      <c r="G1069" s="653"/>
      <c r="H1069" s="654">
        <f>(H1067+I1067+H1068)*K1069</f>
        <v>59.377059144</v>
      </c>
      <c r="I1069" s="654"/>
      <c r="J1069" s="144"/>
      <c r="K1069" s="159">
        <v>0.23400000000000001</v>
      </c>
      <c r="L1069" s="167">
        <f t="shared" si="30"/>
        <v>1.4842</v>
      </c>
    </row>
    <row r="1070" spans="1:14" s="147" customFormat="1" x14ac:dyDescent="0.2">
      <c r="A1070" s="138"/>
      <c r="B1070" s="124"/>
      <c r="C1070" s="169"/>
      <c r="D1070" s="157"/>
      <c r="E1070" s="653" t="str">
        <f>E1050</f>
        <v>Valor Total c/ Taxas</v>
      </c>
      <c r="F1070" s="653"/>
      <c r="G1070" s="653"/>
      <c r="H1070" s="135"/>
      <c r="I1070" s="172">
        <f>(H1067+I1067+H1068+H1069)</f>
        <v>313.12517514399997</v>
      </c>
      <c r="J1070" s="144"/>
      <c r="K1070" s="159">
        <v>0.23400000000000001</v>
      </c>
      <c r="L1070" s="167">
        <f t="shared" si="30"/>
        <v>1.4842</v>
      </c>
      <c r="N1070" s="531">
        <v>313.12517514399997</v>
      </c>
    </row>
    <row r="1071" spans="1:14" s="147" customFormat="1" x14ac:dyDescent="0.2">
      <c r="A1071" s="138"/>
      <c r="B1071" s="124"/>
      <c r="C1071" s="169"/>
      <c r="D1071" s="157"/>
      <c r="E1071" s="135"/>
      <c r="F1071" s="133"/>
      <c r="G1071" s="158"/>
      <c r="H1071" s="135"/>
      <c r="I1071" s="135"/>
      <c r="J1071" s="144"/>
      <c r="K1071" s="159">
        <v>0.23400000000000001</v>
      </c>
      <c r="L1071" s="167">
        <f>L1060</f>
        <v>1.4842</v>
      </c>
    </row>
    <row r="1072" spans="1:14" s="147" customFormat="1" x14ac:dyDescent="0.2">
      <c r="A1072" s="235"/>
      <c r="B1072" s="201" t="str">
        <f>'Planilha Orçamentaria'!A166</f>
        <v>23.1</v>
      </c>
      <c r="C1072" s="570" t="str">
        <f>'Planilha Orçamentaria'!C166</f>
        <v>Torre em conc.armado p/ cx.d'agua h=6,0m-base 2.0x2.0m</v>
      </c>
      <c r="D1072" s="571" t="str">
        <f>'Planilha Orçamentaria'!D166</f>
        <v>UN</v>
      </c>
      <c r="E1072" s="135"/>
      <c r="F1072" s="133"/>
      <c r="G1072" s="158"/>
      <c r="H1072" s="135"/>
      <c r="I1072" s="135"/>
      <c r="J1072" s="144"/>
      <c r="K1072" s="159">
        <v>0.23400000000000001</v>
      </c>
      <c r="L1072" s="167">
        <f t="shared" ref="L1072:L1082" si="31">L1071</f>
        <v>1.4842</v>
      </c>
    </row>
    <row r="1073" spans="1:14" s="147" customFormat="1" x14ac:dyDescent="0.2">
      <c r="A1073" s="138"/>
      <c r="B1073" s="569"/>
      <c r="C1073" s="169" t="str">
        <f>C1072</f>
        <v>Torre em conc.armado p/ cx.d'agua h=6,0m-base 2.0x2.0m</v>
      </c>
      <c r="D1073" s="157" t="s">
        <v>435</v>
      </c>
      <c r="E1073" s="135">
        <f>2459.965*N11</f>
        <v>2459.9650000000001</v>
      </c>
      <c r="F1073" s="133">
        <v>3.82</v>
      </c>
      <c r="G1073" s="158">
        <v>3</v>
      </c>
      <c r="H1073" s="135"/>
      <c r="I1073" s="135">
        <f>E1073*G1073</f>
        <v>7379.8950000000004</v>
      </c>
      <c r="J1073" s="144"/>
      <c r="K1073" s="159">
        <v>0.23400000000000001</v>
      </c>
      <c r="L1073" s="167">
        <f t="shared" si="31"/>
        <v>1.4842</v>
      </c>
    </row>
    <row r="1074" spans="1:14" s="147" customFormat="1" x14ac:dyDescent="0.2">
      <c r="A1074" s="138"/>
      <c r="B1074" s="124"/>
      <c r="C1074" s="169" t="s">
        <v>1777</v>
      </c>
      <c r="D1074" s="157" t="s">
        <v>425</v>
      </c>
      <c r="E1074" s="135">
        <f>5.21*N11</f>
        <v>5.21</v>
      </c>
      <c r="F1074" s="233"/>
      <c r="G1074" s="158">
        <v>2</v>
      </c>
      <c r="H1074" s="135">
        <f>E1074*G1074</f>
        <v>10.42</v>
      </c>
      <c r="I1074" s="187"/>
      <c r="J1074" s="144"/>
      <c r="K1074" s="159">
        <v>0.23400000000000001</v>
      </c>
      <c r="L1074" s="167">
        <f t="shared" si="31"/>
        <v>1.4842</v>
      </c>
    </row>
    <row r="1075" spans="1:14" s="147" customFormat="1" x14ac:dyDescent="0.2">
      <c r="A1075" s="138"/>
      <c r="B1075" s="124"/>
      <c r="C1075" s="169" t="s">
        <v>434</v>
      </c>
      <c r="D1075" s="157" t="s">
        <v>425</v>
      </c>
      <c r="E1075" s="135">
        <f>3.77*N11</f>
        <v>3.77</v>
      </c>
      <c r="F1075" s="233"/>
      <c r="G1075" s="158">
        <v>2</v>
      </c>
      <c r="H1075" s="135">
        <f>E1075*G1075</f>
        <v>7.54</v>
      </c>
      <c r="I1075" s="187"/>
      <c r="J1075" s="144"/>
      <c r="K1075" s="159">
        <v>0.23400000000000001</v>
      </c>
      <c r="L1075" s="167">
        <f t="shared" si="31"/>
        <v>1.4842</v>
      </c>
    </row>
    <row r="1076" spans="1:14" s="147" customFormat="1" x14ac:dyDescent="0.2">
      <c r="A1076" s="138"/>
      <c r="B1076" s="124"/>
      <c r="C1076" s="169"/>
      <c r="D1076" s="157"/>
      <c r="E1076" s="135"/>
      <c r="F1076" s="133"/>
      <c r="G1076" s="158"/>
      <c r="H1076" s="135"/>
      <c r="I1076" s="135"/>
      <c r="J1076" s="144"/>
      <c r="K1076" s="159">
        <v>0.23400000000000001</v>
      </c>
      <c r="L1076" s="167">
        <f t="shared" si="31"/>
        <v>1.4842</v>
      </c>
    </row>
    <row r="1077" spans="1:14" s="147" customFormat="1" x14ac:dyDescent="0.2">
      <c r="A1077" s="138"/>
      <c r="B1077" s="124"/>
      <c r="C1077" s="169"/>
      <c r="D1077" s="157"/>
      <c r="E1077" s="653" t="str">
        <f>E1057</f>
        <v>Custo Direto</v>
      </c>
      <c r="F1077" s="653"/>
      <c r="G1077" s="653"/>
      <c r="H1077" s="172">
        <f>SUM(H1073:H1076)</f>
        <v>17.96</v>
      </c>
      <c r="I1077" s="172">
        <f>SUM(I1073:I1076)</f>
        <v>7379.8950000000004</v>
      </c>
      <c r="J1077" s="144"/>
      <c r="K1077" s="159">
        <v>0.23400000000000001</v>
      </c>
      <c r="L1077" s="167">
        <f t="shared" si="31"/>
        <v>1.4842</v>
      </c>
    </row>
    <row r="1078" spans="1:14" s="147" customFormat="1" x14ac:dyDescent="0.2">
      <c r="A1078" s="138"/>
      <c r="B1078" s="124"/>
      <c r="C1078" s="169"/>
      <c r="D1078" s="157"/>
      <c r="E1078" s="653" t="str">
        <f>E1058</f>
        <v>LS(%): 148,42</v>
      </c>
      <c r="F1078" s="653"/>
      <c r="G1078" s="653"/>
      <c r="H1078" s="135">
        <f>SUM(H1074:H1076)*L1078</f>
        <v>26.656231999999999</v>
      </c>
      <c r="I1078" s="141"/>
      <c r="J1078" s="144"/>
      <c r="K1078" s="159">
        <v>0.23400000000000001</v>
      </c>
      <c r="L1078" s="167">
        <f t="shared" si="31"/>
        <v>1.4842</v>
      </c>
    </row>
    <row r="1079" spans="1:14" s="147" customFormat="1" x14ac:dyDescent="0.2">
      <c r="A1079" s="138"/>
      <c r="B1079" s="124"/>
      <c r="C1079" s="169"/>
      <c r="D1079" s="157"/>
      <c r="E1079" s="653" t="str">
        <f>E1059</f>
        <v>BDI (%): 23,40</v>
      </c>
      <c r="F1079" s="653"/>
      <c r="G1079" s="653"/>
      <c r="H1079" s="654">
        <f>(H1077+I1077+H1078)*K1079</f>
        <v>1737.3356282880002</v>
      </c>
      <c r="I1079" s="654"/>
      <c r="J1079" s="144"/>
      <c r="K1079" s="159">
        <v>0.23400000000000001</v>
      </c>
      <c r="L1079" s="167">
        <f t="shared" si="31"/>
        <v>1.4842</v>
      </c>
    </row>
    <row r="1080" spans="1:14" s="147" customFormat="1" x14ac:dyDescent="0.2">
      <c r="A1080" s="138"/>
      <c r="B1080" s="124"/>
      <c r="C1080" s="169"/>
      <c r="D1080" s="157"/>
      <c r="E1080" s="653" t="str">
        <f>E1060</f>
        <v>Valor Total c/ Taxas</v>
      </c>
      <c r="F1080" s="653"/>
      <c r="G1080" s="653"/>
      <c r="H1080" s="135"/>
      <c r="I1080" s="172">
        <f>(H1077+I1077+H1078+H1079)</f>
        <v>9161.8468602880002</v>
      </c>
      <c r="J1080" s="144"/>
      <c r="K1080" s="159">
        <v>0.23400000000000001</v>
      </c>
      <c r="L1080" s="167">
        <f t="shared" si="31"/>
        <v>1.4842</v>
      </c>
      <c r="N1080" s="531">
        <v>9161.8468602880002</v>
      </c>
    </row>
    <row r="1081" spans="1:14" s="147" customFormat="1" x14ac:dyDescent="0.2">
      <c r="A1081" s="138"/>
      <c r="B1081" s="124"/>
      <c r="C1081" s="169"/>
      <c r="D1081" s="157"/>
      <c r="E1081" s="135"/>
      <c r="F1081" s="133"/>
      <c r="G1081" s="158"/>
      <c r="H1081" s="135"/>
      <c r="I1081" s="135"/>
      <c r="J1081" s="144"/>
      <c r="K1081" s="159">
        <v>0.23400000000000001</v>
      </c>
      <c r="L1081" s="167">
        <f t="shared" si="31"/>
        <v>1.4842</v>
      </c>
    </row>
    <row r="1082" spans="1:14" s="147" customFormat="1" x14ac:dyDescent="0.2">
      <c r="A1082" s="235"/>
      <c r="B1082" s="201" t="str">
        <f>'Planilha Orçamentaria'!A169</f>
        <v>24.1</v>
      </c>
      <c r="C1082" s="570" t="str">
        <f>'Planilha Orçamentaria'!C169</f>
        <v>Ventilador de teto</v>
      </c>
      <c r="D1082" s="571" t="str">
        <f>'Planilha Orçamentaria'!D169</f>
        <v>UN</v>
      </c>
      <c r="E1082" s="135"/>
      <c r="F1082" s="133"/>
      <c r="G1082" s="158"/>
      <c r="H1082" s="135"/>
      <c r="I1082" s="135"/>
      <c r="J1082" s="144"/>
      <c r="K1082" s="159">
        <v>0.23400000000000001</v>
      </c>
      <c r="L1082" s="167">
        <f t="shared" si="31"/>
        <v>1.4842</v>
      </c>
    </row>
    <row r="1083" spans="1:14" s="147" customFormat="1" x14ac:dyDescent="0.2">
      <c r="A1083" s="138"/>
      <c r="B1083" s="569"/>
      <c r="C1083" s="169" t="str">
        <f>C1082</f>
        <v>Ventilador de teto</v>
      </c>
      <c r="D1083" s="157" t="s">
        <v>435</v>
      </c>
      <c r="E1083" s="135">
        <f>160.013*N11</f>
        <v>160.01300000000001</v>
      </c>
      <c r="F1083" s="133">
        <v>4.3499999999999996</v>
      </c>
      <c r="G1083" s="158">
        <v>1</v>
      </c>
      <c r="H1083" s="135"/>
      <c r="I1083" s="135">
        <f>E1083*G1083</f>
        <v>160.01300000000001</v>
      </c>
      <c r="J1083" s="144"/>
      <c r="K1083" s="159">
        <v>0.23400000000000001</v>
      </c>
      <c r="L1083" s="167">
        <f t="shared" ref="L1083:L1109" si="32">L1082</f>
        <v>1.4842</v>
      </c>
    </row>
    <row r="1084" spans="1:14" s="147" customFormat="1" x14ac:dyDescent="0.2">
      <c r="A1084" s="138"/>
      <c r="B1084" s="124"/>
      <c r="C1084" s="169" t="s">
        <v>470</v>
      </c>
      <c r="D1084" s="157" t="s">
        <v>425</v>
      </c>
      <c r="E1084" s="135">
        <f>5.21*N11</f>
        <v>5.21</v>
      </c>
      <c r="F1084" s="233"/>
      <c r="G1084" s="158">
        <v>0.8</v>
      </c>
      <c r="H1084" s="135">
        <f>E1084*G1084</f>
        <v>4.1680000000000001</v>
      </c>
      <c r="I1084" s="187"/>
      <c r="J1084" s="144"/>
      <c r="K1084" s="159">
        <v>0.23400000000000001</v>
      </c>
      <c r="L1084" s="167">
        <f t="shared" si="32"/>
        <v>1.4842</v>
      </c>
    </row>
    <row r="1085" spans="1:14" s="147" customFormat="1" x14ac:dyDescent="0.2">
      <c r="A1085" s="138"/>
      <c r="B1085" s="124"/>
      <c r="C1085" s="169" t="s">
        <v>434</v>
      </c>
      <c r="D1085" s="157" t="s">
        <v>425</v>
      </c>
      <c r="E1085" s="135">
        <f>3.77*N11</f>
        <v>3.77</v>
      </c>
      <c r="F1085" s="233"/>
      <c r="G1085" s="158">
        <v>0.8</v>
      </c>
      <c r="H1085" s="135">
        <f>E1085*G1085</f>
        <v>3.016</v>
      </c>
      <c r="I1085" s="187"/>
      <c r="J1085" s="144"/>
      <c r="K1085" s="159">
        <v>0.23400000000000001</v>
      </c>
      <c r="L1085" s="167">
        <f t="shared" si="32"/>
        <v>1.4842</v>
      </c>
    </row>
    <row r="1086" spans="1:14" s="147" customFormat="1" x14ac:dyDescent="0.2">
      <c r="A1086" s="138"/>
      <c r="B1086" s="124"/>
      <c r="C1086" s="169"/>
      <c r="D1086" s="157"/>
      <c r="E1086" s="135"/>
      <c r="F1086" s="133"/>
      <c r="G1086" s="158"/>
      <c r="H1086" s="135"/>
      <c r="I1086" s="135"/>
      <c r="J1086" s="144"/>
      <c r="K1086" s="159">
        <v>0.23400000000000001</v>
      </c>
      <c r="L1086" s="167">
        <f t="shared" si="32"/>
        <v>1.4842</v>
      </c>
    </row>
    <row r="1087" spans="1:14" s="147" customFormat="1" x14ac:dyDescent="0.2">
      <c r="A1087" s="138"/>
      <c r="B1087" s="124"/>
      <c r="C1087" s="169"/>
      <c r="D1087" s="157"/>
      <c r="E1087" s="653" t="str">
        <f>E1067</f>
        <v>Custo Direto</v>
      </c>
      <c r="F1087" s="653"/>
      <c r="G1087" s="653"/>
      <c r="H1087" s="172">
        <f>SUM(H1083:H1086)</f>
        <v>7.1840000000000002</v>
      </c>
      <c r="I1087" s="172">
        <f>SUM(I1083:I1086)</f>
        <v>160.01300000000001</v>
      </c>
      <c r="J1087" s="144"/>
      <c r="K1087" s="159">
        <v>0.23400000000000001</v>
      </c>
      <c r="L1087" s="167">
        <f t="shared" si="32"/>
        <v>1.4842</v>
      </c>
    </row>
    <row r="1088" spans="1:14" s="147" customFormat="1" x14ac:dyDescent="0.2">
      <c r="A1088" s="138"/>
      <c r="B1088" s="124"/>
      <c r="C1088" s="169"/>
      <c r="D1088" s="157"/>
      <c r="E1088" s="653" t="str">
        <f>E1068</f>
        <v>LS(%): 148,42</v>
      </c>
      <c r="F1088" s="653"/>
      <c r="G1088" s="653"/>
      <c r="H1088" s="135">
        <f>SUM(H1084:H1086)*L1088</f>
        <v>10.662492800000001</v>
      </c>
      <c r="I1088" s="141"/>
      <c r="J1088" s="144"/>
      <c r="K1088" s="159">
        <v>0.23400000000000001</v>
      </c>
      <c r="L1088" s="167">
        <f t="shared" si="32"/>
        <v>1.4842</v>
      </c>
    </row>
    <row r="1089" spans="1:14" s="147" customFormat="1" x14ac:dyDescent="0.2">
      <c r="A1089" s="138"/>
      <c r="B1089" s="124"/>
      <c r="C1089" s="169"/>
      <c r="D1089" s="157"/>
      <c r="E1089" s="653" t="str">
        <f>E1069</f>
        <v>BDI (%): 23,40</v>
      </c>
      <c r="F1089" s="653"/>
      <c r="G1089" s="653"/>
      <c r="H1089" s="654">
        <f>(H1087+I1087+H1088)*K1089</f>
        <v>41.619121315200005</v>
      </c>
      <c r="I1089" s="654"/>
      <c r="J1089" s="144"/>
      <c r="K1089" s="159">
        <v>0.23400000000000001</v>
      </c>
      <c r="L1089" s="167">
        <f t="shared" si="32"/>
        <v>1.4842</v>
      </c>
    </row>
    <row r="1090" spans="1:14" s="147" customFormat="1" x14ac:dyDescent="0.2">
      <c r="A1090" s="138"/>
      <c r="B1090" s="124"/>
      <c r="C1090" s="169"/>
      <c r="D1090" s="157"/>
      <c r="E1090" s="653" t="str">
        <f>E1070</f>
        <v>Valor Total c/ Taxas</v>
      </c>
      <c r="F1090" s="653"/>
      <c r="G1090" s="653"/>
      <c r="H1090" s="135"/>
      <c r="I1090" s="172">
        <f>(H1087+I1087+H1088+H1089)</f>
        <v>219.4786141152</v>
      </c>
      <c r="J1090" s="144"/>
      <c r="K1090" s="159">
        <v>0.23400000000000001</v>
      </c>
      <c r="L1090" s="167">
        <f t="shared" si="32"/>
        <v>1.4842</v>
      </c>
      <c r="N1090" s="531">
        <v>219.4786141152</v>
      </c>
    </row>
    <row r="1091" spans="1:14" s="147" customFormat="1" x14ac:dyDescent="0.2">
      <c r="A1091" s="138"/>
      <c r="B1091" s="124"/>
      <c r="C1091" s="169"/>
      <c r="D1091" s="157"/>
      <c r="E1091" s="135"/>
      <c r="F1091" s="133"/>
      <c r="G1091" s="158"/>
      <c r="H1091" s="135"/>
      <c r="I1091" s="135"/>
      <c r="J1091" s="144"/>
      <c r="K1091" s="159">
        <v>0.23400000000000001</v>
      </c>
      <c r="L1091" s="167">
        <f t="shared" si="32"/>
        <v>1.4842</v>
      </c>
    </row>
    <row r="1092" spans="1:14" s="147" customFormat="1" ht="25.5" x14ac:dyDescent="0.2">
      <c r="A1092" s="236"/>
      <c r="B1092" s="201" t="str">
        <f>'Planilha Orçamentaria'!A172</f>
        <v>25.1</v>
      </c>
      <c r="C1092" s="156" t="str">
        <f>'Planilha Orçamentaria'!C172</f>
        <v>Bloco de concreto intertravado e=9cm (incl. colchao de areia e rejuntamento)</v>
      </c>
      <c r="D1092" s="228" t="str">
        <f>'Planilha Orçamentaria'!D172</f>
        <v>M2</v>
      </c>
      <c r="E1092" s="135"/>
      <c r="F1092" s="133"/>
      <c r="G1092" s="158"/>
      <c r="H1092" s="135"/>
      <c r="I1092" s="135"/>
      <c r="J1092" s="144"/>
      <c r="K1092" s="159">
        <v>0.23400000000000001</v>
      </c>
      <c r="L1092" s="167">
        <f t="shared" si="32"/>
        <v>1.4842</v>
      </c>
    </row>
    <row r="1093" spans="1:14" s="147" customFormat="1" ht="25.5" x14ac:dyDescent="0.2">
      <c r="A1093" s="138"/>
      <c r="B1093" s="124"/>
      <c r="C1093" s="169" t="str">
        <f>C1092</f>
        <v>Bloco de concreto intertravado e=9cm (incl. colchao de areia e rejuntamento)</v>
      </c>
      <c r="D1093" s="157" t="str">
        <f>D1092</f>
        <v>M2</v>
      </c>
      <c r="E1093" s="135">
        <f>22.11*N11</f>
        <v>22.11</v>
      </c>
      <c r="F1093" s="133">
        <v>5.15</v>
      </c>
      <c r="G1093" s="158">
        <v>2</v>
      </c>
      <c r="H1093" s="135"/>
      <c r="I1093" s="135">
        <f>E1093*G1093</f>
        <v>44.22</v>
      </c>
      <c r="J1093" s="144"/>
      <c r="K1093" s="159">
        <v>0.23400000000000001</v>
      </c>
      <c r="L1093" s="167">
        <f t="shared" si="32"/>
        <v>1.4842</v>
      </c>
    </row>
    <row r="1094" spans="1:14" s="147" customFormat="1" x14ac:dyDescent="0.2">
      <c r="A1094" s="138"/>
      <c r="B1094" s="124"/>
      <c r="C1094" s="169" t="s">
        <v>1777</v>
      </c>
      <c r="D1094" s="157" t="s">
        <v>425</v>
      </c>
      <c r="E1094" s="135">
        <f>5.21*N11</f>
        <v>5.21</v>
      </c>
      <c r="F1094" s="233"/>
      <c r="G1094" s="158">
        <v>1</v>
      </c>
      <c r="H1094" s="135">
        <f>E1094*G1094</f>
        <v>5.21</v>
      </c>
      <c r="I1094" s="187"/>
      <c r="J1094" s="144"/>
      <c r="K1094" s="159">
        <v>0.23400000000000001</v>
      </c>
      <c r="L1094" s="167">
        <f t="shared" si="32"/>
        <v>1.4842</v>
      </c>
    </row>
    <row r="1095" spans="1:14" s="147" customFormat="1" x14ac:dyDescent="0.2">
      <c r="A1095" s="138"/>
      <c r="B1095" s="124"/>
      <c r="C1095" s="169" t="s">
        <v>434</v>
      </c>
      <c r="D1095" s="157" t="s">
        <v>425</v>
      </c>
      <c r="E1095" s="135">
        <f>3.77*N11</f>
        <v>3.77</v>
      </c>
      <c r="F1095" s="233"/>
      <c r="G1095" s="158">
        <v>1</v>
      </c>
      <c r="H1095" s="135">
        <f>E1095*G1095</f>
        <v>3.77</v>
      </c>
      <c r="I1095" s="187"/>
      <c r="J1095" s="144"/>
      <c r="K1095" s="159">
        <v>0.23400000000000001</v>
      </c>
      <c r="L1095" s="167">
        <f t="shared" si="32"/>
        <v>1.4842</v>
      </c>
    </row>
    <row r="1096" spans="1:14" s="147" customFormat="1" x14ac:dyDescent="0.2">
      <c r="A1096" s="138"/>
      <c r="B1096" s="124"/>
      <c r="C1096" s="169"/>
      <c r="D1096" s="157"/>
      <c r="E1096" s="135"/>
      <c r="F1096" s="133"/>
      <c r="G1096" s="158"/>
      <c r="H1096" s="135"/>
      <c r="I1096" s="135"/>
      <c r="J1096" s="144"/>
      <c r="K1096" s="159">
        <v>0.23400000000000001</v>
      </c>
      <c r="L1096" s="167">
        <f t="shared" si="32"/>
        <v>1.4842</v>
      </c>
    </row>
    <row r="1097" spans="1:14" s="147" customFormat="1" x14ac:dyDescent="0.2">
      <c r="A1097" s="138"/>
      <c r="B1097" s="124"/>
      <c r="C1097" s="169"/>
      <c r="D1097" s="157"/>
      <c r="E1097" s="653" t="str">
        <f>E1087</f>
        <v>Custo Direto</v>
      </c>
      <c r="F1097" s="653"/>
      <c r="G1097" s="653"/>
      <c r="H1097" s="172">
        <f>SUM(H1093:H1096)</f>
        <v>8.98</v>
      </c>
      <c r="I1097" s="172">
        <f>SUM(I1093:I1096)</f>
        <v>44.22</v>
      </c>
      <c r="J1097" s="144"/>
      <c r="K1097" s="159">
        <v>0.23400000000000001</v>
      </c>
      <c r="L1097" s="167">
        <f t="shared" si="32"/>
        <v>1.4842</v>
      </c>
    </row>
    <row r="1098" spans="1:14" s="147" customFormat="1" x14ac:dyDescent="0.2">
      <c r="A1098" s="138"/>
      <c r="B1098" s="124"/>
      <c r="C1098" s="169"/>
      <c r="D1098" s="157"/>
      <c r="E1098" s="653" t="str">
        <f>E1088</f>
        <v>LS(%): 148,42</v>
      </c>
      <c r="F1098" s="653"/>
      <c r="G1098" s="653"/>
      <c r="H1098" s="135">
        <f>SUM(H1094:H1096)*L1098</f>
        <v>13.328116</v>
      </c>
      <c r="I1098" s="141"/>
      <c r="J1098" s="144"/>
      <c r="K1098" s="159">
        <v>0.23400000000000001</v>
      </c>
      <c r="L1098" s="167">
        <f t="shared" si="32"/>
        <v>1.4842</v>
      </c>
    </row>
    <row r="1099" spans="1:14" s="147" customFormat="1" x14ac:dyDescent="0.2">
      <c r="A1099" s="138"/>
      <c r="B1099" s="124"/>
      <c r="C1099" s="169"/>
      <c r="D1099" s="157"/>
      <c r="E1099" s="653" t="str">
        <f>E1089</f>
        <v>BDI (%): 23,40</v>
      </c>
      <c r="F1099" s="653"/>
      <c r="G1099" s="653"/>
      <c r="H1099" s="654">
        <f>(H1097+I1097+H1098)*K1099</f>
        <v>15.567579144</v>
      </c>
      <c r="I1099" s="654"/>
      <c r="J1099" s="144"/>
      <c r="K1099" s="159">
        <v>0.23400000000000001</v>
      </c>
      <c r="L1099" s="167">
        <f t="shared" si="32"/>
        <v>1.4842</v>
      </c>
    </row>
    <row r="1100" spans="1:14" s="147" customFormat="1" x14ac:dyDescent="0.2">
      <c r="A1100" s="138"/>
      <c r="B1100" s="124"/>
      <c r="C1100" s="169"/>
      <c r="D1100" s="157"/>
      <c r="E1100" s="653" t="str">
        <f>E1090</f>
        <v>Valor Total c/ Taxas</v>
      </c>
      <c r="F1100" s="653"/>
      <c r="G1100" s="653"/>
      <c r="H1100" s="135"/>
      <c r="I1100" s="172">
        <f>(H1097+I1097+H1098+H1099)</f>
        <v>82.09569514399999</v>
      </c>
      <c r="J1100" s="144"/>
      <c r="K1100" s="159">
        <v>0.23400000000000001</v>
      </c>
      <c r="L1100" s="167">
        <f t="shared" si="32"/>
        <v>1.4842</v>
      </c>
      <c r="N1100" s="531">
        <v>82.09569514399999</v>
      </c>
    </row>
    <row r="1101" spans="1:14" s="147" customFormat="1" x14ac:dyDescent="0.2">
      <c r="A1101" s="138"/>
      <c r="B1101" s="124"/>
      <c r="C1101" s="169"/>
      <c r="D1101" s="157"/>
      <c r="E1101" s="135"/>
      <c r="F1101" s="133"/>
      <c r="G1101" s="158"/>
      <c r="H1101" s="135"/>
      <c r="I1101" s="135"/>
      <c r="J1101" s="144"/>
      <c r="K1101" s="159">
        <v>0.23400000000000001</v>
      </c>
      <c r="L1101" s="167">
        <f t="shared" si="32"/>
        <v>1.4842</v>
      </c>
    </row>
    <row r="1102" spans="1:14" s="147" customFormat="1" x14ac:dyDescent="0.2">
      <c r="A1102" s="235"/>
      <c r="B1102" s="201" t="str">
        <f>'Planilha Orçamentaria'!A173</f>
        <v>25.2</v>
      </c>
      <c r="C1102" s="570" t="str">
        <f>'Planilha Orçamentaria'!C173</f>
        <v>Plantio de grama (incl. terra preta)</v>
      </c>
      <c r="D1102" s="571" t="str">
        <f>'Planilha Orçamentaria'!D173</f>
        <v>M2</v>
      </c>
      <c r="E1102" s="135"/>
      <c r="F1102" s="133"/>
      <c r="G1102" s="158"/>
      <c r="H1102" s="135"/>
      <c r="I1102" s="135"/>
      <c r="J1102" s="144"/>
      <c r="K1102" s="159">
        <v>0.23400000000000001</v>
      </c>
      <c r="L1102" s="167">
        <f t="shared" si="32"/>
        <v>1.4842</v>
      </c>
    </row>
    <row r="1103" spans="1:14" s="147" customFormat="1" x14ac:dyDescent="0.2">
      <c r="A1103" s="138"/>
      <c r="B1103" s="569"/>
      <c r="C1103" s="169" t="str">
        <f>C1102</f>
        <v>Plantio de grama (incl. terra preta)</v>
      </c>
      <c r="D1103" s="157" t="str">
        <f>D1102</f>
        <v>M2</v>
      </c>
      <c r="E1103" s="135">
        <f>18.925*N11</f>
        <v>18.925000000000001</v>
      </c>
      <c r="F1103" s="133">
        <v>7.45</v>
      </c>
      <c r="G1103" s="158">
        <v>1</v>
      </c>
      <c r="H1103" s="135"/>
      <c r="I1103" s="135">
        <f>E1103*G1103</f>
        <v>18.925000000000001</v>
      </c>
      <c r="J1103" s="144"/>
      <c r="K1103" s="159">
        <v>0.23400000000000001</v>
      </c>
      <c r="L1103" s="167">
        <f t="shared" si="32"/>
        <v>1.4842</v>
      </c>
    </row>
    <row r="1104" spans="1:14" s="147" customFormat="1" x14ac:dyDescent="0.2">
      <c r="A1104" s="138"/>
      <c r="B1104" s="124"/>
      <c r="C1104" s="169" t="s">
        <v>434</v>
      </c>
      <c r="D1104" s="157" t="s">
        <v>425</v>
      </c>
      <c r="E1104" s="135">
        <f>3.77*N11</f>
        <v>3.77</v>
      </c>
      <c r="F1104" s="233"/>
      <c r="G1104" s="158">
        <v>0.104</v>
      </c>
      <c r="H1104" s="135">
        <f>E1104*G1104</f>
        <v>0.39207999999999998</v>
      </c>
      <c r="I1104" s="187"/>
      <c r="J1104" s="144"/>
      <c r="K1104" s="159">
        <v>0.23400000000000001</v>
      </c>
      <c r="L1104" s="167">
        <f t="shared" si="32"/>
        <v>1.4842</v>
      </c>
    </row>
    <row r="1105" spans="1:14" s="147" customFormat="1" x14ac:dyDescent="0.2">
      <c r="A1105" s="138"/>
      <c r="B1105" s="124"/>
      <c r="C1105" s="169"/>
      <c r="D1105" s="157"/>
      <c r="E1105" s="135"/>
      <c r="F1105" s="133"/>
      <c r="G1105" s="158"/>
      <c r="H1105" s="135"/>
      <c r="I1105" s="135"/>
      <c r="J1105" s="144"/>
      <c r="K1105" s="159">
        <v>0.23400000000000001</v>
      </c>
      <c r="L1105" s="167">
        <f t="shared" si="32"/>
        <v>1.4842</v>
      </c>
    </row>
    <row r="1106" spans="1:14" s="147" customFormat="1" x14ac:dyDescent="0.2">
      <c r="A1106" s="138"/>
      <c r="B1106" s="124"/>
      <c r="C1106" s="169"/>
      <c r="D1106" s="157"/>
      <c r="E1106" s="653" t="str">
        <f>E1097</f>
        <v>Custo Direto</v>
      </c>
      <c r="F1106" s="653"/>
      <c r="G1106" s="653"/>
      <c r="H1106" s="172">
        <f>SUM(H1103:H1105)</f>
        <v>0.39207999999999998</v>
      </c>
      <c r="I1106" s="172">
        <f>SUM(I1103:I1105)</f>
        <v>18.925000000000001</v>
      </c>
      <c r="J1106" s="144"/>
      <c r="K1106" s="159">
        <v>0.23400000000000001</v>
      </c>
      <c r="L1106" s="167">
        <f t="shared" si="32"/>
        <v>1.4842</v>
      </c>
    </row>
    <row r="1107" spans="1:14" s="147" customFormat="1" x14ac:dyDescent="0.2">
      <c r="A1107" s="138"/>
      <c r="B1107" s="124"/>
      <c r="C1107" s="169"/>
      <c r="D1107" s="157"/>
      <c r="E1107" s="653" t="str">
        <f>E1098</f>
        <v>LS(%): 148,42</v>
      </c>
      <c r="F1107" s="653"/>
      <c r="G1107" s="653"/>
      <c r="H1107" s="135">
        <f>SUM(H1104:H1105)*L1107</f>
        <v>0.58192513599999995</v>
      </c>
      <c r="I1107" s="141"/>
      <c r="J1107" s="144"/>
      <c r="K1107" s="159">
        <v>0.23400000000000001</v>
      </c>
      <c r="L1107" s="167">
        <f t="shared" si="32"/>
        <v>1.4842</v>
      </c>
    </row>
    <row r="1108" spans="1:14" s="147" customFormat="1" x14ac:dyDescent="0.2">
      <c r="A1108" s="138"/>
      <c r="B1108" s="124"/>
      <c r="C1108" s="169"/>
      <c r="D1108" s="157"/>
      <c r="E1108" s="653" t="str">
        <f>E1099</f>
        <v>BDI (%): 23,40</v>
      </c>
      <c r="F1108" s="653"/>
      <c r="G1108" s="653"/>
      <c r="H1108" s="654">
        <f>(H1106+I1106+H1107)*K1108</f>
        <v>4.6563672018240005</v>
      </c>
      <c r="I1108" s="654"/>
      <c r="J1108" s="144"/>
      <c r="K1108" s="159">
        <v>0.23400000000000001</v>
      </c>
      <c r="L1108" s="167">
        <f t="shared" si="32"/>
        <v>1.4842</v>
      </c>
    </row>
    <row r="1109" spans="1:14" s="147" customFormat="1" x14ac:dyDescent="0.2">
      <c r="A1109" s="138"/>
      <c r="B1109" s="124"/>
      <c r="C1109" s="169"/>
      <c r="D1109" s="157"/>
      <c r="E1109" s="653" t="str">
        <f>E1100</f>
        <v>Valor Total c/ Taxas</v>
      </c>
      <c r="F1109" s="653"/>
      <c r="G1109" s="653"/>
      <c r="H1109" s="135"/>
      <c r="I1109" s="172">
        <f>(H1106+I1106+H1107+H1108)</f>
        <v>24.555372337824</v>
      </c>
      <c r="J1109" s="144"/>
      <c r="K1109" s="159">
        <v>0.23400000000000001</v>
      </c>
      <c r="L1109" s="167">
        <f t="shared" si="32"/>
        <v>1.4842</v>
      </c>
      <c r="N1109" s="531">
        <v>24.555372337824</v>
      </c>
    </row>
    <row r="1110" spans="1:14" s="147" customFormat="1" x14ac:dyDescent="0.2">
      <c r="A1110" s="138"/>
      <c r="B1110" s="124"/>
      <c r="C1110" s="169"/>
      <c r="D1110" s="157"/>
      <c r="E1110" s="132"/>
      <c r="F1110" s="219"/>
      <c r="G1110" s="220"/>
      <c r="H1110" s="135"/>
      <c r="I1110" s="172"/>
      <c r="J1110" s="144"/>
      <c r="K1110" s="159">
        <v>0.23400000000000001</v>
      </c>
      <c r="L1110" s="167">
        <f>L1100</f>
        <v>1.4842</v>
      </c>
    </row>
    <row r="1111" spans="1:14" s="147" customFormat="1" x14ac:dyDescent="0.2">
      <c r="A1111" s="138"/>
      <c r="B1111" s="124"/>
      <c r="C1111" s="169"/>
      <c r="D1111" s="157"/>
      <c r="E1111" s="135"/>
      <c r="F1111" s="133"/>
      <c r="G1111" s="158"/>
      <c r="H1111" s="135"/>
      <c r="I1111" s="135"/>
      <c r="J1111" s="144"/>
      <c r="K1111" s="159">
        <v>0.23400000000000001</v>
      </c>
      <c r="L1111" s="167">
        <f>L1110</f>
        <v>1.4842</v>
      </c>
    </row>
    <row r="1112" spans="1:14" s="147" customFormat="1" x14ac:dyDescent="0.2">
      <c r="A1112" s="237"/>
      <c r="B1112" s="231" t="str">
        <f>'Planilha Orçamentaria'!A176</f>
        <v>26.1</v>
      </c>
      <c r="C1112" s="232" t="str">
        <f>'Planilha Orçamentaria'!C176</f>
        <v>Limpeza geral e entrega da obra</v>
      </c>
      <c r="D1112" s="228" t="str">
        <f>'Planilha Orçamentaria'!D176</f>
        <v>M2</v>
      </c>
      <c r="E1112" s="135"/>
      <c r="F1112" s="133"/>
      <c r="G1112" s="158"/>
      <c r="H1112" s="135"/>
      <c r="I1112" s="135"/>
      <c r="J1112" s="144"/>
      <c r="K1112" s="159">
        <v>0.23400000000000001</v>
      </c>
      <c r="L1112" s="167">
        <f t="shared" ref="L1112:L1120" si="33">L1111</f>
        <v>1.4842</v>
      </c>
    </row>
    <row r="1113" spans="1:14" s="147" customFormat="1" x14ac:dyDescent="0.2">
      <c r="A1113" s="138"/>
      <c r="B1113" s="124"/>
      <c r="C1113" s="238" t="str">
        <f>C1112</f>
        <v>Limpeza geral e entrega da obra</v>
      </c>
      <c r="D1113" s="157" t="str">
        <f>D1112</f>
        <v>M2</v>
      </c>
      <c r="E1113" s="135">
        <f>2.152*N11</f>
        <v>2.1520000000000001</v>
      </c>
      <c r="F1113" s="133" t="e">
        <f>#REF!</f>
        <v>#REF!</v>
      </c>
      <c r="G1113" s="158">
        <v>1</v>
      </c>
      <c r="H1113" s="135"/>
      <c r="I1113" s="135">
        <f>E1113*G1113</f>
        <v>2.1520000000000001</v>
      </c>
      <c r="J1113" s="144"/>
      <c r="K1113" s="159">
        <v>0.23400000000000001</v>
      </c>
      <c r="L1113" s="167">
        <f t="shared" si="33"/>
        <v>1.4842</v>
      </c>
    </row>
    <row r="1114" spans="1:14" s="147" customFormat="1" x14ac:dyDescent="0.2">
      <c r="A1114" s="138"/>
      <c r="B1114" s="124"/>
      <c r="C1114" s="169" t="s">
        <v>434</v>
      </c>
      <c r="D1114" s="157" t="s">
        <v>425</v>
      </c>
      <c r="E1114" s="135">
        <f>3.77*N11</f>
        <v>3.77</v>
      </c>
      <c r="F1114" s="233"/>
      <c r="G1114" s="158">
        <v>0.09</v>
      </c>
      <c r="H1114" s="135">
        <f>E1114*G1114</f>
        <v>0.33929999999999999</v>
      </c>
      <c r="I1114" s="187"/>
      <c r="J1114" s="144"/>
      <c r="K1114" s="159">
        <v>0.23400000000000001</v>
      </c>
      <c r="L1114" s="167">
        <f t="shared" si="33"/>
        <v>1.4842</v>
      </c>
    </row>
    <row r="1115" spans="1:14" s="147" customFormat="1" x14ac:dyDescent="0.2">
      <c r="A1115" s="138"/>
      <c r="B1115" s="124"/>
      <c r="C1115" s="169"/>
      <c r="D1115" s="157"/>
      <c r="E1115" s="135"/>
      <c r="F1115" s="133"/>
      <c r="G1115" s="158"/>
      <c r="H1115" s="135"/>
      <c r="I1115" s="135"/>
      <c r="J1115" s="144"/>
      <c r="K1115" s="159">
        <v>0.23400000000000001</v>
      </c>
      <c r="L1115" s="167">
        <f t="shared" si="33"/>
        <v>1.4842</v>
      </c>
    </row>
    <row r="1116" spans="1:14" s="147" customFormat="1" x14ac:dyDescent="0.2">
      <c r="A1116" s="138"/>
      <c r="B1116" s="124"/>
      <c r="C1116" s="169"/>
      <c r="D1116" s="157"/>
      <c r="E1116" s="653" t="str">
        <f>E1097</f>
        <v>Custo Direto</v>
      </c>
      <c r="F1116" s="653"/>
      <c r="G1116" s="653"/>
      <c r="H1116" s="172">
        <f>SUM(H1113:H1115)</f>
        <v>0.33929999999999999</v>
      </c>
      <c r="I1116" s="172">
        <f>SUM(I1113:I1115)</f>
        <v>2.1520000000000001</v>
      </c>
      <c r="J1116" s="144"/>
      <c r="K1116" s="159">
        <v>0.23400000000000001</v>
      </c>
      <c r="L1116" s="167">
        <f t="shared" si="33"/>
        <v>1.4842</v>
      </c>
    </row>
    <row r="1117" spans="1:14" s="147" customFormat="1" x14ac:dyDescent="0.2">
      <c r="A1117" s="138"/>
      <c r="B1117" s="124"/>
      <c r="C1117" s="169"/>
      <c r="D1117" s="157"/>
      <c r="E1117" s="653" t="str">
        <f>E1098</f>
        <v>LS(%): 148,42</v>
      </c>
      <c r="F1117" s="653"/>
      <c r="G1117" s="653"/>
      <c r="H1117" s="135">
        <f>SUM(H1114:H1115)*L1117</f>
        <v>0.50358905999999992</v>
      </c>
      <c r="I1117" s="141"/>
      <c r="J1117" s="144"/>
      <c r="K1117" s="159">
        <v>0.23400000000000001</v>
      </c>
      <c r="L1117" s="167">
        <f t="shared" si="33"/>
        <v>1.4842</v>
      </c>
    </row>
    <row r="1118" spans="1:14" s="147" customFormat="1" x14ac:dyDescent="0.2">
      <c r="A1118" s="138"/>
      <c r="B1118" s="124"/>
      <c r="C1118" s="169"/>
      <c r="D1118" s="157"/>
      <c r="E1118" s="653" t="str">
        <f>E1099</f>
        <v>BDI (%): 23,40</v>
      </c>
      <c r="F1118" s="653"/>
      <c r="G1118" s="653"/>
      <c r="H1118" s="654">
        <f>(H1116+I1116+H1117)*K1118</f>
        <v>0.70080404004000008</v>
      </c>
      <c r="I1118" s="654"/>
      <c r="J1118" s="144"/>
      <c r="K1118" s="159">
        <v>0.23400000000000001</v>
      </c>
      <c r="L1118" s="167">
        <f t="shared" si="33"/>
        <v>1.4842</v>
      </c>
    </row>
    <row r="1119" spans="1:14" s="147" customFormat="1" x14ac:dyDescent="0.2">
      <c r="A1119" s="138"/>
      <c r="B1119" s="124"/>
      <c r="C1119" s="169"/>
      <c r="D1119" s="157"/>
      <c r="E1119" s="653" t="str">
        <f>E1100</f>
        <v>Valor Total c/ Taxas</v>
      </c>
      <c r="F1119" s="653"/>
      <c r="G1119" s="653"/>
      <c r="H1119" s="135"/>
      <c r="I1119" s="172">
        <f>(H1116+I1116+H1117+H1118)</f>
        <v>3.6956931000400002</v>
      </c>
      <c r="J1119" s="144"/>
      <c r="K1119" s="159">
        <v>0.23400000000000001</v>
      </c>
      <c r="L1119" s="167">
        <f t="shared" si="33"/>
        <v>1.4842</v>
      </c>
      <c r="N1119" s="531">
        <f>'Planilha Orçamentaria'!G176</f>
        <v>3.6956931000400002</v>
      </c>
    </row>
    <row r="1120" spans="1:14" s="147" customFormat="1" x14ac:dyDescent="0.2">
      <c r="A1120" s="138"/>
      <c r="B1120" s="124"/>
      <c r="C1120" s="169"/>
      <c r="D1120" s="157"/>
      <c r="E1120" s="135"/>
      <c r="F1120" s="133"/>
      <c r="G1120" s="158"/>
      <c r="H1120" s="135"/>
      <c r="I1120" s="135"/>
      <c r="J1120" s="144"/>
      <c r="K1120" s="159">
        <v>0.23400000000000001</v>
      </c>
      <c r="L1120" s="167">
        <f t="shared" si="33"/>
        <v>1.4842</v>
      </c>
    </row>
    <row r="1121" spans="3:9" x14ac:dyDescent="0.25">
      <c r="C1121" s="161"/>
      <c r="D1121" s="162"/>
      <c r="E1121" s="198"/>
      <c r="F1121" s="164"/>
      <c r="G1121" s="165"/>
      <c r="H1121" s="198"/>
      <c r="I1121" s="198"/>
    </row>
    <row r="1122" spans="3:9" x14ac:dyDescent="0.25">
      <c r="C1122" s="161"/>
      <c r="D1122" s="162"/>
      <c r="E1122" s="198"/>
      <c r="F1122" s="164"/>
      <c r="G1122" s="165"/>
      <c r="H1122" s="198"/>
      <c r="I1122" s="198"/>
    </row>
  </sheetData>
  <dataConsolidate/>
  <mergeCells count="501">
    <mergeCell ref="E480:G480"/>
    <mergeCell ref="E481:G481"/>
    <mergeCell ref="H481:I481"/>
    <mergeCell ref="E383:G383"/>
    <mergeCell ref="E384:G384"/>
    <mergeCell ref="E385:G385"/>
    <mergeCell ref="H385:I385"/>
    <mergeCell ref="E386:G386"/>
    <mergeCell ref="E394:G394"/>
    <mergeCell ref="E405:G405"/>
    <mergeCell ref="E406:G406"/>
    <mergeCell ref="E407:G407"/>
    <mergeCell ref="H407:I407"/>
    <mergeCell ref="E408:G408"/>
    <mergeCell ref="E416:G416"/>
    <mergeCell ref="E417:G417"/>
    <mergeCell ref="E418:G418"/>
    <mergeCell ref="H418:I418"/>
    <mergeCell ref="E419:G419"/>
    <mergeCell ref="E426:G426"/>
    <mergeCell ref="E436:G436"/>
    <mergeCell ref="E437:G437"/>
    <mergeCell ref="E439:G439"/>
    <mergeCell ref="E469:G469"/>
    <mergeCell ref="E470:G470"/>
    <mergeCell ref="E471:G471"/>
    <mergeCell ref="H471:I471"/>
    <mergeCell ref="E85:G85"/>
    <mergeCell ref="E482:G482"/>
    <mergeCell ref="E303:G303"/>
    <mergeCell ref="E304:G304"/>
    <mergeCell ref="H304:I304"/>
    <mergeCell ref="E305:G305"/>
    <mergeCell ref="E322:G322"/>
    <mergeCell ref="E323:G323"/>
    <mergeCell ref="E324:G324"/>
    <mergeCell ref="H324:I324"/>
    <mergeCell ref="E110:G110"/>
    <mergeCell ref="H110:I110"/>
    <mergeCell ref="E111:G111"/>
    <mergeCell ref="E120:G120"/>
    <mergeCell ref="E121:G121"/>
    <mergeCell ref="E122:G122"/>
    <mergeCell ref="H122:I122"/>
    <mergeCell ref="E472:G472"/>
    <mergeCell ref="E479:G479"/>
    <mergeCell ref="E489:G489"/>
    <mergeCell ref="E490:G490"/>
    <mergeCell ref="E491:G491"/>
    <mergeCell ref="H491:I491"/>
    <mergeCell ref="E492:G492"/>
    <mergeCell ref="H375:I375"/>
    <mergeCell ref="E376:G376"/>
    <mergeCell ref="E395:G395"/>
    <mergeCell ref="E396:G396"/>
    <mergeCell ref="H396:I396"/>
    <mergeCell ref="E397:G397"/>
    <mergeCell ref="E449:G449"/>
    <mergeCell ref="E450:G450"/>
    <mergeCell ref="E451:G451"/>
    <mergeCell ref="H451:I451"/>
    <mergeCell ref="E452:G452"/>
    <mergeCell ref="E459:G459"/>
    <mergeCell ref="E460:G460"/>
    <mergeCell ref="E461:G461"/>
    <mergeCell ref="H461:I461"/>
    <mergeCell ref="E462:G462"/>
    <mergeCell ref="E427:G427"/>
    <mergeCell ref="E438:G438"/>
    <mergeCell ref="H438:I438"/>
    <mergeCell ref="B1:I4"/>
    <mergeCell ref="C11:I11"/>
    <mergeCell ref="A13:A14"/>
    <mergeCell ref="B13:B14"/>
    <mergeCell ref="C13:C14"/>
    <mergeCell ref="D13:D14"/>
    <mergeCell ref="E13:E14"/>
    <mergeCell ref="G13:G14"/>
    <mergeCell ref="H13:I13"/>
    <mergeCell ref="E195:G195"/>
    <mergeCell ref="E196:G196"/>
    <mergeCell ref="E172:G172"/>
    <mergeCell ref="E173:G173"/>
    <mergeCell ref="E174:G174"/>
    <mergeCell ref="H174:I174"/>
    <mergeCell ref="E175:G175"/>
    <mergeCell ref="E180:G180"/>
    <mergeCell ref="E123:G123"/>
    <mergeCell ref="E159:G159"/>
    <mergeCell ref="E160:G160"/>
    <mergeCell ref="E161:G161"/>
    <mergeCell ref="H161:I161"/>
    <mergeCell ref="E162:G162"/>
    <mergeCell ref="E86:G86"/>
    <mergeCell ref="E87:G87"/>
    <mergeCell ref="H87:I87"/>
    <mergeCell ref="E88:G88"/>
    <mergeCell ref="E97:G97"/>
    <mergeCell ref="E181:G181"/>
    <mergeCell ref="E182:G182"/>
    <mergeCell ref="H182:I182"/>
    <mergeCell ref="E183:G183"/>
    <mergeCell ref="E98:G98"/>
    <mergeCell ref="E99:G99"/>
    <mergeCell ref="H99:I99"/>
    <mergeCell ref="E100:G100"/>
    <mergeCell ref="E108:G108"/>
    <mergeCell ref="E109:G109"/>
    <mergeCell ref="E207:G207"/>
    <mergeCell ref="E213:G213"/>
    <mergeCell ref="E214:G214"/>
    <mergeCell ref="E215:G215"/>
    <mergeCell ref="H215:I215"/>
    <mergeCell ref="E216:G216"/>
    <mergeCell ref="E325:G325"/>
    <mergeCell ref="E261:G261"/>
    <mergeCell ref="E258:G258"/>
    <mergeCell ref="E259:G259"/>
    <mergeCell ref="E260:G260"/>
    <mergeCell ref="H260:I260"/>
    <mergeCell ref="E267:G267"/>
    <mergeCell ref="H251:I251"/>
    <mergeCell ref="E252:G252"/>
    <mergeCell ref="E288:G288"/>
    <mergeCell ref="E294:G294"/>
    <mergeCell ref="E295:G295"/>
    <mergeCell ref="E296:G296"/>
    <mergeCell ref="H296:I296"/>
    <mergeCell ref="E297:G297"/>
    <mergeCell ref="E278:G278"/>
    <mergeCell ref="H278:I278"/>
    <mergeCell ref="E302:G302"/>
    <mergeCell ref="E243:G243"/>
    <mergeCell ref="E249:G249"/>
    <mergeCell ref="E250:G250"/>
    <mergeCell ref="E251:G251"/>
    <mergeCell ref="E222:G222"/>
    <mergeCell ref="E223:G223"/>
    <mergeCell ref="E224:G224"/>
    <mergeCell ref="H224:I224"/>
    <mergeCell ref="E225:G225"/>
    <mergeCell ref="E231:G231"/>
    <mergeCell ref="E524:G524"/>
    <mergeCell ref="H524:I524"/>
    <mergeCell ref="E501:G501"/>
    <mergeCell ref="E502:G502"/>
    <mergeCell ref="H502:I502"/>
    <mergeCell ref="E342:G342"/>
    <mergeCell ref="E343:G343"/>
    <mergeCell ref="E344:G344"/>
    <mergeCell ref="H344:I344"/>
    <mergeCell ref="E345:G345"/>
    <mergeCell ref="E362:G362"/>
    <mergeCell ref="E363:G363"/>
    <mergeCell ref="E364:G364"/>
    <mergeCell ref="H364:I364"/>
    <mergeCell ref="E365:G365"/>
    <mergeCell ref="E373:G373"/>
    <mergeCell ref="E374:G374"/>
    <mergeCell ref="E375:G375"/>
    <mergeCell ref="E503:G503"/>
    <mergeCell ref="E511:G511"/>
    <mergeCell ref="E512:G512"/>
    <mergeCell ref="E428:G428"/>
    <mergeCell ref="H428:I428"/>
    <mergeCell ref="E429:G429"/>
    <mergeCell ref="E500:G500"/>
    <mergeCell ref="E713:G713"/>
    <mergeCell ref="E722:G722"/>
    <mergeCell ref="E723:G723"/>
    <mergeCell ref="E702:G702"/>
    <mergeCell ref="E703:G703"/>
    <mergeCell ref="E712:G712"/>
    <mergeCell ref="E704:G704"/>
    <mergeCell ref="H704:I704"/>
    <mergeCell ref="E705:G705"/>
    <mergeCell ref="E714:G714"/>
    <mergeCell ref="H714:I714"/>
    <mergeCell ref="E715:G715"/>
    <mergeCell ref="E525:G525"/>
    <mergeCell ref="E533:G533"/>
    <mergeCell ref="E534:G534"/>
    <mergeCell ref="E535:G535"/>
    <mergeCell ref="H535:I535"/>
    <mergeCell ref="E536:G536"/>
    <mergeCell ref="E513:G513"/>
    <mergeCell ref="H513:I513"/>
    <mergeCell ref="E514:G514"/>
    <mergeCell ref="E522:G522"/>
    <mergeCell ref="E523:G523"/>
    <mergeCell ref="E600:G600"/>
    <mergeCell ref="E589:G589"/>
    <mergeCell ref="E577:G577"/>
    <mergeCell ref="H577:I577"/>
    <mergeCell ref="E578:G578"/>
    <mergeCell ref="E586:G586"/>
    <mergeCell ref="E587:G587"/>
    <mergeCell ref="E588:G588"/>
    <mergeCell ref="H588:I588"/>
    <mergeCell ref="E544:G544"/>
    <mergeCell ref="E545:G545"/>
    <mergeCell ref="E546:G546"/>
    <mergeCell ref="H546:I546"/>
    <mergeCell ref="E547:G547"/>
    <mergeCell ref="E554:G554"/>
    <mergeCell ref="E597:G597"/>
    <mergeCell ref="E598:G598"/>
    <mergeCell ref="E599:G599"/>
    <mergeCell ref="H599:I599"/>
    <mergeCell ref="E566:G566"/>
    <mergeCell ref="E567:G567"/>
    <mergeCell ref="H567:I567"/>
    <mergeCell ref="E568:G568"/>
    <mergeCell ref="E575:G575"/>
    <mergeCell ref="E576:G576"/>
    <mergeCell ref="E555:G555"/>
    <mergeCell ref="E556:G556"/>
    <mergeCell ref="H556:I556"/>
    <mergeCell ref="E557:G557"/>
    <mergeCell ref="E564:G564"/>
    <mergeCell ref="E565:G565"/>
    <mergeCell ref="E755:G755"/>
    <mergeCell ref="E762:G762"/>
    <mergeCell ref="E763:G763"/>
    <mergeCell ref="E764:G764"/>
    <mergeCell ref="H764:I764"/>
    <mergeCell ref="E765:G765"/>
    <mergeCell ref="E694:G694"/>
    <mergeCell ref="H694:I694"/>
    <mergeCell ref="E695:G695"/>
    <mergeCell ref="E752:G752"/>
    <mergeCell ref="E753:G753"/>
    <mergeCell ref="E754:G754"/>
    <mergeCell ref="H754:I754"/>
    <mergeCell ref="E742:G742"/>
    <mergeCell ref="E743:G743"/>
    <mergeCell ref="E744:G744"/>
    <mergeCell ref="H744:I744"/>
    <mergeCell ref="E745:G745"/>
    <mergeCell ref="E724:G724"/>
    <mergeCell ref="H724:I724"/>
    <mergeCell ref="E725:G725"/>
    <mergeCell ref="E732:G732"/>
    <mergeCell ref="E733:G733"/>
    <mergeCell ref="E734:G734"/>
    <mergeCell ref="E783:G783"/>
    <mergeCell ref="E784:G784"/>
    <mergeCell ref="H784:I784"/>
    <mergeCell ref="E785:G785"/>
    <mergeCell ref="E792:G792"/>
    <mergeCell ref="E793:G793"/>
    <mergeCell ref="E772:G772"/>
    <mergeCell ref="E773:G773"/>
    <mergeCell ref="E774:G774"/>
    <mergeCell ref="H774:I774"/>
    <mergeCell ref="E775:G775"/>
    <mergeCell ref="E782:G782"/>
    <mergeCell ref="E805:G805"/>
    <mergeCell ref="E812:G812"/>
    <mergeCell ref="E813:G813"/>
    <mergeCell ref="E814:G814"/>
    <mergeCell ref="H814:I814"/>
    <mergeCell ref="E815:G815"/>
    <mergeCell ref="E794:G794"/>
    <mergeCell ref="H794:I794"/>
    <mergeCell ref="E795:G795"/>
    <mergeCell ref="E802:G802"/>
    <mergeCell ref="E803:G803"/>
    <mergeCell ref="E804:G804"/>
    <mergeCell ref="H804:I804"/>
    <mergeCell ref="E842:G842"/>
    <mergeCell ref="E843:G843"/>
    <mergeCell ref="E833:G833"/>
    <mergeCell ref="E834:G834"/>
    <mergeCell ref="H834:I834"/>
    <mergeCell ref="E835:G835"/>
    <mergeCell ref="E822:G822"/>
    <mergeCell ref="E823:G823"/>
    <mergeCell ref="E824:G824"/>
    <mergeCell ref="H824:I824"/>
    <mergeCell ref="E825:G825"/>
    <mergeCell ref="E832:G832"/>
    <mergeCell ref="E844:G844"/>
    <mergeCell ref="H844:I844"/>
    <mergeCell ref="E845:G845"/>
    <mergeCell ref="E852:G852"/>
    <mergeCell ref="E853:G853"/>
    <mergeCell ref="E854:G854"/>
    <mergeCell ref="H854:I854"/>
    <mergeCell ref="E867:G867"/>
    <mergeCell ref="H867:I867"/>
    <mergeCell ref="E877:G877"/>
    <mergeCell ref="E878:G878"/>
    <mergeCell ref="H878:I878"/>
    <mergeCell ref="E879:G879"/>
    <mergeCell ref="E888:G888"/>
    <mergeCell ref="E889:G889"/>
    <mergeCell ref="E876:G876"/>
    <mergeCell ref="E855:G855"/>
    <mergeCell ref="E865:G865"/>
    <mergeCell ref="E866:G866"/>
    <mergeCell ref="E868:G868"/>
    <mergeCell ref="E869:G869"/>
    <mergeCell ref="E901:G901"/>
    <mergeCell ref="E908:G908"/>
    <mergeCell ref="E909:G909"/>
    <mergeCell ref="E910:G910"/>
    <mergeCell ref="H910:I910"/>
    <mergeCell ref="E911:G911"/>
    <mergeCell ref="E890:G890"/>
    <mergeCell ref="H890:I890"/>
    <mergeCell ref="E891:G891"/>
    <mergeCell ref="E898:G898"/>
    <mergeCell ref="E899:G899"/>
    <mergeCell ref="E900:G900"/>
    <mergeCell ref="H900:I900"/>
    <mergeCell ref="E929:G929"/>
    <mergeCell ref="E930:G930"/>
    <mergeCell ref="H930:I930"/>
    <mergeCell ref="E931:G931"/>
    <mergeCell ref="E938:G938"/>
    <mergeCell ref="E939:G939"/>
    <mergeCell ref="E918:G918"/>
    <mergeCell ref="E919:G919"/>
    <mergeCell ref="E920:G920"/>
    <mergeCell ref="H920:I920"/>
    <mergeCell ref="E921:G921"/>
    <mergeCell ref="E928:G928"/>
    <mergeCell ref="E952:G952"/>
    <mergeCell ref="E960:G960"/>
    <mergeCell ref="E961:G961"/>
    <mergeCell ref="E962:G962"/>
    <mergeCell ref="H962:I962"/>
    <mergeCell ref="E963:G963"/>
    <mergeCell ref="E940:G940"/>
    <mergeCell ref="H940:I940"/>
    <mergeCell ref="E941:G941"/>
    <mergeCell ref="E949:G949"/>
    <mergeCell ref="E950:G950"/>
    <mergeCell ref="E951:G951"/>
    <mergeCell ref="H951:I951"/>
    <mergeCell ref="E983:G983"/>
    <mergeCell ref="E984:G984"/>
    <mergeCell ref="H984:I984"/>
    <mergeCell ref="E985:G985"/>
    <mergeCell ref="E993:G993"/>
    <mergeCell ref="E994:G994"/>
    <mergeCell ref="E971:G971"/>
    <mergeCell ref="E972:G972"/>
    <mergeCell ref="E973:G973"/>
    <mergeCell ref="H973:I973"/>
    <mergeCell ref="E974:G974"/>
    <mergeCell ref="E982:G982"/>
    <mergeCell ref="E1007:G1007"/>
    <mergeCell ref="E1015:G1015"/>
    <mergeCell ref="E1016:G1016"/>
    <mergeCell ref="E1017:G1017"/>
    <mergeCell ref="H1017:I1017"/>
    <mergeCell ref="E1018:G1018"/>
    <mergeCell ref="E995:G995"/>
    <mergeCell ref="H995:I995"/>
    <mergeCell ref="E996:G996"/>
    <mergeCell ref="E1004:G1004"/>
    <mergeCell ref="E1005:G1005"/>
    <mergeCell ref="E1006:G1006"/>
    <mergeCell ref="H1006:I1006"/>
    <mergeCell ref="E1038:G1038"/>
    <mergeCell ref="E1039:G1039"/>
    <mergeCell ref="H1039:I1039"/>
    <mergeCell ref="E1040:G1040"/>
    <mergeCell ref="E1047:G1047"/>
    <mergeCell ref="E1048:G1048"/>
    <mergeCell ref="E1026:G1026"/>
    <mergeCell ref="E1027:G1027"/>
    <mergeCell ref="E1028:G1028"/>
    <mergeCell ref="H1028:I1028"/>
    <mergeCell ref="E1029:G1029"/>
    <mergeCell ref="E1037:G1037"/>
    <mergeCell ref="E1069:G1069"/>
    <mergeCell ref="H1069:I1069"/>
    <mergeCell ref="E1070:G1070"/>
    <mergeCell ref="E1049:G1049"/>
    <mergeCell ref="H1049:I1049"/>
    <mergeCell ref="E1050:G1050"/>
    <mergeCell ref="E1057:G1057"/>
    <mergeCell ref="E1058:G1058"/>
    <mergeCell ref="E1059:G1059"/>
    <mergeCell ref="H1059:I1059"/>
    <mergeCell ref="E1118:G1118"/>
    <mergeCell ref="H1118:I1118"/>
    <mergeCell ref="E1119:G1119"/>
    <mergeCell ref="E1099:G1099"/>
    <mergeCell ref="H1099:I1099"/>
    <mergeCell ref="E1100:G1100"/>
    <mergeCell ref="E1106:G1106"/>
    <mergeCell ref="E1107:G1107"/>
    <mergeCell ref="E1108:G1108"/>
    <mergeCell ref="H1108:I1108"/>
    <mergeCell ref="E48:G48"/>
    <mergeCell ref="E49:G49"/>
    <mergeCell ref="E50:G50"/>
    <mergeCell ref="H50:I50"/>
    <mergeCell ref="E51:G51"/>
    <mergeCell ref="E61:G61"/>
    <mergeCell ref="E1109:G1109"/>
    <mergeCell ref="E1116:G1116"/>
    <mergeCell ref="E1117:G1117"/>
    <mergeCell ref="E1088:G1088"/>
    <mergeCell ref="E1089:G1089"/>
    <mergeCell ref="H1089:I1089"/>
    <mergeCell ref="E1090:G1090"/>
    <mergeCell ref="E1097:G1097"/>
    <mergeCell ref="E1098:G1098"/>
    <mergeCell ref="E1077:G1077"/>
    <mergeCell ref="E1078:G1078"/>
    <mergeCell ref="E1079:G1079"/>
    <mergeCell ref="H1079:I1079"/>
    <mergeCell ref="E1080:G1080"/>
    <mergeCell ref="E1087:G1087"/>
    <mergeCell ref="E1060:G1060"/>
    <mergeCell ref="E1067:G1067"/>
    <mergeCell ref="E1068:G1068"/>
    <mergeCell ref="E74:G74"/>
    <mergeCell ref="H74:I74"/>
    <mergeCell ref="E75:G75"/>
    <mergeCell ref="E240:G240"/>
    <mergeCell ref="E241:G241"/>
    <mergeCell ref="E242:G242"/>
    <mergeCell ref="H242:I242"/>
    <mergeCell ref="E62:G62"/>
    <mergeCell ref="E63:G63"/>
    <mergeCell ref="H63:I63"/>
    <mergeCell ref="E64:G64"/>
    <mergeCell ref="E72:G72"/>
    <mergeCell ref="E73:G73"/>
    <mergeCell ref="E232:G232"/>
    <mergeCell ref="E233:G233"/>
    <mergeCell ref="H233:I233"/>
    <mergeCell ref="E234:G234"/>
    <mergeCell ref="E197:G197"/>
    <mergeCell ref="H197:I197"/>
    <mergeCell ref="E198:G198"/>
    <mergeCell ref="E204:G204"/>
    <mergeCell ref="E205:G205"/>
    <mergeCell ref="E206:G206"/>
    <mergeCell ref="H206:I206"/>
    <mergeCell ref="E610:G610"/>
    <mergeCell ref="E611:G611"/>
    <mergeCell ref="E612:G612"/>
    <mergeCell ref="H612:I612"/>
    <mergeCell ref="E613:G613"/>
    <mergeCell ref="E620:G620"/>
    <mergeCell ref="E660:G660"/>
    <mergeCell ref="E661:G661"/>
    <mergeCell ref="E662:G662"/>
    <mergeCell ref="H662:I662"/>
    <mergeCell ref="E643:G643"/>
    <mergeCell ref="E650:G650"/>
    <mergeCell ref="E651:G651"/>
    <mergeCell ref="E652:G652"/>
    <mergeCell ref="H652:I652"/>
    <mergeCell ref="E653:G653"/>
    <mergeCell ref="E632:G632"/>
    <mergeCell ref="H632:I632"/>
    <mergeCell ref="E633:G633"/>
    <mergeCell ref="E640:G640"/>
    <mergeCell ref="E641:G641"/>
    <mergeCell ref="E642:G642"/>
    <mergeCell ref="H642:I642"/>
    <mergeCell ref="H734:I734"/>
    <mergeCell ref="E735:G735"/>
    <mergeCell ref="E621:G621"/>
    <mergeCell ref="E622:G622"/>
    <mergeCell ref="H622:I622"/>
    <mergeCell ref="E623:G623"/>
    <mergeCell ref="E630:G630"/>
    <mergeCell ref="E631:G631"/>
    <mergeCell ref="E683:G683"/>
    <mergeCell ref="E684:G684"/>
    <mergeCell ref="H684:I684"/>
    <mergeCell ref="E685:G685"/>
    <mergeCell ref="E692:G692"/>
    <mergeCell ref="E693:G693"/>
    <mergeCell ref="E663:G663"/>
    <mergeCell ref="E682:G682"/>
    <mergeCell ref="E673:G673"/>
    <mergeCell ref="E670:G670"/>
    <mergeCell ref="E671:G671"/>
    <mergeCell ref="E672:G672"/>
    <mergeCell ref="H672:I672"/>
    <mergeCell ref="E279:G279"/>
    <mergeCell ref="E285:G285"/>
    <mergeCell ref="E286:G286"/>
    <mergeCell ref="E287:G287"/>
    <mergeCell ref="H287:I287"/>
    <mergeCell ref="E268:G268"/>
    <mergeCell ref="E269:G269"/>
    <mergeCell ref="H269:I269"/>
    <mergeCell ref="E270:G270"/>
    <mergeCell ref="E276:G276"/>
    <mergeCell ref="E277:G277"/>
  </mergeCells>
  <pageMargins left="0.51181102362204722" right="0.39370078740157483" top="0.59055118110236227" bottom="0.78740157480314965" header="0.31496062992125984" footer="0.31496062992125984"/>
  <pageSetup paperSize="9" scale="53" orientation="portrait" r:id="rId1"/>
  <rowBreaks count="11" manualBreakCount="11">
    <brk id="52" min="1" max="8" man="1"/>
    <brk id="270" min="1" max="8" man="1"/>
    <brk id="387" min="1" max="8" man="1"/>
    <brk id="463" min="1" max="8" man="1"/>
    <brk id="537" min="1" max="8" man="1"/>
    <brk id="613" min="1" max="8" man="1"/>
    <brk id="687" min="1" max="8" man="1"/>
    <brk id="765" min="1" max="8" man="1"/>
    <brk id="855" min="1" max="8" man="1"/>
    <brk id="942" min="1" max="8" man="1"/>
    <brk id="1040" min="1" max="8" man="1"/>
  </rowBreaks>
  <ignoredErrors>
    <ignoredError sqref="L262 L356 L953 L1030 L1061 L1110 L1071" formula="1"/>
    <ignoredError sqref="H489:I492 L505 E511:G514 L924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view="pageBreakPreview" topLeftCell="A10" zoomScaleNormal="100" zoomScaleSheetLayoutView="100" workbookViewId="0">
      <selection activeCell="B58" sqref="B58"/>
    </sheetView>
  </sheetViews>
  <sheetFormatPr defaultRowHeight="12.75" x14ac:dyDescent="0.2"/>
  <cols>
    <col min="1" max="1" width="6.6640625" style="86" customWidth="1"/>
    <col min="2" max="2" width="76.6640625" style="86" customWidth="1"/>
    <col min="3" max="3" width="14.83203125" style="86" customWidth="1"/>
    <col min="4" max="4" width="9.33203125" style="86"/>
    <col min="5" max="5" width="11.5" style="86" bestFit="1" customWidth="1"/>
    <col min="6" max="255" width="9.33203125" style="86"/>
    <col min="256" max="256" width="6.6640625" style="86" customWidth="1"/>
    <col min="257" max="257" width="76.6640625" style="86" customWidth="1"/>
    <col min="258" max="259" width="7.83203125" style="86" customWidth="1"/>
    <col min="260" max="260" width="9.33203125" style="86"/>
    <col min="261" max="261" width="11.5" style="86" bestFit="1" customWidth="1"/>
    <col min="262" max="511" width="9.33203125" style="86"/>
    <col min="512" max="512" width="6.6640625" style="86" customWidth="1"/>
    <col min="513" max="513" width="76.6640625" style="86" customWidth="1"/>
    <col min="514" max="515" width="7.83203125" style="86" customWidth="1"/>
    <col min="516" max="516" width="9.33203125" style="86"/>
    <col min="517" max="517" width="11.5" style="86" bestFit="1" customWidth="1"/>
    <col min="518" max="767" width="9.33203125" style="86"/>
    <col min="768" max="768" width="6.6640625" style="86" customWidth="1"/>
    <col min="769" max="769" width="76.6640625" style="86" customWidth="1"/>
    <col min="770" max="771" width="7.83203125" style="86" customWidth="1"/>
    <col min="772" max="772" width="9.33203125" style="86"/>
    <col min="773" max="773" width="11.5" style="86" bestFit="1" customWidth="1"/>
    <col min="774" max="1023" width="9.33203125" style="86"/>
    <col min="1024" max="1024" width="6.6640625" style="86" customWidth="1"/>
    <col min="1025" max="1025" width="76.6640625" style="86" customWidth="1"/>
    <col min="1026" max="1027" width="7.83203125" style="86" customWidth="1"/>
    <col min="1028" max="1028" width="9.33203125" style="86"/>
    <col min="1029" max="1029" width="11.5" style="86" bestFit="1" customWidth="1"/>
    <col min="1030" max="1279" width="9.33203125" style="86"/>
    <col min="1280" max="1280" width="6.6640625" style="86" customWidth="1"/>
    <col min="1281" max="1281" width="76.6640625" style="86" customWidth="1"/>
    <col min="1282" max="1283" width="7.83203125" style="86" customWidth="1"/>
    <col min="1284" max="1284" width="9.33203125" style="86"/>
    <col min="1285" max="1285" width="11.5" style="86" bestFit="1" customWidth="1"/>
    <col min="1286" max="1535" width="9.33203125" style="86"/>
    <col min="1536" max="1536" width="6.6640625" style="86" customWidth="1"/>
    <col min="1537" max="1537" width="76.6640625" style="86" customWidth="1"/>
    <col min="1538" max="1539" width="7.83203125" style="86" customWidth="1"/>
    <col min="1540" max="1540" width="9.33203125" style="86"/>
    <col min="1541" max="1541" width="11.5" style="86" bestFit="1" customWidth="1"/>
    <col min="1542" max="1791" width="9.33203125" style="86"/>
    <col min="1792" max="1792" width="6.6640625" style="86" customWidth="1"/>
    <col min="1793" max="1793" width="76.6640625" style="86" customWidth="1"/>
    <col min="1794" max="1795" width="7.83203125" style="86" customWidth="1"/>
    <col min="1796" max="1796" width="9.33203125" style="86"/>
    <col min="1797" max="1797" width="11.5" style="86" bestFit="1" customWidth="1"/>
    <col min="1798" max="2047" width="9.33203125" style="86"/>
    <col min="2048" max="2048" width="6.6640625" style="86" customWidth="1"/>
    <col min="2049" max="2049" width="76.6640625" style="86" customWidth="1"/>
    <col min="2050" max="2051" width="7.83203125" style="86" customWidth="1"/>
    <col min="2052" max="2052" width="9.33203125" style="86"/>
    <col min="2053" max="2053" width="11.5" style="86" bestFit="1" customWidth="1"/>
    <col min="2054" max="2303" width="9.33203125" style="86"/>
    <col min="2304" max="2304" width="6.6640625" style="86" customWidth="1"/>
    <col min="2305" max="2305" width="76.6640625" style="86" customWidth="1"/>
    <col min="2306" max="2307" width="7.83203125" style="86" customWidth="1"/>
    <col min="2308" max="2308" width="9.33203125" style="86"/>
    <col min="2309" max="2309" width="11.5" style="86" bestFit="1" customWidth="1"/>
    <col min="2310" max="2559" width="9.33203125" style="86"/>
    <col min="2560" max="2560" width="6.6640625" style="86" customWidth="1"/>
    <col min="2561" max="2561" width="76.6640625" style="86" customWidth="1"/>
    <col min="2562" max="2563" width="7.83203125" style="86" customWidth="1"/>
    <col min="2564" max="2564" width="9.33203125" style="86"/>
    <col min="2565" max="2565" width="11.5" style="86" bestFit="1" customWidth="1"/>
    <col min="2566" max="2815" width="9.33203125" style="86"/>
    <col min="2816" max="2816" width="6.6640625" style="86" customWidth="1"/>
    <col min="2817" max="2817" width="76.6640625" style="86" customWidth="1"/>
    <col min="2818" max="2819" width="7.83203125" style="86" customWidth="1"/>
    <col min="2820" max="2820" width="9.33203125" style="86"/>
    <col min="2821" max="2821" width="11.5" style="86" bestFit="1" customWidth="1"/>
    <col min="2822" max="3071" width="9.33203125" style="86"/>
    <col min="3072" max="3072" width="6.6640625" style="86" customWidth="1"/>
    <col min="3073" max="3073" width="76.6640625" style="86" customWidth="1"/>
    <col min="3074" max="3075" width="7.83203125" style="86" customWidth="1"/>
    <col min="3076" max="3076" width="9.33203125" style="86"/>
    <col min="3077" max="3077" width="11.5" style="86" bestFit="1" customWidth="1"/>
    <col min="3078" max="3327" width="9.33203125" style="86"/>
    <col min="3328" max="3328" width="6.6640625" style="86" customWidth="1"/>
    <col min="3329" max="3329" width="76.6640625" style="86" customWidth="1"/>
    <col min="3330" max="3331" width="7.83203125" style="86" customWidth="1"/>
    <col min="3332" max="3332" width="9.33203125" style="86"/>
    <col min="3333" max="3333" width="11.5" style="86" bestFit="1" customWidth="1"/>
    <col min="3334" max="3583" width="9.33203125" style="86"/>
    <col min="3584" max="3584" width="6.6640625" style="86" customWidth="1"/>
    <col min="3585" max="3585" width="76.6640625" style="86" customWidth="1"/>
    <col min="3586" max="3587" width="7.83203125" style="86" customWidth="1"/>
    <col min="3588" max="3588" width="9.33203125" style="86"/>
    <col min="3589" max="3589" width="11.5" style="86" bestFit="1" customWidth="1"/>
    <col min="3590" max="3839" width="9.33203125" style="86"/>
    <col min="3840" max="3840" width="6.6640625" style="86" customWidth="1"/>
    <col min="3841" max="3841" width="76.6640625" style="86" customWidth="1"/>
    <col min="3842" max="3843" width="7.83203125" style="86" customWidth="1"/>
    <col min="3844" max="3844" width="9.33203125" style="86"/>
    <col min="3845" max="3845" width="11.5" style="86" bestFit="1" customWidth="1"/>
    <col min="3846" max="4095" width="9.33203125" style="86"/>
    <col min="4096" max="4096" width="6.6640625" style="86" customWidth="1"/>
    <col min="4097" max="4097" width="76.6640625" style="86" customWidth="1"/>
    <col min="4098" max="4099" width="7.83203125" style="86" customWidth="1"/>
    <col min="4100" max="4100" width="9.33203125" style="86"/>
    <col min="4101" max="4101" width="11.5" style="86" bestFit="1" customWidth="1"/>
    <col min="4102" max="4351" width="9.33203125" style="86"/>
    <col min="4352" max="4352" width="6.6640625" style="86" customWidth="1"/>
    <col min="4353" max="4353" width="76.6640625" style="86" customWidth="1"/>
    <col min="4354" max="4355" width="7.83203125" style="86" customWidth="1"/>
    <col min="4356" max="4356" width="9.33203125" style="86"/>
    <col min="4357" max="4357" width="11.5" style="86" bestFit="1" customWidth="1"/>
    <col min="4358" max="4607" width="9.33203125" style="86"/>
    <col min="4608" max="4608" width="6.6640625" style="86" customWidth="1"/>
    <col min="4609" max="4609" width="76.6640625" style="86" customWidth="1"/>
    <col min="4610" max="4611" width="7.83203125" style="86" customWidth="1"/>
    <col min="4612" max="4612" width="9.33203125" style="86"/>
    <col min="4613" max="4613" width="11.5" style="86" bestFit="1" customWidth="1"/>
    <col min="4614" max="4863" width="9.33203125" style="86"/>
    <col min="4864" max="4864" width="6.6640625" style="86" customWidth="1"/>
    <col min="4865" max="4865" width="76.6640625" style="86" customWidth="1"/>
    <col min="4866" max="4867" width="7.83203125" style="86" customWidth="1"/>
    <col min="4868" max="4868" width="9.33203125" style="86"/>
    <col min="4869" max="4869" width="11.5" style="86" bestFit="1" customWidth="1"/>
    <col min="4870" max="5119" width="9.33203125" style="86"/>
    <col min="5120" max="5120" width="6.6640625" style="86" customWidth="1"/>
    <col min="5121" max="5121" width="76.6640625" style="86" customWidth="1"/>
    <col min="5122" max="5123" width="7.83203125" style="86" customWidth="1"/>
    <col min="5124" max="5124" width="9.33203125" style="86"/>
    <col min="5125" max="5125" width="11.5" style="86" bestFit="1" customWidth="1"/>
    <col min="5126" max="5375" width="9.33203125" style="86"/>
    <col min="5376" max="5376" width="6.6640625" style="86" customWidth="1"/>
    <col min="5377" max="5377" width="76.6640625" style="86" customWidth="1"/>
    <col min="5378" max="5379" width="7.83203125" style="86" customWidth="1"/>
    <col min="5380" max="5380" width="9.33203125" style="86"/>
    <col min="5381" max="5381" width="11.5" style="86" bestFit="1" customWidth="1"/>
    <col min="5382" max="5631" width="9.33203125" style="86"/>
    <col min="5632" max="5632" width="6.6640625" style="86" customWidth="1"/>
    <col min="5633" max="5633" width="76.6640625" style="86" customWidth="1"/>
    <col min="5634" max="5635" width="7.83203125" style="86" customWidth="1"/>
    <col min="5636" max="5636" width="9.33203125" style="86"/>
    <col min="5637" max="5637" width="11.5" style="86" bestFit="1" customWidth="1"/>
    <col min="5638" max="5887" width="9.33203125" style="86"/>
    <col min="5888" max="5888" width="6.6640625" style="86" customWidth="1"/>
    <col min="5889" max="5889" width="76.6640625" style="86" customWidth="1"/>
    <col min="5890" max="5891" width="7.83203125" style="86" customWidth="1"/>
    <col min="5892" max="5892" width="9.33203125" style="86"/>
    <col min="5893" max="5893" width="11.5" style="86" bestFit="1" customWidth="1"/>
    <col min="5894" max="6143" width="9.33203125" style="86"/>
    <col min="6144" max="6144" width="6.6640625" style="86" customWidth="1"/>
    <col min="6145" max="6145" width="76.6640625" style="86" customWidth="1"/>
    <col min="6146" max="6147" width="7.83203125" style="86" customWidth="1"/>
    <col min="6148" max="6148" width="9.33203125" style="86"/>
    <col min="6149" max="6149" width="11.5" style="86" bestFit="1" customWidth="1"/>
    <col min="6150" max="6399" width="9.33203125" style="86"/>
    <col min="6400" max="6400" width="6.6640625" style="86" customWidth="1"/>
    <col min="6401" max="6401" width="76.6640625" style="86" customWidth="1"/>
    <col min="6402" max="6403" width="7.83203125" style="86" customWidth="1"/>
    <col min="6404" max="6404" width="9.33203125" style="86"/>
    <col min="6405" max="6405" width="11.5" style="86" bestFit="1" customWidth="1"/>
    <col min="6406" max="6655" width="9.33203125" style="86"/>
    <col min="6656" max="6656" width="6.6640625" style="86" customWidth="1"/>
    <col min="6657" max="6657" width="76.6640625" style="86" customWidth="1"/>
    <col min="6658" max="6659" width="7.83203125" style="86" customWidth="1"/>
    <col min="6660" max="6660" width="9.33203125" style="86"/>
    <col min="6661" max="6661" width="11.5" style="86" bestFit="1" customWidth="1"/>
    <col min="6662" max="6911" width="9.33203125" style="86"/>
    <col min="6912" max="6912" width="6.6640625" style="86" customWidth="1"/>
    <col min="6913" max="6913" width="76.6640625" style="86" customWidth="1"/>
    <col min="6914" max="6915" width="7.83203125" style="86" customWidth="1"/>
    <col min="6916" max="6916" width="9.33203125" style="86"/>
    <col min="6917" max="6917" width="11.5" style="86" bestFit="1" customWidth="1"/>
    <col min="6918" max="7167" width="9.33203125" style="86"/>
    <col min="7168" max="7168" width="6.6640625" style="86" customWidth="1"/>
    <col min="7169" max="7169" width="76.6640625" style="86" customWidth="1"/>
    <col min="7170" max="7171" width="7.83203125" style="86" customWidth="1"/>
    <col min="7172" max="7172" width="9.33203125" style="86"/>
    <col min="7173" max="7173" width="11.5" style="86" bestFit="1" customWidth="1"/>
    <col min="7174" max="7423" width="9.33203125" style="86"/>
    <col min="7424" max="7424" width="6.6640625" style="86" customWidth="1"/>
    <col min="7425" max="7425" width="76.6640625" style="86" customWidth="1"/>
    <col min="7426" max="7427" width="7.83203125" style="86" customWidth="1"/>
    <col min="7428" max="7428" width="9.33203125" style="86"/>
    <col min="7429" max="7429" width="11.5" style="86" bestFit="1" customWidth="1"/>
    <col min="7430" max="7679" width="9.33203125" style="86"/>
    <col min="7680" max="7680" width="6.6640625" style="86" customWidth="1"/>
    <col min="7681" max="7681" width="76.6640625" style="86" customWidth="1"/>
    <col min="7682" max="7683" width="7.83203125" style="86" customWidth="1"/>
    <col min="7684" max="7684" width="9.33203125" style="86"/>
    <col min="7685" max="7685" width="11.5" style="86" bestFit="1" customWidth="1"/>
    <col min="7686" max="7935" width="9.33203125" style="86"/>
    <col min="7936" max="7936" width="6.6640625" style="86" customWidth="1"/>
    <col min="7937" max="7937" width="76.6640625" style="86" customWidth="1"/>
    <col min="7938" max="7939" width="7.83203125" style="86" customWidth="1"/>
    <col min="7940" max="7940" width="9.33203125" style="86"/>
    <col min="7941" max="7941" width="11.5" style="86" bestFit="1" customWidth="1"/>
    <col min="7942" max="8191" width="9.33203125" style="86"/>
    <col min="8192" max="8192" width="6.6640625" style="86" customWidth="1"/>
    <col min="8193" max="8193" width="76.6640625" style="86" customWidth="1"/>
    <col min="8194" max="8195" width="7.83203125" style="86" customWidth="1"/>
    <col min="8196" max="8196" width="9.33203125" style="86"/>
    <col min="8197" max="8197" width="11.5" style="86" bestFit="1" customWidth="1"/>
    <col min="8198" max="8447" width="9.33203125" style="86"/>
    <col min="8448" max="8448" width="6.6640625" style="86" customWidth="1"/>
    <col min="8449" max="8449" width="76.6640625" style="86" customWidth="1"/>
    <col min="8450" max="8451" width="7.83203125" style="86" customWidth="1"/>
    <col min="8452" max="8452" width="9.33203125" style="86"/>
    <col min="8453" max="8453" width="11.5" style="86" bestFit="1" customWidth="1"/>
    <col min="8454" max="8703" width="9.33203125" style="86"/>
    <col min="8704" max="8704" width="6.6640625" style="86" customWidth="1"/>
    <col min="8705" max="8705" width="76.6640625" style="86" customWidth="1"/>
    <col min="8706" max="8707" width="7.83203125" style="86" customWidth="1"/>
    <col min="8708" max="8708" width="9.33203125" style="86"/>
    <col min="8709" max="8709" width="11.5" style="86" bestFit="1" customWidth="1"/>
    <col min="8710" max="8959" width="9.33203125" style="86"/>
    <col min="8960" max="8960" width="6.6640625" style="86" customWidth="1"/>
    <col min="8961" max="8961" width="76.6640625" style="86" customWidth="1"/>
    <col min="8962" max="8963" width="7.83203125" style="86" customWidth="1"/>
    <col min="8964" max="8964" width="9.33203125" style="86"/>
    <col min="8965" max="8965" width="11.5" style="86" bestFit="1" customWidth="1"/>
    <col min="8966" max="9215" width="9.33203125" style="86"/>
    <col min="9216" max="9216" width="6.6640625" style="86" customWidth="1"/>
    <col min="9217" max="9217" width="76.6640625" style="86" customWidth="1"/>
    <col min="9218" max="9219" width="7.83203125" style="86" customWidth="1"/>
    <col min="9220" max="9220" width="9.33203125" style="86"/>
    <col min="9221" max="9221" width="11.5" style="86" bestFit="1" customWidth="1"/>
    <col min="9222" max="9471" width="9.33203125" style="86"/>
    <col min="9472" max="9472" width="6.6640625" style="86" customWidth="1"/>
    <col min="9473" max="9473" width="76.6640625" style="86" customWidth="1"/>
    <col min="9474" max="9475" width="7.83203125" style="86" customWidth="1"/>
    <col min="9476" max="9476" width="9.33203125" style="86"/>
    <col min="9477" max="9477" width="11.5" style="86" bestFit="1" customWidth="1"/>
    <col min="9478" max="9727" width="9.33203125" style="86"/>
    <col min="9728" max="9728" width="6.6640625" style="86" customWidth="1"/>
    <col min="9729" max="9729" width="76.6640625" style="86" customWidth="1"/>
    <col min="9730" max="9731" width="7.83203125" style="86" customWidth="1"/>
    <col min="9732" max="9732" width="9.33203125" style="86"/>
    <col min="9733" max="9733" width="11.5" style="86" bestFit="1" customWidth="1"/>
    <col min="9734" max="9983" width="9.33203125" style="86"/>
    <col min="9984" max="9984" width="6.6640625" style="86" customWidth="1"/>
    <col min="9985" max="9985" width="76.6640625" style="86" customWidth="1"/>
    <col min="9986" max="9987" width="7.83203125" style="86" customWidth="1"/>
    <col min="9988" max="9988" width="9.33203125" style="86"/>
    <col min="9989" max="9989" width="11.5" style="86" bestFit="1" customWidth="1"/>
    <col min="9990" max="10239" width="9.33203125" style="86"/>
    <col min="10240" max="10240" width="6.6640625" style="86" customWidth="1"/>
    <col min="10241" max="10241" width="76.6640625" style="86" customWidth="1"/>
    <col min="10242" max="10243" width="7.83203125" style="86" customWidth="1"/>
    <col min="10244" max="10244" width="9.33203125" style="86"/>
    <col min="10245" max="10245" width="11.5" style="86" bestFit="1" customWidth="1"/>
    <col min="10246" max="10495" width="9.33203125" style="86"/>
    <col min="10496" max="10496" width="6.6640625" style="86" customWidth="1"/>
    <col min="10497" max="10497" width="76.6640625" style="86" customWidth="1"/>
    <col min="10498" max="10499" width="7.83203125" style="86" customWidth="1"/>
    <col min="10500" max="10500" width="9.33203125" style="86"/>
    <col min="10501" max="10501" width="11.5" style="86" bestFit="1" customWidth="1"/>
    <col min="10502" max="10751" width="9.33203125" style="86"/>
    <col min="10752" max="10752" width="6.6640625" style="86" customWidth="1"/>
    <col min="10753" max="10753" width="76.6640625" style="86" customWidth="1"/>
    <col min="10754" max="10755" width="7.83203125" style="86" customWidth="1"/>
    <col min="10756" max="10756" width="9.33203125" style="86"/>
    <col min="10757" max="10757" width="11.5" style="86" bestFit="1" customWidth="1"/>
    <col min="10758" max="11007" width="9.33203125" style="86"/>
    <col min="11008" max="11008" width="6.6640625" style="86" customWidth="1"/>
    <col min="11009" max="11009" width="76.6640625" style="86" customWidth="1"/>
    <col min="11010" max="11011" width="7.83203125" style="86" customWidth="1"/>
    <col min="11012" max="11012" width="9.33203125" style="86"/>
    <col min="11013" max="11013" width="11.5" style="86" bestFit="1" customWidth="1"/>
    <col min="11014" max="11263" width="9.33203125" style="86"/>
    <col min="11264" max="11264" width="6.6640625" style="86" customWidth="1"/>
    <col min="11265" max="11265" width="76.6640625" style="86" customWidth="1"/>
    <col min="11266" max="11267" width="7.83203125" style="86" customWidth="1"/>
    <col min="11268" max="11268" width="9.33203125" style="86"/>
    <col min="11269" max="11269" width="11.5" style="86" bestFit="1" customWidth="1"/>
    <col min="11270" max="11519" width="9.33203125" style="86"/>
    <col min="11520" max="11520" width="6.6640625" style="86" customWidth="1"/>
    <col min="11521" max="11521" width="76.6640625" style="86" customWidth="1"/>
    <col min="11522" max="11523" width="7.83203125" style="86" customWidth="1"/>
    <col min="11524" max="11524" width="9.33203125" style="86"/>
    <col min="11525" max="11525" width="11.5" style="86" bestFit="1" customWidth="1"/>
    <col min="11526" max="11775" width="9.33203125" style="86"/>
    <col min="11776" max="11776" width="6.6640625" style="86" customWidth="1"/>
    <col min="11777" max="11777" width="76.6640625" style="86" customWidth="1"/>
    <col min="11778" max="11779" width="7.83203125" style="86" customWidth="1"/>
    <col min="11780" max="11780" width="9.33203125" style="86"/>
    <col min="11781" max="11781" width="11.5" style="86" bestFit="1" customWidth="1"/>
    <col min="11782" max="12031" width="9.33203125" style="86"/>
    <col min="12032" max="12032" width="6.6640625" style="86" customWidth="1"/>
    <col min="12033" max="12033" width="76.6640625" style="86" customWidth="1"/>
    <col min="12034" max="12035" width="7.83203125" style="86" customWidth="1"/>
    <col min="12036" max="12036" width="9.33203125" style="86"/>
    <col min="12037" max="12037" width="11.5" style="86" bestFit="1" customWidth="1"/>
    <col min="12038" max="12287" width="9.33203125" style="86"/>
    <col min="12288" max="12288" width="6.6640625" style="86" customWidth="1"/>
    <col min="12289" max="12289" width="76.6640625" style="86" customWidth="1"/>
    <col min="12290" max="12291" width="7.83203125" style="86" customWidth="1"/>
    <col min="12292" max="12292" width="9.33203125" style="86"/>
    <col min="12293" max="12293" width="11.5" style="86" bestFit="1" customWidth="1"/>
    <col min="12294" max="12543" width="9.33203125" style="86"/>
    <col min="12544" max="12544" width="6.6640625" style="86" customWidth="1"/>
    <col min="12545" max="12545" width="76.6640625" style="86" customWidth="1"/>
    <col min="12546" max="12547" width="7.83203125" style="86" customWidth="1"/>
    <col min="12548" max="12548" width="9.33203125" style="86"/>
    <col min="12549" max="12549" width="11.5" style="86" bestFit="1" customWidth="1"/>
    <col min="12550" max="12799" width="9.33203125" style="86"/>
    <col min="12800" max="12800" width="6.6640625" style="86" customWidth="1"/>
    <col min="12801" max="12801" width="76.6640625" style="86" customWidth="1"/>
    <col min="12802" max="12803" width="7.83203125" style="86" customWidth="1"/>
    <col min="12804" max="12804" width="9.33203125" style="86"/>
    <col min="12805" max="12805" width="11.5" style="86" bestFit="1" customWidth="1"/>
    <col min="12806" max="13055" width="9.33203125" style="86"/>
    <col min="13056" max="13056" width="6.6640625" style="86" customWidth="1"/>
    <col min="13057" max="13057" width="76.6640625" style="86" customWidth="1"/>
    <col min="13058" max="13059" width="7.83203125" style="86" customWidth="1"/>
    <col min="13060" max="13060" width="9.33203125" style="86"/>
    <col min="13061" max="13061" width="11.5" style="86" bestFit="1" customWidth="1"/>
    <col min="13062" max="13311" width="9.33203125" style="86"/>
    <col min="13312" max="13312" width="6.6640625" style="86" customWidth="1"/>
    <col min="13313" max="13313" width="76.6640625" style="86" customWidth="1"/>
    <col min="13314" max="13315" width="7.83203125" style="86" customWidth="1"/>
    <col min="13316" max="13316" width="9.33203125" style="86"/>
    <col min="13317" max="13317" width="11.5" style="86" bestFit="1" customWidth="1"/>
    <col min="13318" max="13567" width="9.33203125" style="86"/>
    <col min="13568" max="13568" width="6.6640625" style="86" customWidth="1"/>
    <col min="13569" max="13569" width="76.6640625" style="86" customWidth="1"/>
    <col min="13570" max="13571" width="7.83203125" style="86" customWidth="1"/>
    <col min="13572" max="13572" width="9.33203125" style="86"/>
    <col min="13573" max="13573" width="11.5" style="86" bestFit="1" customWidth="1"/>
    <col min="13574" max="13823" width="9.33203125" style="86"/>
    <col min="13824" max="13824" width="6.6640625" style="86" customWidth="1"/>
    <col min="13825" max="13825" width="76.6640625" style="86" customWidth="1"/>
    <col min="13826" max="13827" width="7.83203125" style="86" customWidth="1"/>
    <col min="13828" max="13828" width="9.33203125" style="86"/>
    <col min="13829" max="13829" width="11.5" style="86" bestFit="1" customWidth="1"/>
    <col min="13830" max="14079" width="9.33203125" style="86"/>
    <col min="14080" max="14080" width="6.6640625" style="86" customWidth="1"/>
    <col min="14081" max="14081" width="76.6640625" style="86" customWidth="1"/>
    <col min="14082" max="14083" width="7.83203125" style="86" customWidth="1"/>
    <col min="14084" max="14084" width="9.33203125" style="86"/>
    <col min="14085" max="14085" width="11.5" style="86" bestFit="1" customWidth="1"/>
    <col min="14086" max="14335" width="9.33203125" style="86"/>
    <col min="14336" max="14336" width="6.6640625" style="86" customWidth="1"/>
    <col min="14337" max="14337" width="76.6640625" style="86" customWidth="1"/>
    <col min="14338" max="14339" width="7.83203125" style="86" customWidth="1"/>
    <col min="14340" max="14340" width="9.33203125" style="86"/>
    <col min="14341" max="14341" width="11.5" style="86" bestFit="1" customWidth="1"/>
    <col min="14342" max="14591" width="9.33203125" style="86"/>
    <col min="14592" max="14592" width="6.6640625" style="86" customWidth="1"/>
    <col min="14593" max="14593" width="76.6640625" style="86" customWidth="1"/>
    <col min="14594" max="14595" width="7.83203125" style="86" customWidth="1"/>
    <col min="14596" max="14596" width="9.33203125" style="86"/>
    <col min="14597" max="14597" width="11.5" style="86" bestFit="1" customWidth="1"/>
    <col min="14598" max="14847" width="9.33203125" style="86"/>
    <col min="14848" max="14848" width="6.6640625" style="86" customWidth="1"/>
    <col min="14849" max="14849" width="76.6640625" style="86" customWidth="1"/>
    <col min="14850" max="14851" width="7.83203125" style="86" customWidth="1"/>
    <col min="14852" max="14852" width="9.33203125" style="86"/>
    <col min="14853" max="14853" width="11.5" style="86" bestFit="1" customWidth="1"/>
    <col min="14854" max="15103" width="9.33203125" style="86"/>
    <col min="15104" max="15104" width="6.6640625" style="86" customWidth="1"/>
    <col min="15105" max="15105" width="76.6640625" style="86" customWidth="1"/>
    <col min="15106" max="15107" width="7.83203125" style="86" customWidth="1"/>
    <col min="15108" max="15108" width="9.33203125" style="86"/>
    <col min="15109" max="15109" width="11.5" style="86" bestFit="1" customWidth="1"/>
    <col min="15110" max="15359" width="9.33203125" style="86"/>
    <col min="15360" max="15360" width="6.6640625" style="86" customWidth="1"/>
    <col min="15361" max="15361" width="76.6640625" style="86" customWidth="1"/>
    <col min="15362" max="15363" width="7.83203125" style="86" customWidth="1"/>
    <col min="15364" max="15364" width="9.33203125" style="86"/>
    <col min="15365" max="15365" width="11.5" style="86" bestFit="1" customWidth="1"/>
    <col min="15366" max="15615" width="9.33203125" style="86"/>
    <col min="15616" max="15616" width="6.6640625" style="86" customWidth="1"/>
    <col min="15617" max="15617" width="76.6640625" style="86" customWidth="1"/>
    <col min="15618" max="15619" width="7.83203125" style="86" customWidth="1"/>
    <col min="15620" max="15620" width="9.33203125" style="86"/>
    <col min="15621" max="15621" width="11.5" style="86" bestFit="1" customWidth="1"/>
    <col min="15622" max="15871" width="9.33203125" style="86"/>
    <col min="15872" max="15872" width="6.6640625" style="86" customWidth="1"/>
    <col min="15873" max="15873" width="76.6640625" style="86" customWidth="1"/>
    <col min="15874" max="15875" width="7.83203125" style="86" customWidth="1"/>
    <col min="15876" max="15876" width="9.33203125" style="86"/>
    <col min="15877" max="15877" width="11.5" style="86" bestFit="1" customWidth="1"/>
    <col min="15878" max="16127" width="9.33203125" style="86"/>
    <col min="16128" max="16128" width="6.6640625" style="86" customWidth="1"/>
    <col min="16129" max="16129" width="76.6640625" style="86" customWidth="1"/>
    <col min="16130" max="16131" width="7.83203125" style="86" customWidth="1"/>
    <col min="16132" max="16132" width="9.33203125" style="86"/>
    <col min="16133" max="16133" width="11.5" style="86" bestFit="1" customWidth="1"/>
    <col min="16134" max="16384" width="9.33203125" style="86"/>
  </cols>
  <sheetData>
    <row r="1" spans="1:16384" s="77" customFormat="1" ht="12.75" customHeight="1" x14ac:dyDescent="0.2">
      <c r="A1" s="635" t="str">
        <f>Comp!B1</f>
        <v>TERPLANC - TERRAPLENAGEM  PLANEJAMENTO CONSTRUÇÃO E SEVIÇOS  EIRELE - EPP</v>
      </c>
      <c r="B1" s="635"/>
      <c r="C1" s="635"/>
    </row>
    <row r="2" spans="1:16384" s="77" customFormat="1" ht="12.75" customHeight="1" x14ac:dyDescent="0.2">
      <c r="A2" s="635"/>
      <c r="B2" s="635"/>
      <c r="C2" s="635"/>
    </row>
    <row r="3" spans="1:16384" s="77" customFormat="1" ht="12.75" customHeight="1" x14ac:dyDescent="0.2">
      <c r="A3" s="635"/>
      <c r="B3" s="635"/>
      <c r="C3" s="635"/>
    </row>
    <row r="4" spans="1:16384" s="77" customFormat="1" ht="12.75" customHeight="1" x14ac:dyDescent="0.2">
      <c r="A4" s="635"/>
      <c r="B4" s="635"/>
      <c r="C4" s="635"/>
    </row>
    <row r="5" spans="1:16384" s="83" customFormat="1" ht="16.5" customHeight="1" x14ac:dyDescent="0.2">
      <c r="A5" s="622" t="str">
        <f>Comp!C5</f>
        <v>PREFEITURA MUNICIPAL DE SÃO MIGUEL DO GUAMÁ</v>
      </c>
      <c r="B5" s="622"/>
      <c r="C5" s="622"/>
      <c r="D5" s="413"/>
      <c r="E5" s="413"/>
    </row>
    <row r="6" spans="1:16384" s="414" customFormat="1" ht="12.75" customHeight="1" x14ac:dyDescent="0.2">
      <c r="A6" s="572" t="str">
        <f>Resumo!A10</f>
        <v>OBRA: REFORMA E AMPLIAÇÃO</v>
      </c>
      <c r="B6" s="572"/>
      <c r="C6" s="572"/>
      <c r="D6" s="572"/>
      <c r="E6" s="572"/>
      <c r="F6" s="572"/>
      <c r="G6" s="572"/>
      <c r="H6" s="572"/>
      <c r="I6" s="572"/>
      <c r="J6" s="572"/>
      <c r="K6" s="572"/>
      <c r="L6" s="572"/>
      <c r="M6" s="572"/>
      <c r="N6" s="572"/>
      <c r="O6" s="572"/>
      <c r="P6" s="572"/>
      <c r="Q6" s="572"/>
      <c r="R6" s="572"/>
      <c r="S6" s="572"/>
      <c r="T6" s="572"/>
      <c r="U6" s="572"/>
      <c r="V6" s="572"/>
      <c r="W6" s="572"/>
      <c r="X6" s="572"/>
      <c r="Y6" s="572"/>
      <c r="Z6" s="572"/>
      <c r="AA6" s="572"/>
      <c r="AB6" s="572"/>
      <c r="AC6" s="572"/>
      <c r="AD6" s="572"/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2"/>
      <c r="AW6" s="572"/>
      <c r="AX6" s="572"/>
      <c r="AY6" s="572"/>
      <c r="AZ6" s="572"/>
      <c r="BA6" s="572"/>
      <c r="BB6" s="572"/>
      <c r="BC6" s="572"/>
      <c r="BD6" s="572"/>
      <c r="BE6" s="572"/>
      <c r="BF6" s="572"/>
      <c r="BG6" s="572"/>
      <c r="BH6" s="572"/>
      <c r="BI6" s="572"/>
      <c r="BJ6" s="572"/>
      <c r="BK6" s="572"/>
      <c r="BL6" s="572"/>
      <c r="BM6" s="572"/>
      <c r="BN6" s="572"/>
      <c r="BO6" s="572"/>
      <c r="BP6" s="572"/>
      <c r="BQ6" s="572"/>
      <c r="BR6" s="572"/>
      <c r="BS6" s="572"/>
      <c r="BT6" s="572"/>
      <c r="BU6" s="572"/>
      <c r="BV6" s="572"/>
      <c r="BW6" s="572"/>
      <c r="BX6" s="572"/>
      <c r="BY6" s="572"/>
      <c r="BZ6" s="572"/>
      <c r="CA6" s="572"/>
      <c r="CB6" s="572"/>
      <c r="CC6" s="572"/>
      <c r="CD6" s="572"/>
      <c r="CE6" s="572"/>
      <c r="CF6" s="572"/>
      <c r="CG6" s="572"/>
      <c r="CH6" s="572"/>
      <c r="CI6" s="572"/>
      <c r="CJ6" s="572"/>
      <c r="CK6" s="572"/>
      <c r="CL6" s="572"/>
      <c r="CM6" s="572"/>
      <c r="CN6" s="572"/>
      <c r="CO6" s="572"/>
      <c r="CP6" s="572"/>
      <c r="CQ6" s="572"/>
      <c r="CR6" s="572"/>
      <c r="CS6" s="572"/>
      <c r="CT6" s="572"/>
      <c r="CU6" s="572"/>
      <c r="CV6" s="572"/>
      <c r="CW6" s="572"/>
      <c r="CX6" s="572"/>
      <c r="CY6" s="572"/>
      <c r="CZ6" s="572"/>
      <c r="DA6" s="572"/>
      <c r="DB6" s="572"/>
      <c r="DC6" s="572"/>
      <c r="DD6" s="572"/>
      <c r="DE6" s="572"/>
      <c r="DF6" s="572"/>
      <c r="DG6" s="572"/>
      <c r="DH6" s="572"/>
      <c r="DI6" s="572"/>
      <c r="DJ6" s="572"/>
      <c r="DK6" s="572"/>
      <c r="DL6" s="572"/>
      <c r="DM6" s="572"/>
      <c r="DN6" s="572"/>
      <c r="DO6" s="572"/>
      <c r="DP6" s="572"/>
      <c r="DQ6" s="572"/>
      <c r="DR6" s="572"/>
      <c r="DS6" s="572"/>
      <c r="DT6" s="572"/>
      <c r="DU6" s="572"/>
      <c r="DV6" s="572"/>
      <c r="DW6" s="572"/>
      <c r="DX6" s="572"/>
      <c r="DY6" s="572"/>
      <c r="DZ6" s="572"/>
      <c r="EA6" s="572"/>
      <c r="EB6" s="572"/>
      <c r="EC6" s="572"/>
      <c r="ED6" s="572"/>
      <c r="EE6" s="572"/>
      <c r="EF6" s="572"/>
      <c r="EG6" s="572"/>
      <c r="EH6" s="572"/>
      <c r="EI6" s="572"/>
      <c r="EJ6" s="572"/>
      <c r="EK6" s="572"/>
      <c r="EL6" s="572"/>
      <c r="EM6" s="572"/>
      <c r="EN6" s="572"/>
      <c r="EO6" s="572"/>
      <c r="EP6" s="572"/>
      <c r="EQ6" s="572"/>
      <c r="ER6" s="572"/>
      <c r="ES6" s="572"/>
      <c r="ET6" s="572"/>
      <c r="EU6" s="572"/>
      <c r="EV6" s="572"/>
      <c r="EW6" s="572"/>
      <c r="EX6" s="572"/>
      <c r="EY6" s="572"/>
      <c r="EZ6" s="572"/>
      <c r="FA6" s="572"/>
      <c r="FB6" s="572"/>
      <c r="FC6" s="572"/>
      <c r="FD6" s="572"/>
      <c r="FE6" s="572"/>
      <c r="FF6" s="572"/>
      <c r="FG6" s="572"/>
      <c r="FH6" s="572"/>
      <c r="FI6" s="572"/>
      <c r="FJ6" s="572"/>
      <c r="FK6" s="572"/>
      <c r="FL6" s="572"/>
      <c r="FM6" s="572"/>
      <c r="FN6" s="572"/>
      <c r="FO6" s="572"/>
      <c r="FP6" s="572"/>
      <c r="FQ6" s="572"/>
      <c r="FR6" s="572"/>
      <c r="FS6" s="572"/>
      <c r="FT6" s="572"/>
      <c r="FU6" s="572"/>
      <c r="FV6" s="572"/>
      <c r="FW6" s="572"/>
      <c r="FX6" s="572"/>
      <c r="FY6" s="572"/>
      <c r="FZ6" s="572"/>
      <c r="GA6" s="572"/>
      <c r="GB6" s="572"/>
      <c r="GC6" s="572"/>
      <c r="GD6" s="572"/>
      <c r="GE6" s="572"/>
      <c r="GF6" s="572"/>
      <c r="GG6" s="572"/>
      <c r="GH6" s="572"/>
      <c r="GI6" s="572"/>
      <c r="GJ6" s="572"/>
      <c r="GK6" s="572"/>
      <c r="GL6" s="572"/>
      <c r="GM6" s="572"/>
      <c r="GN6" s="572"/>
      <c r="GO6" s="572"/>
      <c r="GP6" s="572"/>
      <c r="GQ6" s="572"/>
      <c r="GR6" s="572"/>
      <c r="GS6" s="572"/>
      <c r="GT6" s="572"/>
      <c r="GU6" s="572"/>
      <c r="GV6" s="572"/>
      <c r="GW6" s="572"/>
      <c r="GX6" s="572"/>
      <c r="GY6" s="572"/>
      <c r="GZ6" s="572"/>
      <c r="HA6" s="572"/>
      <c r="HB6" s="572"/>
      <c r="HC6" s="572"/>
      <c r="HD6" s="572"/>
      <c r="HE6" s="572"/>
      <c r="HF6" s="572"/>
      <c r="HG6" s="572"/>
      <c r="HH6" s="572"/>
      <c r="HI6" s="572"/>
      <c r="HJ6" s="572"/>
      <c r="HK6" s="572"/>
      <c r="HL6" s="572"/>
      <c r="HM6" s="572"/>
      <c r="HN6" s="572"/>
      <c r="HO6" s="572"/>
      <c r="HP6" s="572"/>
      <c r="HQ6" s="572"/>
      <c r="HR6" s="572"/>
      <c r="HS6" s="572"/>
      <c r="HT6" s="572"/>
      <c r="HU6" s="572"/>
      <c r="HV6" s="572"/>
      <c r="HW6" s="572"/>
      <c r="HX6" s="572"/>
      <c r="HY6" s="572"/>
      <c r="HZ6" s="572"/>
      <c r="IA6" s="572"/>
      <c r="IB6" s="572"/>
      <c r="IC6" s="572"/>
      <c r="ID6" s="572"/>
      <c r="IE6" s="572"/>
      <c r="IF6" s="572"/>
      <c r="IG6" s="572"/>
      <c r="IH6" s="572"/>
      <c r="II6" s="572"/>
      <c r="IJ6" s="572"/>
      <c r="IK6" s="572"/>
      <c r="IL6" s="572"/>
      <c r="IM6" s="572"/>
      <c r="IN6" s="572"/>
      <c r="IO6" s="572"/>
      <c r="IP6" s="572"/>
      <c r="IQ6" s="572"/>
      <c r="IR6" s="572"/>
      <c r="IS6" s="572"/>
      <c r="IT6" s="572"/>
      <c r="IU6" s="572"/>
      <c r="IV6" s="572"/>
      <c r="IW6" s="572"/>
      <c r="IX6" s="572"/>
      <c r="IY6" s="572"/>
      <c r="IZ6" s="572"/>
      <c r="JA6" s="572"/>
      <c r="JB6" s="572"/>
      <c r="JC6" s="572"/>
      <c r="JD6" s="572"/>
      <c r="JE6" s="572"/>
      <c r="JF6" s="572"/>
      <c r="JG6" s="572"/>
      <c r="JH6" s="572"/>
      <c r="JI6" s="572"/>
      <c r="JJ6" s="572"/>
      <c r="JK6" s="572"/>
      <c r="JL6" s="572"/>
      <c r="JM6" s="572"/>
      <c r="JN6" s="572"/>
      <c r="JO6" s="572"/>
      <c r="JP6" s="572"/>
      <c r="JQ6" s="572"/>
      <c r="JR6" s="572"/>
      <c r="JS6" s="572"/>
      <c r="JT6" s="572"/>
      <c r="JU6" s="572"/>
      <c r="JV6" s="572"/>
      <c r="JW6" s="572"/>
      <c r="JX6" s="572"/>
      <c r="JY6" s="572"/>
      <c r="JZ6" s="572"/>
      <c r="KA6" s="572"/>
      <c r="KB6" s="572"/>
      <c r="KC6" s="572"/>
      <c r="KD6" s="572"/>
      <c r="KE6" s="572"/>
      <c r="KF6" s="572"/>
      <c r="KG6" s="572"/>
      <c r="KH6" s="572"/>
      <c r="KI6" s="572"/>
      <c r="KJ6" s="572"/>
      <c r="KK6" s="572"/>
      <c r="KL6" s="572"/>
      <c r="KM6" s="572"/>
      <c r="KN6" s="572"/>
      <c r="KO6" s="572"/>
      <c r="KP6" s="572"/>
      <c r="KQ6" s="572"/>
      <c r="KR6" s="572"/>
      <c r="KS6" s="572"/>
      <c r="KT6" s="572"/>
      <c r="KU6" s="572"/>
      <c r="KV6" s="572"/>
      <c r="KW6" s="572"/>
      <c r="KX6" s="572"/>
      <c r="KY6" s="572"/>
      <c r="KZ6" s="572"/>
      <c r="LA6" s="572"/>
      <c r="LB6" s="572"/>
      <c r="LC6" s="572"/>
      <c r="LD6" s="572"/>
      <c r="LE6" s="572"/>
      <c r="LF6" s="572"/>
      <c r="LG6" s="572"/>
      <c r="LH6" s="572"/>
      <c r="LI6" s="572"/>
      <c r="LJ6" s="572"/>
      <c r="LK6" s="572"/>
      <c r="LL6" s="572"/>
      <c r="LM6" s="572"/>
      <c r="LN6" s="572"/>
      <c r="LO6" s="572"/>
      <c r="LP6" s="572"/>
      <c r="LQ6" s="572"/>
      <c r="LR6" s="572"/>
      <c r="LS6" s="572"/>
      <c r="LT6" s="572"/>
      <c r="LU6" s="572"/>
      <c r="LV6" s="622"/>
      <c r="LW6" s="622"/>
      <c r="LX6" s="622"/>
      <c r="LY6" s="622"/>
      <c r="LZ6" s="622"/>
      <c r="MA6" s="622"/>
      <c r="MB6" s="622"/>
      <c r="MC6" s="622"/>
      <c r="MD6" s="622"/>
      <c r="ME6" s="622"/>
      <c r="MF6" s="622"/>
      <c r="MG6" s="622"/>
      <c r="MH6" s="622"/>
      <c r="MI6" s="622"/>
      <c r="MJ6" s="622"/>
      <c r="MK6" s="622"/>
      <c r="ML6" s="622"/>
      <c r="MM6" s="622"/>
      <c r="MN6" s="622"/>
      <c r="MO6" s="622"/>
      <c r="MP6" s="622"/>
      <c r="MQ6" s="622"/>
      <c r="MR6" s="622"/>
      <c r="MS6" s="622"/>
      <c r="MT6" s="622"/>
      <c r="MU6" s="622"/>
      <c r="MV6" s="622"/>
      <c r="MW6" s="622"/>
      <c r="MX6" s="622"/>
      <c r="MY6" s="622"/>
      <c r="MZ6" s="622"/>
      <c r="NA6" s="622"/>
      <c r="NB6" s="622"/>
      <c r="NC6" s="622"/>
      <c r="ND6" s="622"/>
      <c r="NE6" s="622"/>
      <c r="NF6" s="622"/>
      <c r="NG6" s="622"/>
      <c r="NH6" s="622"/>
      <c r="NI6" s="622"/>
      <c r="NJ6" s="622"/>
      <c r="NK6" s="622"/>
      <c r="NL6" s="622"/>
      <c r="NM6" s="622"/>
      <c r="NN6" s="622"/>
      <c r="NO6" s="622"/>
      <c r="NP6" s="622"/>
      <c r="NQ6" s="622"/>
      <c r="NR6" s="622"/>
      <c r="NS6" s="622"/>
      <c r="NT6" s="622"/>
      <c r="NU6" s="622"/>
      <c r="NV6" s="622"/>
      <c r="NW6" s="622"/>
      <c r="NX6" s="622"/>
      <c r="NY6" s="622"/>
      <c r="NZ6" s="622"/>
      <c r="OA6" s="622"/>
      <c r="OB6" s="622"/>
      <c r="OC6" s="622"/>
      <c r="OD6" s="622"/>
      <c r="OE6" s="622"/>
      <c r="OF6" s="622"/>
      <c r="OG6" s="622"/>
      <c r="OH6" s="622"/>
      <c r="OI6" s="622"/>
      <c r="OJ6" s="622"/>
      <c r="OK6" s="622"/>
      <c r="OL6" s="622"/>
      <c r="OM6" s="622"/>
      <c r="ON6" s="622"/>
      <c r="OO6" s="622"/>
      <c r="OP6" s="622"/>
      <c r="OQ6" s="622"/>
      <c r="OR6" s="622"/>
      <c r="OS6" s="622"/>
      <c r="OT6" s="622"/>
      <c r="OU6" s="622"/>
      <c r="OV6" s="622"/>
      <c r="OW6" s="622"/>
      <c r="OX6" s="622"/>
      <c r="OY6" s="622"/>
      <c r="OZ6" s="622"/>
      <c r="PA6" s="622"/>
      <c r="PB6" s="622"/>
      <c r="PC6" s="622"/>
      <c r="PD6" s="622"/>
      <c r="PE6" s="622"/>
      <c r="PF6" s="622"/>
      <c r="PG6" s="622"/>
      <c r="PH6" s="622"/>
      <c r="PI6" s="622"/>
      <c r="PJ6" s="622"/>
      <c r="PK6" s="622"/>
      <c r="PL6" s="622"/>
      <c r="PM6" s="622"/>
      <c r="PN6" s="622"/>
      <c r="PO6" s="622"/>
      <c r="PP6" s="622"/>
      <c r="PQ6" s="622"/>
      <c r="PR6" s="622"/>
      <c r="PS6" s="622"/>
      <c r="PT6" s="622"/>
      <c r="PU6" s="622"/>
      <c r="PV6" s="622"/>
      <c r="PW6" s="622"/>
      <c r="PX6" s="622"/>
      <c r="PY6" s="622"/>
      <c r="PZ6" s="622"/>
      <c r="QA6" s="622"/>
      <c r="QB6" s="622"/>
      <c r="QC6" s="622"/>
      <c r="QD6" s="622"/>
      <c r="QE6" s="622"/>
      <c r="QF6" s="622"/>
      <c r="QG6" s="622"/>
      <c r="QH6" s="622"/>
      <c r="QI6" s="622"/>
      <c r="QJ6" s="622"/>
      <c r="QK6" s="622"/>
      <c r="QL6" s="622"/>
      <c r="QM6" s="622"/>
      <c r="QN6" s="622"/>
      <c r="QO6" s="622"/>
      <c r="QP6" s="622"/>
      <c r="QQ6" s="622"/>
      <c r="QR6" s="622"/>
      <c r="QS6" s="622"/>
      <c r="QT6" s="622"/>
      <c r="QU6" s="622"/>
      <c r="QV6" s="622"/>
      <c r="QW6" s="622"/>
      <c r="QX6" s="622"/>
      <c r="QY6" s="622"/>
      <c r="QZ6" s="622"/>
      <c r="RA6" s="622"/>
      <c r="RB6" s="622"/>
      <c r="RC6" s="622"/>
      <c r="RD6" s="622"/>
      <c r="RE6" s="622"/>
      <c r="RF6" s="622"/>
      <c r="RG6" s="622"/>
      <c r="RH6" s="622"/>
      <c r="RI6" s="622"/>
      <c r="RJ6" s="622"/>
      <c r="RK6" s="622"/>
      <c r="RL6" s="622"/>
      <c r="RM6" s="622"/>
      <c r="RN6" s="622"/>
      <c r="RO6" s="622"/>
      <c r="RP6" s="622"/>
      <c r="RQ6" s="622"/>
      <c r="RR6" s="622"/>
      <c r="RS6" s="622"/>
      <c r="RT6" s="622"/>
      <c r="RU6" s="622"/>
      <c r="RV6" s="622"/>
      <c r="RW6" s="622"/>
      <c r="RX6" s="622"/>
      <c r="RY6" s="622"/>
      <c r="RZ6" s="622"/>
      <c r="SA6" s="622"/>
      <c r="SB6" s="622"/>
      <c r="SC6" s="622"/>
      <c r="SD6" s="622"/>
      <c r="SE6" s="622"/>
      <c r="SF6" s="622"/>
      <c r="SG6" s="622"/>
      <c r="SH6" s="622"/>
      <c r="SI6" s="622"/>
      <c r="SJ6" s="622"/>
      <c r="SK6" s="622"/>
      <c r="SL6" s="622"/>
      <c r="SM6" s="622"/>
      <c r="SN6" s="622"/>
      <c r="SO6" s="622"/>
      <c r="SP6" s="622"/>
      <c r="SQ6" s="622"/>
      <c r="SR6" s="622"/>
      <c r="SS6" s="622"/>
      <c r="ST6" s="622"/>
      <c r="SU6" s="622"/>
      <c r="SV6" s="622"/>
      <c r="SW6" s="622"/>
      <c r="SX6" s="622"/>
      <c r="SY6" s="622"/>
      <c r="SZ6" s="622"/>
      <c r="TA6" s="622"/>
      <c r="TB6" s="622"/>
      <c r="TC6" s="622"/>
      <c r="TD6" s="622"/>
      <c r="TE6" s="622"/>
      <c r="TF6" s="622"/>
      <c r="TG6" s="622"/>
      <c r="TH6" s="622"/>
      <c r="TI6" s="622"/>
      <c r="TJ6" s="622"/>
      <c r="TK6" s="622"/>
      <c r="TL6" s="622"/>
      <c r="TM6" s="622"/>
      <c r="TN6" s="622"/>
      <c r="TO6" s="622"/>
      <c r="TP6" s="622"/>
      <c r="TQ6" s="622"/>
      <c r="TR6" s="622"/>
      <c r="TS6" s="622"/>
      <c r="TT6" s="622"/>
      <c r="TU6" s="622"/>
      <c r="TV6" s="622"/>
      <c r="TW6" s="622"/>
      <c r="TX6" s="622"/>
      <c r="TY6" s="622"/>
      <c r="TZ6" s="622"/>
      <c r="UA6" s="622"/>
      <c r="UB6" s="622"/>
      <c r="UC6" s="622"/>
      <c r="UD6" s="622"/>
      <c r="UE6" s="622"/>
      <c r="UF6" s="622"/>
      <c r="UG6" s="622"/>
      <c r="UH6" s="622"/>
      <c r="UI6" s="622"/>
      <c r="UJ6" s="622"/>
      <c r="UK6" s="622"/>
      <c r="UL6" s="622"/>
      <c r="UM6" s="622"/>
      <c r="UN6" s="622"/>
      <c r="UO6" s="622"/>
      <c r="UP6" s="622"/>
      <c r="UQ6" s="622"/>
      <c r="UR6" s="622"/>
      <c r="US6" s="622"/>
      <c r="UT6" s="622"/>
      <c r="UU6" s="622"/>
      <c r="UV6" s="622"/>
      <c r="UW6" s="622"/>
      <c r="UX6" s="622"/>
      <c r="UY6" s="622"/>
      <c r="UZ6" s="622"/>
      <c r="VA6" s="622"/>
      <c r="VB6" s="622"/>
      <c r="VC6" s="622"/>
      <c r="VD6" s="622"/>
      <c r="VE6" s="622"/>
      <c r="VF6" s="622"/>
      <c r="VG6" s="622"/>
      <c r="VH6" s="622"/>
      <c r="VI6" s="622"/>
      <c r="VJ6" s="622"/>
      <c r="VK6" s="622"/>
      <c r="VL6" s="622"/>
      <c r="VM6" s="622"/>
      <c r="VN6" s="622"/>
      <c r="VO6" s="622"/>
      <c r="VP6" s="622"/>
      <c r="VQ6" s="622"/>
      <c r="VR6" s="622"/>
      <c r="VS6" s="622"/>
      <c r="VT6" s="622"/>
      <c r="VU6" s="622"/>
      <c r="VV6" s="622"/>
      <c r="VW6" s="622"/>
      <c r="VX6" s="622"/>
      <c r="VY6" s="622"/>
      <c r="VZ6" s="622"/>
      <c r="WA6" s="622"/>
      <c r="WB6" s="622"/>
      <c r="WC6" s="622"/>
      <c r="WD6" s="622"/>
      <c r="WE6" s="622"/>
      <c r="WF6" s="622"/>
      <c r="WG6" s="622"/>
      <c r="WH6" s="622"/>
      <c r="WI6" s="622"/>
      <c r="WJ6" s="622"/>
      <c r="WK6" s="622"/>
      <c r="WL6" s="622"/>
      <c r="WM6" s="622"/>
      <c r="WN6" s="622"/>
      <c r="WO6" s="622"/>
      <c r="WP6" s="622"/>
      <c r="WQ6" s="622"/>
      <c r="WR6" s="622"/>
      <c r="WS6" s="622"/>
      <c r="WT6" s="622"/>
      <c r="WU6" s="622"/>
      <c r="WV6" s="622"/>
      <c r="WW6" s="622"/>
      <c r="WX6" s="622"/>
      <c r="WY6" s="622"/>
      <c r="WZ6" s="622"/>
      <c r="XA6" s="622"/>
      <c r="XB6" s="622"/>
      <c r="XC6" s="622"/>
      <c r="XD6" s="622"/>
      <c r="XE6" s="622"/>
      <c r="XF6" s="622"/>
      <c r="XG6" s="622"/>
      <c r="XH6" s="622"/>
      <c r="XI6" s="622"/>
      <c r="XJ6" s="622"/>
      <c r="XK6" s="622"/>
      <c r="XL6" s="622"/>
      <c r="XM6" s="622"/>
      <c r="XN6" s="622"/>
      <c r="XO6" s="622"/>
      <c r="XP6" s="622"/>
      <c r="XQ6" s="622"/>
      <c r="XR6" s="622"/>
      <c r="XS6" s="622"/>
      <c r="XT6" s="622"/>
      <c r="XU6" s="622"/>
      <c r="XV6" s="622"/>
      <c r="XW6" s="622"/>
      <c r="XX6" s="622"/>
      <c r="XY6" s="622"/>
      <c r="XZ6" s="622"/>
      <c r="YA6" s="622"/>
      <c r="YB6" s="622"/>
      <c r="YC6" s="622"/>
      <c r="YD6" s="622"/>
      <c r="YE6" s="622"/>
      <c r="YF6" s="622"/>
      <c r="YG6" s="622"/>
      <c r="YH6" s="622"/>
      <c r="YI6" s="622"/>
      <c r="YJ6" s="622"/>
      <c r="YK6" s="622"/>
      <c r="YL6" s="622"/>
      <c r="YM6" s="622"/>
      <c r="YN6" s="622"/>
      <c r="YO6" s="622"/>
      <c r="YP6" s="622"/>
      <c r="YQ6" s="622"/>
      <c r="YR6" s="622"/>
      <c r="YS6" s="622"/>
      <c r="YT6" s="622"/>
      <c r="YU6" s="622"/>
      <c r="YV6" s="622"/>
      <c r="YW6" s="622"/>
      <c r="YX6" s="622"/>
      <c r="YY6" s="622"/>
      <c r="YZ6" s="622"/>
      <c r="ZA6" s="622"/>
      <c r="ZB6" s="622"/>
      <c r="ZC6" s="622"/>
      <c r="ZD6" s="622"/>
      <c r="ZE6" s="622"/>
      <c r="ZF6" s="622"/>
      <c r="ZG6" s="622"/>
      <c r="ZH6" s="622"/>
      <c r="ZI6" s="622"/>
      <c r="ZJ6" s="622"/>
      <c r="ZK6" s="622"/>
      <c r="ZL6" s="622"/>
      <c r="ZM6" s="622"/>
      <c r="ZN6" s="622"/>
      <c r="ZO6" s="622"/>
      <c r="ZP6" s="622"/>
      <c r="ZQ6" s="622"/>
      <c r="ZR6" s="622"/>
      <c r="ZS6" s="622"/>
      <c r="ZT6" s="622"/>
      <c r="ZU6" s="622"/>
      <c r="ZV6" s="622"/>
      <c r="ZW6" s="622"/>
      <c r="ZX6" s="622"/>
      <c r="ZY6" s="622"/>
      <c r="ZZ6" s="622"/>
      <c r="AAA6" s="622"/>
      <c r="AAB6" s="622"/>
      <c r="AAC6" s="622"/>
      <c r="AAD6" s="622"/>
      <c r="AAE6" s="622"/>
      <c r="AAF6" s="622"/>
      <c r="AAG6" s="622"/>
      <c r="AAH6" s="622"/>
      <c r="AAI6" s="622"/>
      <c r="AAJ6" s="622"/>
      <c r="AAK6" s="622"/>
      <c r="AAL6" s="622"/>
      <c r="AAM6" s="622"/>
      <c r="AAN6" s="622"/>
      <c r="AAO6" s="622"/>
      <c r="AAP6" s="622"/>
      <c r="AAQ6" s="622"/>
      <c r="AAR6" s="622"/>
      <c r="AAS6" s="622"/>
      <c r="AAT6" s="622"/>
      <c r="AAU6" s="622"/>
      <c r="AAV6" s="622"/>
      <c r="AAW6" s="622"/>
      <c r="AAX6" s="622"/>
      <c r="AAY6" s="622"/>
      <c r="AAZ6" s="622"/>
      <c r="ABA6" s="622"/>
      <c r="ABB6" s="622"/>
      <c r="ABC6" s="622"/>
      <c r="ABD6" s="622"/>
      <c r="ABE6" s="622"/>
      <c r="ABF6" s="622"/>
      <c r="ABG6" s="622"/>
      <c r="ABH6" s="622"/>
      <c r="ABI6" s="622"/>
      <c r="ABJ6" s="622"/>
      <c r="ABK6" s="622"/>
      <c r="ABL6" s="622"/>
      <c r="ABM6" s="622"/>
      <c r="ABN6" s="622"/>
      <c r="ABO6" s="622"/>
      <c r="ABP6" s="622"/>
      <c r="ABQ6" s="622"/>
      <c r="ABR6" s="622"/>
      <c r="ABS6" s="622"/>
      <c r="ABT6" s="622"/>
      <c r="ABU6" s="622"/>
      <c r="ABV6" s="622"/>
      <c r="ABW6" s="622"/>
      <c r="ABX6" s="622"/>
      <c r="ABY6" s="622"/>
      <c r="ABZ6" s="622"/>
      <c r="ACA6" s="622"/>
      <c r="ACB6" s="622"/>
      <c r="ACC6" s="622"/>
      <c r="ACD6" s="622"/>
      <c r="ACE6" s="622"/>
      <c r="ACF6" s="622"/>
      <c r="ACG6" s="622"/>
      <c r="ACH6" s="622"/>
      <c r="ACI6" s="622"/>
      <c r="ACJ6" s="622"/>
      <c r="ACK6" s="622"/>
      <c r="ACL6" s="622"/>
      <c r="ACM6" s="622"/>
      <c r="ACN6" s="622"/>
      <c r="ACO6" s="622"/>
      <c r="ACP6" s="622"/>
      <c r="ACQ6" s="622"/>
      <c r="ACR6" s="622"/>
      <c r="ACS6" s="622"/>
      <c r="ACT6" s="622"/>
      <c r="ACU6" s="622"/>
      <c r="ACV6" s="622"/>
      <c r="ACW6" s="622"/>
      <c r="ACX6" s="622"/>
      <c r="ACY6" s="622"/>
      <c r="ACZ6" s="622"/>
      <c r="ADA6" s="622"/>
      <c r="ADB6" s="622"/>
      <c r="ADC6" s="622"/>
      <c r="ADD6" s="622"/>
      <c r="ADE6" s="622"/>
      <c r="ADF6" s="622"/>
      <c r="ADG6" s="622"/>
      <c r="ADH6" s="622"/>
      <c r="ADI6" s="622"/>
      <c r="ADJ6" s="622"/>
      <c r="ADK6" s="622"/>
      <c r="ADL6" s="622"/>
      <c r="ADM6" s="622"/>
      <c r="ADN6" s="622"/>
      <c r="ADO6" s="622"/>
      <c r="ADP6" s="622"/>
      <c r="ADQ6" s="622"/>
      <c r="ADR6" s="622"/>
      <c r="ADS6" s="622"/>
      <c r="ADT6" s="622"/>
      <c r="ADU6" s="622"/>
      <c r="ADV6" s="622"/>
      <c r="ADW6" s="622"/>
      <c r="ADX6" s="622"/>
      <c r="ADY6" s="622"/>
      <c r="ADZ6" s="622"/>
      <c r="AEA6" s="622"/>
      <c r="AEB6" s="622"/>
      <c r="AEC6" s="622"/>
      <c r="AED6" s="622"/>
      <c r="AEE6" s="622"/>
      <c r="AEF6" s="622"/>
      <c r="AEG6" s="622"/>
      <c r="AEH6" s="622"/>
      <c r="AEI6" s="622"/>
      <c r="AEJ6" s="622"/>
      <c r="AEK6" s="622"/>
      <c r="AEL6" s="622"/>
      <c r="AEM6" s="622"/>
      <c r="AEN6" s="622"/>
      <c r="AEO6" s="622"/>
      <c r="AEP6" s="622"/>
      <c r="AEQ6" s="622"/>
      <c r="AER6" s="622"/>
      <c r="AES6" s="622"/>
      <c r="AET6" s="622"/>
      <c r="AEU6" s="622"/>
      <c r="AEV6" s="622"/>
      <c r="AEW6" s="622"/>
      <c r="AEX6" s="622"/>
      <c r="AEY6" s="622"/>
      <c r="AEZ6" s="622"/>
      <c r="AFA6" s="622"/>
      <c r="AFB6" s="622"/>
      <c r="AFC6" s="622"/>
      <c r="AFD6" s="622"/>
      <c r="AFE6" s="622"/>
      <c r="AFF6" s="622"/>
      <c r="AFG6" s="622"/>
      <c r="AFH6" s="622"/>
      <c r="AFI6" s="622"/>
      <c r="AFJ6" s="622"/>
      <c r="AFK6" s="622"/>
      <c r="AFL6" s="622"/>
      <c r="AFM6" s="622"/>
      <c r="AFN6" s="622"/>
      <c r="AFO6" s="622"/>
      <c r="AFP6" s="622"/>
      <c r="AFQ6" s="622"/>
      <c r="AFR6" s="622"/>
      <c r="AFS6" s="622"/>
      <c r="AFT6" s="622"/>
      <c r="AFU6" s="622"/>
      <c r="AFV6" s="622"/>
      <c r="AFW6" s="622"/>
      <c r="AFX6" s="622"/>
      <c r="AFY6" s="622"/>
      <c r="AFZ6" s="622"/>
      <c r="AGA6" s="622"/>
      <c r="AGB6" s="622"/>
      <c r="AGC6" s="622"/>
      <c r="AGD6" s="622"/>
      <c r="AGE6" s="622"/>
      <c r="AGF6" s="622"/>
      <c r="AGG6" s="622"/>
      <c r="AGH6" s="622"/>
      <c r="AGI6" s="622"/>
      <c r="AGJ6" s="622"/>
      <c r="AGK6" s="622"/>
      <c r="AGL6" s="622"/>
      <c r="AGM6" s="622"/>
      <c r="AGN6" s="622"/>
      <c r="AGO6" s="622"/>
      <c r="AGP6" s="622"/>
      <c r="AGQ6" s="622"/>
      <c r="AGR6" s="622"/>
      <c r="AGS6" s="622"/>
      <c r="AGT6" s="622"/>
      <c r="AGU6" s="622"/>
      <c r="AGV6" s="622"/>
      <c r="AGW6" s="622"/>
      <c r="AGX6" s="622"/>
      <c r="AGY6" s="622"/>
      <c r="AGZ6" s="622"/>
      <c r="AHA6" s="622"/>
      <c r="AHB6" s="622"/>
      <c r="AHC6" s="622"/>
      <c r="AHD6" s="622"/>
      <c r="AHE6" s="622"/>
      <c r="AHF6" s="622"/>
      <c r="AHG6" s="622"/>
      <c r="AHH6" s="622"/>
      <c r="AHI6" s="622"/>
      <c r="AHJ6" s="622"/>
      <c r="AHK6" s="622"/>
      <c r="AHL6" s="622"/>
      <c r="AHM6" s="622"/>
      <c r="AHN6" s="622"/>
      <c r="AHO6" s="622"/>
      <c r="AHP6" s="622"/>
      <c r="AHQ6" s="622"/>
      <c r="AHR6" s="622"/>
      <c r="AHS6" s="622"/>
      <c r="AHT6" s="622"/>
      <c r="AHU6" s="622"/>
      <c r="AHV6" s="622"/>
      <c r="AHW6" s="622"/>
      <c r="AHX6" s="622"/>
      <c r="AHY6" s="622"/>
      <c r="AHZ6" s="622"/>
      <c r="AIA6" s="622"/>
      <c r="AIB6" s="622"/>
      <c r="AIC6" s="622"/>
      <c r="AID6" s="622"/>
      <c r="AIE6" s="622"/>
      <c r="AIF6" s="622"/>
      <c r="AIG6" s="622"/>
      <c r="AIH6" s="622"/>
      <c r="AII6" s="622"/>
      <c r="AIJ6" s="622"/>
      <c r="AIK6" s="622"/>
      <c r="AIL6" s="622"/>
      <c r="AIM6" s="622"/>
      <c r="AIN6" s="622"/>
      <c r="AIO6" s="622"/>
      <c r="AIP6" s="622"/>
      <c r="AIQ6" s="622"/>
      <c r="AIR6" s="622"/>
      <c r="AIS6" s="622"/>
      <c r="AIT6" s="622"/>
      <c r="AIU6" s="622"/>
      <c r="AIV6" s="622"/>
      <c r="AIW6" s="622"/>
      <c r="AIX6" s="622"/>
      <c r="AIY6" s="622"/>
      <c r="AIZ6" s="622"/>
      <c r="AJA6" s="622"/>
      <c r="AJB6" s="622"/>
      <c r="AJC6" s="622"/>
      <c r="AJD6" s="622"/>
      <c r="AJE6" s="622"/>
      <c r="AJF6" s="622"/>
      <c r="AJG6" s="622"/>
      <c r="AJH6" s="622"/>
      <c r="AJI6" s="622"/>
      <c r="AJJ6" s="622"/>
      <c r="AJK6" s="622"/>
      <c r="AJL6" s="622"/>
      <c r="AJM6" s="622"/>
      <c r="AJN6" s="622"/>
      <c r="AJO6" s="622"/>
      <c r="AJP6" s="622"/>
      <c r="AJQ6" s="622"/>
      <c r="AJR6" s="622"/>
      <c r="AJS6" s="622"/>
      <c r="AJT6" s="622"/>
      <c r="AJU6" s="622"/>
      <c r="AJV6" s="622"/>
      <c r="AJW6" s="622"/>
      <c r="AJX6" s="622"/>
      <c r="AJY6" s="622"/>
      <c r="AJZ6" s="622"/>
      <c r="AKA6" s="622"/>
      <c r="AKB6" s="622"/>
      <c r="AKC6" s="622"/>
      <c r="AKD6" s="622"/>
      <c r="AKE6" s="622"/>
      <c r="AKF6" s="622"/>
      <c r="AKG6" s="622"/>
      <c r="AKH6" s="622"/>
      <c r="AKI6" s="622"/>
      <c r="AKJ6" s="622"/>
      <c r="AKK6" s="622"/>
      <c r="AKL6" s="622"/>
      <c r="AKM6" s="622"/>
      <c r="AKN6" s="622"/>
      <c r="AKO6" s="622"/>
      <c r="AKP6" s="622"/>
      <c r="AKQ6" s="622"/>
      <c r="AKR6" s="622"/>
      <c r="AKS6" s="622"/>
      <c r="AKT6" s="622"/>
      <c r="AKU6" s="622"/>
      <c r="AKV6" s="622"/>
      <c r="AKW6" s="622"/>
      <c r="AKX6" s="622"/>
      <c r="AKY6" s="622"/>
      <c r="AKZ6" s="622"/>
      <c r="ALA6" s="622"/>
      <c r="ALB6" s="622"/>
      <c r="ALC6" s="622"/>
      <c r="ALD6" s="622"/>
      <c r="ALE6" s="622"/>
      <c r="ALF6" s="622"/>
      <c r="ALG6" s="622"/>
      <c r="ALH6" s="622"/>
      <c r="ALI6" s="622"/>
      <c r="ALJ6" s="622"/>
      <c r="ALK6" s="622"/>
      <c r="ALL6" s="622"/>
      <c r="ALM6" s="622"/>
      <c r="ALN6" s="622"/>
      <c r="ALO6" s="622"/>
      <c r="ALP6" s="622"/>
      <c r="ALQ6" s="622"/>
      <c r="ALR6" s="622"/>
      <c r="ALS6" s="622"/>
      <c r="ALT6" s="622"/>
      <c r="ALU6" s="622"/>
      <c r="ALV6" s="622"/>
      <c r="ALW6" s="622"/>
      <c r="ALX6" s="622"/>
      <c r="ALY6" s="622"/>
      <c r="ALZ6" s="622"/>
      <c r="AMA6" s="622"/>
      <c r="AMB6" s="622"/>
      <c r="AMC6" s="622"/>
      <c r="AMD6" s="622"/>
      <c r="AME6" s="622"/>
      <c r="AMF6" s="622"/>
      <c r="AMG6" s="622"/>
      <c r="AMH6" s="622"/>
      <c r="AMI6" s="622"/>
      <c r="AMJ6" s="622"/>
      <c r="AMK6" s="622"/>
      <c r="AML6" s="622"/>
      <c r="AMM6" s="622"/>
      <c r="AMN6" s="622"/>
      <c r="AMO6" s="622"/>
      <c r="AMP6" s="622"/>
      <c r="AMQ6" s="622"/>
      <c r="AMR6" s="622"/>
      <c r="AMS6" s="622"/>
      <c r="AMT6" s="622"/>
      <c r="AMU6" s="622"/>
      <c r="AMV6" s="622"/>
      <c r="AMW6" s="622"/>
      <c r="AMX6" s="622"/>
      <c r="AMY6" s="622"/>
      <c r="AMZ6" s="622"/>
      <c r="ANA6" s="622"/>
      <c r="ANB6" s="622"/>
      <c r="ANC6" s="622"/>
      <c r="AND6" s="622"/>
      <c r="ANE6" s="622"/>
      <c r="ANF6" s="622"/>
      <c r="ANG6" s="622"/>
      <c r="ANH6" s="622"/>
      <c r="ANI6" s="622"/>
      <c r="ANJ6" s="622"/>
      <c r="ANK6" s="622"/>
      <c r="ANL6" s="622"/>
      <c r="ANM6" s="622"/>
      <c r="ANN6" s="622"/>
      <c r="ANO6" s="622"/>
      <c r="ANP6" s="622"/>
      <c r="ANQ6" s="622"/>
      <c r="ANR6" s="622"/>
      <c r="ANS6" s="622"/>
      <c r="ANT6" s="622"/>
      <c r="ANU6" s="622"/>
      <c r="ANV6" s="622"/>
      <c r="ANW6" s="622"/>
      <c r="ANX6" s="622"/>
      <c r="ANY6" s="622"/>
      <c r="ANZ6" s="622"/>
      <c r="AOA6" s="622"/>
      <c r="AOB6" s="622"/>
      <c r="AOC6" s="622"/>
      <c r="AOD6" s="622"/>
      <c r="AOE6" s="622"/>
      <c r="AOF6" s="622"/>
      <c r="AOG6" s="622"/>
      <c r="AOH6" s="622"/>
      <c r="AOI6" s="622"/>
      <c r="AOJ6" s="622"/>
      <c r="AOK6" s="622"/>
      <c r="AOL6" s="622"/>
      <c r="AOM6" s="622"/>
      <c r="AON6" s="622"/>
      <c r="AOO6" s="622"/>
      <c r="AOP6" s="622"/>
      <c r="AOQ6" s="622"/>
      <c r="AOR6" s="622"/>
      <c r="AOS6" s="622"/>
      <c r="AOT6" s="622"/>
      <c r="AOU6" s="622"/>
      <c r="AOV6" s="622"/>
      <c r="AOW6" s="622"/>
      <c r="AOX6" s="622"/>
      <c r="AOY6" s="622"/>
      <c r="AOZ6" s="622"/>
      <c r="APA6" s="622"/>
      <c r="APB6" s="622"/>
      <c r="APC6" s="622"/>
      <c r="APD6" s="622"/>
      <c r="APE6" s="622"/>
      <c r="APF6" s="622"/>
      <c r="APG6" s="622"/>
      <c r="APH6" s="622"/>
      <c r="API6" s="622"/>
      <c r="APJ6" s="622"/>
      <c r="APK6" s="622"/>
      <c r="APL6" s="622"/>
      <c r="APM6" s="622"/>
      <c r="APN6" s="622"/>
      <c r="APO6" s="622"/>
      <c r="APP6" s="622"/>
      <c r="APQ6" s="622"/>
      <c r="APR6" s="622"/>
      <c r="APS6" s="622"/>
      <c r="APT6" s="622"/>
      <c r="APU6" s="622"/>
      <c r="APV6" s="622"/>
      <c r="APW6" s="622"/>
      <c r="APX6" s="622"/>
      <c r="APY6" s="622"/>
      <c r="APZ6" s="622"/>
      <c r="AQA6" s="622"/>
      <c r="AQB6" s="622"/>
      <c r="AQC6" s="622"/>
      <c r="AQD6" s="622"/>
      <c r="AQE6" s="622"/>
      <c r="AQF6" s="622"/>
      <c r="AQG6" s="622"/>
      <c r="AQH6" s="622"/>
      <c r="AQI6" s="622"/>
      <c r="AQJ6" s="622"/>
      <c r="AQK6" s="622"/>
      <c r="AQL6" s="622"/>
      <c r="AQM6" s="622"/>
      <c r="AQN6" s="622"/>
      <c r="AQO6" s="622"/>
      <c r="AQP6" s="622"/>
      <c r="AQQ6" s="622"/>
      <c r="AQR6" s="622"/>
      <c r="AQS6" s="622"/>
      <c r="AQT6" s="622"/>
      <c r="AQU6" s="622"/>
      <c r="AQV6" s="622"/>
      <c r="AQW6" s="622"/>
      <c r="AQX6" s="622"/>
      <c r="AQY6" s="622"/>
      <c r="AQZ6" s="622"/>
      <c r="ARA6" s="622"/>
      <c r="ARB6" s="622"/>
      <c r="ARC6" s="622"/>
      <c r="ARD6" s="622"/>
      <c r="ARE6" s="622"/>
      <c r="ARF6" s="622"/>
      <c r="ARG6" s="622"/>
      <c r="ARH6" s="622"/>
      <c r="ARI6" s="622"/>
      <c r="ARJ6" s="622"/>
      <c r="ARK6" s="622"/>
      <c r="ARL6" s="622"/>
      <c r="ARM6" s="622"/>
      <c r="ARN6" s="622"/>
      <c r="ARO6" s="622"/>
      <c r="ARP6" s="622"/>
      <c r="ARQ6" s="622"/>
      <c r="ARR6" s="622"/>
      <c r="ARS6" s="622"/>
      <c r="ART6" s="622"/>
      <c r="ARU6" s="622"/>
      <c r="ARV6" s="622"/>
      <c r="ARW6" s="622"/>
      <c r="ARX6" s="622"/>
      <c r="ARY6" s="622"/>
      <c r="ARZ6" s="622"/>
      <c r="ASA6" s="622"/>
      <c r="ASB6" s="622"/>
      <c r="ASC6" s="622"/>
      <c r="ASD6" s="622"/>
      <c r="ASE6" s="622"/>
      <c r="ASF6" s="622"/>
      <c r="ASG6" s="622"/>
      <c r="ASH6" s="622"/>
      <c r="ASI6" s="622"/>
      <c r="ASJ6" s="622"/>
      <c r="ASK6" s="622"/>
      <c r="ASL6" s="622"/>
      <c r="ASM6" s="622"/>
      <c r="ASN6" s="622"/>
      <c r="ASO6" s="622"/>
      <c r="ASP6" s="622"/>
      <c r="ASQ6" s="622"/>
      <c r="ASR6" s="622"/>
      <c r="ASS6" s="622"/>
      <c r="AST6" s="622"/>
      <c r="ASU6" s="622"/>
      <c r="ASV6" s="622"/>
      <c r="ASW6" s="622"/>
      <c r="ASX6" s="622"/>
      <c r="ASY6" s="622"/>
      <c r="ASZ6" s="622"/>
      <c r="ATA6" s="622"/>
      <c r="ATB6" s="622"/>
      <c r="ATC6" s="622"/>
      <c r="ATD6" s="622"/>
      <c r="ATE6" s="622"/>
      <c r="ATF6" s="622"/>
      <c r="ATG6" s="622"/>
      <c r="ATH6" s="622"/>
      <c r="ATI6" s="622"/>
      <c r="ATJ6" s="622"/>
      <c r="ATK6" s="622"/>
      <c r="ATL6" s="622"/>
      <c r="ATM6" s="622"/>
      <c r="ATN6" s="622"/>
      <c r="ATO6" s="622"/>
      <c r="ATP6" s="622"/>
      <c r="ATQ6" s="622"/>
      <c r="ATR6" s="622"/>
      <c r="ATS6" s="622"/>
      <c r="ATT6" s="622"/>
      <c r="ATU6" s="622"/>
      <c r="ATV6" s="622"/>
      <c r="ATW6" s="622"/>
      <c r="ATX6" s="622"/>
      <c r="ATY6" s="622"/>
      <c r="ATZ6" s="622"/>
      <c r="AUA6" s="622"/>
      <c r="AUB6" s="622"/>
      <c r="AUC6" s="622"/>
      <c r="AUD6" s="622"/>
      <c r="AUE6" s="622"/>
      <c r="AUF6" s="622"/>
      <c r="AUG6" s="622"/>
      <c r="AUH6" s="622"/>
      <c r="AUI6" s="622"/>
      <c r="AUJ6" s="622"/>
      <c r="AUK6" s="622"/>
      <c r="AUL6" s="622"/>
      <c r="AUM6" s="622"/>
      <c r="AUN6" s="622"/>
      <c r="AUO6" s="622"/>
      <c r="AUP6" s="622"/>
      <c r="AUQ6" s="622"/>
      <c r="AUR6" s="622"/>
      <c r="AUS6" s="622"/>
      <c r="AUT6" s="622"/>
      <c r="AUU6" s="622"/>
      <c r="AUV6" s="622"/>
      <c r="AUW6" s="622"/>
      <c r="AUX6" s="622"/>
      <c r="AUY6" s="622"/>
      <c r="AUZ6" s="622"/>
      <c r="AVA6" s="622"/>
      <c r="AVB6" s="622"/>
      <c r="AVC6" s="622"/>
      <c r="AVD6" s="622"/>
      <c r="AVE6" s="622"/>
      <c r="AVF6" s="622"/>
      <c r="AVG6" s="622"/>
      <c r="AVH6" s="622"/>
      <c r="AVI6" s="622"/>
      <c r="AVJ6" s="622"/>
      <c r="AVK6" s="622"/>
      <c r="AVL6" s="622"/>
      <c r="AVM6" s="622"/>
      <c r="AVN6" s="622"/>
      <c r="AVO6" s="622"/>
      <c r="AVP6" s="622"/>
      <c r="AVQ6" s="622"/>
      <c r="AVR6" s="622"/>
      <c r="AVS6" s="622"/>
      <c r="AVT6" s="622"/>
      <c r="AVU6" s="622"/>
      <c r="AVV6" s="622"/>
      <c r="AVW6" s="622"/>
      <c r="AVX6" s="622"/>
      <c r="AVY6" s="622"/>
      <c r="AVZ6" s="622"/>
      <c r="AWA6" s="622"/>
      <c r="AWB6" s="622"/>
      <c r="AWC6" s="622"/>
      <c r="AWD6" s="622"/>
      <c r="AWE6" s="622"/>
      <c r="AWF6" s="622"/>
      <c r="AWG6" s="622"/>
      <c r="AWH6" s="622"/>
      <c r="AWI6" s="622"/>
      <c r="AWJ6" s="622"/>
      <c r="AWK6" s="622"/>
      <c r="AWL6" s="622"/>
      <c r="AWM6" s="622"/>
      <c r="AWN6" s="622"/>
      <c r="AWO6" s="622"/>
      <c r="AWP6" s="622"/>
      <c r="AWQ6" s="622"/>
      <c r="AWR6" s="622"/>
      <c r="AWS6" s="622"/>
      <c r="AWT6" s="622"/>
      <c r="AWU6" s="622"/>
      <c r="AWV6" s="622"/>
      <c r="AWW6" s="622"/>
      <c r="AWX6" s="622"/>
      <c r="AWY6" s="622"/>
      <c r="AWZ6" s="622"/>
      <c r="AXA6" s="622"/>
      <c r="AXB6" s="622"/>
      <c r="AXC6" s="622"/>
      <c r="AXD6" s="622"/>
      <c r="AXE6" s="622"/>
      <c r="AXF6" s="622"/>
      <c r="AXG6" s="622"/>
      <c r="AXH6" s="622"/>
      <c r="AXI6" s="622"/>
      <c r="AXJ6" s="622"/>
      <c r="AXK6" s="622"/>
      <c r="AXL6" s="622"/>
      <c r="AXM6" s="622"/>
      <c r="AXN6" s="622"/>
      <c r="AXO6" s="622"/>
      <c r="AXP6" s="622"/>
      <c r="AXQ6" s="622"/>
      <c r="AXR6" s="622"/>
      <c r="AXS6" s="622"/>
      <c r="AXT6" s="622"/>
      <c r="AXU6" s="622"/>
      <c r="AXV6" s="622"/>
      <c r="AXW6" s="622"/>
      <c r="AXX6" s="622"/>
      <c r="AXY6" s="622"/>
      <c r="AXZ6" s="622"/>
      <c r="AYA6" s="622"/>
      <c r="AYB6" s="622"/>
      <c r="AYC6" s="622"/>
      <c r="AYD6" s="622"/>
      <c r="AYE6" s="622"/>
      <c r="AYF6" s="622"/>
      <c r="AYG6" s="622"/>
      <c r="AYH6" s="622"/>
      <c r="AYI6" s="622"/>
      <c r="AYJ6" s="622"/>
      <c r="AYK6" s="622"/>
      <c r="AYL6" s="622"/>
      <c r="AYM6" s="622"/>
      <c r="AYN6" s="622"/>
      <c r="AYO6" s="622"/>
      <c r="AYP6" s="622"/>
      <c r="AYQ6" s="622"/>
      <c r="AYR6" s="622"/>
      <c r="AYS6" s="622"/>
      <c r="AYT6" s="622"/>
      <c r="AYU6" s="622"/>
      <c r="AYV6" s="622"/>
      <c r="AYW6" s="622"/>
      <c r="AYX6" s="622"/>
      <c r="AYY6" s="622"/>
      <c r="AYZ6" s="622"/>
      <c r="AZA6" s="622"/>
      <c r="AZB6" s="622"/>
      <c r="AZC6" s="622"/>
      <c r="AZD6" s="622"/>
      <c r="AZE6" s="622"/>
      <c r="AZF6" s="622"/>
      <c r="AZG6" s="622"/>
      <c r="AZH6" s="622"/>
      <c r="AZI6" s="622"/>
      <c r="AZJ6" s="622"/>
      <c r="AZK6" s="622"/>
      <c r="AZL6" s="622"/>
      <c r="AZM6" s="622"/>
      <c r="AZN6" s="622"/>
      <c r="AZO6" s="622"/>
      <c r="AZP6" s="622"/>
      <c r="AZQ6" s="622"/>
      <c r="AZR6" s="622"/>
      <c r="AZS6" s="622"/>
      <c r="AZT6" s="622"/>
      <c r="AZU6" s="622"/>
      <c r="AZV6" s="622"/>
      <c r="AZW6" s="622"/>
      <c r="AZX6" s="622"/>
      <c r="AZY6" s="622"/>
      <c r="AZZ6" s="622"/>
      <c r="BAA6" s="622"/>
      <c r="BAB6" s="622"/>
      <c r="BAC6" s="622"/>
      <c r="BAD6" s="622"/>
      <c r="BAE6" s="622"/>
      <c r="BAF6" s="622"/>
      <c r="BAG6" s="622"/>
      <c r="BAH6" s="622"/>
      <c r="BAI6" s="622"/>
      <c r="BAJ6" s="622"/>
      <c r="BAK6" s="622"/>
      <c r="BAL6" s="622"/>
      <c r="BAM6" s="622"/>
      <c r="BAN6" s="622"/>
      <c r="BAO6" s="622"/>
      <c r="BAP6" s="622"/>
      <c r="BAQ6" s="622"/>
      <c r="BAR6" s="622"/>
      <c r="BAS6" s="622"/>
      <c r="BAT6" s="622"/>
      <c r="BAU6" s="622"/>
      <c r="BAV6" s="622"/>
      <c r="BAW6" s="622"/>
      <c r="BAX6" s="622"/>
      <c r="BAY6" s="622"/>
      <c r="BAZ6" s="622"/>
      <c r="BBA6" s="622"/>
      <c r="BBB6" s="622"/>
      <c r="BBC6" s="622"/>
      <c r="BBD6" s="622"/>
      <c r="BBE6" s="622"/>
      <c r="BBF6" s="622"/>
      <c r="BBG6" s="622"/>
      <c r="BBH6" s="622"/>
      <c r="BBI6" s="622"/>
      <c r="BBJ6" s="622"/>
      <c r="BBK6" s="622"/>
      <c r="BBL6" s="622"/>
      <c r="BBM6" s="622"/>
      <c r="BBN6" s="622"/>
      <c r="BBO6" s="622"/>
      <c r="BBP6" s="622"/>
      <c r="BBQ6" s="622"/>
      <c r="BBR6" s="622"/>
      <c r="BBS6" s="622"/>
      <c r="BBT6" s="622"/>
      <c r="BBU6" s="622"/>
      <c r="BBV6" s="622"/>
      <c r="BBW6" s="622"/>
      <c r="BBX6" s="622"/>
      <c r="BBY6" s="622"/>
      <c r="BBZ6" s="622"/>
      <c r="BCA6" s="622"/>
      <c r="BCB6" s="622"/>
      <c r="BCC6" s="622"/>
      <c r="BCD6" s="622"/>
      <c r="BCE6" s="622"/>
      <c r="BCF6" s="622"/>
      <c r="BCG6" s="622"/>
      <c r="BCH6" s="622"/>
      <c r="BCI6" s="622"/>
      <c r="BCJ6" s="622"/>
      <c r="BCK6" s="622"/>
      <c r="BCL6" s="622"/>
      <c r="BCM6" s="622"/>
      <c r="BCN6" s="622"/>
      <c r="BCO6" s="622"/>
      <c r="BCP6" s="622"/>
      <c r="BCQ6" s="622"/>
      <c r="BCR6" s="622"/>
      <c r="BCS6" s="622"/>
      <c r="BCT6" s="622"/>
      <c r="BCU6" s="622"/>
      <c r="BCV6" s="622"/>
      <c r="BCW6" s="622"/>
      <c r="BCX6" s="622"/>
      <c r="BCY6" s="622"/>
      <c r="BCZ6" s="622"/>
      <c r="BDA6" s="622"/>
      <c r="BDB6" s="622"/>
      <c r="BDC6" s="622"/>
      <c r="BDD6" s="622"/>
      <c r="BDE6" s="622"/>
      <c r="BDF6" s="622"/>
      <c r="BDG6" s="622"/>
      <c r="BDH6" s="622"/>
      <c r="BDI6" s="622"/>
      <c r="BDJ6" s="622"/>
      <c r="BDK6" s="622"/>
      <c r="BDL6" s="622"/>
      <c r="BDM6" s="622"/>
      <c r="BDN6" s="622"/>
      <c r="BDO6" s="622"/>
      <c r="BDP6" s="622"/>
      <c r="BDQ6" s="622"/>
      <c r="BDR6" s="622"/>
      <c r="BDS6" s="622"/>
      <c r="BDT6" s="622"/>
      <c r="BDU6" s="622"/>
      <c r="BDV6" s="622"/>
      <c r="BDW6" s="622"/>
      <c r="BDX6" s="622"/>
      <c r="BDY6" s="622"/>
      <c r="BDZ6" s="622"/>
      <c r="BEA6" s="622"/>
      <c r="BEB6" s="622"/>
      <c r="BEC6" s="622"/>
      <c r="BED6" s="622"/>
      <c r="BEE6" s="622"/>
      <c r="BEF6" s="622"/>
      <c r="BEG6" s="622"/>
      <c r="BEH6" s="622"/>
      <c r="BEI6" s="622"/>
      <c r="BEJ6" s="622"/>
      <c r="BEK6" s="622"/>
      <c r="BEL6" s="622"/>
      <c r="BEM6" s="622"/>
      <c r="BEN6" s="622"/>
      <c r="BEO6" s="622"/>
      <c r="BEP6" s="622"/>
      <c r="BEQ6" s="622"/>
      <c r="BER6" s="622"/>
      <c r="BES6" s="622"/>
      <c r="BET6" s="622"/>
      <c r="BEU6" s="622"/>
      <c r="BEV6" s="622"/>
      <c r="BEW6" s="622"/>
      <c r="BEX6" s="622"/>
      <c r="BEY6" s="622"/>
      <c r="BEZ6" s="622"/>
      <c r="BFA6" s="622"/>
      <c r="BFB6" s="622"/>
      <c r="BFC6" s="622"/>
      <c r="BFD6" s="622"/>
      <c r="BFE6" s="622"/>
      <c r="BFF6" s="622"/>
      <c r="BFG6" s="622"/>
      <c r="BFH6" s="622"/>
      <c r="BFI6" s="622"/>
      <c r="BFJ6" s="622"/>
      <c r="BFK6" s="622"/>
      <c r="BFL6" s="622"/>
      <c r="BFM6" s="622"/>
      <c r="BFN6" s="622"/>
      <c r="BFO6" s="622"/>
      <c r="BFP6" s="622"/>
      <c r="BFQ6" s="622"/>
      <c r="BFR6" s="622"/>
      <c r="BFS6" s="622"/>
      <c r="BFT6" s="622"/>
      <c r="BFU6" s="622"/>
      <c r="BFV6" s="622"/>
      <c r="BFW6" s="622"/>
      <c r="BFX6" s="622"/>
      <c r="BFY6" s="622"/>
      <c r="BFZ6" s="622"/>
      <c r="BGA6" s="622"/>
      <c r="BGB6" s="622"/>
      <c r="BGC6" s="622"/>
      <c r="BGD6" s="622"/>
      <c r="BGE6" s="622"/>
      <c r="BGF6" s="622"/>
      <c r="BGG6" s="622"/>
      <c r="BGH6" s="622"/>
      <c r="BGI6" s="622"/>
      <c r="BGJ6" s="622"/>
      <c r="BGK6" s="622"/>
      <c r="BGL6" s="622"/>
      <c r="BGM6" s="622"/>
      <c r="BGN6" s="622"/>
      <c r="BGO6" s="622"/>
      <c r="BGP6" s="622"/>
      <c r="BGQ6" s="622"/>
      <c r="BGR6" s="622"/>
      <c r="BGS6" s="622"/>
      <c r="BGT6" s="622"/>
      <c r="BGU6" s="622"/>
      <c r="BGV6" s="622"/>
      <c r="BGW6" s="622"/>
      <c r="BGX6" s="622"/>
      <c r="BGY6" s="622"/>
      <c r="BGZ6" s="622"/>
      <c r="BHA6" s="622"/>
      <c r="BHB6" s="622"/>
      <c r="BHC6" s="622"/>
      <c r="BHD6" s="622"/>
      <c r="BHE6" s="622"/>
      <c r="BHF6" s="622"/>
      <c r="BHG6" s="622"/>
      <c r="BHH6" s="622"/>
      <c r="BHI6" s="622"/>
      <c r="BHJ6" s="622"/>
      <c r="BHK6" s="622"/>
      <c r="BHL6" s="622"/>
      <c r="BHM6" s="622"/>
      <c r="BHN6" s="622"/>
      <c r="BHO6" s="622"/>
      <c r="BHP6" s="622"/>
      <c r="BHQ6" s="622"/>
      <c r="BHR6" s="622"/>
      <c r="BHS6" s="622"/>
      <c r="BHT6" s="622"/>
      <c r="BHU6" s="622"/>
      <c r="BHV6" s="622"/>
      <c r="BHW6" s="622"/>
      <c r="BHX6" s="622"/>
      <c r="BHY6" s="622"/>
      <c r="BHZ6" s="622"/>
      <c r="BIA6" s="622"/>
      <c r="BIB6" s="622"/>
      <c r="BIC6" s="622"/>
      <c r="BID6" s="622"/>
      <c r="BIE6" s="622"/>
      <c r="BIF6" s="622"/>
      <c r="BIG6" s="622"/>
      <c r="BIH6" s="622"/>
      <c r="BII6" s="622"/>
      <c r="BIJ6" s="622"/>
      <c r="BIK6" s="622"/>
      <c r="BIL6" s="622"/>
      <c r="BIM6" s="622"/>
      <c r="BIN6" s="622"/>
      <c r="BIO6" s="622"/>
      <c r="BIP6" s="622"/>
      <c r="BIQ6" s="622"/>
      <c r="BIR6" s="622"/>
      <c r="BIS6" s="622"/>
      <c r="BIT6" s="622"/>
      <c r="BIU6" s="622"/>
      <c r="BIV6" s="622"/>
      <c r="BIW6" s="622"/>
      <c r="BIX6" s="622"/>
      <c r="BIY6" s="622"/>
      <c r="BIZ6" s="622"/>
      <c r="BJA6" s="622"/>
      <c r="BJB6" s="622"/>
      <c r="BJC6" s="622"/>
      <c r="BJD6" s="622"/>
      <c r="BJE6" s="622"/>
      <c r="BJF6" s="622"/>
      <c r="BJG6" s="622"/>
      <c r="BJH6" s="622"/>
      <c r="BJI6" s="622"/>
      <c r="BJJ6" s="622"/>
      <c r="BJK6" s="622"/>
      <c r="BJL6" s="622"/>
      <c r="BJM6" s="622"/>
      <c r="BJN6" s="622"/>
      <c r="BJO6" s="622"/>
      <c r="BJP6" s="622"/>
      <c r="BJQ6" s="622"/>
      <c r="BJR6" s="622"/>
      <c r="BJS6" s="622"/>
      <c r="BJT6" s="622"/>
      <c r="BJU6" s="622"/>
      <c r="BJV6" s="622"/>
      <c r="BJW6" s="622"/>
      <c r="BJX6" s="622"/>
      <c r="BJY6" s="622"/>
      <c r="BJZ6" s="622"/>
      <c r="BKA6" s="622"/>
      <c r="BKB6" s="622"/>
      <c r="BKC6" s="622"/>
      <c r="BKD6" s="622"/>
      <c r="BKE6" s="622"/>
      <c r="BKF6" s="622"/>
      <c r="BKG6" s="622"/>
      <c r="BKH6" s="622"/>
      <c r="BKI6" s="622"/>
      <c r="BKJ6" s="622"/>
      <c r="BKK6" s="622"/>
      <c r="BKL6" s="622"/>
      <c r="BKM6" s="622"/>
      <c r="BKN6" s="622"/>
      <c r="BKO6" s="622"/>
      <c r="BKP6" s="622"/>
      <c r="BKQ6" s="622"/>
      <c r="BKR6" s="622"/>
      <c r="BKS6" s="622"/>
      <c r="BKT6" s="622"/>
      <c r="BKU6" s="622"/>
      <c r="BKV6" s="622"/>
      <c r="BKW6" s="622"/>
      <c r="BKX6" s="622"/>
      <c r="BKY6" s="622"/>
      <c r="BKZ6" s="622"/>
      <c r="BLA6" s="622"/>
      <c r="BLB6" s="622"/>
      <c r="BLC6" s="622"/>
      <c r="BLD6" s="622"/>
      <c r="BLE6" s="622"/>
      <c r="BLF6" s="622"/>
      <c r="BLG6" s="622"/>
      <c r="BLH6" s="622"/>
      <c r="BLI6" s="622"/>
      <c r="BLJ6" s="622"/>
      <c r="BLK6" s="622"/>
      <c r="BLL6" s="622"/>
      <c r="BLM6" s="622"/>
      <c r="BLN6" s="622"/>
      <c r="BLO6" s="622"/>
      <c r="BLP6" s="622"/>
      <c r="BLQ6" s="622"/>
      <c r="BLR6" s="622"/>
      <c r="BLS6" s="622"/>
      <c r="BLT6" s="622"/>
      <c r="BLU6" s="622"/>
      <c r="BLV6" s="622"/>
      <c r="BLW6" s="622"/>
      <c r="BLX6" s="622"/>
      <c r="BLY6" s="622"/>
      <c r="BLZ6" s="622"/>
      <c r="BMA6" s="622"/>
      <c r="BMB6" s="622"/>
      <c r="BMC6" s="622"/>
      <c r="BMD6" s="622"/>
      <c r="BME6" s="622"/>
      <c r="BMF6" s="622"/>
      <c r="BMG6" s="622"/>
      <c r="BMH6" s="622"/>
      <c r="BMI6" s="622"/>
      <c r="BMJ6" s="622"/>
      <c r="BMK6" s="622"/>
      <c r="BML6" s="622"/>
      <c r="BMM6" s="622"/>
      <c r="BMN6" s="622"/>
      <c r="BMO6" s="622"/>
      <c r="BMP6" s="622"/>
      <c r="BMQ6" s="622"/>
      <c r="BMR6" s="622"/>
      <c r="BMS6" s="622"/>
      <c r="BMT6" s="622"/>
      <c r="BMU6" s="622"/>
      <c r="BMV6" s="622"/>
      <c r="BMW6" s="622"/>
      <c r="BMX6" s="622"/>
      <c r="BMY6" s="622"/>
      <c r="BMZ6" s="622"/>
      <c r="BNA6" s="622"/>
      <c r="BNB6" s="622"/>
      <c r="BNC6" s="622"/>
      <c r="BND6" s="622"/>
      <c r="BNE6" s="622"/>
      <c r="BNF6" s="622"/>
      <c r="BNG6" s="622"/>
      <c r="BNH6" s="622"/>
      <c r="BNI6" s="622"/>
      <c r="BNJ6" s="622"/>
      <c r="BNK6" s="622"/>
      <c r="BNL6" s="622"/>
      <c r="BNM6" s="622"/>
      <c r="BNN6" s="622"/>
      <c r="BNO6" s="622"/>
      <c r="BNP6" s="622"/>
      <c r="BNQ6" s="622"/>
      <c r="BNR6" s="622"/>
      <c r="BNS6" s="622"/>
      <c r="BNT6" s="622"/>
      <c r="BNU6" s="622"/>
      <c r="BNV6" s="622"/>
      <c r="BNW6" s="622"/>
      <c r="BNX6" s="622"/>
      <c r="BNY6" s="622"/>
      <c r="BNZ6" s="622"/>
      <c r="BOA6" s="622"/>
      <c r="BOB6" s="622"/>
      <c r="BOC6" s="622"/>
      <c r="BOD6" s="622"/>
      <c r="BOE6" s="622"/>
      <c r="BOF6" s="622"/>
      <c r="BOG6" s="622"/>
      <c r="BOH6" s="622"/>
      <c r="BOI6" s="622"/>
      <c r="BOJ6" s="622"/>
      <c r="BOK6" s="622"/>
      <c r="BOL6" s="622"/>
      <c r="BOM6" s="622"/>
      <c r="BON6" s="622"/>
      <c r="BOO6" s="622"/>
      <c r="BOP6" s="622"/>
      <c r="BOQ6" s="622"/>
      <c r="BOR6" s="622"/>
      <c r="BOS6" s="622"/>
      <c r="BOT6" s="622"/>
      <c r="BOU6" s="622"/>
      <c r="BOV6" s="622"/>
      <c r="BOW6" s="622"/>
      <c r="BOX6" s="622"/>
      <c r="BOY6" s="622"/>
      <c r="BOZ6" s="622"/>
      <c r="BPA6" s="622"/>
      <c r="BPB6" s="622"/>
      <c r="BPC6" s="622"/>
      <c r="BPD6" s="622"/>
      <c r="BPE6" s="622"/>
      <c r="BPF6" s="622"/>
      <c r="BPG6" s="622"/>
      <c r="BPH6" s="622"/>
      <c r="BPI6" s="622"/>
      <c r="BPJ6" s="622"/>
      <c r="BPK6" s="622"/>
      <c r="BPL6" s="622"/>
      <c r="BPM6" s="622"/>
      <c r="BPN6" s="622"/>
      <c r="BPO6" s="622"/>
      <c r="BPP6" s="622"/>
      <c r="BPQ6" s="622"/>
      <c r="BPR6" s="622"/>
      <c r="BPS6" s="622"/>
      <c r="BPT6" s="622"/>
      <c r="BPU6" s="622"/>
      <c r="BPV6" s="622"/>
      <c r="BPW6" s="622"/>
      <c r="BPX6" s="622"/>
      <c r="BPY6" s="622"/>
      <c r="BPZ6" s="622"/>
      <c r="BQA6" s="622"/>
      <c r="BQB6" s="622"/>
      <c r="BQC6" s="622"/>
      <c r="BQD6" s="622"/>
      <c r="BQE6" s="622"/>
      <c r="BQF6" s="622"/>
      <c r="BQG6" s="622"/>
      <c r="BQH6" s="622"/>
      <c r="BQI6" s="622"/>
      <c r="BQJ6" s="622"/>
      <c r="BQK6" s="622"/>
      <c r="BQL6" s="622"/>
      <c r="BQM6" s="622"/>
      <c r="BQN6" s="622"/>
      <c r="BQO6" s="622"/>
      <c r="BQP6" s="622"/>
      <c r="BQQ6" s="622"/>
      <c r="BQR6" s="622"/>
      <c r="BQS6" s="622"/>
      <c r="BQT6" s="622"/>
      <c r="BQU6" s="622"/>
      <c r="BQV6" s="622"/>
      <c r="BQW6" s="622"/>
      <c r="BQX6" s="622"/>
      <c r="BQY6" s="622"/>
      <c r="BQZ6" s="622"/>
      <c r="BRA6" s="622"/>
      <c r="BRB6" s="622"/>
      <c r="BRC6" s="622"/>
      <c r="BRD6" s="622"/>
      <c r="BRE6" s="622"/>
      <c r="BRF6" s="622"/>
      <c r="BRG6" s="622"/>
      <c r="BRH6" s="622"/>
      <c r="BRI6" s="622"/>
      <c r="BRJ6" s="622"/>
      <c r="BRK6" s="622"/>
      <c r="BRL6" s="622"/>
      <c r="BRM6" s="622"/>
      <c r="BRN6" s="622"/>
      <c r="BRO6" s="622"/>
      <c r="BRP6" s="622"/>
      <c r="BRQ6" s="622"/>
      <c r="BRR6" s="622"/>
      <c r="BRS6" s="622"/>
      <c r="BRT6" s="622"/>
      <c r="BRU6" s="622"/>
      <c r="BRV6" s="622"/>
      <c r="BRW6" s="622"/>
      <c r="BRX6" s="622"/>
      <c r="BRY6" s="622"/>
      <c r="BRZ6" s="622"/>
      <c r="BSA6" s="622"/>
      <c r="BSB6" s="622"/>
      <c r="BSC6" s="622"/>
      <c r="BSD6" s="622"/>
      <c r="BSE6" s="622"/>
      <c r="BSF6" s="622"/>
      <c r="BSG6" s="622"/>
      <c r="BSH6" s="622"/>
      <c r="BSI6" s="622"/>
      <c r="BSJ6" s="622"/>
      <c r="BSK6" s="622"/>
      <c r="BSL6" s="622"/>
      <c r="BSM6" s="622"/>
      <c r="BSN6" s="622"/>
      <c r="BSO6" s="622"/>
      <c r="BSP6" s="622"/>
      <c r="BSQ6" s="622"/>
      <c r="BSR6" s="622"/>
      <c r="BSS6" s="622"/>
      <c r="BST6" s="622"/>
      <c r="BSU6" s="622"/>
      <c r="BSV6" s="622"/>
      <c r="BSW6" s="622"/>
      <c r="BSX6" s="622"/>
      <c r="BSY6" s="622"/>
      <c r="BSZ6" s="622"/>
      <c r="BTA6" s="622"/>
      <c r="BTB6" s="622"/>
      <c r="BTC6" s="622"/>
      <c r="BTD6" s="622"/>
      <c r="BTE6" s="622"/>
      <c r="BTF6" s="622"/>
      <c r="BTG6" s="622"/>
      <c r="BTH6" s="622"/>
      <c r="BTI6" s="622"/>
      <c r="BTJ6" s="622"/>
      <c r="BTK6" s="622"/>
      <c r="BTL6" s="622"/>
      <c r="BTM6" s="622"/>
      <c r="BTN6" s="622"/>
      <c r="BTO6" s="622"/>
      <c r="BTP6" s="622"/>
      <c r="BTQ6" s="622"/>
      <c r="BTR6" s="622"/>
      <c r="BTS6" s="622"/>
      <c r="BTT6" s="622"/>
      <c r="BTU6" s="622"/>
      <c r="BTV6" s="622"/>
      <c r="BTW6" s="622"/>
      <c r="BTX6" s="622"/>
      <c r="BTY6" s="622"/>
      <c r="BTZ6" s="622"/>
      <c r="BUA6" s="622"/>
      <c r="BUB6" s="622"/>
      <c r="BUC6" s="622"/>
      <c r="BUD6" s="622"/>
      <c r="BUE6" s="622"/>
      <c r="BUF6" s="622"/>
      <c r="BUG6" s="622"/>
      <c r="BUH6" s="622"/>
      <c r="BUI6" s="622"/>
      <c r="BUJ6" s="622"/>
      <c r="BUK6" s="622"/>
      <c r="BUL6" s="622"/>
      <c r="BUM6" s="622"/>
      <c r="BUN6" s="622"/>
      <c r="BUO6" s="622"/>
      <c r="BUP6" s="622"/>
      <c r="BUQ6" s="622"/>
      <c r="BUR6" s="622"/>
      <c r="BUS6" s="622"/>
      <c r="BUT6" s="622"/>
      <c r="BUU6" s="622"/>
      <c r="BUV6" s="622"/>
      <c r="BUW6" s="622"/>
      <c r="BUX6" s="622"/>
      <c r="BUY6" s="622"/>
      <c r="BUZ6" s="622"/>
      <c r="BVA6" s="622"/>
      <c r="BVB6" s="622"/>
      <c r="BVC6" s="622"/>
      <c r="BVD6" s="622"/>
      <c r="BVE6" s="622"/>
      <c r="BVF6" s="622"/>
      <c r="BVG6" s="622"/>
      <c r="BVH6" s="622"/>
      <c r="BVI6" s="622"/>
      <c r="BVJ6" s="622"/>
      <c r="BVK6" s="622"/>
      <c r="BVL6" s="622"/>
      <c r="BVM6" s="622"/>
      <c r="BVN6" s="622"/>
      <c r="BVO6" s="622"/>
      <c r="BVP6" s="622"/>
      <c r="BVQ6" s="622"/>
      <c r="BVR6" s="622"/>
      <c r="BVS6" s="622"/>
      <c r="BVT6" s="622"/>
      <c r="BVU6" s="622"/>
      <c r="BVV6" s="622"/>
      <c r="BVW6" s="622"/>
      <c r="BVX6" s="622"/>
      <c r="BVY6" s="622"/>
      <c r="BVZ6" s="622"/>
      <c r="BWA6" s="622"/>
      <c r="BWB6" s="622"/>
      <c r="BWC6" s="622"/>
      <c r="BWD6" s="622"/>
      <c r="BWE6" s="622"/>
      <c r="BWF6" s="622"/>
      <c r="BWG6" s="622"/>
      <c r="BWH6" s="622"/>
      <c r="BWI6" s="622"/>
      <c r="BWJ6" s="622"/>
      <c r="BWK6" s="622"/>
      <c r="BWL6" s="622"/>
      <c r="BWM6" s="622"/>
      <c r="BWN6" s="622"/>
      <c r="BWO6" s="622"/>
      <c r="BWP6" s="622"/>
      <c r="BWQ6" s="622"/>
      <c r="BWR6" s="622"/>
      <c r="BWS6" s="622"/>
      <c r="BWT6" s="622"/>
      <c r="BWU6" s="622"/>
      <c r="BWV6" s="622"/>
      <c r="BWW6" s="622"/>
      <c r="BWX6" s="622"/>
      <c r="BWY6" s="622"/>
      <c r="BWZ6" s="622"/>
      <c r="BXA6" s="622"/>
      <c r="BXB6" s="622"/>
      <c r="BXC6" s="622"/>
      <c r="BXD6" s="622"/>
      <c r="BXE6" s="622"/>
      <c r="BXF6" s="622"/>
      <c r="BXG6" s="622"/>
      <c r="BXH6" s="622"/>
      <c r="BXI6" s="622"/>
      <c r="BXJ6" s="622"/>
      <c r="BXK6" s="622"/>
      <c r="BXL6" s="622"/>
      <c r="BXM6" s="622"/>
      <c r="BXN6" s="622"/>
      <c r="BXO6" s="622"/>
      <c r="BXP6" s="622"/>
      <c r="BXQ6" s="622"/>
      <c r="BXR6" s="622"/>
      <c r="BXS6" s="622"/>
      <c r="BXT6" s="622"/>
      <c r="BXU6" s="622"/>
      <c r="BXV6" s="622"/>
      <c r="BXW6" s="622"/>
      <c r="BXX6" s="622"/>
      <c r="BXY6" s="622"/>
      <c r="BXZ6" s="622"/>
      <c r="BYA6" s="622"/>
      <c r="BYB6" s="622"/>
      <c r="BYC6" s="622"/>
      <c r="BYD6" s="622"/>
      <c r="BYE6" s="622"/>
      <c r="BYF6" s="622"/>
      <c r="BYG6" s="622"/>
      <c r="BYH6" s="622"/>
      <c r="BYI6" s="622"/>
      <c r="BYJ6" s="622"/>
      <c r="BYK6" s="622"/>
      <c r="BYL6" s="622"/>
      <c r="BYM6" s="622"/>
      <c r="BYN6" s="622"/>
      <c r="BYO6" s="622"/>
      <c r="BYP6" s="622"/>
      <c r="BYQ6" s="622"/>
      <c r="BYR6" s="622"/>
      <c r="BYS6" s="622"/>
      <c r="BYT6" s="622"/>
      <c r="BYU6" s="622"/>
      <c r="BYV6" s="622"/>
      <c r="BYW6" s="622"/>
      <c r="BYX6" s="622"/>
      <c r="BYY6" s="622"/>
      <c r="BYZ6" s="622"/>
      <c r="BZA6" s="622"/>
      <c r="BZB6" s="622"/>
      <c r="BZC6" s="622"/>
      <c r="BZD6" s="622"/>
      <c r="BZE6" s="622"/>
      <c r="BZF6" s="622"/>
      <c r="BZG6" s="622"/>
      <c r="BZH6" s="622"/>
      <c r="BZI6" s="622"/>
      <c r="BZJ6" s="622"/>
      <c r="BZK6" s="622"/>
      <c r="BZL6" s="622"/>
      <c r="BZM6" s="622"/>
      <c r="BZN6" s="622"/>
      <c r="BZO6" s="622"/>
      <c r="BZP6" s="622"/>
      <c r="BZQ6" s="622"/>
      <c r="BZR6" s="622"/>
      <c r="BZS6" s="622"/>
      <c r="BZT6" s="622"/>
      <c r="BZU6" s="622"/>
      <c r="BZV6" s="622"/>
      <c r="BZW6" s="622"/>
      <c r="BZX6" s="622"/>
      <c r="BZY6" s="622"/>
      <c r="BZZ6" s="622"/>
      <c r="CAA6" s="622"/>
      <c r="CAB6" s="622"/>
      <c r="CAC6" s="622"/>
      <c r="CAD6" s="622"/>
      <c r="CAE6" s="622"/>
      <c r="CAF6" s="622"/>
      <c r="CAG6" s="622"/>
      <c r="CAH6" s="622"/>
      <c r="CAI6" s="622"/>
      <c r="CAJ6" s="622"/>
      <c r="CAK6" s="622"/>
      <c r="CAL6" s="622"/>
      <c r="CAM6" s="622"/>
      <c r="CAN6" s="622"/>
      <c r="CAO6" s="622"/>
      <c r="CAP6" s="622"/>
      <c r="CAQ6" s="622"/>
      <c r="CAR6" s="622"/>
      <c r="CAS6" s="622"/>
      <c r="CAT6" s="622"/>
      <c r="CAU6" s="622"/>
      <c r="CAV6" s="622"/>
      <c r="CAW6" s="622"/>
      <c r="CAX6" s="622"/>
      <c r="CAY6" s="622"/>
      <c r="CAZ6" s="622"/>
      <c r="CBA6" s="622"/>
      <c r="CBB6" s="622"/>
      <c r="CBC6" s="622"/>
      <c r="CBD6" s="622"/>
      <c r="CBE6" s="622"/>
      <c r="CBF6" s="622"/>
      <c r="CBG6" s="622"/>
      <c r="CBH6" s="622"/>
      <c r="CBI6" s="622"/>
      <c r="CBJ6" s="622"/>
      <c r="CBK6" s="622"/>
      <c r="CBL6" s="622"/>
      <c r="CBM6" s="622"/>
      <c r="CBN6" s="622"/>
      <c r="CBO6" s="622"/>
      <c r="CBP6" s="622"/>
      <c r="CBQ6" s="622"/>
      <c r="CBR6" s="622"/>
      <c r="CBS6" s="622"/>
      <c r="CBT6" s="622"/>
      <c r="CBU6" s="622"/>
      <c r="CBV6" s="622"/>
      <c r="CBW6" s="622"/>
      <c r="CBX6" s="622"/>
      <c r="CBY6" s="622"/>
      <c r="CBZ6" s="622"/>
      <c r="CCA6" s="622"/>
      <c r="CCB6" s="622"/>
      <c r="CCC6" s="622"/>
      <c r="CCD6" s="622"/>
      <c r="CCE6" s="622"/>
      <c r="CCF6" s="622"/>
      <c r="CCG6" s="622"/>
      <c r="CCH6" s="622"/>
      <c r="CCI6" s="622"/>
      <c r="CCJ6" s="622"/>
      <c r="CCK6" s="622"/>
      <c r="CCL6" s="622"/>
      <c r="CCM6" s="622"/>
      <c r="CCN6" s="622"/>
      <c r="CCO6" s="622"/>
      <c r="CCP6" s="622"/>
      <c r="CCQ6" s="622"/>
      <c r="CCR6" s="622"/>
      <c r="CCS6" s="622"/>
      <c r="CCT6" s="622"/>
      <c r="CCU6" s="622"/>
      <c r="CCV6" s="622"/>
      <c r="CCW6" s="622"/>
      <c r="CCX6" s="622"/>
      <c r="CCY6" s="622"/>
      <c r="CCZ6" s="622"/>
      <c r="CDA6" s="622"/>
      <c r="CDB6" s="622"/>
      <c r="CDC6" s="622"/>
      <c r="CDD6" s="622"/>
      <c r="CDE6" s="622"/>
      <c r="CDF6" s="622"/>
      <c r="CDG6" s="622"/>
      <c r="CDH6" s="622"/>
      <c r="CDI6" s="622"/>
      <c r="CDJ6" s="622"/>
      <c r="CDK6" s="622"/>
      <c r="CDL6" s="622"/>
      <c r="CDM6" s="622"/>
      <c r="CDN6" s="622"/>
      <c r="CDO6" s="622"/>
      <c r="CDP6" s="622"/>
      <c r="CDQ6" s="622"/>
      <c r="CDR6" s="622"/>
      <c r="CDS6" s="622"/>
      <c r="CDT6" s="622"/>
      <c r="CDU6" s="622"/>
      <c r="CDV6" s="622"/>
      <c r="CDW6" s="622"/>
      <c r="CDX6" s="622"/>
      <c r="CDY6" s="622"/>
      <c r="CDZ6" s="622"/>
      <c r="CEA6" s="622"/>
      <c r="CEB6" s="622"/>
      <c r="CEC6" s="622"/>
      <c r="CED6" s="622"/>
      <c r="CEE6" s="622"/>
      <c r="CEF6" s="622"/>
      <c r="CEG6" s="622"/>
      <c r="CEH6" s="622"/>
      <c r="CEI6" s="622"/>
      <c r="CEJ6" s="622"/>
      <c r="CEK6" s="622"/>
      <c r="CEL6" s="622"/>
      <c r="CEM6" s="622"/>
      <c r="CEN6" s="622"/>
      <c r="CEO6" s="622"/>
      <c r="CEP6" s="622"/>
      <c r="CEQ6" s="622"/>
      <c r="CER6" s="622"/>
      <c r="CES6" s="622"/>
      <c r="CET6" s="622"/>
      <c r="CEU6" s="622"/>
      <c r="CEV6" s="622"/>
      <c r="CEW6" s="622"/>
      <c r="CEX6" s="622"/>
      <c r="CEY6" s="622"/>
      <c r="CEZ6" s="622"/>
      <c r="CFA6" s="622"/>
      <c r="CFB6" s="622"/>
      <c r="CFC6" s="622"/>
      <c r="CFD6" s="622"/>
      <c r="CFE6" s="622"/>
      <c r="CFF6" s="622"/>
      <c r="CFG6" s="622"/>
      <c r="CFH6" s="622"/>
      <c r="CFI6" s="622"/>
      <c r="CFJ6" s="622"/>
      <c r="CFK6" s="622"/>
      <c r="CFL6" s="622"/>
      <c r="CFM6" s="622"/>
      <c r="CFN6" s="622"/>
      <c r="CFO6" s="622"/>
      <c r="CFP6" s="622"/>
      <c r="CFQ6" s="622"/>
      <c r="CFR6" s="622"/>
      <c r="CFS6" s="622"/>
      <c r="CFT6" s="622"/>
      <c r="CFU6" s="622"/>
      <c r="CFV6" s="622"/>
      <c r="CFW6" s="622"/>
      <c r="CFX6" s="622"/>
      <c r="CFY6" s="622"/>
      <c r="CFZ6" s="622"/>
      <c r="CGA6" s="622"/>
      <c r="CGB6" s="622"/>
      <c r="CGC6" s="622"/>
      <c r="CGD6" s="622"/>
      <c r="CGE6" s="622"/>
      <c r="CGF6" s="622"/>
      <c r="CGG6" s="622"/>
      <c r="CGH6" s="622"/>
      <c r="CGI6" s="622"/>
      <c r="CGJ6" s="622"/>
      <c r="CGK6" s="622"/>
      <c r="CGL6" s="622"/>
      <c r="CGM6" s="622"/>
      <c r="CGN6" s="622"/>
      <c r="CGO6" s="622"/>
      <c r="CGP6" s="622"/>
      <c r="CGQ6" s="622"/>
      <c r="CGR6" s="622"/>
      <c r="CGS6" s="622"/>
      <c r="CGT6" s="622"/>
      <c r="CGU6" s="622"/>
      <c r="CGV6" s="622"/>
      <c r="CGW6" s="622"/>
      <c r="CGX6" s="622"/>
      <c r="CGY6" s="622"/>
      <c r="CGZ6" s="622"/>
      <c r="CHA6" s="622"/>
      <c r="CHB6" s="622"/>
      <c r="CHC6" s="622"/>
      <c r="CHD6" s="622"/>
      <c r="CHE6" s="622"/>
      <c r="CHF6" s="622"/>
      <c r="CHG6" s="622"/>
      <c r="CHH6" s="622"/>
      <c r="CHI6" s="622"/>
      <c r="CHJ6" s="622"/>
      <c r="CHK6" s="622"/>
      <c r="CHL6" s="622"/>
      <c r="CHM6" s="622"/>
      <c r="CHN6" s="622"/>
      <c r="CHO6" s="622"/>
      <c r="CHP6" s="622"/>
      <c r="CHQ6" s="622"/>
      <c r="CHR6" s="622"/>
      <c r="CHS6" s="622"/>
      <c r="CHT6" s="622"/>
      <c r="CHU6" s="622"/>
      <c r="CHV6" s="622"/>
      <c r="CHW6" s="622"/>
      <c r="CHX6" s="622"/>
      <c r="CHY6" s="622"/>
      <c r="CHZ6" s="622"/>
      <c r="CIA6" s="622"/>
      <c r="CIB6" s="622"/>
      <c r="CIC6" s="622"/>
      <c r="CID6" s="622"/>
      <c r="CIE6" s="622"/>
      <c r="CIF6" s="622"/>
      <c r="CIG6" s="622"/>
      <c r="CIH6" s="622"/>
      <c r="CII6" s="622"/>
      <c r="CIJ6" s="622"/>
      <c r="CIK6" s="622"/>
      <c r="CIL6" s="622"/>
      <c r="CIM6" s="622"/>
      <c r="CIN6" s="622"/>
      <c r="CIO6" s="622"/>
      <c r="CIP6" s="622"/>
      <c r="CIQ6" s="622"/>
      <c r="CIR6" s="622"/>
      <c r="CIS6" s="622"/>
      <c r="CIT6" s="622"/>
      <c r="CIU6" s="622"/>
      <c r="CIV6" s="622"/>
      <c r="CIW6" s="622"/>
      <c r="CIX6" s="622"/>
      <c r="CIY6" s="622"/>
      <c r="CIZ6" s="622"/>
      <c r="CJA6" s="622"/>
      <c r="CJB6" s="622"/>
      <c r="CJC6" s="622"/>
      <c r="CJD6" s="622"/>
      <c r="CJE6" s="622"/>
      <c r="CJF6" s="622"/>
      <c r="CJG6" s="622"/>
      <c r="CJH6" s="622"/>
      <c r="CJI6" s="622"/>
      <c r="CJJ6" s="622"/>
      <c r="CJK6" s="622"/>
      <c r="CJL6" s="622"/>
      <c r="CJM6" s="622"/>
      <c r="CJN6" s="622"/>
      <c r="CJO6" s="622"/>
      <c r="CJP6" s="622"/>
      <c r="CJQ6" s="622"/>
      <c r="CJR6" s="622"/>
      <c r="CJS6" s="622"/>
      <c r="CJT6" s="622"/>
      <c r="CJU6" s="622"/>
      <c r="CJV6" s="622"/>
      <c r="CJW6" s="622"/>
      <c r="CJX6" s="622"/>
      <c r="CJY6" s="622"/>
      <c r="CJZ6" s="622"/>
      <c r="CKA6" s="622"/>
      <c r="CKB6" s="622"/>
      <c r="CKC6" s="622"/>
      <c r="CKD6" s="622"/>
      <c r="CKE6" s="622"/>
      <c r="CKF6" s="622"/>
      <c r="CKG6" s="622"/>
      <c r="CKH6" s="622"/>
      <c r="CKI6" s="622"/>
      <c r="CKJ6" s="622"/>
      <c r="CKK6" s="622"/>
      <c r="CKL6" s="622"/>
      <c r="CKM6" s="622"/>
      <c r="CKN6" s="622"/>
      <c r="CKO6" s="622"/>
      <c r="CKP6" s="622"/>
      <c r="CKQ6" s="622"/>
      <c r="CKR6" s="622"/>
      <c r="CKS6" s="622"/>
      <c r="CKT6" s="622"/>
      <c r="CKU6" s="622"/>
      <c r="CKV6" s="622"/>
      <c r="CKW6" s="622"/>
      <c r="CKX6" s="622"/>
      <c r="CKY6" s="622"/>
      <c r="CKZ6" s="622"/>
      <c r="CLA6" s="622"/>
      <c r="CLB6" s="622"/>
      <c r="CLC6" s="622"/>
      <c r="CLD6" s="622"/>
      <c r="CLE6" s="622"/>
      <c r="CLF6" s="622"/>
      <c r="CLG6" s="622"/>
      <c r="CLH6" s="622"/>
      <c r="CLI6" s="622"/>
      <c r="CLJ6" s="622"/>
      <c r="CLK6" s="622"/>
      <c r="CLL6" s="622"/>
      <c r="CLM6" s="622"/>
      <c r="CLN6" s="622"/>
      <c r="CLO6" s="622"/>
      <c r="CLP6" s="622"/>
      <c r="CLQ6" s="622"/>
      <c r="CLR6" s="622"/>
      <c r="CLS6" s="622"/>
      <c r="CLT6" s="622"/>
      <c r="CLU6" s="622"/>
      <c r="CLV6" s="622"/>
      <c r="CLW6" s="622"/>
      <c r="CLX6" s="622"/>
      <c r="CLY6" s="622"/>
      <c r="CLZ6" s="622"/>
      <c r="CMA6" s="622"/>
      <c r="CMB6" s="622"/>
      <c r="CMC6" s="622"/>
      <c r="CMD6" s="622"/>
      <c r="CME6" s="622"/>
      <c r="CMF6" s="622"/>
      <c r="CMG6" s="622"/>
      <c r="CMH6" s="622"/>
      <c r="CMI6" s="622"/>
      <c r="CMJ6" s="622"/>
      <c r="CMK6" s="622"/>
      <c r="CML6" s="622"/>
      <c r="CMM6" s="622"/>
      <c r="CMN6" s="622"/>
      <c r="CMO6" s="622"/>
      <c r="CMP6" s="622"/>
      <c r="CMQ6" s="622"/>
      <c r="CMR6" s="622"/>
      <c r="CMS6" s="622"/>
      <c r="CMT6" s="622"/>
      <c r="CMU6" s="622"/>
      <c r="CMV6" s="622"/>
      <c r="CMW6" s="622"/>
      <c r="CMX6" s="622"/>
      <c r="CMY6" s="622"/>
      <c r="CMZ6" s="622"/>
      <c r="CNA6" s="622"/>
      <c r="CNB6" s="622"/>
      <c r="CNC6" s="622"/>
      <c r="CND6" s="622"/>
      <c r="CNE6" s="622"/>
      <c r="CNF6" s="622"/>
      <c r="CNG6" s="622"/>
      <c r="CNH6" s="622"/>
      <c r="CNI6" s="622"/>
      <c r="CNJ6" s="622"/>
      <c r="CNK6" s="622"/>
      <c r="CNL6" s="622"/>
      <c r="CNM6" s="622"/>
      <c r="CNN6" s="622"/>
      <c r="CNO6" s="622"/>
      <c r="CNP6" s="622"/>
      <c r="CNQ6" s="622"/>
      <c r="CNR6" s="622"/>
      <c r="CNS6" s="622"/>
      <c r="CNT6" s="622"/>
      <c r="CNU6" s="622"/>
      <c r="CNV6" s="622"/>
      <c r="CNW6" s="622"/>
      <c r="CNX6" s="622"/>
      <c r="CNY6" s="622"/>
      <c r="CNZ6" s="622"/>
      <c r="COA6" s="622"/>
      <c r="COB6" s="622"/>
      <c r="COC6" s="622"/>
      <c r="COD6" s="622"/>
      <c r="COE6" s="622"/>
      <c r="COF6" s="622"/>
      <c r="COG6" s="622"/>
      <c r="COH6" s="622"/>
      <c r="COI6" s="622"/>
      <c r="COJ6" s="622"/>
      <c r="COK6" s="622"/>
      <c r="COL6" s="622"/>
      <c r="COM6" s="622"/>
      <c r="CON6" s="622"/>
      <c r="COO6" s="622"/>
      <c r="COP6" s="622"/>
      <c r="COQ6" s="622"/>
      <c r="COR6" s="622"/>
      <c r="COS6" s="622"/>
      <c r="COT6" s="622"/>
      <c r="COU6" s="622"/>
      <c r="COV6" s="622"/>
      <c r="COW6" s="622"/>
      <c r="COX6" s="622"/>
      <c r="COY6" s="622"/>
      <c r="COZ6" s="622"/>
      <c r="CPA6" s="622"/>
      <c r="CPB6" s="622"/>
      <c r="CPC6" s="622"/>
      <c r="CPD6" s="622"/>
      <c r="CPE6" s="622"/>
      <c r="CPF6" s="622"/>
      <c r="CPG6" s="622"/>
      <c r="CPH6" s="622"/>
      <c r="CPI6" s="622"/>
      <c r="CPJ6" s="622"/>
      <c r="CPK6" s="622"/>
      <c r="CPL6" s="622"/>
      <c r="CPM6" s="622"/>
      <c r="CPN6" s="622"/>
      <c r="CPO6" s="622"/>
      <c r="CPP6" s="622"/>
      <c r="CPQ6" s="622"/>
      <c r="CPR6" s="622"/>
      <c r="CPS6" s="622"/>
      <c r="CPT6" s="622"/>
      <c r="CPU6" s="622"/>
      <c r="CPV6" s="622"/>
      <c r="CPW6" s="622"/>
      <c r="CPX6" s="622"/>
      <c r="CPY6" s="622"/>
      <c r="CPZ6" s="622"/>
      <c r="CQA6" s="622"/>
      <c r="CQB6" s="622"/>
      <c r="CQC6" s="622"/>
      <c r="CQD6" s="622"/>
      <c r="CQE6" s="622"/>
      <c r="CQF6" s="622"/>
      <c r="CQG6" s="622"/>
      <c r="CQH6" s="622"/>
      <c r="CQI6" s="622"/>
      <c r="CQJ6" s="622"/>
      <c r="CQK6" s="622"/>
      <c r="CQL6" s="622"/>
      <c r="CQM6" s="622"/>
      <c r="CQN6" s="622"/>
      <c r="CQO6" s="622"/>
      <c r="CQP6" s="622"/>
      <c r="CQQ6" s="622"/>
      <c r="CQR6" s="622"/>
      <c r="CQS6" s="622"/>
      <c r="CQT6" s="622"/>
      <c r="CQU6" s="622"/>
      <c r="CQV6" s="622"/>
      <c r="CQW6" s="622"/>
      <c r="CQX6" s="622"/>
      <c r="CQY6" s="622"/>
      <c r="CQZ6" s="622"/>
      <c r="CRA6" s="622"/>
      <c r="CRB6" s="622"/>
      <c r="CRC6" s="622"/>
      <c r="CRD6" s="622"/>
      <c r="CRE6" s="622"/>
      <c r="CRF6" s="622"/>
      <c r="CRG6" s="622"/>
      <c r="CRH6" s="622"/>
      <c r="CRI6" s="622"/>
      <c r="CRJ6" s="622"/>
      <c r="CRK6" s="622"/>
      <c r="CRL6" s="622"/>
      <c r="CRM6" s="622"/>
      <c r="CRN6" s="622"/>
      <c r="CRO6" s="622"/>
      <c r="CRP6" s="622"/>
      <c r="CRQ6" s="622"/>
      <c r="CRR6" s="622"/>
      <c r="CRS6" s="622"/>
      <c r="CRT6" s="622"/>
      <c r="CRU6" s="622"/>
      <c r="CRV6" s="622"/>
      <c r="CRW6" s="622"/>
      <c r="CRX6" s="622"/>
      <c r="CRY6" s="622"/>
      <c r="CRZ6" s="622"/>
      <c r="CSA6" s="622"/>
      <c r="CSB6" s="622"/>
      <c r="CSC6" s="622"/>
      <c r="CSD6" s="622"/>
      <c r="CSE6" s="622"/>
      <c r="CSF6" s="622"/>
      <c r="CSG6" s="622"/>
      <c r="CSH6" s="622"/>
      <c r="CSI6" s="622"/>
      <c r="CSJ6" s="622"/>
      <c r="CSK6" s="622"/>
      <c r="CSL6" s="622"/>
      <c r="CSM6" s="622"/>
      <c r="CSN6" s="622"/>
      <c r="CSO6" s="622"/>
      <c r="CSP6" s="622"/>
      <c r="CSQ6" s="622"/>
      <c r="CSR6" s="622"/>
      <c r="CSS6" s="622"/>
      <c r="CST6" s="622"/>
      <c r="CSU6" s="622"/>
      <c r="CSV6" s="622"/>
      <c r="CSW6" s="622"/>
      <c r="CSX6" s="622"/>
      <c r="CSY6" s="622"/>
      <c r="CSZ6" s="622"/>
      <c r="CTA6" s="622"/>
      <c r="CTB6" s="622"/>
      <c r="CTC6" s="622"/>
      <c r="CTD6" s="622"/>
      <c r="CTE6" s="622"/>
      <c r="CTF6" s="622"/>
      <c r="CTG6" s="622"/>
      <c r="CTH6" s="622"/>
      <c r="CTI6" s="622"/>
      <c r="CTJ6" s="622"/>
      <c r="CTK6" s="622"/>
      <c r="CTL6" s="622"/>
      <c r="CTM6" s="622"/>
      <c r="CTN6" s="622"/>
      <c r="CTO6" s="622"/>
      <c r="CTP6" s="622"/>
      <c r="CTQ6" s="622"/>
      <c r="CTR6" s="622"/>
      <c r="CTS6" s="622"/>
      <c r="CTT6" s="622"/>
      <c r="CTU6" s="622"/>
      <c r="CTV6" s="622"/>
      <c r="CTW6" s="622"/>
      <c r="CTX6" s="622"/>
      <c r="CTY6" s="622"/>
      <c r="CTZ6" s="622"/>
      <c r="CUA6" s="622"/>
      <c r="CUB6" s="622"/>
      <c r="CUC6" s="622"/>
      <c r="CUD6" s="622"/>
      <c r="CUE6" s="622"/>
      <c r="CUF6" s="622"/>
      <c r="CUG6" s="622"/>
      <c r="CUH6" s="622"/>
      <c r="CUI6" s="622"/>
      <c r="CUJ6" s="622"/>
      <c r="CUK6" s="622"/>
      <c r="CUL6" s="622"/>
      <c r="CUM6" s="622"/>
      <c r="CUN6" s="622"/>
      <c r="CUO6" s="622"/>
      <c r="CUP6" s="622"/>
      <c r="CUQ6" s="622"/>
      <c r="CUR6" s="622"/>
      <c r="CUS6" s="622"/>
      <c r="CUT6" s="622"/>
      <c r="CUU6" s="622"/>
      <c r="CUV6" s="622"/>
      <c r="CUW6" s="622"/>
      <c r="CUX6" s="622"/>
      <c r="CUY6" s="622"/>
      <c r="CUZ6" s="622"/>
      <c r="CVA6" s="622"/>
      <c r="CVB6" s="622"/>
      <c r="CVC6" s="622"/>
      <c r="CVD6" s="622"/>
      <c r="CVE6" s="622"/>
      <c r="CVF6" s="622"/>
      <c r="CVG6" s="622"/>
      <c r="CVH6" s="622"/>
      <c r="CVI6" s="622"/>
      <c r="CVJ6" s="622"/>
      <c r="CVK6" s="622"/>
      <c r="CVL6" s="622"/>
      <c r="CVM6" s="622"/>
      <c r="CVN6" s="622"/>
      <c r="CVO6" s="622"/>
      <c r="CVP6" s="622"/>
      <c r="CVQ6" s="622"/>
      <c r="CVR6" s="622"/>
      <c r="CVS6" s="622"/>
      <c r="CVT6" s="622"/>
      <c r="CVU6" s="622"/>
      <c r="CVV6" s="622"/>
      <c r="CVW6" s="622"/>
      <c r="CVX6" s="622"/>
      <c r="CVY6" s="622"/>
      <c r="CVZ6" s="622"/>
      <c r="CWA6" s="622"/>
      <c r="CWB6" s="622"/>
      <c r="CWC6" s="622"/>
      <c r="CWD6" s="622"/>
      <c r="CWE6" s="622"/>
      <c r="CWF6" s="622"/>
      <c r="CWG6" s="622"/>
      <c r="CWH6" s="622"/>
      <c r="CWI6" s="622"/>
      <c r="CWJ6" s="622"/>
      <c r="CWK6" s="622"/>
      <c r="CWL6" s="622"/>
      <c r="CWM6" s="622"/>
      <c r="CWN6" s="622"/>
      <c r="CWO6" s="622"/>
      <c r="CWP6" s="622"/>
      <c r="CWQ6" s="622"/>
      <c r="CWR6" s="622"/>
      <c r="CWS6" s="622"/>
      <c r="CWT6" s="622"/>
      <c r="CWU6" s="622"/>
      <c r="CWV6" s="622"/>
      <c r="CWW6" s="622"/>
      <c r="CWX6" s="622"/>
      <c r="CWY6" s="622"/>
      <c r="CWZ6" s="622"/>
      <c r="CXA6" s="622"/>
      <c r="CXB6" s="622"/>
      <c r="CXC6" s="622"/>
      <c r="CXD6" s="622"/>
      <c r="CXE6" s="622"/>
      <c r="CXF6" s="622"/>
      <c r="CXG6" s="622"/>
      <c r="CXH6" s="622"/>
      <c r="CXI6" s="622"/>
      <c r="CXJ6" s="622"/>
      <c r="CXK6" s="622"/>
      <c r="CXL6" s="622"/>
      <c r="CXM6" s="622"/>
      <c r="CXN6" s="622"/>
      <c r="CXO6" s="622"/>
      <c r="CXP6" s="622"/>
      <c r="CXQ6" s="622"/>
      <c r="CXR6" s="622"/>
      <c r="CXS6" s="622"/>
      <c r="CXT6" s="622"/>
      <c r="CXU6" s="622"/>
      <c r="CXV6" s="622"/>
      <c r="CXW6" s="622"/>
      <c r="CXX6" s="622"/>
      <c r="CXY6" s="622"/>
      <c r="CXZ6" s="622"/>
      <c r="CYA6" s="622"/>
      <c r="CYB6" s="622"/>
      <c r="CYC6" s="622"/>
      <c r="CYD6" s="622"/>
      <c r="CYE6" s="622"/>
      <c r="CYF6" s="622"/>
      <c r="CYG6" s="622"/>
      <c r="CYH6" s="622"/>
      <c r="CYI6" s="622"/>
      <c r="CYJ6" s="622"/>
      <c r="CYK6" s="622"/>
      <c r="CYL6" s="622"/>
      <c r="CYM6" s="622"/>
      <c r="CYN6" s="622"/>
      <c r="CYO6" s="622"/>
      <c r="CYP6" s="622"/>
      <c r="CYQ6" s="622"/>
      <c r="CYR6" s="622"/>
      <c r="CYS6" s="622"/>
      <c r="CYT6" s="622"/>
      <c r="CYU6" s="622"/>
      <c r="CYV6" s="622"/>
      <c r="CYW6" s="622"/>
      <c r="CYX6" s="622"/>
      <c r="CYY6" s="622"/>
      <c r="CYZ6" s="622"/>
      <c r="CZA6" s="622"/>
      <c r="CZB6" s="622"/>
      <c r="CZC6" s="622"/>
      <c r="CZD6" s="622"/>
      <c r="CZE6" s="622"/>
      <c r="CZF6" s="622"/>
      <c r="CZG6" s="622"/>
      <c r="CZH6" s="622"/>
      <c r="CZI6" s="622"/>
      <c r="CZJ6" s="622"/>
      <c r="CZK6" s="622"/>
      <c r="CZL6" s="622"/>
      <c r="CZM6" s="622"/>
      <c r="CZN6" s="622"/>
      <c r="CZO6" s="622"/>
      <c r="CZP6" s="622"/>
      <c r="CZQ6" s="622"/>
      <c r="CZR6" s="622"/>
      <c r="CZS6" s="622"/>
      <c r="CZT6" s="622"/>
      <c r="CZU6" s="622"/>
      <c r="CZV6" s="622"/>
      <c r="CZW6" s="622"/>
      <c r="CZX6" s="622"/>
      <c r="CZY6" s="622"/>
      <c r="CZZ6" s="622"/>
      <c r="DAA6" s="622"/>
      <c r="DAB6" s="622"/>
      <c r="DAC6" s="622"/>
      <c r="DAD6" s="622"/>
      <c r="DAE6" s="622"/>
      <c r="DAF6" s="622"/>
      <c r="DAG6" s="622"/>
      <c r="DAH6" s="622"/>
      <c r="DAI6" s="622"/>
      <c r="DAJ6" s="622"/>
      <c r="DAK6" s="622"/>
      <c r="DAL6" s="622"/>
      <c r="DAM6" s="622"/>
      <c r="DAN6" s="622"/>
      <c r="DAO6" s="622"/>
      <c r="DAP6" s="622"/>
      <c r="DAQ6" s="622"/>
      <c r="DAR6" s="622"/>
      <c r="DAS6" s="622"/>
      <c r="DAT6" s="622"/>
      <c r="DAU6" s="622"/>
      <c r="DAV6" s="622"/>
      <c r="DAW6" s="622"/>
      <c r="DAX6" s="622"/>
      <c r="DAY6" s="622"/>
      <c r="DAZ6" s="622"/>
      <c r="DBA6" s="622"/>
      <c r="DBB6" s="622"/>
      <c r="DBC6" s="622"/>
      <c r="DBD6" s="622"/>
      <c r="DBE6" s="622"/>
      <c r="DBF6" s="622"/>
      <c r="DBG6" s="622"/>
      <c r="DBH6" s="622"/>
      <c r="DBI6" s="622"/>
      <c r="DBJ6" s="622"/>
      <c r="DBK6" s="622"/>
      <c r="DBL6" s="622"/>
      <c r="DBM6" s="622"/>
      <c r="DBN6" s="622"/>
      <c r="DBO6" s="622"/>
      <c r="DBP6" s="622"/>
      <c r="DBQ6" s="622"/>
      <c r="DBR6" s="622"/>
      <c r="DBS6" s="622"/>
      <c r="DBT6" s="622"/>
      <c r="DBU6" s="622"/>
      <c r="DBV6" s="622"/>
      <c r="DBW6" s="622"/>
      <c r="DBX6" s="622"/>
      <c r="DBY6" s="622"/>
      <c r="DBZ6" s="622"/>
      <c r="DCA6" s="622"/>
      <c r="DCB6" s="622"/>
      <c r="DCC6" s="622"/>
      <c r="DCD6" s="622"/>
      <c r="DCE6" s="622"/>
      <c r="DCF6" s="622"/>
      <c r="DCG6" s="622"/>
      <c r="DCH6" s="622"/>
      <c r="DCI6" s="622"/>
      <c r="DCJ6" s="622"/>
      <c r="DCK6" s="622"/>
      <c r="DCL6" s="622"/>
      <c r="DCM6" s="622"/>
      <c r="DCN6" s="622"/>
      <c r="DCO6" s="622"/>
      <c r="DCP6" s="622"/>
      <c r="DCQ6" s="622"/>
      <c r="DCR6" s="622"/>
      <c r="DCS6" s="622"/>
      <c r="DCT6" s="622"/>
      <c r="DCU6" s="622"/>
      <c r="DCV6" s="622"/>
      <c r="DCW6" s="622"/>
      <c r="DCX6" s="622"/>
      <c r="DCY6" s="622"/>
      <c r="DCZ6" s="622"/>
      <c r="DDA6" s="622"/>
      <c r="DDB6" s="622"/>
      <c r="DDC6" s="622"/>
      <c r="DDD6" s="622"/>
      <c r="DDE6" s="622"/>
      <c r="DDF6" s="622"/>
      <c r="DDG6" s="622"/>
      <c r="DDH6" s="622"/>
      <c r="DDI6" s="622"/>
      <c r="DDJ6" s="622"/>
      <c r="DDK6" s="622"/>
      <c r="DDL6" s="622"/>
      <c r="DDM6" s="622"/>
      <c r="DDN6" s="622"/>
      <c r="DDO6" s="622"/>
      <c r="DDP6" s="622"/>
      <c r="DDQ6" s="622"/>
      <c r="DDR6" s="622"/>
      <c r="DDS6" s="622"/>
      <c r="DDT6" s="622"/>
      <c r="DDU6" s="622"/>
      <c r="DDV6" s="622"/>
      <c r="DDW6" s="622"/>
      <c r="DDX6" s="622"/>
      <c r="DDY6" s="622"/>
      <c r="DDZ6" s="622"/>
      <c r="DEA6" s="622"/>
      <c r="DEB6" s="622"/>
      <c r="DEC6" s="622"/>
      <c r="DED6" s="622"/>
      <c r="DEE6" s="622"/>
      <c r="DEF6" s="622"/>
      <c r="DEG6" s="622"/>
      <c r="DEH6" s="622"/>
      <c r="DEI6" s="622"/>
      <c r="DEJ6" s="622"/>
      <c r="DEK6" s="622"/>
      <c r="DEL6" s="622"/>
      <c r="DEM6" s="622"/>
      <c r="DEN6" s="622"/>
      <c r="DEO6" s="622"/>
      <c r="DEP6" s="622"/>
      <c r="DEQ6" s="622"/>
      <c r="DER6" s="622"/>
      <c r="DES6" s="622"/>
      <c r="DET6" s="622"/>
      <c r="DEU6" s="622"/>
      <c r="DEV6" s="622"/>
      <c r="DEW6" s="622"/>
      <c r="DEX6" s="622"/>
      <c r="DEY6" s="622"/>
      <c r="DEZ6" s="622"/>
      <c r="DFA6" s="622"/>
      <c r="DFB6" s="622"/>
      <c r="DFC6" s="622"/>
      <c r="DFD6" s="622"/>
      <c r="DFE6" s="622"/>
      <c r="DFF6" s="622"/>
      <c r="DFG6" s="622"/>
      <c r="DFH6" s="622"/>
      <c r="DFI6" s="622"/>
      <c r="DFJ6" s="622"/>
      <c r="DFK6" s="622"/>
      <c r="DFL6" s="622"/>
      <c r="DFM6" s="622"/>
      <c r="DFN6" s="622"/>
      <c r="DFO6" s="622"/>
      <c r="DFP6" s="622"/>
      <c r="DFQ6" s="622"/>
      <c r="DFR6" s="622"/>
      <c r="DFS6" s="622"/>
      <c r="DFT6" s="622"/>
      <c r="DFU6" s="622"/>
      <c r="DFV6" s="622"/>
      <c r="DFW6" s="622"/>
      <c r="DFX6" s="622"/>
      <c r="DFY6" s="622"/>
      <c r="DFZ6" s="622"/>
      <c r="DGA6" s="622"/>
      <c r="DGB6" s="622"/>
      <c r="DGC6" s="622"/>
      <c r="DGD6" s="622"/>
      <c r="DGE6" s="622"/>
      <c r="DGF6" s="622"/>
      <c r="DGG6" s="622"/>
      <c r="DGH6" s="622"/>
      <c r="DGI6" s="622"/>
      <c r="DGJ6" s="622"/>
      <c r="DGK6" s="622"/>
      <c r="DGL6" s="622"/>
      <c r="DGM6" s="622"/>
      <c r="DGN6" s="622"/>
      <c r="DGO6" s="622"/>
      <c r="DGP6" s="622"/>
      <c r="DGQ6" s="622"/>
      <c r="DGR6" s="622"/>
      <c r="DGS6" s="622"/>
      <c r="DGT6" s="622"/>
      <c r="DGU6" s="622"/>
      <c r="DGV6" s="622"/>
      <c r="DGW6" s="622"/>
      <c r="DGX6" s="622"/>
      <c r="DGY6" s="622"/>
      <c r="DGZ6" s="622"/>
      <c r="DHA6" s="622"/>
      <c r="DHB6" s="622"/>
      <c r="DHC6" s="622"/>
      <c r="DHD6" s="622"/>
      <c r="DHE6" s="622"/>
      <c r="DHF6" s="622"/>
      <c r="DHG6" s="622"/>
      <c r="DHH6" s="622"/>
      <c r="DHI6" s="622"/>
      <c r="DHJ6" s="622"/>
      <c r="DHK6" s="622"/>
      <c r="DHL6" s="622"/>
      <c r="DHM6" s="622"/>
      <c r="DHN6" s="622"/>
      <c r="DHO6" s="622"/>
      <c r="DHP6" s="622"/>
      <c r="DHQ6" s="622"/>
      <c r="DHR6" s="622"/>
      <c r="DHS6" s="622"/>
      <c r="DHT6" s="622"/>
      <c r="DHU6" s="622"/>
      <c r="DHV6" s="622"/>
      <c r="DHW6" s="622"/>
      <c r="DHX6" s="622"/>
      <c r="DHY6" s="622"/>
      <c r="DHZ6" s="622"/>
      <c r="DIA6" s="622"/>
      <c r="DIB6" s="622"/>
      <c r="DIC6" s="622"/>
      <c r="DID6" s="622"/>
      <c r="DIE6" s="622"/>
      <c r="DIF6" s="622"/>
      <c r="DIG6" s="622"/>
      <c r="DIH6" s="622"/>
      <c r="DII6" s="622"/>
      <c r="DIJ6" s="622"/>
      <c r="DIK6" s="622"/>
      <c r="DIL6" s="622"/>
      <c r="DIM6" s="622"/>
      <c r="DIN6" s="622"/>
      <c r="DIO6" s="622"/>
      <c r="DIP6" s="622"/>
      <c r="DIQ6" s="622"/>
      <c r="DIR6" s="622"/>
      <c r="DIS6" s="622"/>
      <c r="DIT6" s="622"/>
      <c r="DIU6" s="622"/>
      <c r="DIV6" s="622"/>
      <c r="DIW6" s="622"/>
      <c r="DIX6" s="622"/>
      <c r="DIY6" s="622"/>
      <c r="DIZ6" s="622"/>
      <c r="DJA6" s="622"/>
      <c r="DJB6" s="622"/>
      <c r="DJC6" s="622"/>
      <c r="DJD6" s="622"/>
      <c r="DJE6" s="622"/>
      <c r="DJF6" s="622"/>
      <c r="DJG6" s="622"/>
      <c r="DJH6" s="622"/>
      <c r="DJI6" s="622"/>
      <c r="DJJ6" s="622"/>
      <c r="DJK6" s="622"/>
      <c r="DJL6" s="622"/>
      <c r="DJM6" s="622"/>
      <c r="DJN6" s="622"/>
      <c r="DJO6" s="622"/>
      <c r="DJP6" s="622"/>
      <c r="DJQ6" s="622"/>
      <c r="DJR6" s="622"/>
      <c r="DJS6" s="622"/>
      <c r="DJT6" s="622"/>
      <c r="DJU6" s="622"/>
      <c r="DJV6" s="622"/>
      <c r="DJW6" s="622"/>
      <c r="DJX6" s="622"/>
      <c r="DJY6" s="622"/>
      <c r="DJZ6" s="622"/>
      <c r="DKA6" s="622"/>
      <c r="DKB6" s="622"/>
      <c r="DKC6" s="622"/>
      <c r="DKD6" s="622"/>
      <c r="DKE6" s="622"/>
      <c r="DKF6" s="622"/>
      <c r="DKG6" s="622"/>
      <c r="DKH6" s="622"/>
      <c r="DKI6" s="622"/>
      <c r="DKJ6" s="622"/>
      <c r="DKK6" s="622"/>
      <c r="DKL6" s="622"/>
      <c r="DKM6" s="622"/>
      <c r="DKN6" s="622"/>
      <c r="DKO6" s="622"/>
      <c r="DKP6" s="622"/>
      <c r="DKQ6" s="622"/>
      <c r="DKR6" s="622"/>
      <c r="DKS6" s="622"/>
      <c r="DKT6" s="622"/>
      <c r="DKU6" s="622"/>
      <c r="DKV6" s="622"/>
      <c r="DKW6" s="622"/>
      <c r="DKX6" s="622"/>
      <c r="DKY6" s="622"/>
      <c r="DKZ6" s="622"/>
      <c r="DLA6" s="622"/>
      <c r="DLB6" s="622"/>
      <c r="DLC6" s="622"/>
      <c r="DLD6" s="622"/>
      <c r="DLE6" s="622"/>
      <c r="DLF6" s="622"/>
      <c r="DLG6" s="622"/>
      <c r="DLH6" s="622"/>
      <c r="DLI6" s="622"/>
      <c r="DLJ6" s="622"/>
      <c r="DLK6" s="622"/>
      <c r="DLL6" s="622"/>
      <c r="DLM6" s="622"/>
      <c r="DLN6" s="622"/>
      <c r="DLO6" s="622"/>
      <c r="DLP6" s="622"/>
      <c r="DLQ6" s="622"/>
      <c r="DLR6" s="622"/>
      <c r="DLS6" s="622"/>
      <c r="DLT6" s="622"/>
      <c r="DLU6" s="622"/>
      <c r="DLV6" s="622"/>
      <c r="DLW6" s="622"/>
      <c r="DLX6" s="622"/>
      <c r="DLY6" s="622"/>
      <c r="DLZ6" s="622"/>
      <c r="DMA6" s="622"/>
      <c r="DMB6" s="622"/>
      <c r="DMC6" s="622"/>
      <c r="DMD6" s="622"/>
      <c r="DME6" s="622"/>
      <c r="DMF6" s="622"/>
      <c r="DMG6" s="622"/>
      <c r="DMH6" s="622"/>
      <c r="DMI6" s="622"/>
      <c r="DMJ6" s="622"/>
      <c r="DMK6" s="622"/>
      <c r="DML6" s="622"/>
      <c r="DMM6" s="622"/>
      <c r="DMN6" s="622"/>
      <c r="DMO6" s="622"/>
      <c r="DMP6" s="622"/>
      <c r="DMQ6" s="622"/>
      <c r="DMR6" s="622"/>
      <c r="DMS6" s="622"/>
      <c r="DMT6" s="622"/>
      <c r="DMU6" s="622"/>
      <c r="DMV6" s="622"/>
      <c r="DMW6" s="622"/>
      <c r="DMX6" s="622"/>
      <c r="DMY6" s="622"/>
      <c r="DMZ6" s="622"/>
      <c r="DNA6" s="622"/>
      <c r="DNB6" s="622"/>
      <c r="DNC6" s="622"/>
      <c r="DND6" s="622"/>
      <c r="DNE6" s="622"/>
      <c r="DNF6" s="622"/>
      <c r="DNG6" s="622"/>
      <c r="DNH6" s="622"/>
      <c r="DNI6" s="622"/>
      <c r="DNJ6" s="622"/>
      <c r="DNK6" s="622"/>
      <c r="DNL6" s="622"/>
      <c r="DNM6" s="622"/>
      <c r="DNN6" s="622"/>
      <c r="DNO6" s="622"/>
      <c r="DNP6" s="622"/>
      <c r="DNQ6" s="622"/>
      <c r="DNR6" s="622"/>
      <c r="DNS6" s="622"/>
      <c r="DNT6" s="622"/>
      <c r="DNU6" s="622"/>
      <c r="DNV6" s="622"/>
      <c r="DNW6" s="622"/>
      <c r="DNX6" s="622"/>
      <c r="DNY6" s="622"/>
      <c r="DNZ6" s="622"/>
      <c r="DOA6" s="622"/>
      <c r="DOB6" s="622"/>
      <c r="DOC6" s="622"/>
      <c r="DOD6" s="622"/>
      <c r="DOE6" s="622"/>
      <c r="DOF6" s="622"/>
      <c r="DOG6" s="622"/>
      <c r="DOH6" s="622"/>
      <c r="DOI6" s="622"/>
      <c r="DOJ6" s="622"/>
      <c r="DOK6" s="622"/>
      <c r="DOL6" s="622"/>
      <c r="DOM6" s="622"/>
      <c r="DON6" s="622"/>
      <c r="DOO6" s="622"/>
      <c r="DOP6" s="622"/>
      <c r="DOQ6" s="622"/>
      <c r="DOR6" s="622"/>
      <c r="DOS6" s="622"/>
      <c r="DOT6" s="622"/>
      <c r="DOU6" s="622"/>
      <c r="DOV6" s="622"/>
      <c r="DOW6" s="622"/>
      <c r="DOX6" s="622"/>
      <c r="DOY6" s="622"/>
      <c r="DOZ6" s="622"/>
      <c r="DPA6" s="622"/>
      <c r="DPB6" s="622"/>
      <c r="DPC6" s="622"/>
      <c r="DPD6" s="622"/>
      <c r="DPE6" s="622"/>
      <c r="DPF6" s="622"/>
      <c r="DPG6" s="622"/>
      <c r="DPH6" s="622"/>
      <c r="DPI6" s="622"/>
      <c r="DPJ6" s="622"/>
      <c r="DPK6" s="622"/>
      <c r="DPL6" s="622"/>
      <c r="DPM6" s="622"/>
      <c r="DPN6" s="622"/>
      <c r="DPO6" s="622"/>
      <c r="DPP6" s="622"/>
      <c r="DPQ6" s="622"/>
      <c r="DPR6" s="622"/>
      <c r="DPS6" s="622"/>
      <c r="DPT6" s="622"/>
      <c r="DPU6" s="622"/>
      <c r="DPV6" s="622"/>
      <c r="DPW6" s="622"/>
      <c r="DPX6" s="622"/>
      <c r="DPY6" s="622"/>
      <c r="DPZ6" s="622"/>
      <c r="DQA6" s="622"/>
      <c r="DQB6" s="622"/>
      <c r="DQC6" s="622"/>
      <c r="DQD6" s="622"/>
      <c r="DQE6" s="622"/>
      <c r="DQF6" s="622"/>
      <c r="DQG6" s="622"/>
      <c r="DQH6" s="622"/>
      <c r="DQI6" s="622"/>
      <c r="DQJ6" s="622"/>
      <c r="DQK6" s="622"/>
      <c r="DQL6" s="622"/>
      <c r="DQM6" s="622"/>
      <c r="DQN6" s="622"/>
      <c r="DQO6" s="622"/>
      <c r="DQP6" s="622"/>
      <c r="DQQ6" s="622"/>
      <c r="DQR6" s="622"/>
      <c r="DQS6" s="622"/>
      <c r="DQT6" s="622"/>
      <c r="DQU6" s="622"/>
      <c r="DQV6" s="622"/>
      <c r="DQW6" s="622"/>
      <c r="DQX6" s="622"/>
      <c r="DQY6" s="622"/>
      <c r="DQZ6" s="622"/>
      <c r="DRA6" s="622"/>
      <c r="DRB6" s="622"/>
      <c r="DRC6" s="622"/>
      <c r="DRD6" s="622"/>
      <c r="DRE6" s="622"/>
      <c r="DRF6" s="622"/>
      <c r="DRG6" s="622"/>
      <c r="DRH6" s="622"/>
      <c r="DRI6" s="622"/>
      <c r="DRJ6" s="622"/>
      <c r="DRK6" s="622"/>
      <c r="DRL6" s="622"/>
      <c r="DRM6" s="622"/>
      <c r="DRN6" s="622"/>
      <c r="DRO6" s="622"/>
      <c r="DRP6" s="622"/>
      <c r="DRQ6" s="622"/>
      <c r="DRR6" s="622"/>
      <c r="DRS6" s="622"/>
      <c r="DRT6" s="622"/>
      <c r="DRU6" s="622"/>
      <c r="DRV6" s="622"/>
      <c r="DRW6" s="622"/>
      <c r="DRX6" s="622"/>
      <c r="DRY6" s="622"/>
      <c r="DRZ6" s="622"/>
      <c r="DSA6" s="622"/>
      <c r="DSB6" s="622"/>
      <c r="DSC6" s="622"/>
      <c r="DSD6" s="622"/>
      <c r="DSE6" s="622"/>
      <c r="DSF6" s="622"/>
      <c r="DSG6" s="622"/>
      <c r="DSH6" s="622"/>
      <c r="DSI6" s="622"/>
      <c r="DSJ6" s="622"/>
      <c r="DSK6" s="622"/>
      <c r="DSL6" s="622"/>
      <c r="DSM6" s="622"/>
      <c r="DSN6" s="622"/>
      <c r="DSO6" s="622"/>
      <c r="DSP6" s="622"/>
      <c r="DSQ6" s="622"/>
      <c r="DSR6" s="622"/>
      <c r="DSS6" s="622"/>
      <c r="DST6" s="622"/>
      <c r="DSU6" s="622"/>
      <c r="DSV6" s="622"/>
      <c r="DSW6" s="622"/>
      <c r="DSX6" s="622"/>
      <c r="DSY6" s="622"/>
      <c r="DSZ6" s="622"/>
      <c r="DTA6" s="622"/>
      <c r="DTB6" s="622"/>
      <c r="DTC6" s="622"/>
      <c r="DTD6" s="622"/>
      <c r="DTE6" s="622"/>
      <c r="DTF6" s="622"/>
      <c r="DTG6" s="622"/>
      <c r="DTH6" s="622"/>
      <c r="DTI6" s="622"/>
      <c r="DTJ6" s="622"/>
      <c r="DTK6" s="622"/>
      <c r="DTL6" s="622"/>
      <c r="DTM6" s="622"/>
      <c r="DTN6" s="622"/>
      <c r="DTO6" s="622"/>
      <c r="DTP6" s="622"/>
      <c r="DTQ6" s="622"/>
      <c r="DTR6" s="622"/>
      <c r="DTS6" s="622"/>
      <c r="DTT6" s="622"/>
      <c r="DTU6" s="622"/>
      <c r="DTV6" s="622"/>
      <c r="DTW6" s="622"/>
      <c r="DTX6" s="622"/>
      <c r="DTY6" s="622"/>
      <c r="DTZ6" s="622"/>
      <c r="DUA6" s="622"/>
      <c r="DUB6" s="622"/>
      <c r="DUC6" s="622"/>
      <c r="DUD6" s="622"/>
      <c r="DUE6" s="622"/>
      <c r="DUF6" s="622"/>
      <c r="DUG6" s="622"/>
      <c r="DUH6" s="622"/>
      <c r="DUI6" s="622"/>
      <c r="DUJ6" s="622"/>
      <c r="DUK6" s="622"/>
      <c r="DUL6" s="622"/>
      <c r="DUM6" s="622"/>
      <c r="DUN6" s="622"/>
      <c r="DUO6" s="622"/>
      <c r="DUP6" s="622"/>
      <c r="DUQ6" s="622"/>
      <c r="DUR6" s="622"/>
      <c r="DUS6" s="622"/>
      <c r="DUT6" s="622"/>
      <c r="DUU6" s="622"/>
      <c r="DUV6" s="622"/>
      <c r="DUW6" s="622"/>
      <c r="DUX6" s="622"/>
      <c r="DUY6" s="622"/>
      <c r="DUZ6" s="622"/>
      <c r="DVA6" s="622"/>
      <c r="DVB6" s="622"/>
      <c r="DVC6" s="622"/>
      <c r="DVD6" s="622"/>
      <c r="DVE6" s="622"/>
      <c r="DVF6" s="622"/>
      <c r="DVG6" s="622"/>
      <c r="DVH6" s="622"/>
      <c r="DVI6" s="622"/>
      <c r="DVJ6" s="622"/>
      <c r="DVK6" s="622"/>
      <c r="DVL6" s="622"/>
      <c r="DVM6" s="622"/>
      <c r="DVN6" s="622"/>
      <c r="DVO6" s="622"/>
      <c r="DVP6" s="622"/>
      <c r="DVQ6" s="622"/>
      <c r="DVR6" s="622"/>
      <c r="DVS6" s="622"/>
      <c r="DVT6" s="622"/>
      <c r="DVU6" s="622"/>
      <c r="DVV6" s="622"/>
      <c r="DVW6" s="622"/>
      <c r="DVX6" s="622"/>
      <c r="DVY6" s="622"/>
      <c r="DVZ6" s="622"/>
      <c r="DWA6" s="622"/>
      <c r="DWB6" s="622"/>
      <c r="DWC6" s="622"/>
      <c r="DWD6" s="622"/>
      <c r="DWE6" s="622"/>
      <c r="DWF6" s="622"/>
      <c r="DWG6" s="622"/>
      <c r="DWH6" s="622"/>
      <c r="DWI6" s="622"/>
      <c r="DWJ6" s="622"/>
      <c r="DWK6" s="622"/>
      <c r="DWL6" s="622"/>
      <c r="DWM6" s="622"/>
      <c r="DWN6" s="622"/>
      <c r="DWO6" s="622"/>
      <c r="DWP6" s="622"/>
      <c r="DWQ6" s="622"/>
      <c r="DWR6" s="622"/>
      <c r="DWS6" s="622"/>
      <c r="DWT6" s="622"/>
      <c r="DWU6" s="622"/>
      <c r="DWV6" s="622"/>
      <c r="DWW6" s="622"/>
      <c r="DWX6" s="622"/>
      <c r="DWY6" s="622"/>
      <c r="DWZ6" s="622"/>
      <c r="DXA6" s="622"/>
      <c r="DXB6" s="622"/>
      <c r="DXC6" s="622"/>
      <c r="DXD6" s="622"/>
      <c r="DXE6" s="622"/>
      <c r="DXF6" s="622"/>
      <c r="DXG6" s="622"/>
      <c r="DXH6" s="622"/>
      <c r="DXI6" s="622"/>
      <c r="DXJ6" s="622"/>
      <c r="DXK6" s="622"/>
      <c r="DXL6" s="622"/>
      <c r="DXM6" s="622"/>
      <c r="DXN6" s="622"/>
      <c r="DXO6" s="622"/>
      <c r="DXP6" s="622"/>
      <c r="DXQ6" s="622"/>
      <c r="DXR6" s="622"/>
      <c r="DXS6" s="622"/>
      <c r="DXT6" s="622"/>
      <c r="DXU6" s="622"/>
      <c r="DXV6" s="622"/>
      <c r="DXW6" s="622"/>
      <c r="DXX6" s="622"/>
      <c r="DXY6" s="622"/>
      <c r="DXZ6" s="622"/>
      <c r="DYA6" s="622"/>
      <c r="DYB6" s="622"/>
      <c r="DYC6" s="622"/>
      <c r="DYD6" s="622"/>
      <c r="DYE6" s="622"/>
      <c r="DYF6" s="622"/>
      <c r="DYG6" s="622"/>
      <c r="DYH6" s="622"/>
      <c r="DYI6" s="622"/>
      <c r="DYJ6" s="622"/>
      <c r="DYK6" s="622"/>
      <c r="DYL6" s="622"/>
      <c r="DYM6" s="622"/>
      <c r="DYN6" s="622"/>
      <c r="DYO6" s="622"/>
      <c r="DYP6" s="622"/>
      <c r="DYQ6" s="622"/>
      <c r="DYR6" s="622"/>
      <c r="DYS6" s="622"/>
      <c r="DYT6" s="622"/>
      <c r="DYU6" s="622"/>
      <c r="DYV6" s="622"/>
      <c r="DYW6" s="622"/>
      <c r="DYX6" s="622"/>
      <c r="DYY6" s="622"/>
      <c r="DYZ6" s="622"/>
      <c r="DZA6" s="622"/>
      <c r="DZB6" s="622"/>
      <c r="DZC6" s="622"/>
      <c r="DZD6" s="622"/>
      <c r="DZE6" s="622"/>
      <c r="DZF6" s="622"/>
      <c r="DZG6" s="622"/>
      <c r="DZH6" s="622"/>
      <c r="DZI6" s="622"/>
      <c r="DZJ6" s="622"/>
      <c r="DZK6" s="622"/>
      <c r="DZL6" s="622"/>
      <c r="DZM6" s="622"/>
      <c r="DZN6" s="622"/>
      <c r="DZO6" s="622"/>
      <c r="DZP6" s="622"/>
      <c r="DZQ6" s="622"/>
      <c r="DZR6" s="622"/>
      <c r="DZS6" s="622"/>
      <c r="DZT6" s="622"/>
      <c r="DZU6" s="622"/>
      <c r="DZV6" s="622"/>
      <c r="DZW6" s="622"/>
      <c r="DZX6" s="622"/>
      <c r="DZY6" s="622"/>
      <c r="DZZ6" s="622"/>
      <c r="EAA6" s="622"/>
      <c r="EAB6" s="622"/>
      <c r="EAC6" s="622"/>
      <c r="EAD6" s="622"/>
      <c r="EAE6" s="622"/>
      <c r="EAF6" s="622"/>
      <c r="EAG6" s="622"/>
      <c r="EAH6" s="622"/>
      <c r="EAI6" s="622"/>
      <c r="EAJ6" s="622"/>
      <c r="EAK6" s="622"/>
      <c r="EAL6" s="622"/>
      <c r="EAM6" s="622"/>
      <c r="EAN6" s="622"/>
      <c r="EAO6" s="622"/>
      <c r="EAP6" s="622"/>
      <c r="EAQ6" s="622"/>
      <c r="EAR6" s="622"/>
      <c r="EAS6" s="622"/>
      <c r="EAT6" s="622"/>
      <c r="EAU6" s="622"/>
      <c r="EAV6" s="622"/>
      <c r="EAW6" s="622"/>
      <c r="EAX6" s="622"/>
      <c r="EAY6" s="622"/>
      <c r="EAZ6" s="622"/>
      <c r="EBA6" s="622"/>
      <c r="EBB6" s="622"/>
      <c r="EBC6" s="622"/>
      <c r="EBD6" s="622"/>
      <c r="EBE6" s="622"/>
      <c r="EBF6" s="622"/>
      <c r="EBG6" s="622"/>
      <c r="EBH6" s="622"/>
      <c r="EBI6" s="622"/>
      <c r="EBJ6" s="622"/>
      <c r="EBK6" s="622"/>
      <c r="EBL6" s="622"/>
      <c r="EBM6" s="622"/>
      <c r="EBN6" s="622"/>
      <c r="EBO6" s="622"/>
      <c r="EBP6" s="622"/>
      <c r="EBQ6" s="622"/>
      <c r="EBR6" s="622"/>
      <c r="EBS6" s="622"/>
      <c r="EBT6" s="622"/>
      <c r="EBU6" s="622"/>
      <c r="EBV6" s="622"/>
      <c r="EBW6" s="622"/>
      <c r="EBX6" s="622"/>
      <c r="EBY6" s="622"/>
      <c r="EBZ6" s="622"/>
      <c r="ECA6" s="622"/>
      <c r="ECB6" s="622"/>
      <c r="ECC6" s="622"/>
      <c r="ECD6" s="622"/>
      <c r="ECE6" s="622"/>
      <c r="ECF6" s="622"/>
      <c r="ECG6" s="622"/>
      <c r="ECH6" s="622"/>
      <c r="ECI6" s="622"/>
      <c r="ECJ6" s="622"/>
      <c r="ECK6" s="622"/>
      <c r="ECL6" s="622"/>
      <c r="ECM6" s="622"/>
      <c r="ECN6" s="622"/>
      <c r="ECO6" s="622"/>
      <c r="ECP6" s="622"/>
      <c r="ECQ6" s="622"/>
      <c r="ECR6" s="622"/>
      <c r="ECS6" s="622"/>
      <c r="ECT6" s="622"/>
      <c r="ECU6" s="622"/>
      <c r="ECV6" s="622"/>
      <c r="ECW6" s="622"/>
      <c r="ECX6" s="622"/>
      <c r="ECY6" s="622"/>
      <c r="ECZ6" s="622"/>
      <c r="EDA6" s="622"/>
      <c r="EDB6" s="622"/>
      <c r="EDC6" s="622"/>
      <c r="EDD6" s="622"/>
      <c r="EDE6" s="622"/>
      <c r="EDF6" s="622"/>
      <c r="EDG6" s="622"/>
      <c r="EDH6" s="622"/>
      <c r="EDI6" s="622"/>
      <c r="EDJ6" s="622"/>
      <c r="EDK6" s="622"/>
      <c r="EDL6" s="622"/>
      <c r="EDM6" s="622"/>
      <c r="EDN6" s="622"/>
      <c r="EDO6" s="622"/>
      <c r="EDP6" s="622"/>
      <c r="EDQ6" s="622"/>
      <c r="EDR6" s="622"/>
      <c r="EDS6" s="622"/>
      <c r="EDT6" s="622"/>
      <c r="EDU6" s="622"/>
      <c r="EDV6" s="622"/>
      <c r="EDW6" s="622"/>
      <c r="EDX6" s="622"/>
      <c r="EDY6" s="622"/>
      <c r="EDZ6" s="622"/>
      <c r="EEA6" s="622"/>
      <c r="EEB6" s="622"/>
      <c r="EEC6" s="622"/>
      <c r="EED6" s="622"/>
      <c r="EEE6" s="622"/>
      <c r="EEF6" s="622"/>
      <c r="EEG6" s="622"/>
      <c r="EEH6" s="622"/>
      <c r="EEI6" s="622"/>
      <c r="EEJ6" s="622"/>
      <c r="EEK6" s="622"/>
      <c r="EEL6" s="622"/>
      <c r="EEM6" s="622"/>
      <c r="EEN6" s="622"/>
      <c r="EEO6" s="622"/>
      <c r="EEP6" s="622"/>
      <c r="EEQ6" s="622"/>
      <c r="EER6" s="622"/>
      <c r="EES6" s="622"/>
      <c r="EET6" s="622"/>
      <c r="EEU6" s="622"/>
      <c r="EEV6" s="622"/>
      <c r="EEW6" s="622"/>
      <c r="EEX6" s="622"/>
      <c r="EEY6" s="622"/>
      <c r="EEZ6" s="622"/>
      <c r="EFA6" s="622"/>
      <c r="EFB6" s="622"/>
      <c r="EFC6" s="622"/>
      <c r="EFD6" s="622"/>
      <c r="EFE6" s="622"/>
      <c r="EFF6" s="622"/>
      <c r="EFG6" s="622"/>
      <c r="EFH6" s="622"/>
      <c r="EFI6" s="622"/>
      <c r="EFJ6" s="622"/>
      <c r="EFK6" s="622"/>
      <c r="EFL6" s="622"/>
      <c r="EFM6" s="622"/>
      <c r="EFN6" s="622"/>
      <c r="EFO6" s="622"/>
      <c r="EFP6" s="622"/>
      <c r="EFQ6" s="622"/>
      <c r="EFR6" s="622"/>
      <c r="EFS6" s="622"/>
      <c r="EFT6" s="622"/>
      <c r="EFU6" s="622"/>
      <c r="EFV6" s="622"/>
      <c r="EFW6" s="622"/>
      <c r="EFX6" s="622"/>
      <c r="EFY6" s="622"/>
      <c r="EFZ6" s="622"/>
      <c r="EGA6" s="622"/>
      <c r="EGB6" s="622"/>
      <c r="EGC6" s="622"/>
      <c r="EGD6" s="622"/>
      <c r="EGE6" s="622"/>
      <c r="EGF6" s="622"/>
      <c r="EGG6" s="622"/>
      <c r="EGH6" s="622"/>
      <c r="EGI6" s="622"/>
      <c r="EGJ6" s="622"/>
      <c r="EGK6" s="622"/>
      <c r="EGL6" s="622"/>
      <c r="EGM6" s="622"/>
      <c r="EGN6" s="622"/>
      <c r="EGO6" s="622"/>
      <c r="EGP6" s="622"/>
      <c r="EGQ6" s="622"/>
      <c r="EGR6" s="622"/>
      <c r="EGS6" s="622"/>
      <c r="EGT6" s="622"/>
      <c r="EGU6" s="622"/>
      <c r="EGV6" s="622"/>
      <c r="EGW6" s="622"/>
      <c r="EGX6" s="622"/>
      <c r="EGY6" s="622"/>
      <c r="EGZ6" s="622"/>
      <c r="EHA6" s="622"/>
      <c r="EHB6" s="622"/>
      <c r="EHC6" s="622"/>
      <c r="EHD6" s="622"/>
      <c r="EHE6" s="622"/>
      <c r="EHF6" s="622"/>
      <c r="EHG6" s="622"/>
      <c r="EHH6" s="622"/>
      <c r="EHI6" s="622"/>
      <c r="EHJ6" s="622"/>
      <c r="EHK6" s="622"/>
      <c r="EHL6" s="622"/>
      <c r="EHM6" s="622"/>
      <c r="EHN6" s="622"/>
      <c r="EHO6" s="622"/>
      <c r="EHP6" s="622"/>
      <c r="EHQ6" s="622"/>
      <c r="EHR6" s="622"/>
      <c r="EHS6" s="622"/>
      <c r="EHT6" s="622"/>
      <c r="EHU6" s="622"/>
      <c r="EHV6" s="622"/>
      <c r="EHW6" s="622"/>
      <c r="EHX6" s="622"/>
      <c r="EHY6" s="622"/>
      <c r="EHZ6" s="622"/>
      <c r="EIA6" s="622"/>
      <c r="EIB6" s="622"/>
      <c r="EIC6" s="622"/>
      <c r="EID6" s="622"/>
      <c r="EIE6" s="622"/>
      <c r="EIF6" s="622"/>
      <c r="EIG6" s="622"/>
      <c r="EIH6" s="622"/>
      <c r="EII6" s="622"/>
      <c r="EIJ6" s="622"/>
      <c r="EIK6" s="622"/>
      <c r="EIL6" s="622"/>
      <c r="EIM6" s="622"/>
      <c r="EIN6" s="622"/>
      <c r="EIO6" s="622"/>
      <c r="EIP6" s="622"/>
      <c r="EIQ6" s="622"/>
      <c r="EIR6" s="622"/>
      <c r="EIS6" s="622"/>
      <c r="EIT6" s="622"/>
      <c r="EIU6" s="622"/>
      <c r="EIV6" s="622"/>
      <c r="EIW6" s="622"/>
      <c r="EIX6" s="622"/>
      <c r="EIY6" s="622"/>
      <c r="EIZ6" s="622"/>
      <c r="EJA6" s="622"/>
      <c r="EJB6" s="622"/>
      <c r="EJC6" s="622"/>
      <c r="EJD6" s="622"/>
      <c r="EJE6" s="622"/>
      <c r="EJF6" s="622"/>
      <c r="EJG6" s="622"/>
      <c r="EJH6" s="622"/>
      <c r="EJI6" s="622"/>
      <c r="EJJ6" s="622"/>
      <c r="EJK6" s="622"/>
      <c r="EJL6" s="622"/>
      <c r="EJM6" s="622"/>
      <c r="EJN6" s="622"/>
      <c r="EJO6" s="622"/>
      <c r="EJP6" s="622"/>
      <c r="EJQ6" s="622"/>
      <c r="EJR6" s="622"/>
      <c r="EJS6" s="622"/>
      <c r="EJT6" s="622"/>
      <c r="EJU6" s="622"/>
      <c r="EJV6" s="622"/>
      <c r="EJW6" s="622"/>
      <c r="EJX6" s="622"/>
      <c r="EJY6" s="622"/>
      <c r="EJZ6" s="622"/>
      <c r="EKA6" s="622"/>
      <c r="EKB6" s="622"/>
      <c r="EKC6" s="622"/>
      <c r="EKD6" s="622"/>
      <c r="EKE6" s="622"/>
      <c r="EKF6" s="622"/>
      <c r="EKG6" s="622"/>
      <c r="EKH6" s="622"/>
      <c r="EKI6" s="622"/>
      <c r="EKJ6" s="622"/>
      <c r="EKK6" s="622"/>
      <c r="EKL6" s="622"/>
      <c r="EKM6" s="622"/>
      <c r="EKN6" s="622"/>
      <c r="EKO6" s="622"/>
      <c r="EKP6" s="622"/>
      <c r="EKQ6" s="622"/>
      <c r="EKR6" s="622"/>
      <c r="EKS6" s="622"/>
      <c r="EKT6" s="622"/>
      <c r="EKU6" s="622"/>
      <c r="EKV6" s="622"/>
      <c r="EKW6" s="622"/>
      <c r="EKX6" s="622"/>
      <c r="EKY6" s="622"/>
      <c r="EKZ6" s="622"/>
      <c r="ELA6" s="622"/>
      <c r="ELB6" s="622"/>
      <c r="ELC6" s="622"/>
      <c r="ELD6" s="622"/>
      <c r="ELE6" s="622"/>
      <c r="ELF6" s="622"/>
      <c r="ELG6" s="622"/>
      <c r="ELH6" s="622"/>
      <c r="ELI6" s="622"/>
      <c r="ELJ6" s="622"/>
      <c r="ELK6" s="622"/>
      <c r="ELL6" s="622"/>
      <c r="ELM6" s="622"/>
      <c r="ELN6" s="622"/>
      <c r="ELO6" s="622"/>
      <c r="ELP6" s="622"/>
      <c r="ELQ6" s="622"/>
      <c r="ELR6" s="622"/>
      <c r="ELS6" s="622"/>
      <c r="ELT6" s="622"/>
      <c r="ELU6" s="622"/>
      <c r="ELV6" s="622"/>
      <c r="ELW6" s="622"/>
      <c r="ELX6" s="622"/>
      <c r="ELY6" s="622"/>
      <c r="ELZ6" s="622"/>
      <c r="EMA6" s="622"/>
      <c r="EMB6" s="622"/>
      <c r="EMC6" s="622"/>
      <c r="EMD6" s="622"/>
      <c r="EME6" s="622"/>
      <c r="EMF6" s="622"/>
      <c r="EMG6" s="622"/>
      <c r="EMH6" s="622"/>
      <c r="EMI6" s="622"/>
      <c r="EMJ6" s="622"/>
      <c r="EMK6" s="622"/>
      <c r="EML6" s="622"/>
      <c r="EMM6" s="622"/>
      <c r="EMN6" s="622"/>
      <c r="EMO6" s="622"/>
      <c r="EMP6" s="622"/>
      <c r="EMQ6" s="622"/>
      <c r="EMR6" s="622"/>
      <c r="EMS6" s="622"/>
      <c r="EMT6" s="622"/>
      <c r="EMU6" s="622"/>
      <c r="EMV6" s="622"/>
      <c r="EMW6" s="622"/>
      <c r="EMX6" s="622"/>
      <c r="EMY6" s="622"/>
      <c r="EMZ6" s="622"/>
      <c r="ENA6" s="622"/>
      <c r="ENB6" s="622"/>
      <c r="ENC6" s="622"/>
      <c r="END6" s="622"/>
      <c r="ENE6" s="622"/>
      <c r="ENF6" s="622"/>
      <c r="ENG6" s="622"/>
      <c r="ENH6" s="622"/>
      <c r="ENI6" s="622"/>
      <c r="ENJ6" s="622"/>
      <c r="ENK6" s="622"/>
      <c r="ENL6" s="622"/>
      <c r="ENM6" s="622"/>
      <c r="ENN6" s="622"/>
      <c r="ENO6" s="622"/>
      <c r="ENP6" s="622"/>
      <c r="ENQ6" s="622"/>
      <c r="ENR6" s="622"/>
      <c r="ENS6" s="622"/>
      <c r="ENT6" s="622"/>
      <c r="ENU6" s="622"/>
      <c r="ENV6" s="622"/>
      <c r="ENW6" s="622"/>
      <c r="ENX6" s="622"/>
      <c r="ENY6" s="622"/>
      <c r="ENZ6" s="622"/>
      <c r="EOA6" s="622"/>
      <c r="EOB6" s="622"/>
      <c r="EOC6" s="622"/>
      <c r="EOD6" s="622"/>
      <c r="EOE6" s="622"/>
      <c r="EOF6" s="622"/>
      <c r="EOG6" s="622"/>
      <c r="EOH6" s="622"/>
      <c r="EOI6" s="622"/>
      <c r="EOJ6" s="622"/>
      <c r="EOK6" s="622"/>
      <c r="EOL6" s="622"/>
      <c r="EOM6" s="622"/>
      <c r="EON6" s="622"/>
      <c r="EOO6" s="622"/>
      <c r="EOP6" s="622"/>
      <c r="EOQ6" s="622"/>
      <c r="EOR6" s="622"/>
      <c r="EOS6" s="622"/>
      <c r="EOT6" s="622"/>
      <c r="EOU6" s="622"/>
      <c r="EOV6" s="622"/>
      <c r="EOW6" s="622"/>
      <c r="EOX6" s="622"/>
      <c r="EOY6" s="622"/>
      <c r="EOZ6" s="622"/>
      <c r="EPA6" s="622"/>
      <c r="EPB6" s="622"/>
      <c r="EPC6" s="622"/>
      <c r="EPD6" s="622"/>
      <c r="EPE6" s="622"/>
      <c r="EPF6" s="622"/>
      <c r="EPG6" s="622"/>
      <c r="EPH6" s="622"/>
      <c r="EPI6" s="622"/>
      <c r="EPJ6" s="622"/>
      <c r="EPK6" s="622"/>
      <c r="EPL6" s="622"/>
      <c r="EPM6" s="622"/>
      <c r="EPN6" s="622"/>
      <c r="EPO6" s="622"/>
      <c r="EPP6" s="622"/>
      <c r="EPQ6" s="622"/>
      <c r="EPR6" s="622"/>
      <c r="EPS6" s="622"/>
      <c r="EPT6" s="622"/>
      <c r="EPU6" s="622"/>
      <c r="EPV6" s="622"/>
      <c r="EPW6" s="622"/>
      <c r="EPX6" s="622"/>
      <c r="EPY6" s="622"/>
      <c r="EPZ6" s="622"/>
      <c r="EQA6" s="622"/>
      <c r="EQB6" s="622"/>
      <c r="EQC6" s="622"/>
      <c r="EQD6" s="622"/>
      <c r="EQE6" s="622"/>
      <c r="EQF6" s="622"/>
      <c r="EQG6" s="622"/>
      <c r="EQH6" s="622"/>
      <c r="EQI6" s="622"/>
      <c r="EQJ6" s="622"/>
      <c r="EQK6" s="622"/>
      <c r="EQL6" s="622"/>
      <c r="EQM6" s="622"/>
      <c r="EQN6" s="622"/>
      <c r="EQO6" s="622"/>
      <c r="EQP6" s="622"/>
      <c r="EQQ6" s="622"/>
      <c r="EQR6" s="622"/>
      <c r="EQS6" s="622"/>
      <c r="EQT6" s="622"/>
      <c r="EQU6" s="622"/>
      <c r="EQV6" s="622"/>
      <c r="EQW6" s="622"/>
      <c r="EQX6" s="622"/>
      <c r="EQY6" s="622"/>
      <c r="EQZ6" s="622"/>
      <c r="ERA6" s="622"/>
      <c r="ERB6" s="622"/>
      <c r="ERC6" s="622"/>
      <c r="ERD6" s="622"/>
      <c r="ERE6" s="622"/>
      <c r="ERF6" s="622"/>
      <c r="ERG6" s="622"/>
      <c r="ERH6" s="622"/>
      <c r="ERI6" s="622"/>
      <c r="ERJ6" s="622"/>
      <c r="ERK6" s="622"/>
      <c r="ERL6" s="622"/>
      <c r="ERM6" s="622"/>
      <c r="ERN6" s="622"/>
      <c r="ERO6" s="622"/>
      <c r="ERP6" s="622"/>
      <c r="ERQ6" s="622"/>
      <c r="ERR6" s="622"/>
      <c r="ERS6" s="622"/>
      <c r="ERT6" s="622"/>
      <c r="ERU6" s="622"/>
      <c r="ERV6" s="622"/>
      <c r="ERW6" s="622"/>
      <c r="ERX6" s="622"/>
      <c r="ERY6" s="622"/>
      <c r="ERZ6" s="622"/>
      <c r="ESA6" s="622"/>
      <c r="ESB6" s="622"/>
      <c r="ESC6" s="622"/>
      <c r="ESD6" s="622"/>
      <c r="ESE6" s="622"/>
      <c r="ESF6" s="622"/>
      <c r="ESG6" s="622"/>
      <c r="ESH6" s="622"/>
      <c r="ESI6" s="622"/>
      <c r="ESJ6" s="622"/>
      <c r="ESK6" s="622"/>
      <c r="ESL6" s="622"/>
      <c r="ESM6" s="622"/>
      <c r="ESN6" s="622"/>
      <c r="ESO6" s="622"/>
      <c r="ESP6" s="622"/>
      <c r="ESQ6" s="622"/>
      <c r="ESR6" s="622"/>
      <c r="ESS6" s="622"/>
      <c r="EST6" s="622"/>
      <c r="ESU6" s="622"/>
      <c r="ESV6" s="622"/>
      <c r="ESW6" s="622"/>
      <c r="ESX6" s="622"/>
      <c r="ESY6" s="622"/>
      <c r="ESZ6" s="622"/>
      <c r="ETA6" s="622"/>
      <c r="ETB6" s="622"/>
      <c r="ETC6" s="622"/>
      <c r="ETD6" s="622"/>
      <c r="ETE6" s="622"/>
      <c r="ETF6" s="622"/>
      <c r="ETG6" s="622"/>
      <c r="ETH6" s="622"/>
      <c r="ETI6" s="622"/>
      <c r="ETJ6" s="622"/>
      <c r="ETK6" s="622"/>
      <c r="ETL6" s="622"/>
      <c r="ETM6" s="622"/>
      <c r="ETN6" s="622"/>
      <c r="ETO6" s="622"/>
      <c r="ETP6" s="622"/>
      <c r="ETQ6" s="622"/>
      <c r="ETR6" s="622"/>
      <c r="ETS6" s="622"/>
      <c r="ETT6" s="622"/>
      <c r="ETU6" s="622"/>
      <c r="ETV6" s="622"/>
      <c r="ETW6" s="622"/>
      <c r="ETX6" s="622"/>
      <c r="ETY6" s="622"/>
      <c r="ETZ6" s="622"/>
      <c r="EUA6" s="622"/>
      <c r="EUB6" s="622"/>
      <c r="EUC6" s="622"/>
      <c r="EUD6" s="622"/>
      <c r="EUE6" s="622"/>
      <c r="EUF6" s="622"/>
      <c r="EUG6" s="622"/>
      <c r="EUH6" s="622"/>
      <c r="EUI6" s="622"/>
      <c r="EUJ6" s="622"/>
      <c r="EUK6" s="622"/>
      <c r="EUL6" s="622"/>
      <c r="EUM6" s="622"/>
      <c r="EUN6" s="622"/>
      <c r="EUO6" s="622"/>
      <c r="EUP6" s="622"/>
      <c r="EUQ6" s="622"/>
      <c r="EUR6" s="622"/>
      <c r="EUS6" s="622"/>
      <c r="EUT6" s="622"/>
      <c r="EUU6" s="622"/>
      <c r="EUV6" s="622"/>
      <c r="EUW6" s="622"/>
      <c r="EUX6" s="622"/>
      <c r="EUY6" s="622"/>
      <c r="EUZ6" s="622"/>
      <c r="EVA6" s="622"/>
      <c r="EVB6" s="622"/>
      <c r="EVC6" s="622"/>
      <c r="EVD6" s="622"/>
      <c r="EVE6" s="622"/>
      <c r="EVF6" s="622"/>
      <c r="EVG6" s="622"/>
      <c r="EVH6" s="622"/>
      <c r="EVI6" s="622"/>
      <c r="EVJ6" s="622"/>
      <c r="EVK6" s="622"/>
      <c r="EVL6" s="622"/>
      <c r="EVM6" s="622"/>
      <c r="EVN6" s="622"/>
      <c r="EVO6" s="622"/>
      <c r="EVP6" s="622"/>
      <c r="EVQ6" s="622"/>
      <c r="EVR6" s="622"/>
      <c r="EVS6" s="622"/>
      <c r="EVT6" s="622"/>
      <c r="EVU6" s="622"/>
      <c r="EVV6" s="622"/>
      <c r="EVW6" s="622"/>
      <c r="EVX6" s="622"/>
      <c r="EVY6" s="622"/>
      <c r="EVZ6" s="622"/>
      <c r="EWA6" s="622"/>
      <c r="EWB6" s="622"/>
      <c r="EWC6" s="622"/>
      <c r="EWD6" s="622"/>
      <c r="EWE6" s="622"/>
      <c r="EWF6" s="622"/>
      <c r="EWG6" s="622"/>
      <c r="EWH6" s="622"/>
      <c r="EWI6" s="622"/>
      <c r="EWJ6" s="622"/>
      <c r="EWK6" s="622"/>
      <c r="EWL6" s="622"/>
      <c r="EWM6" s="622"/>
      <c r="EWN6" s="622"/>
      <c r="EWO6" s="622"/>
      <c r="EWP6" s="622"/>
      <c r="EWQ6" s="622"/>
      <c r="EWR6" s="622"/>
      <c r="EWS6" s="622"/>
      <c r="EWT6" s="622"/>
      <c r="EWU6" s="622"/>
      <c r="EWV6" s="622"/>
      <c r="EWW6" s="622"/>
      <c r="EWX6" s="622"/>
      <c r="EWY6" s="622"/>
      <c r="EWZ6" s="622"/>
      <c r="EXA6" s="622"/>
      <c r="EXB6" s="622"/>
      <c r="EXC6" s="622"/>
      <c r="EXD6" s="622"/>
      <c r="EXE6" s="622"/>
      <c r="EXF6" s="622"/>
      <c r="EXG6" s="622"/>
      <c r="EXH6" s="622"/>
      <c r="EXI6" s="622"/>
      <c r="EXJ6" s="622"/>
      <c r="EXK6" s="622"/>
      <c r="EXL6" s="622"/>
      <c r="EXM6" s="622"/>
      <c r="EXN6" s="622"/>
      <c r="EXO6" s="622"/>
      <c r="EXP6" s="622"/>
      <c r="EXQ6" s="622"/>
      <c r="EXR6" s="622"/>
      <c r="EXS6" s="622"/>
      <c r="EXT6" s="622"/>
      <c r="EXU6" s="622"/>
      <c r="EXV6" s="622"/>
      <c r="EXW6" s="622"/>
      <c r="EXX6" s="622"/>
      <c r="EXY6" s="622"/>
      <c r="EXZ6" s="622"/>
      <c r="EYA6" s="622"/>
      <c r="EYB6" s="622"/>
      <c r="EYC6" s="622"/>
      <c r="EYD6" s="622"/>
      <c r="EYE6" s="622"/>
      <c r="EYF6" s="622"/>
      <c r="EYG6" s="622"/>
      <c r="EYH6" s="622"/>
      <c r="EYI6" s="622"/>
      <c r="EYJ6" s="622"/>
      <c r="EYK6" s="622"/>
      <c r="EYL6" s="622"/>
      <c r="EYM6" s="622"/>
      <c r="EYN6" s="622"/>
      <c r="EYO6" s="622"/>
      <c r="EYP6" s="622"/>
      <c r="EYQ6" s="622"/>
      <c r="EYR6" s="622"/>
      <c r="EYS6" s="622"/>
      <c r="EYT6" s="622"/>
      <c r="EYU6" s="622"/>
      <c r="EYV6" s="622"/>
      <c r="EYW6" s="622"/>
      <c r="EYX6" s="622"/>
      <c r="EYY6" s="622"/>
      <c r="EYZ6" s="622"/>
      <c r="EZA6" s="622"/>
      <c r="EZB6" s="622"/>
      <c r="EZC6" s="622"/>
      <c r="EZD6" s="622"/>
      <c r="EZE6" s="622"/>
      <c r="EZF6" s="622"/>
      <c r="EZG6" s="622"/>
      <c r="EZH6" s="622"/>
      <c r="EZI6" s="622"/>
      <c r="EZJ6" s="622"/>
      <c r="EZK6" s="622"/>
      <c r="EZL6" s="622"/>
      <c r="EZM6" s="622"/>
      <c r="EZN6" s="622"/>
      <c r="EZO6" s="622"/>
      <c r="EZP6" s="622"/>
      <c r="EZQ6" s="622"/>
      <c r="EZR6" s="622"/>
      <c r="EZS6" s="622"/>
      <c r="EZT6" s="622"/>
      <c r="EZU6" s="622"/>
      <c r="EZV6" s="622"/>
      <c r="EZW6" s="622"/>
      <c r="EZX6" s="622"/>
      <c r="EZY6" s="622"/>
      <c r="EZZ6" s="622"/>
      <c r="FAA6" s="622"/>
      <c r="FAB6" s="622"/>
      <c r="FAC6" s="622"/>
      <c r="FAD6" s="622"/>
      <c r="FAE6" s="622"/>
      <c r="FAF6" s="622"/>
      <c r="FAG6" s="622"/>
      <c r="FAH6" s="622"/>
      <c r="FAI6" s="622"/>
      <c r="FAJ6" s="622"/>
      <c r="FAK6" s="622"/>
      <c r="FAL6" s="622"/>
      <c r="FAM6" s="622"/>
      <c r="FAN6" s="622"/>
      <c r="FAO6" s="622"/>
      <c r="FAP6" s="622"/>
      <c r="FAQ6" s="622"/>
      <c r="FAR6" s="622"/>
      <c r="FAS6" s="622"/>
      <c r="FAT6" s="622"/>
      <c r="FAU6" s="622"/>
      <c r="FAV6" s="622"/>
      <c r="FAW6" s="622"/>
      <c r="FAX6" s="622"/>
      <c r="FAY6" s="622"/>
      <c r="FAZ6" s="622"/>
      <c r="FBA6" s="622"/>
      <c r="FBB6" s="622"/>
      <c r="FBC6" s="622"/>
      <c r="FBD6" s="622"/>
      <c r="FBE6" s="622"/>
      <c r="FBF6" s="622"/>
      <c r="FBG6" s="622"/>
      <c r="FBH6" s="622"/>
      <c r="FBI6" s="622"/>
      <c r="FBJ6" s="622"/>
      <c r="FBK6" s="622"/>
      <c r="FBL6" s="622"/>
      <c r="FBM6" s="622"/>
      <c r="FBN6" s="622"/>
      <c r="FBO6" s="622"/>
      <c r="FBP6" s="622"/>
      <c r="FBQ6" s="622"/>
      <c r="FBR6" s="622"/>
      <c r="FBS6" s="622"/>
      <c r="FBT6" s="622"/>
      <c r="FBU6" s="622"/>
      <c r="FBV6" s="622"/>
      <c r="FBW6" s="622"/>
      <c r="FBX6" s="622"/>
      <c r="FBY6" s="622"/>
      <c r="FBZ6" s="622"/>
      <c r="FCA6" s="622"/>
      <c r="FCB6" s="622"/>
      <c r="FCC6" s="622"/>
      <c r="FCD6" s="622"/>
      <c r="FCE6" s="622"/>
      <c r="FCF6" s="622"/>
      <c r="FCG6" s="622"/>
      <c r="FCH6" s="622"/>
      <c r="FCI6" s="622"/>
      <c r="FCJ6" s="622"/>
      <c r="FCK6" s="622"/>
      <c r="FCL6" s="622"/>
      <c r="FCM6" s="622"/>
      <c r="FCN6" s="622"/>
      <c r="FCO6" s="622"/>
      <c r="FCP6" s="622"/>
      <c r="FCQ6" s="622"/>
      <c r="FCR6" s="622"/>
      <c r="FCS6" s="622"/>
      <c r="FCT6" s="622"/>
      <c r="FCU6" s="622"/>
      <c r="FCV6" s="622"/>
      <c r="FCW6" s="622"/>
      <c r="FCX6" s="622"/>
      <c r="FCY6" s="622"/>
      <c r="FCZ6" s="622"/>
      <c r="FDA6" s="622"/>
      <c r="FDB6" s="622"/>
      <c r="FDC6" s="622"/>
      <c r="FDD6" s="622"/>
      <c r="FDE6" s="622"/>
      <c r="FDF6" s="622"/>
      <c r="FDG6" s="622"/>
      <c r="FDH6" s="622"/>
      <c r="FDI6" s="622"/>
      <c r="FDJ6" s="622"/>
      <c r="FDK6" s="622"/>
      <c r="FDL6" s="622"/>
      <c r="FDM6" s="622"/>
      <c r="FDN6" s="622"/>
      <c r="FDO6" s="622"/>
      <c r="FDP6" s="622"/>
      <c r="FDQ6" s="622"/>
      <c r="FDR6" s="622"/>
      <c r="FDS6" s="622"/>
      <c r="FDT6" s="622"/>
      <c r="FDU6" s="622"/>
      <c r="FDV6" s="622"/>
      <c r="FDW6" s="622"/>
      <c r="FDX6" s="622"/>
      <c r="FDY6" s="622"/>
      <c r="FDZ6" s="622"/>
      <c r="FEA6" s="622"/>
      <c r="FEB6" s="622"/>
      <c r="FEC6" s="622"/>
      <c r="FED6" s="622"/>
      <c r="FEE6" s="622"/>
      <c r="FEF6" s="622"/>
      <c r="FEG6" s="622"/>
      <c r="FEH6" s="622"/>
      <c r="FEI6" s="622"/>
      <c r="FEJ6" s="622"/>
      <c r="FEK6" s="622"/>
      <c r="FEL6" s="622"/>
      <c r="FEM6" s="622"/>
      <c r="FEN6" s="622"/>
      <c r="FEO6" s="622"/>
      <c r="FEP6" s="622"/>
      <c r="FEQ6" s="622"/>
      <c r="FER6" s="622"/>
      <c r="FES6" s="622"/>
      <c r="FET6" s="622"/>
      <c r="FEU6" s="622"/>
      <c r="FEV6" s="622"/>
      <c r="FEW6" s="622"/>
      <c r="FEX6" s="622"/>
      <c r="FEY6" s="622"/>
      <c r="FEZ6" s="622"/>
      <c r="FFA6" s="622"/>
      <c r="FFB6" s="622"/>
      <c r="FFC6" s="622"/>
      <c r="FFD6" s="622"/>
      <c r="FFE6" s="622"/>
      <c r="FFF6" s="622"/>
      <c r="FFG6" s="622"/>
      <c r="FFH6" s="622"/>
      <c r="FFI6" s="622"/>
      <c r="FFJ6" s="622"/>
      <c r="FFK6" s="622"/>
      <c r="FFL6" s="622"/>
      <c r="FFM6" s="622"/>
      <c r="FFN6" s="622"/>
      <c r="FFO6" s="622"/>
      <c r="FFP6" s="622"/>
      <c r="FFQ6" s="622"/>
      <c r="FFR6" s="622"/>
      <c r="FFS6" s="622"/>
      <c r="FFT6" s="622"/>
      <c r="FFU6" s="622"/>
      <c r="FFV6" s="622"/>
      <c r="FFW6" s="622"/>
      <c r="FFX6" s="622"/>
      <c r="FFY6" s="622"/>
      <c r="FFZ6" s="622"/>
      <c r="FGA6" s="622"/>
      <c r="FGB6" s="622"/>
      <c r="FGC6" s="622"/>
      <c r="FGD6" s="622"/>
      <c r="FGE6" s="622"/>
      <c r="FGF6" s="622"/>
      <c r="FGG6" s="622"/>
      <c r="FGH6" s="622"/>
      <c r="FGI6" s="622"/>
      <c r="FGJ6" s="622"/>
      <c r="FGK6" s="622"/>
      <c r="FGL6" s="622"/>
      <c r="FGM6" s="622"/>
      <c r="FGN6" s="622"/>
      <c r="FGO6" s="622"/>
      <c r="FGP6" s="622"/>
      <c r="FGQ6" s="622"/>
      <c r="FGR6" s="622"/>
      <c r="FGS6" s="622"/>
      <c r="FGT6" s="622"/>
      <c r="FGU6" s="622"/>
      <c r="FGV6" s="622"/>
      <c r="FGW6" s="622"/>
      <c r="FGX6" s="622"/>
      <c r="FGY6" s="622"/>
      <c r="FGZ6" s="622"/>
      <c r="FHA6" s="622"/>
      <c r="FHB6" s="622"/>
      <c r="FHC6" s="622"/>
      <c r="FHD6" s="622"/>
      <c r="FHE6" s="622"/>
      <c r="FHF6" s="622"/>
      <c r="FHG6" s="622"/>
      <c r="FHH6" s="622"/>
      <c r="FHI6" s="622"/>
      <c r="FHJ6" s="622"/>
      <c r="FHK6" s="622"/>
      <c r="FHL6" s="622"/>
      <c r="FHM6" s="622"/>
      <c r="FHN6" s="622"/>
      <c r="FHO6" s="622"/>
      <c r="FHP6" s="622"/>
      <c r="FHQ6" s="622"/>
      <c r="FHR6" s="622"/>
      <c r="FHS6" s="622"/>
      <c r="FHT6" s="622"/>
      <c r="FHU6" s="622"/>
      <c r="FHV6" s="622"/>
      <c r="FHW6" s="622"/>
      <c r="FHX6" s="622"/>
      <c r="FHY6" s="622"/>
      <c r="FHZ6" s="622"/>
      <c r="FIA6" s="622"/>
      <c r="FIB6" s="622"/>
      <c r="FIC6" s="622"/>
      <c r="FID6" s="622"/>
      <c r="FIE6" s="622"/>
      <c r="FIF6" s="622"/>
      <c r="FIG6" s="622"/>
      <c r="FIH6" s="622"/>
      <c r="FII6" s="622"/>
      <c r="FIJ6" s="622"/>
      <c r="FIK6" s="622"/>
      <c r="FIL6" s="622"/>
      <c r="FIM6" s="622"/>
      <c r="FIN6" s="622"/>
      <c r="FIO6" s="622"/>
      <c r="FIP6" s="622"/>
      <c r="FIQ6" s="622"/>
      <c r="FIR6" s="622"/>
      <c r="FIS6" s="622"/>
      <c r="FIT6" s="622"/>
      <c r="FIU6" s="622"/>
      <c r="FIV6" s="622"/>
      <c r="FIW6" s="622"/>
      <c r="FIX6" s="622"/>
      <c r="FIY6" s="622"/>
      <c r="FIZ6" s="622"/>
      <c r="FJA6" s="622"/>
      <c r="FJB6" s="622"/>
      <c r="FJC6" s="622"/>
      <c r="FJD6" s="622"/>
      <c r="FJE6" s="622"/>
      <c r="FJF6" s="622"/>
      <c r="FJG6" s="622"/>
      <c r="FJH6" s="622"/>
      <c r="FJI6" s="622"/>
      <c r="FJJ6" s="622"/>
      <c r="FJK6" s="622"/>
      <c r="FJL6" s="622"/>
      <c r="FJM6" s="622"/>
      <c r="FJN6" s="622"/>
      <c r="FJO6" s="622"/>
      <c r="FJP6" s="622"/>
      <c r="FJQ6" s="622"/>
      <c r="FJR6" s="622"/>
      <c r="FJS6" s="622"/>
      <c r="FJT6" s="622"/>
      <c r="FJU6" s="622"/>
      <c r="FJV6" s="622"/>
      <c r="FJW6" s="622"/>
      <c r="FJX6" s="622"/>
      <c r="FJY6" s="622"/>
      <c r="FJZ6" s="622"/>
      <c r="FKA6" s="622"/>
      <c r="FKB6" s="622"/>
      <c r="FKC6" s="622"/>
      <c r="FKD6" s="622"/>
      <c r="FKE6" s="622"/>
      <c r="FKF6" s="622"/>
      <c r="FKG6" s="622"/>
      <c r="FKH6" s="622"/>
      <c r="FKI6" s="622"/>
      <c r="FKJ6" s="622"/>
      <c r="FKK6" s="622"/>
      <c r="FKL6" s="622"/>
      <c r="FKM6" s="622"/>
      <c r="FKN6" s="622"/>
      <c r="FKO6" s="622"/>
      <c r="FKP6" s="622"/>
      <c r="FKQ6" s="622"/>
      <c r="FKR6" s="622"/>
      <c r="FKS6" s="622"/>
      <c r="FKT6" s="622"/>
      <c r="FKU6" s="622"/>
      <c r="FKV6" s="622"/>
      <c r="FKW6" s="622"/>
      <c r="FKX6" s="622"/>
      <c r="FKY6" s="622"/>
      <c r="FKZ6" s="622"/>
      <c r="FLA6" s="622"/>
      <c r="FLB6" s="622"/>
      <c r="FLC6" s="622"/>
      <c r="FLD6" s="622"/>
      <c r="FLE6" s="622"/>
      <c r="FLF6" s="622"/>
      <c r="FLG6" s="622"/>
      <c r="FLH6" s="622"/>
      <c r="FLI6" s="622"/>
      <c r="FLJ6" s="622"/>
      <c r="FLK6" s="622"/>
      <c r="FLL6" s="622"/>
      <c r="FLM6" s="622"/>
      <c r="FLN6" s="622"/>
      <c r="FLO6" s="622"/>
      <c r="FLP6" s="622"/>
      <c r="FLQ6" s="622"/>
      <c r="FLR6" s="622"/>
      <c r="FLS6" s="622"/>
      <c r="FLT6" s="622"/>
      <c r="FLU6" s="622"/>
      <c r="FLV6" s="622"/>
      <c r="FLW6" s="622"/>
      <c r="FLX6" s="622"/>
      <c r="FLY6" s="622"/>
      <c r="FLZ6" s="622"/>
      <c r="FMA6" s="622"/>
      <c r="FMB6" s="622"/>
      <c r="FMC6" s="622"/>
      <c r="FMD6" s="622"/>
      <c r="FME6" s="622"/>
      <c r="FMF6" s="622"/>
      <c r="FMG6" s="622"/>
      <c r="FMH6" s="622"/>
      <c r="FMI6" s="622"/>
      <c r="FMJ6" s="622"/>
      <c r="FMK6" s="622"/>
      <c r="FML6" s="622"/>
      <c r="FMM6" s="622"/>
      <c r="FMN6" s="622"/>
      <c r="FMO6" s="622"/>
      <c r="FMP6" s="622"/>
      <c r="FMQ6" s="622"/>
      <c r="FMR6" s="622"/>
      <c r="FMS6" s="622"/>
      <c r="FMT6" s="622"/>
      <c r="FMU6" s="622"/>
      <c r="FMV6" s="622"/>
      <c r="FMW6" s="622"/>
      <c r="FMX6" s="622"/>
      <c r="FMY6" s="622"/>
      <c r="FMZ6" s="622"/>
      <c r="FNA6" s="622"/>
      <c r="FNB6" s="622"/>
      <c r="FNC6" s="622"/>
      <c r="FND6" s="622"/>
      <c r="FNE6" s="622"/>
      <c r="FNF6" s="622"/>
      <c r="FNG6" s="622"/>
      <c r="FNH6" s="622"/>
      <c r="FNI6" s="622"/>
      <c r="FNJ6" s="622"/>
      <c r="FNK6" s="622"/>
      <c r="FNL6" s="622"/>
      <c r="FNM6" s="622"/>
      <c r="FNN6" s="622"/>
      <c r="FNO6" s="622"/>
      <c r="FNP6" s="622"/>
      <c r="FNQ6" s="622"/>
      <c r="FNR6" s="622"/>
      <c r="FNS6" s="622"/>
      <c r="FNT6" s="622"/>
      <c r="FNU6" s="622"/>
      <c r="FNV6" s="622"/>
      <c r="FNW6" s="622"/>
      <c r="FNX6" s="622"/>
      <c r="FNY6" s="622"/>
      <c r="FNZ6" s="622"/>
      <c r="FOA6" s="622"/>
      <c r="FOB6" s="622"/>
      <c r="FOC6" s="622"/>
      <c r="FOD6" s="622"/>
      <c r="FOE6" s="622"/>
      <c r="FOF6" s="622"/>
      <c r="FOG6" s="622"/>
      <c r="FOH6" s="622"/>
      <c r="FOI6" s="622"/>
      <c r="FOJ6" s="622"/>
      <c r="FOK6" s="622"/>
      <c r="FOL6" s="622"/>
      <c r="FOM6" s="622"/>
      <c r="FON6" s="622"/>
      <c r="FOO6" s="622"/>
      <c r="FOP6" s="622"/>
      <c r="FOQ6" s="622"/>
      <c r="FOR6" s="622"/>
      <c r="FOS6" s="622"/>
      <c r="FOT6" s="622"/>
      <c r="FOU6" s="622"/>
      <c r="FOV6" s="622"/>
      <c r="FOW6" s="622"/>
      <c r="FOX6" s="622"/>
      <c r="FOY6" s="622"/>
      <c r="FOZ6" s="622"/>
      <c r="FPA6" s="622"/>
      <c r="FPB6" s="622"/>
      <c r="FPC6" s="622"/>
      <c r="FPD6" s="622"/>
      <c r="FPE6" s="622"/>
      <c r="FPF6" s="622"/>
      <c r="FPG6" s="622"/>
      <c r="FPH6" s="622"/>
      <c r="FPI6" s="622"/>
      <c r="FPJ6" s="622"/>
      <c r="FPK6" s="622"/>
      <c r="FPL6" s="622"/>
      <c r="FPM6" s="622"/>
      <c r="FPN6" s="622"/>
      <c r="FPO6" s="622"/>
      <c r="FPP6" s="622"/>
      <c r="FPQ6" s="622"/>
      <c r="FPR6" s="622"/>
      <c r="FPS6" s="622"/>
      <c r="FPT6" s="622"/>
      <c r="FPU6" s="622"/>
      <c r="FPV6" s="622"/>
      <c r="FPW6" s="622"/>
      <c r="FPX6" s="622"/>
      <c r="FPY6" s="622"/>
      <c r="FPZ6" s="622"/>
      <c r="FQA6" s="622"/>
      <c r="FQB6" s="622"/>
      <c r="FQC6" s="622"/>
      <c r="FQD6" s="622"/>
      <c r="FQE6" s="622"/>
      <c r="FQF6" s="622"/>
      <c r="FQG6" s="622"/>
      <c r="FQH6" s="622"/>
      <c r="FQI6" s="622"/>
      <c r="FQJ6" s="622"/>
      <c r="FQK6" s="622"/>
      <c r="FQL6" s="622"/>
      <c r="FQM6" s="622"/>
      <c r="FQN6" s="622"/>
      <c r="FQO6" s="622"/>
      <c r="FQP6" s="622"/>
      <c r="FQQ6" s="622"/>
      <c r="FQR6" s="622"/>
      <c r="FQS6" s="622"/>
      <c r="FQT6" s="622"/>
      <c r="FQU6" s="622"/>
      <c r="FQV6" s="622"/>
      <c r="FQW6" s="622"/>
      <c r="FQX6" s="622"/>
      <c r="FQY6" s="622"/>
      <c r="FQZ6" s="622"/>
      <c r="FRA6" s="622"/>
      <c r="FRB6" s="622"/>
      <c r="FRC6" s="622"/>
      <c r="FRD6" s="622"/>
      <c r="FRE6" s="622"/>
      <c r="FRF6" s="622"/>
      <c r="FRG6" s="622"/>
      <c r="FRH6" s="622"/>
      <c r="FRI6" s="622"/>
      <c r="FRJ6" s="622"/>
      <c r="FRK6" s="622"/>
      <c r="FRL6" s="622"/>
      <c r="FRM6" s="622"/>
      <c r="FRN6" s="622"/>
      <c r="FRO6" s="622"/>
      <c r="FRP6" s="622"/>
      <c r="FRQ6" s="622"/>
      <c r="FRR6" s="622"/>
      <c r="FRS6" s="622"/>
      <c r="FRT6" s="622"/>
      <c r="FRU6" s="622"/>
      <c r="FRV6" s="622"/>
      <c r="FRW6" s="622"/>
      <c r="FRX6" s="622"/>
      <c r="FRY6" s="622"/>
      <c r="FRZ6" s="622"/>
      <c r="FSA6" s="622"/>
      <c r="FSB6" s="622"/>
      <c r="FSC6" s="622"/>
      <c r="FSD6" s="622"/>
      <c r="FSE6" s="622"/>
      <c r="FSF6" s="622"/>
      <c r="FSG6" s="622"/>
      <c r="FSH6" s="622"/>
      <c r="FSI6" s="622"/>
      <c r="FSJ6" s="622"/>
      <c r="FSK6" s="622"/>
      <c r="FSL6" s="622"/>
      <c r="FSM6" s="622"/>
      <c r="FSN6" s="622"/>
      <c r="FSO6" s="622"/>
      <c r="FSP6" s="622"/>
      <c r="FSQ6" s="622"/>
      <c r="FSR6" s="622"/>
      <c r="FSS6" s="622"/>
      <c r="FST6" s="622"/>
      <c r="FSU6" s="622"/>
      <c r="FSV6" s="622"/>
      <c r="FSW6" s="622"/>
      <c r="FSX6" s="622"/>
      <c r="FSY6" s="622"/>
      <c r="FSZ6" s="622"/>
      <c r="FTA6" s="622"/>
      <c r="FTB6" s="622"/>
      <c r="FTC6" s="622"/>
      <c r="FTD6" s="622"/>
      <c r="FTE6" s="622"/>
      <c r="FTF6" s="622"/>
      <c r="FTG6" s="622"/>
      <c r="FTH6" s="622"/>
      <c r="FTI6" s="622"/>
      <c r="FTJ6" s="622"/>
      <c r="FTK6" s="622"/>
      <c r="FTL6" s="622"/>
      <c r="FTM6" s="622"/>
      <c r="FTN6" s="622"/>
      <c r="FTO6" s="622"/>
      <c r="FTP6" s="622"/>
      <c r="FTQ6" s="622"/>
      <c r="FTR6" s="622"/>
      <c r="FTS6" s="622"/>
      <c r="FTT6" s="622"/>
      <c r="FTU6" s="622"/>
      <c r="FTV6" s="622"/>
      <c r="FTW6" s="622"/>
      <c r="FTX6" s="622"/>
      <c r="FTY6" s="622"/>
      <c r="FTZ6" s="622"/>
      <c r="FUA6" s="622"/>
      <c r="FUB6" s="622"/>
      <c r="FUC6" s="622"/>
      <c r="FUD6" s="622"/>
      <c r="FUE6" s="622"/>
      <c r="FUF6" s="622"/>
      <c r="FUG6" s="622"/>
      <c r="FUH6" s="622"/>
      <c r="FUI6" s="622"/>
      <c r="FUJ6" s="622"/>
      <c r="FUK6" s="622"/>
      <c r="FUL6" s="622"/>
      <c r="FUM6" s="622"/>
      <c r="FUN6" s="622"/>
      <c r="FUO6" s="622"/>
      <c r="FUP6" s="622"/>
      <c r="FUQ6" s="622"/>
      <c r="FUR6" s="622"/>
      <c r="FUS6" s="622"/>
      <c r="FUT6" s="622"/>
      <c r="FUU6" s="622"/>
      <c r="FUV6" s="622"/>
      <c r="FUW6" s="622"/>
      <c r="FUX6" s="622"/>
      <c r="FUY6" s="622"/>
      <c r="FUZ6" s="622"/>
      <c r="FVA6" s="622"/>
      <c r="FVB6" s="622"/>
      <c r="FVC6" s="622"/>
      <c r="FVD6" s="622"/>
      <c r="FVE6" s="622"/>
      <c r="FVF6" s="622"/>
      <c r="FVG6" s="622"/>
      <c r="FVH6" s="622"/>
      <c r="FVI6" s="622"/>
      <c r="FVJ6" s="622"/>
      <c r="FVK6" s="622"/>
      <c r="FVL6" s="622"/>
      <c r="FVM6" s="622"/>
      <c r="FVN6" s="622"/>
      <c r="FVO6" s="622"/>
      <c r="FVP6" s="622"/>
      <c r="FVQ6" s="622"/>
      <c r="FVR6" s="622"/>
      <c r="FVS6" s="622"/>
      <c r="FVT6" s="622"/>
      <c r="FVU6" s="622"/>
      <c r="FVV6" s="622"/>
      <c r="FVW6" s="622"/>
      <c r="FVX6" s="622"/>
      <c r="FVY6" s="622"/>
      <c r="FVZ6" s="622"/>
      <c r="FWA6" s="622"/>
      <c r="FWB6" s="622"/>
      <c r="FWC6" s="622"/>
      <c r="FWD6" s="622"/>
      <c r="FWE6" s="622"/>
      <c r="FWF6" s="622"/>
      <c r="FWG6" s="622"/>
      <c r="FWH6" s="622"/>
      <c r="FWI6" s="622"/>
      <c r="FWJ6" s="622"/>
      <c r="FWK6" s="622"/>
      <c r="FWL6" s="622"/>
      <c r="FWM6" s="622"/>
      <c r="FWN6" s="622"/>
      <c r="FWO6" s="622"/>
      <c r="FWP6" s="622"/>
      <c r="FWQ6" s="622"/>
      <c r="FWR6" s="622"/>
      <c r="FWS6" s="622"/>
      <c r="FWT6" s="622"/>
      <c r="FWU6" s="622"/>
      <c r="FWV6" s="622"/>
      <c r="FWW6" s="622"/>
      <c r="FWX6" s="622"/>
      <c r="FWY6" s="622"/>
      <c r="FWZ6" s="622"/>
      <c r="FXA6" s="622"/>
      <c r="FXB6" s="622"/>
      <c r="FXC6" s="622"/>
      <c r="FXD6" s="622"/>
      <c r="FXE6" s="622"/>
      <c r="FXF6" s="622"/>
      <c r="FXG6" s="622"/>
      <c r="FXH6" s="622"/>
      <c r="FXI6" s="622"/>
      <c r="FXJ6" s="622"/>
      <c r="FXK6" s="622"/>
      <c r="FXL6" s="622"/>
      <c r="FXM6" s="622"/>
      <c r="FXN6" s="622"/>
      <c r="FXO6" s="622"/>
      <c r="FXP6" s="622"/>
      <c r="FXQ6" s="622"/>
      <c r="FXR6" s="622"/>
      <c r="FXS6" s="622"/>
      <c r="FXT6" s="622"/>
      <c r="FXU6" s="622"/>
      <c r="FXV6" s="622"/>
      <c r="FXW6" s="622"/>
      <c r="FXX6" s="622"/>
      <c r="FXY6" s="622"/>
      <c r="FXZ6" s="622"/>
      <c r="FYA6" s="622"/>
      <c r="FYB6" s="622"/>
      <c r="FYC6" s="622"/>
      <c r="FYD6" s="622"/>
      <c r="FYE6" s="622"/>
      <c r="FYF6" s="622"/>
      <c r="FYG6" s="622"/>
      <c r="FYH6" s="622"/>
      <c r="FYI6" s="622"/>
      <c r="FYJ6" s="622"/>
      <c r="FYK6" s="622"/>
      <c r="FYL6" s="622"/>
      <c r="FYM6" s="622"/>
      <c r="FYN6" s="622"/>
      <c r="FYO6" s="622"/>
      <c r="FYP6" s="622"/>
      <c r="FYQ6" s="622"/>
      <c r="FYR6" s="622"/>
      <c r="FYS6" s="622"/>
      <c r="FYT6" s="622"/>
      <c r="FYU6" s="622"/>
      <c r="FYV6" s="622"/>
      <c r="FYW6" s="622"/>
      <c r="FYX6" s="622"/>
      <c r="FYY6" s="622"/>
      <c r="FYZ6" s="622"/>
      <c r="FZA6" s="622"/>
      <c r="FZB6" s="622"/>
      <c r="FZC6" s="622"/>
      <c r="FZD6" s="622"/>
      <c r="FZE6" s="622"/>
      <c r="FZF6" s="622"/>
      <c r="FZG6" s="622"/>
      <c r="FZH6" s="622"/>
      <c r="FZI6" s="622"/>
      <c r="FZJ6" s="622"/>
      <c r="FZK6" s="622"/>
      <c r="FZL6" s="622"/>
      <c r="FZM6" s="622"/>
      <c r="FZN6" s="622"/>
      <c r="FZO6" s="622"/>
      <c r="FZP6" s="622"/>
      <c r="FZQ6" s="622"/>
      <c r="FZR6" s="622"/>
      <c r="FZS6" s="622"/>
      <c r="FZT6" s="622"/>
      <c r="FZU6" s="622"/>
      <c r="FZV6" s="622"/>
      <c r="FZW6" s="622"/>
      <c r="FZX6" s="622"/>
      <c r="FZY6" s="622"/>
      <c r="FZZ6" s="622"/>
      <c r="GAA6" s="622"/>
      <c r="GAB6" s="622"/>
      <c r="GAC6" s="622"/>
      <c r="GAD6" s="622"/>
      <c r="GAE6" s="622"/>
      <c r="GAF6" s="622"/>
      <c r="GAG6" s="622"/>
      <c r="GAH6" s="622"/>
      <c r="GAI6" s="622"/>
      <c r="GAJ6" s="622"/>
      <c r="GAK6" s="622"/>
      <c r="GAL6" s="622"/>
      <c r="GAM6" s="622"/>
      <c r="GAN6" s="622"/>
      <c r="GAO6" s="622"/>
      <c r="GAP6" s="622"/>
      <c r="GAQ6" s="622"/>
      <c r="GAR6" s="622"/>
      <c r="GAS6" s="622"/>
      <c r="GAT6" s="622"/>
      <c r="GAU6" s="622"/>
      <c r="GAV6" s="622"/>
      <c r="GAW6" s="622"/>
      <c r="GAX6" s="622"/>
      <c r="GAY6" s="622"/>
      <c r="GAZ6" s="622"/>
      <c r="GBA6" s="622"/>
      <c r="GBB6" s="622"/>
      <c r="GBC6" s="622"/>
      <c r="GBD6" s="622"/>
      <c r="GBE6" s="622"/>
      <c r="GBF6" s="622"/>
      <c r="GBG6" s="622"/>
      <c r="GBH6" s="622"/>
      <c r="GBI6" s="622"/>
      <c r="GBJ6" s="622"/>
      <c r="GBK6" s="622"/>
      <c r="GBL6" s="622"/>
      <c r="GBM6" s="622"/>
      <c r="GBN6" s="622"/>
      <c r="GBO6" s="622"/>
      <c r="GBP6" s="622"/>
      <c r="GBQ6" s="622"/>
      <c r="GBR6" s="622"/>
      <c r="GBS6" s="622"/>
      <c r="GBT6" s="622"/>
      <c r="GBU6" s="622"/>
      <c r="GBV6" s="622"/>
      <c r="GBW6" s="622"/>
      <c r="GBX6" s="622"/>
      <c r="GBY6" s="622"/>
      <c r="GBZ6" s="622"/>
      <c r="GCA6" s="622"/>
      <c r="GCB6" s="622"/>
      <c r="GCC6" s="622"/>
      <c r="GCD6" s="622"/>
      <c r="GCE6" s="622"/>
      <c r="GCF6" s="622"/>
      <c r="GCG6" s="622"/>
      <c r="GCH6" s="622"/>
      <c r="GCI6" s="622"/>
      <c r="GCJ6" s="622"/>
      <c r="GCK6" s="622"/>
      <c r="GCL6" s="622"/>
      <c r="GCM6" s="622"/>
      <c r="GCN6" s="622"/>
      <c r="GCO6" s="622"/>
      <c r="GCP6" s="622"/>
      <c r="GCQ6" s="622"/>
      <c r="GCR6" s="622"/>
      <c r="GCS6" s="622"/>
      <c r="GCT6" s="622"/>
      <c r="GCU6" s="622"/>
      <c r="GCV6" s="622"/>
      <c r="GCW6" s="622"/>
      <c r="GCX6" s="622"/>
      <c r="GCY6" s="622"/>
      <c r="GCZ6" s="622"/>
      <c r="GDA6" s="622"/>
      <c r="GDB6" s="622"/>
      <c r="GDC6" s="622"/>
      <c r="GDD6" s="622"/>
      <c r="GDE6" s="622"/>
      <c r="GDF6" s="622"/>
      <c r="GDG6" s="622"/>
      <c r="GDH6" s="622"/>
      <c r="GDI6" s="622"/>
      <c r="GDJ6" s="622"/>
      <c r="GDK6" s="622"/>
      <c r="GDL6" s="622"/>
      <c r="GDM6" s="622"/>
      <c r="GDN6" s="622"/>
      <c r="GDO6" s="622"/>
      <c r="GDP6" s="622"/>
      <c r="GDQ6" s="622"/>
      <c r="GDR6" s="622"/>
      <c r="GDS6" s="622"/>
      <c r="GDT6" s="622"/>
      <c r="GDU6" s="622"/>
      <c r="GDV6" s="622"/>
      <c r="GDW6" s="622"/>
      <c r="GDX6" s="622"/>
      <c r="GDY6" s="622"/>
      <c r="GDZ6" s="622"/>
      <c r="GEA6" s="622"/>
      <c r="GEB6" s="622"/>
      <c r="GEC6" s="622"/>
      <c r="GED6" s="622"/>
      <c r="GEE6" s="622"/>
      <c r="GEF6" s="622"/>
      <c r="GEG6" s="622"/>
      <c r="GEH6" s="622"/>
      <c r="GEI6" s="622"/>
      <c r="GEJ6" s="622"/>
      <c r="GEK6" s="622"/>
      <c r="GEL6" s="622"/>
      <c r="GEM6" s="622"/>
      <c r="GEN6" s="622"/>
      <c r="GEO6" s="622"/>
      <c r="GEP6" s="622"/>
      <c r="GEQ6" s="622"/>
      <c r="GER6" s="622"/>
      <c r="GES6" s="622"/>
      <c r="GET6" s="622"/>
      <c r="GEU6" s="622"/>
      <c r="GEV6" s="622"/>
      <c r="GEW6" s="622"/>
      <c r="GEX6" s="622"/>
      <c r="GEY6" s="622"/>
      <c r="GEZ6" s="622"/>
      <c r="GFA6" s="622"/>
      <c r="GFB6" s="622"/>
      <c r="GFC6" s="622"/>
      <c r="GFD6" s="622"/>
      <c r="GFE6" s="622"/>
      <c r="GFF6" s="622"/>
      <c r="GFG6" s="622"/>
      <c r="GFH6" s="622"/>
      <c r="GFI6" s="622"/>
      <c r="GFJ6" s="622"/>
      <c r="GFK6" s="622"/>
      <c r="GFL6" s="622"/>
      <c r="GFM6" s="622"/>
      <c r="GFN6" s="622"/>
      <c r="GFO6" s="622"/>
      <c r="GFP6" s="622"/>
      <c r="GFQ6" s="622"/>
      <c r="GFR6" s="622"/>
      <c r="GFS6" s="622"/>
      <c r="GFT6" s="622"/>
      <c r="GFU6" s="622"/>
      <c r="GFV6" s="622"/>
      <c r="GFW6" s="622"/>
      <c r="GFX6" s="622"/>
      <c r="GFY6" s="622"/>
      <c r="GFZ6" s="622"/>
      <c r="GGA6" s="622"/>
      <c r="GGB6" s="622"/>
      <c r="GGC6" s="622"/>
      <c r="GGD6" s="622"/>
      <c r="GGE6" s="622"/>
      <c r="GGF6" s="622"/>
      <c r="GGG6" s="622"/>
      <c r="GGH6" s="622"/>
      <c r="GGI6" s="622"/>
      <c r="GGJ6" s="622"/>
      <c r="GGK6" s="622"/>
      <c r="GGL6" s="622"/>
      <c r="GGM6" s="622"/>
      <c r="GGN6" s="622"/>
      <c r="GGO6" s="622"/>
      <c r="GGP6" s="622"/>
      <c r="GGQ6" s="622"/>
      <c r="GGR6" s="622"/>
      <c r="GGS6" s="622"/>
      <c r="GGT6" s="622"/>
      <c r="GGU6" s="622"/>
      <c r="GGV6" s="622"/>
      <c r="GGW6" s="622"/>
      <c r="GGX6" s="622"/>
      <c r="GGY6" s="622"/>
      <c r="GGZ6" s="622"/>
      <c r="GHA6" s="622"/>
      <c r="GHB6" s="622"/>
      <c r="GHC6" s="622"/>
      <c r="GHD6" s="622"/>
      <c r="GHE6" s="622"/>
      <c r="GHF6" s="622"/>
      <c r="GHG6" s="622"/>
      <c r="GHH6" s="622"/>
      <c r="GHI6" s="622"/>
      <c r="GHJ6" s="622"/>
      <c r="GHK6" s="622"/>
      <c r="GHL6" s="622"/>
      <c r="GHM6" s="622"/>
      <c r="GHN6" s="622"/>
      <c r="GHO6" s="622"/>
      <c r="GHP6" s="622"/>
      <c r="GHQ6" s="622"/>
      <c r="GHR6" s="622"/>
      <c r="GHS6" s="622"/>
      <c r="GHT6" s="622"/>
      <c r="GHU6" s="622"/>
      <c r="GHV6" s="622"/>
      <c r="GHW6" s="622"/>
      <c r="GHX6" s="622"/>
      <c r="GHY6" s="622"/>
      <c r="GHZ6" s="622"/>
      <c r="GIA6" s="622"/>
      <c r="GIB6" s="622"/>
      <c r="GIC6" s="622"/>
      <c r="GID6" s="622"/>
      <c r="GIE6" s="622"/>
      <c r="GIF6" s="622"/>
      <c r="GIG6" s="622"/>
      <c r="GIH6" s="622"/>
      <c r="GII6" s="622"/>
      <c r="GIJ6" s="622"/>
      <c r="GIK6" s="622"/>
      <c r="GIL6" s="622"/>
      <c r="GIM6" s="622"/>
      <c r="GIN6" s="622"/>
      <c r="GIO6" s="622"/>
      <c r="GIP6" s="622"/>
      <c r="GIQ6" s="622"/>
      <c r="GIR6" s="622"/>
      <c r="GIS6" s="622"/>
      <c r="GIT6" s="622"/>
      <c r="GIU6" s="622"/>
      <c r="GIV6" s="622"/>
      <c r="GIW6" s="622"/>
      <c r="GIX6" s="622"/>
      <c r="GIY6" s="622"/>
      <c r="GIZ6" s="622"/>
      <c r="GJA6" s="622"/>
      <c r="GJB6" s="622"/>
      <c r="GJC6" s="622"/>
      <c r="GJD6" s="622"/>
      <c r="GJE6" s="622"/>
      <c r="GJF6" s="622"/>
      <c r="GJG6" s="622"/>
      <c r="GJH6" s="622"/>
      <c r="GJI6" s="622"/>
      <c r="GJJ6" s="622"/>
      <c r="GJK6" s="622"/>
      <c r="GJL6" s="622"/>
      <c r="GJM6" s="622"/>
      <c r="GJN6" s="622"/>
      <c r="GJO6" s="622"/>
      <c r="GJP6" s="622"/>
      <c r="GJQ6" s="622"/>
      <c r="GJR6" s="622"/>
      <c r="GJS6" s="622"/>
      <c r="GJT6" s="622"/>
      <c r="GJU6" s="622"/>
      <c r="GJV6" s="622"/>
      <c r="GJW6" s="622"/>
      <c r="GJX6" s="622"/>
      <c r="GJY6" s="622"/>
      <c r="GJZ6" s="622"/>
      <c r="GKA6" s="622"/>
      <c r="GKB6" s="622"/>
      <c r="GKC6" s="622"/>
      <c r="GKD6" s="622"/>
      <c r="GKE6" s="622"/>
      <c r="GKF6" s="622"/>
      <c r="GKG6" s="622"/>
      <c r="GKH6" s="622"/>
      <c r="GKI6" s="622"/>
      <c r="GKJ6" s="622"/>
      <c r="GKK6" s="622"/>
      <c r="GKL6" s="622"/>
      <c r="GKM6" s="622"/>
      <c r="GKN6" s="622"/>
      <c r="GKO6" s="622"/>
      <c r="GKP6" s="622"/>
      <c r="GKQ6" s="622"/>
      <c r="GKR6" s="622"/>
      <c r="GKS6" s="622"/>
      <c r="GKT6" s="622"/>
      <c r="GKU6" s="622"/>
      <c r="GKV6" s="622"/>
      <c r="GKW6" s="622"/>
      <c r="GKX6" s="622"/>
      <c r="GKY6" s="622"/>
      <c r="GKZ6" s="622"/>
      <c r="GLA6" s="622"/>
      <c r="GLB6" s="622"/>
      <c r="GLC6" s="622"/>
      <c r="GLD6" s="622"/>
      <c r="GLE6" s="622"/>
      <c r="GLF6" s="622"/>
      <c r="GLG6" s="622"/>
      <c r="GLH6" s="622"/>
      <c r="GLI6" s="622"/>
      <c r="GLJ6" s="622"/>
      <c r="GLK6" s="622"/>
      <c r="GLL6" s="622"/>
      <c r="GLM6" s="622"/>
      <c r="GLN6" s="622"/>
      <c r="GLO6" s="622"/>
      <c r="GLP6" s="622"/>
      <c r="GLQ6" s="622"/>
      <c r="GLR6" s="622"/>
      <c r="GLS6" s="622"/>
      <c r="GLT6" s="622"/>
      <c r="GLU6" s="622"/>
      <c r="GLV6" s="622"/>
      <c r="GLW6" s="622"/>
      <c r="GLX6" s="622"/>
      <c r="GLY6" s="622"/>
      <c r="GLZ6" s="622"/>
      <c r="GMA6" s="622"/>
      <c r="GMB6" s="622"/>
      <c r="GMC6" s="622"/>
      <c r="GMD6" s="622"/>
      <c r="GME6" s="622"/>
      <c r="GMF6" s="622"/>
      <c r="GMG6" s="622"/>
      <c r="GMH6" s="622"/>
      <c r="GMI6" s="622"/>
      <c r="GMJ6" s="622"/>
      <c r="GMK6" s="622"/>
      <c r="GML6" s="622"/>
      <c r="GMM6" s="622"/>
      <c r="GMN6" s="622"/>
      <c r="GMO6" s="622"/>
      <c r="GMP6" s="622"/>
      <c r="GMQ6" s="622"/>
      <c r="GMR6" s="622"/>
      <c r="GMS6" s="622"/>
      <c r="GMT6" s="622"/>
      <c r="GMU6" s="622"/>
      <c r="GMV6" s="622"/>
      <c r="GMW6" s="622"/>
      <c r="GMX6" s="622"/>
      <c r="GMY6" s="622"/>
      <c r="GMZ6" s="622"/>
      <c r="GNA6" s="622"/>
      <c r="GNB6" s="622"/>
      <c r="GNC6" s="622"/>
      <c r="GND6" s="622"/>
      <c r="GNE6" s="622"/>
      <c r="GNF6" s="622"/>
      <c r="GNG6" s="622"/>
      <c r="GNH6" s="622"/>
      <c r="GNI6" s="622"/>
      <c r="GNJ6" s="622"/>
      <c r="GNK6" s="622"/>
      <c r="GNL6" s="622"/>
      <c r="GNM6" s="622"/>
      <c r="GNN6" s="622"/>
      <c r="GNO6" s="622"/>
      <c r="GNP6" s="622"/>
      <c r="GNQ6" s="622"/>
      <c r="GNR6" s="622"/>
      <c r="GNS6" s="622"/>
      <c r="GNT6" s="622"/>
      <c r="GNU6" s="622"/>
      <c r="GNV6" s="622"/>
      <c r="GNW6" s="622"/>
      <c r="GNX6" s="622"/>
      <c r="GNY6" s="622"/>
      <c r="GNZ6" s="622"/>
      <c r="GOA6" s="622"/>
      <c r="GOB6" s="622"/>
      <c r="GOC6" s="622"/>
      <c r="GOD6" s="622"/>
      <c r="GOE6" s="622"/>
      <c r="GOF6" s="622"/>
      <c r="GOG6" s="622"/>
      <c r="GOH6" s="622"/>
      <c r="GOI6" s="622"/>
      <c r="GOJ6" s="622"/>
      <c r="GOK6" s="622"/>
      <c r="GOL6" s="622"/>
      <c r="GOM6" s="622"/>
      <c r="GON6" s="622"/>
      <c r="GOO6" s="622"/>
      <c r="GOP6" s="622"/>
      <c r="GOQ6" s="622"/>
      <c r="GOR6" s="622"/>
      <c r="GOS6" s="622"/>
      <c r="GOT6" s="622"/>
      <c r="GOU6" s="622"/>
      <c r="GOV6" s="622"/>
      <c r="GOW6" s="622"/>
      <c r="GOX6" s="622"/>
      <c r="GOY6" s="622"/>
      <c r="GOZ6" s="622"/>
      <c r="GPA6" s="622"/>
      <c r="GPB6" s="622"/>
      <c r="GPC6" s="622"/>
      <c r="GPD6" s="622"/>
      <c r="GPE6" s="622"/>
      <c r="GPF6" s="622"/>
      <c r="GPG6" s="622"/>
      <c r="GPH6" s="622"/>
      <c r="GPI6" s="622"/>
      <c r="GPJ6" s="622"/>
      <c r="GPK6" s="622"/>
      <c r="GPL6" s="622"/>
      <c r="GPM6" s="622"/>
      <c r="GPN6" s="622"/>
      <c r="GPO6" s="622"/>
      <c r="GPP6" s="622"/>
      <c r="GPQ6" s="622"/>
      <c r="GPR6" s="622"/>
      <c r="GPS6" s="622"/>
      <c r="GPT6" s="622"/>
      <c r="GPU6" s="622"/>
      <c r="GPV6" s="622"/>
      <c r="GPW6" s="622"/>
      <c r="GPX6" s="622"/>
      <c r="GPY6" s="622"/>
      <c r="GPZ6" s="622"/>
      <c r="GQA6" s="622"/>
      <c r="GQB6" s="622"/>
      <c r="GQC6" s="622"/>
      <c r="GQD6" s="622"/>
      <c r="GQE6" s="622"/>
      <c r="GQF6" s="622"/>
      <c r="GQG6" s="622"/>
      <c r="GQH6" s="622"/>
      <c r="GQI6" s="622"/>
      <c r="GQJ6" s="622"/>
      <c r="GQK6" s="622"/>
      <c r="GQL6" s="622"/>
      <c r="GQM6" s="622"/>
      <c r="GQN6" s="622"/>
      <c r="GQO6" s="622"/>
      <c r="GQP6" s="622"/>
      <c r="GQQ6" s="622"/>
      <c r="GQR6" s="622"/>
      <c r="GQS6" s="622"/>
      <c r="GQT6" s="622"/>
      <c r="GQU6" s="622"/>
      <c r="GQV6" s="622"/>
      <c r="GQW6" s="622"/>
      <c r="GQX6" s="622"/>
      <c r="GQY6" s="622"/>
      <c r="GQZ6" s="622"/>
      <c r="GRA6" s="622"/>
      <c r="GRB6" s="622"/>
      <c r="GRC6" s="622"/>
      <c r="GRD6" s="622"/>
      <c r="GRE6" s="622"/>
      <c r="GRF6" s="622"/>
      <c r="GRG6" s="622"/>
      <c r="GRH6" s="622"/>
      <c r="GRI6" s="622"/>
      <c r="GRJ6" s="622"/>
      <c r="GRK6" s="622"/>
      <c r="GRL6" s="622"/>
      <c r="GRM6" s="622"/>
      <c r="GRN6" s="622"/>
      <c r="GRO6" s="622"/>
      <c r="GRP6" s="622"/>
      <c r="GRQ6" s="622"/>
      <c r="GRR6" s="622"/>
      <c r="GRS6" s="622"/>
      <c r="GRT6" s="622"/>
      <c r="GRU6" s="622"/>
      <c r="GRV6" s="622"/>
      <c r="GRW6" s="622"/>
      <c r="GRX6" s="622"/>
      <c r="GRY6" s="622"/>
      <c r="GRZ6" s="622"/>
      <c r="GSA6" s="622"/>
      <c r="GSB6" s="622"/>
      <c r="GSC6" s="622"/>
      <c r="GSD6" s="622"/>
      <c r="GSE6" s="622"/>
      <c r="GSF6" s="622"/>
      <c r="GSG6" s="622"/>
      <c r="GSH6" s="622"/>
      <c r="GSI6" s="622"/>
      <c r="GSJ6" s="622"/>
      <c r="GSK6" s="622"/>
      <c r="GSL6" s="622"/>
      <c r="GSM6" s="622"/>
      <c r="GSN6" s="622"/>
      <c r="GSO6" s="622"/>
      <c r="GSP6" s="622"/>
      <c r="GSQ6" s="622"/>
      <c r="GSR6" s="622"/>
      <c r="GSS6" s="622"/>
      <c r="GST6" s="622"/>
      <c r="GSU6" s="622"/>
      <c r="GSV6" s="622"/>
      <c r="GSW6" s="622"/>
      <c r="GSX6" s="622"/>
      <c r="GSY6" s="622"/>
      <c r="GSZ6" s="622"/>
      <c r="GTA6" s="622"/>
      <c r="GTB6" s="622"/>
      <c r="GTC6" s="622"/>
      <c r="GTD6" s="622"/>
      <c r="GTE6" s="622"/>
      <c r="GTF6" s="622"/>
      <c r="GTG6" s="622"/>
      <c r="GTH6" s="622"/>
      <c r="GTI6" s="622"/>
      <c r="GTJ6" s="622"/>
      <c r="GTK6" s="622"/>
      <c r="GTL6" s="622"/>
      <c r="GTM6" s="622"/>
      <c r="GTN6" s="622"/>
      <c r="GTO6" s="622"/>
      <c r="GTP6" s="622"/>
      <c r="GTQ6" s="622"/>
      <c r="GTR6" s="622"/>
      <c r="GTS6" s="622"/>
      <c r="GTT6" s="622"/>
      <c r="GTU6" s="622"/>
      <c r="GTV6" s="622"/>
      <c r="GTW6" s="622"/>
      <c r="GTX6" s="622"/>
      <c r="GTY6" s="622"/>
      <c r="GTZ6" s="622"/>
      <c r="GUA6" s="622"/>
      <c r="GUB6" s="622"/>
      <c r="GUC6" s="622"/>
      <c r="GUD6" s="622"/>
      <c r="GUE6" s="622"/>
      <c r="GUF6" s="622"/>
      <c r="GUG6" s="622"/>
      <c r="GUH6" s="622"/>
      <c r="GUI6" s="622"/>
      <c r="GUJ6" s="622"/>
      <c r="GUK6" s="622"/>
      <c r="GUL6" s="622"/>
      <c r="GUM6" s="622"/>
      <c r="GUN6" s="622"/>
      <c r="GUO6" s="622"/>
      <c r="GUP6" s="622"/>
      <c r="GUQ6" s="622"/>
      <c r="GUR6" s="622"/>
      <c r="GUS6" s="622"/>
      <c r="GUT6" s="622"/>
      <c r="GUU6" s="622"/>
      <c r="GUV6" s="622"/>
      <c r="GUW6" s="622"/>
      <c r="GUX6" s="622"/>
      <c r="GUY6" s="622"/>
      <c r="GUZ6" s="622"/>
      <c r="GVA6" s="622"/>
      <c r="GVB6" s="622"/>
      <c r="GVC6" s="622"/>
      <c r="GVD6" s="622"/>
      <c r="GVE6" s="622"/>
      <c r="GVF6" s="622"/>
      <c r="GVG6" s="622"/>
      <c r="GVH6" s="622"/>
      <c r="GVI6" s="622"/>
      <c r="GVJ6" s="622"/>
      <c r="GVK6" s="622"/>
      <c r="GVL6" s="622"/>
      <c r="GVM6" s="622"/>
      <c r="GVN6" s="622"/>
      <c r="GVO6" s="622"/>
      <c r="GVP6" s="622"/>
      <c r="GVQ6" s="622"/>
      <c r="GVR6" s="622"/>
      <c r="GVS6" s="622"/>
      <c r="GVT6" s="622"/>
      <c r="GVU6" s="622"/>
      <c r="GVV6" s="622"/>
      <c r="GVW6" s="622"/>
      <c r="GVX6" s="622"/>
      <c r="GVY6" s="622"/>
      <c r="GVZ6" s="622"/>
      <c r="GWA6" s="622"/>
      <c r="GWB6" s="622"/>
      <c r="GWC6" s="622"/>
      <c r="GWD6" s="622"/>
      <c r="GWE6" s="622"/>
      <c r="GWF6" s="622"/>
      <c r="GWG6" s="622"/>
      <c r="GWH6" s="622"/>
      <c r="GWI6" s="622"/>
      <c r="GWJ6" s="622"/>
      <c r="GWK6" s="622"/>
      <c r="GWL6" s="622"/>
      <c r="GWM6" s="622"/>
      <c r="GWN6" s="622"/>
      <c r="GWO6" s="622"/>
      <c r="GWP6" s="622"/>
      <c r="GWQ6" s="622"/>
      <c r="GWR6" s="622"/>
      <c r="GWS6" s="622"/>
      <c r="GWT6" s="622"/>
      <c r="GWU6" s="622"/>
      <c r="GWV6" s="622"/>
      <c r="GWW6" s="622"/>
      <c r="GWX6" s="622"/>
      <c r="GWY6" s="622"/>
      <c r="GWZ6" s="622"/>
      <c r="GXA6" s="622"/>
      <c r="GXB6" s="622"/>
      <c r="GXC6" s="622"/>
      <c r="GXD6" s="622"/>
      <c r="GXE6" s="622"/>
      <c r="GXF6" s="622"/>
      <c r="GXG6" s="622"/>
      <c r="GXH6" s="622"/>
      <c r="GXI6" s="622"/>
      <c r="GXJ6" s="622"/>
      <c r="GXK6" s="622"/>
      <c r="GXL6" s="622"/>
      <c r="GXM6" s="622"/>
      <c r="GXN6" s="622"/>
      <c r="GXO6" s="622"/>
      <c r="GXP6" s="622"/>
      <c r="GXQ6" s="622"/>
      <c r="GXR6" s="622"/>
      <c r="GXS6" s="622"/>
      <c r="GXT6" s="622"/>
      <c r="GXU6" s="622"/>
      <c r="GXV6" s="622"/>
      <c r="GXW6" s="622"/>
      <c r="GXX6" s="622"/>
      <c r="GXY6" s="622"/>
      <c r="GXZ6" s="622"/>
      <c r="GYA6" s="622"/>
      <c r="GYB6" s="622"/>
      <c r="GYC6" s="622"/>
      <c r="GYD6" s="622"/>
      <c r="GYE6" s="622"/>
      <c r="GYF6" s="622"/>
      <c r="GYG6" s="622"/>
      <c r="GYH6" s="622"/>
      <c r="GYI6" s="622"/>
      <c r="GYJ6" s="622"/>
      <c r="GYK6" s="622"/>
      <c r="GYL6" s="622"/>
      <c r="GYM6" s="622"/>
      <c r="GYN6" s="622"/>
      <c r="GYO6" s="622"/>
      <c r="GYP6" s="622"/>
      <c r="GYQ6" s="622"/>
      <c r="GYR6" s="622"/>
      <c r="GYS6" s="622"/>
      <c r="GYT6" s="622"/>
      <c r="GYU6" s="622"/>
      <c r="GYV6" s="622"/>
      <c r="GYW6" s="622"/>
      <c r="GYX6" s="622"/>
      <c r="GYY6" s="622"/>
      <c r="GYZ6" s="622"/>
      <c r="GZA6" s="622"/>
      <c r="GZB6" s="622"/>
      <c r="GZC6" s="622"/>
      <c r="GZD6" s="622"/>
      <c r="GZE6" s="622"/>
      <c r="GZF6" s="622"/>
      <c r="GZG6" s="622"/>
      <c r="GZH6" s="622"/>
      <c r="GZI6" s="622"/>
      <c r="GZJ6" s="622"/>
      <c r="GZK6" s="622"/>
      <c r="GZL6" s="622"/>
      <c r="GZM6" s="622"/>
      <c r="GZN6" s="622"/>
      <c r="GZO6" s="622"/>
      <c r="GZP6" s="622"/>
      <c r="GZQ6" s="622"/>
      <c r="GZR6" s="622"/>
      <c r="GZS6" s="622"/>
      <c r="GZT6" s="622"/>
      <c r="GZU6" s="622"/>
      <c r="GZV6" s="622"/>
      <c r="GZW6" s="622"/>
      <c r="GZX6" s="622"/>
      <c r="GZY6" s="622"/>
      <c r="GZZ6" s="622"/>
      <c r="HAA6" s="622"/>
      <c r="HAB6" s="622"/>
      <c r="HAC6" s="622"/>
      <c r="HAD6" s="622"/>
      <c r="HAE6" s="622"/>
      <c r="HAF6" s="622"/>
      <c r="HAG6" s="622"/>
      <c r="HAH6" s="622"/>
      <c r="HAI6" s="622"/>
      <c r="HAJ6" s="622"/>
      <c r="HAK6" s="622"/>
      <c r="HAL6" s="622"/>
      <c r="HAM6" s="622"/>
      <c r="HAN6" s="622"/>
      <c r="HAO6" s="622"/>
      <c r="HAP6" s="622"/>
      <c r="HAQ6" s="622"/>
      <c r="HAR6" s="622"/>
      <c r="HAS6" s="622"/>
      <c r="HAT6" s="622"/>
      <c r="HAU6" s="622"/>
      <c r="HAV6" s="622"/>
      <c r="HAW6" s="622"/>
      <c r="HAX6" s="622"/>
      <c r="HAY6" s="622"/>
      <c r="HAZ6" s="622"/>
      <c r="HBA6" s="622"/>
      <c r="HBB6" s="622"/>
      <c r="HBC6" s="622"/>
      <c r="HBD6" s="622"/>
      <c r="HBE6" s="622"/>
      <c r="HBF6" s="622"/>
      <c r="HBG6" s="622"/>
      <c r="HBH6" s="622"/>
      <c r="HBI6" s="622"/>
      <c r="HBJ6" s="622"/>
      <c r="HBK6" s="622"/>
      <c r="HBL6" s="622"/>
      <c r="HBM6" s="622"/>
      <c r="HBN6" s="622"/>
      <c r="HBO6" s="622"/>
      <c r="HBP6" s="622"/>
      <c r="HBQ6" s="622"/>
      <c r="HBR6" s="622"/>
      <c r="HBS6" s="622"/>
      <c r="HBT6" s="622"/>
      <c r="HBU6" s="622"/>
      <c r="HBV6" s="622"/>
      <c r="HBW6" s="622"/>
      <c r="HBX6" s="622"/>
      <c r="HBY6" s="622"/>
      <c r="HBZ6" s="622"/>
      <c r="HCA6" s="622"/>
      <c r="HCB6" s="622"/>
      <c r="HCC6" s="622"/>
      <c r="HCD6" s="622"/>
      <c r="HCE6" s="622"/>
      <c r="HCF6" s="622"/>
      <c r="HCG6" s="622"/>
      <c r="HCH6" s="622"/>
      <c r="HCI6" s="622"/>
      <c r="HCJ6" s="622"/>
      <c r="HCK6" s="622"/>
      <c r="HCL6" s="622"/>
      <c r="HCM6" s="622"/>
      <c r="HCN6" s="622"/>
      <c r="HCO6" s="622"/>
      <c r="HCP6" s="622"/>
      <c r="HCQ6" s="622"/>
      <c r="HCR6" s="622"/>
      <c r="HCS6" s="622"/>
      <c r="HCT6" s="622"/>
      <c r="HCU6" s="622"/>
      <c r="HCV6" s="622"/>
      <c r="HCW6" s="622"/>
      <c r="HCX6" s="622"/>
      <c r="HCY6" s="622"/>
      <c r="HCZ6" s="622"/>
      <c r="HDA6" s="622"/>
      <c r="HDB6" s="622"/>
      <c r="HDC6" s="622"/>
      <c r="HDD6" s="622"/>
      <c r="HDE6" s="622"/>
      <c r="HDF6" s="622"/>
      <c r="HDG6" s="622"/>
      <c r="HDH6" s="622"/>
      <c r="HDI6" s="622"/>
      <c r="HDJ6" s="622"/>
      <c r="HDK6" s="622"/>
      <c r="HDL6" s="622"/>
      <c r="HDM6" s="622"/>
      <c r="HDN6" s="622"/>
      <c r="HDO6" s="622"/>
      <c r="HDP6" s="622"/>
      <c r="HDQ6" s="622"/>
      <c r="HDR6" s="622"/>
      <c r="HDS6" s="622"/>
      <c r="HDT6" s="622"/>
      <c r="HDU6" s="622"/>
      <c r="HDV6" s="622"/>
      <c r="HDW6" s="622"/>
      <c r="HDX6" s="622"/>
      <c r="HDY6" s="622"/>
      <c r="HDZ6" s="622"/>
      <c r="HEA6" s="622"/>
      <c r="HEB6" s="622"/>
      <c r="HEC6" s="622"/>
      <c r="HED6" s="622"/>
      <c r="HEE6" s="622"/>
      <c r="HEF6" s="622"/>
      <c r="HEG6" s="622"/>
      <c r="HEH6" s="622"/>
      <c r="HEI6" s="622"/>
      <c r="HEJ6" s="622"/>
      <c r="HEK6" s="622"/>
      <c r="HEL6" s="622"/>
      <c r="HEM6" s="622"/>
      <c r="HEN6" s="622"/>
      <c r="HEO6" s="622"/>
      <c r="HEP6" s="622"/>
      <c r="HEQ6" s="622"/>
      <c r="HER6" s="622"/>
      <c r="HES6" s="622"/>
      <c r="HET6" s="622"/>
      <c r="HEU6" s="622"/>
      <c r="HEV6" s="622"/>
      <c r="HEW6" s="622"/>
      <c r="HEX6" s="622"/>
      <c r="HEY6" s="622"/>
      <c r="HEZ6" s="622"/>
      <c r="HFA6" s="622"/>
      <c r="HFB6" s="622"/>
      <c r="HFC6" s="622"/>
      <c r="HFD6" s="622"/>
      <c r="HFE6" s="622"/>
      <c r="HFF6" s="622"/>
      <c r="HFG6" s="622"/>
      <c r="HFH6" s="622"/>
      <c r="HFI6" s="622"/>
      <c r="HFJ6" s="622"/>
      <c r="HFK6" s="622"/>
      <c r="HFL6" s="622"/>
      <c r="HFM6" s="622"/>
      <c r="HFN6" s="622"/>
      <c r="HFO6" s="622"/>
      <c r="HFP6" s="622"/>
      <c r="HFQ6" s="622"/>
      <c r="HFR6" s="622"/>
      <c r="HFS6" s="622"/>
      <c r="HFT6" s="622"/>
      <c r="HFU6" s="622"/>
      <c r="HFV6" s="622"/>
      <c r="HFW6" s="622"/>
      <c r="HFX6" s="622"/>
      <c r="HFY6" s="622"/>
      <c r="HFZ6" s="622"/>
      <c r="HGA6" s="622"/>
      <c r="HGB6" s="622"/>
      <c r="HGC6" s="622"/>
      <c r="HGD6" s="622"/>
      <c r="HGE6" s="622"/>
      <c r="HGF6" s="622"/>
      <c r="HGG6" s="622"/>
      <c r="HGH6" s="622"/>
      <c r="HGI6" s="622"/>
      <c r="HGJ6" s="622"/>
      <c r="HGK6" s="622"/>
      <c r="HGL6" s="622"/>
      <c r="HGM6" s="622"/>
      <c r="HGN6" s="622"/>
      <c r="HGO6" s="622"/>
      <c r="HGP6" s="622"/>
      <c r="HGQ6" s="622"/>
      <c r="HGR6" s="622"/>
      <c r="HGS6" s="622"/>
      <c r="HGT6" s="622"/>
      <c r="HGU6" s="622"/>
      <c r="HGV6" s="622"/>
      <c r="HGW6" s="622"/>
      <c r="HGX6" s="622"/>
      <c r="HGY6" s="622"/>
      <c r="HGZ6" s="622"/>
      <c r="HHA6" s="622"/>
      <c r="HHB6" s="622"/>
      <c r="HHC6" s="622"/>
      <c r="HHD6" s="622"/>
      <c r="HHE6" s="622"/>
      <c r="HHF6" s="622"/>
      <c r="HHG6" s="622"/>
      <c r="HHH6" s="622"/>
      <c r="HHI6" s="622"/>
      <c r="HHJ6" s="622"/>
      <c r="HHK6" s="622"/>
      <c r="HHL6" s="622"/>
      <c r="HHM6" s="622"/>
      <c r="HHN6" s="622"/>
      <c r="HHO6" s="622"/>
      <c r="HHP6" s="622"/>
      <c r="HHQ6" s="622"/>
      <c r="HHR6" s="622"/>
      <c r="HHS6" s="622"/>
      <c r="HHT6" s="622"/>
      <c r="HHU6" s="622"/>
      <c r="HHV6" s="622"/>
      <c r="HHW6" s="622"/>
      <c r="HHX6" s="622"/>
      <c r="HHY6" s="622"/>
      <c r="HHZ6" s="622"/>
      <c r="HIA6" s="622"/>
      <c r="HIB6" s="622"/>
      <c r="HIC6" s="622"/>
      <c r="HID6" s="622"/>
      <c r="HIE6" s="622"/>
      <c r="HIF6" s="622"/>
      <c r="HIG6" s="622"/>
      <c r="HIH6" s="622"/>
      <c r="HII6" s="622"/>
      <c r="HIJ6" s="622"/>
      <c r="HIK6" s="622"/>
      <c r="HIL6" s="622"/>
      <c r="HIM6" s="622"/>
      <c r="HIN6" s="622"/>
      <c r="HIO6" s="622"/>
      <c r="HIP6" s="622"/>
      <c r="HIQ6" s="622"/>
      <c r="HIR6" s="622"/>
      <c r="HIS6" s="622"/>
      <c r="HIT6" s="622"/>
      <c r="HIU6" s="622"/>
      <c r="HIV6" s="622"/>
      <c r="HIW6" s="622"/>
      <c r="HIX6" s="622"/>
      <c r="HIY6" s="622"/>
      <c r="HIZ6" s="622"/>
      <c r="HJA6" s="622"/>
      <c r="HJB6" s="622"/>
      <c r="HJC6" s="622"/>
      <c r="HJD6" s="622"/>
      <c r="HJE6" s="622"/>
      <c r="HJF6" s="622"/>
      <c r="HJG6" s="622"/>
      <c r="HJH6" s="622"/>
      <c r="HJI6" s="622"/>
      <c r="HJJ6" s="622"/>
      <c r="HJK6" s="622"/>
      <c r="HJL6" s="622"/>
      <c r="HJM6" s="622"/>
      <c r="HJN6" s="622"/>
      <c r="HJO6" s="622"/>
      <c r="HJP6" s="622"/>
      <c r="HJQ6" s="622"/>
      <c r="HJR6" s="622"/>
      <c r="HJS6" s="622"/>
      <c r="HJT6" s="622"/>
      <c r="HJU6" s="622"/>
      <c r="HJV6" s="622"/>
      <c r="HJW6" s="622"/>
      <c r="HJX6" s="622"/>
      <c r="HJY6" s="622"/>
      <c r="HJZ6" s="622"/>
      <c r="HKA6" s="622"/>
      <c r="HKB6" s="622"/>
      <c r="HKC6" s="622"/>
      <c r="HKD6" s="622"/>
      <c r="HKE6" s="622"/>
      <c r="HKF6" s="622"/>
      <c r="HKG6" s="622"/>
      <c r="HKH6" s="622"/>
      <c r="HKI6" s="622"/>
      <c r="HKJ6" s="622"/>
      <c r="HKK6" s="622"/>
      <c r="HKL6" s="622"/>
      <c r="HKM6" s="622"/>
      <c r="HKN6" s="622"/>
      <c r="HKO6" s="622"/>
      <c r="HKP6" s="622"/>
      <c r="HKQ6" s="622"/>
      <c r="HKR6" s="622"/>
      <c r="HKS6" s="622"/>
      <c r="HKT6" s="622"/>
      <c r="HKU6" s="622"/>
      <c r="HKV6" s="622"/>
      <c r="HKW6" s="622"/>
      <c r="HKX6" s="622"/>
      <c r="HKY6" s="622"/>
      <c r="HKZ6" s="622"/>
      <c r="HLA6" s="622"/>
      <c r="HLB6" s="622"/>
      <c r="HLC6" s="622"/>
      <c r="HLD6" s="622"/>
      <c r="HLE6" s="622"/>
      <c r="HLF6" s="622"/>
      <c r="HLG6" s="622"/>
      <c r="HLH6" s="622"/>
      <c r="HLI6" s="622"/>
      <c r="HLJ6" s="622"/>
      <c r="HLK6" s="622"/>
      <c r="HLL6" s="622"/>
      <c r="HLM6" s="622"/>
      <c r="HLN6" s="622"/>
      <c r="HLO6" s="622"/>
      <c r="HLP6" s="622"/>
      <c r="HLQ6" s="622"/>
      <c r="HLR6" s="622"/>
      <c r="HLS6" s="622"/>
      <c r="HLT6" s="622"/>
      <c r="HLU6" s="622"/>
      <c r="HLV6" s="622"/>
      <c r="HLW6" s="622"/>
      <c r="HLX6" s="622"/>
      <c r="HLY6" s="622"/>
      <c r="HLZ6" s="622"/>
      <c r="HMA6" s="622"/>
      <c r="HMB6" s="622"/>
      <c r="HMC6" s="622"/>
      <c r="HMD6" s="622"/>
      <c r="HME6" s="622"/>
      <c r="HMF6" s="622"/>
      <c r="HMG6" s="622"/>
      <c r="HMH6" s="622"/>
      <c r="HMI6" s="622"/>
      <c r="HMJ6" s="622"/>
      <c r="HMK6" s="622"/>
      <c r="HML6" s="622"/>
      <c r="HMM6" s="622"/>
      <c r="HMN6" s="622"/>
      <c r="HMO6" s="622"/>
      <c r="HMP6" s="622"/>
      <c r="HMQ6" s="622"/>
      <c r="HMR6" s="622"/>
      <c r="HMS6" s="622"/>
      <c r="HMT6" s="622"/>
      <c r="HMU6" s="622"/>
      <c r="HMV6" s="622"/>
      <c r="HMW6" s="622"/>
      <c r="HMX6" s="622"/>
      <c r="HMY6" s="622"/>
      <c r="HMZ6" s="622"/>
      <c r="HNA6" s="622"/>
      <c r="HNB6" s="622"/>
      <c r="HNC6" s="622"/>
      <c r="HND6" s="622"/>
      <c r="HNE6" s="622"/>
      <c r="HNF6" s="622"/>
      <c r="HNG6" s="622"/>
      <c r="HNH6" s="622"/>
      <c r="HNI6" s="622"/>
      <c r="HNJ6" s="622"/>
      <c r="HNK6" s="622"/>
      <c r="HNL6" s="622"/>
      <c r="HNM6" s="622"/>
      <c r="HNN6" s="622"/>
      <c r="HNO6" s="622"/>
      <c r="HNP6" s="622"/>
      <c r="HNQ6" s="622"/>
      <c r="HNR6" s="622"/>
      <c r="HNS6" s="622"/>
      <c r="HNT6" s="622"/>
      <c r="HNU6" s="622"/>
      <c r="HNV6" s="622"/>
      <c r="HNW6" s="622"/>
      <c r="HNX6" s="622"/>
      <c r="HNY6" s="622"/>
      <c r="HNZ6" s="622"/>
      <c r="HOA6" s="622"/>
      <c r="HOB6" s="622"/>
      <c r="HOC6" s="622"/>
      <c r="HOD6" s="622"/>
      <c r="HOE6" s="622"/>
      <c r="HOF6" s="622"/>
      <c r="HOG6" s="622"/>
      <c r="HOH6" s="622"/>
      <c r="HOI6" s="622"/>
      <c r="HOJ6" s="622"/>
      <c r="HOK6" s="622"/>
      <c r="HOL6" s="622"/>
      <c r="HOM6" s="622"/>
      <c r="HON6" s="622"/>
      <c r="HOO6" s="622"/>
      <c r="HOP6" s="622"/>
      <c r="HOQ6" s="622"/>
      <c r="HOR6" s="622"/>
      <c r="HOS6" s="622"/>
      <c r="HOT6" s="622"/>
      <c r="HOU6" s="622"/>
      <c r="HOV6" s="622"/>
      <c r="HOW6" s="622"/>
      <c r="HOX6" s="622"/>
      <c r="HOY6" s="622"/>
      <c r="HOZ6" s="622"/>
      <c r="HPA6" s="622"/>
      <c r="HPB6" s="622"/>
      <c r="HPC6" s="622"/>
      <c r="HPD6" s="622"/>
      <c r="HPE6" s="622"/>
      <c r="HPF6" s="622"/>
      <c r="HPG6" s="622"/>
      <c r="HPH6" s="622"/>
      <c r="HPI6" s="622"/>
      <c r="HPJ6" s="622"/>
      <c r="HPK6" s="622"/>
      <c r="HPL6" s="622"/>
      <c r="HPM6" s="622"/>
      <c r="HPN6" s="622"/>
      <c r="HPO6" s="622"/>
      <c r="HPP6" s="622"/>
      <c r="HPQ6" s="622"/>
      <c r="HPR6" s="622"/>
      <c r="HPS6" s="622"/>
      <c r="HPT6" s="622"/>
      <c r="HPU6" s="622"/>
      <c r="HPV6" s="622"/>
      <c r="HPW6" s="622"/>
      <c r="HPX6" s="622"/>
      <c r="HPY6" s="622"/>
      <c r="HPZ6" s="622"/>
      <c r="HQA6" s="622"/>
      <c r="HQB6" s="622"/>
      <c r="HQC6" s="622"/>
      <c r="HQD6" s="622"/>
      <c r="HQE6" s="622"/>
      <c r="HQF6" s="622"/>
      <c r="HQG6" s="622"/>
      <c r="HQH6" s="622"/>
      <c r="HQI6" s="622"/>
      <c r="HQJ6" s="622"/>
      <c r="HQK6" s="622"/>
      <c r="HQL6" s="622"/>
      <c r="HQM6" s="622"/>
      <c r="HQN6" s="622"/>
      <c r="HQO6" s="622"/>
      <c r="HQP6" s="622"/>
      <c r="HQQ6" s="622"/>
      <c r="HQR6" s="622"/>
      <c r="HQS6" s="622"/>
      <c r="HQT6" s="622"/>
      <c r="HQU6" s="622"/>
      <c r="HQV6" s="622"/>
      <c r="HQW6" s="622"/>
      <c r="HQX6" s="622"/>
      <c r="HQY6" s="622"/>
      <c r="HQZ6" s="622"/>
      <c r="HRA6" s="622"/>
      <c r="HRB6" s="622"/>
      <c r="HRC6" s="622"/>
      <c r="HRD6" s="622"/>
      <c r="HRE6" s="622"/>
      <c r="HRF6" s="622"/>
      <c r="HRG6" s="622"/>
      <c r="HRH6" s="622"/>
      <c r="HRI6" s="622"/>
      <c r="HRJ6" s="622"/>
      <c r="HRK6" s="622"/>
      <c r="HRL6" s="622"/>
      <c r="HRM6" s="622"/>
      <c r="HRN6" s="622"/>
      <c r="HRO6" s="622"/>
      <c r="HRP6" s="622"/>
      <c r="HRQ6" s="622"/>
      <c r="HRR6" s="622"/>
      <c r="HRS6" s="622"/>
      <c r="HRT6" s="622"/>
      <c r="HRU6" s="622"/>
      <c r="HRV6" s="622"/>
      <c r="HRW6" s="622"/>
      <c r="HRX6" s="622"/>
      <c r="HRY6" s="622"/>
      <c r="HRZ6" s="622"/>
      <c r="HSA6" s="622"/>
      <c r="HSB6" s="622"/>
      <c r="HSC6" s="622"/>
      <c r="HSD6" s="622"/>
      <c r="HSE6" s="622"/>
      <c r="HSF6" s="622"/>
      <c r="HSG6" s="622"/>
      <c r="HSH6" s="622"/>
      <c r="HSI6" s="622"/>
      <c r="HSJ6" s="622"/>
      <c r="HSK6" s="622"/>
      <c r="HSL6" s="622"/>
      <c r="HSM6" s="622"/>
      <c r="HSN6" s="622"/>
      <c r="HSO6" s="622"/>
      <c r="HSP6" s="622"/>
      <c r="HSQ6" s="622"/>
      <c r="HSR6" s="622"/>
      <c r="HSS6" s="622"/>
      <c r="HST6" s="622"/>
      <c r="HSU6" s="622"/>
      <c r="HSV6" s="622"/>
      <c r="HSW6" s="622"/>
      <c r="HSX6" s="622"/>
      <c r="HSY6" s="622"/>
      <c r="HSZ6" s="622"/>
      <c r="HTA6" s="622"/>
      <c r="HTB6" s="622"/>
      <c r="HTC6" s="622"/>
      <c r="HTD6" s="622"/>
      <c r="HTE6" s="622"/>
      <c r="HTF6" s="622"/>
      <c r="HTG6" s="622"/>
      <c r="HTH6" s="622"/>
      <c r="HTI6" s="622"/>
      <c r="HTJ6" s="622"/>
      <c r="HTK6" s="622"/>
      <c r="HTL6" s="622"/>
      <c r="HTM6" s="622"/>
      <c r="HTN6" s="622"/>
      <c r="HTO6" s="622"/>
      <c r="HTP6" s="622"/>
      <c r="HTQ6" s="622"/>
      <c r="HTR6" s="622"/>
      <c r="HTS6" s="622"/>
      <c r="HTT6" s="622"/>
      <c r="HTU6" s="622"/>
      <c r="HTV6" s="622"/>
      <c r="HTW6" s="622"/>
      <c r="HTX6" s="622"/>
      <c r="HTY6" s="622"/>
      <c r="HTZ6" s="622"/>
      <c r="HUA6" s="622"/>
      <c r="HUB6" s="622"/>
      <c r="HUC6" s="622"/>
      <c r="HUD6" s="622"/>
      <c r="HUE6" s="622"/>
      <c r="HUF6" s="622"/>
      <c r="HUG6" s="622"/>
      <c r="HUH6" s="622"/>
      <c r="HUI6" s="622"/>
      <c r="HUJ6" s="622"/>
      <c r="HUK6" s="622"/>
      <c r="HUL6" s="622"/>
      <c r="HUM6" s="622"/>
      <c r="HUN6" s="622"/>
      <c r="HUO6" s="622"/>
      <c r="HUP6" s="622"/>
      <c r="HUQ6" s="622"/>
      <c r="HUR6" s="622"/>
      <c r="HUS6" s="622"/>
      <c r="HUT6" s="622"/>
      <c r="HUU6" s="622"/>
      <c r="HUV6" s="622"/>
      <c r="HUW6" s="622"/>
      <c r="HUX6" s="622"/>
      <c r="HUY6" s="622"/>
      <c r="HUZ6" s="622"/>
      <c r="HVA6" s="622"/>
      <c r="HVB6" s="622"/>
      <c r="HVC6" s="622"/>
      <c r="HVD6" s="622"/>
      <c r="HVE6" s="622"/>
      <c r="HVF6" s="622"/>
      <c r="HVG6" s="622"/>
      <c r="HVH6" s="622"/>
      <c r="HVI6" s="622"/>
      <c r="HVJ6" s="622"/>
      <c r="HVK6" s="622"/>
      <c r="HVL6" s="622"/>
      <c r="HVM6" s="622"/>
      <c r="HVN6" s="622"/>
      <c r="HVO6" s="622"/>
      <c r="HVP6" s="622"/>
      <c r="HVQ6" s="622"/>
      <c r="HVR6" s="622"/>
      <c r="HVS6" s="622"/>
      <c r="HVT6" s="622"/>
      <c r="HVU6" s="622"/>
      <c r="HVV6" s="622"/>
      <c r="HVW6" s="622"/>
      <c r="HVX6" s="622"/>
      <c r="HVY6" s="622"/>
      <c r="HVZ6" s="622"/>
      <c r="HWA6" s="622"/>
      <c r="HWB6" s="622"/>
      <c r="HWC6" s="622"/>
      <c r="HWD6" s="622"/>
      <c r="HWE6" s="622"/>
      <c r="HWF6" s="622"/>
      <c r="HWG6" s="622"/>
      <c r="HWH6" s="622"/>
      <c r="HWI6" s="622"/>
      <c r="HWJ6" s="622"/>
      <c r="HWK6" s="622"/>
      <c r="HWL6" s="622"/>
      <c r="HWM6" s="622"/>
      <c r="HWN6" s="622"/>
      <c r="HWO6" s="622"/>
      <c r="HWP6" s="622"/>
      <c r="HWQ6" s="622"/>
      <c r="HWR6" s="622"/>
      <c r="HWS6" s="622"/>
      <c r="HWT6" s="622"/>
      <c r="HWU6" s="622"/>
      <c r="HWV6" s="622"/>
      <c r="HWW6" s="622"/>
      <c r="HWX6" s="622"/>
      <c r="HWY6" s="622"/>
      <c r="HWZ6" s="622"/>
      <c r="HXA6" s="622"/>
      <c r="HXB6" s="622"/>
      <c r="HXC6" s="622"/>
      <c r="HXD6" s="622"/>
      <c r="HXE6" s="622"/>
      <c r="HXF6" s="622"/>
      <c r="HXG6" s="622"/>
      <c r="HXH6" s="622"/>
      <c r="HXI6" s="622"/>
      <c r="HXJ6" s="622"/>
      <c r="HXK6" s="622"/>
      <c r="HXL6" s="622"/>
      <c r="HXM6" s="622"/>
      <c r="HXN6" s="622"/>
      <c r="HXO6" s="622"/>
      <c r="HXP6" s="622"/>
      <c r="HXQ6" s="622"/>
      <c r="HXR6" s="622"/>
      <c r="HXS6" s="622"/>
      <c r="HXT6" s="622"/>
      <c r="HXU6" s="622"/>
      <c r="HXV6" s="622"/>
      <c r="HXW6" s="622"/>
      <c r="HXX6" s="622"/>
      <c r="HXY6" s="622"/>
      <c r="HXZ6" s="622"/>
      <c r="HYA6" s="622"/>
      <c r="HYB6" s="622"/>
      <c r="HYC6" s="622"/>
      <c r="HYD6" s="622"/>
      <c r="HYE6" s="622"/>
      <c r="HYF6" s="622"/>
      <c r="HYG6" s="622"/>
      <c r="HYH6" s="622"/>
      <c r="HYI6" s="622"/>
      <c r="HYJ6" s="622"/>
      <c r="HYK6" s="622"/>
      <c r="HYL6" s="622"/>
      <c r="HYM6" s="622"/>
      <c r="HYN6" s="622"/>
      <c r="HYO6" s="622"/>
      <c r="HYP6" s="622"/>
      <c r="HYQ6" s="622"/>
      <c r="HYR6" s="622"/>
      <c r="HYS6" s="622"/>
      <c r="HYT6" s="622"/>
      <c r="HYU6" s="622"/>
      <c r="HYV6" s="622"/>
      <c r="HYW6" s="622"/>
      <c r="HYX6" s="622"/>
      <c r="HYY6" s="622"/>
      <c r="HYZ6" s="622"/>
      <c r="HZA6" s="622"/>
      <c r="HZB6" s="622"/>
      <c r="HZC6" s="622"/>
      <c r="HZD6" s="622"/>
      <c r="HZE6" s="622"/>
      <c r="HZF6" s="622"/>
      <c r="HZG6" s="622"/>
      <c r="HZH6" s="622"/>
      <c r="HZI6" s="622"/>
      <c r="HZJ6" s="622"/>
      <c r="HZK6" s="622"/>
      <c r="HZL6" s="622"/>
      <c r="HZM6" s="622"/>
      <c r="HZN6" s="622"/>
      <c r="HZO6" s="622"/>
      <c r="HZP6" s="622"/>
      <c r="HZQ6" s="622"/>
      <c r="HZR6" s="622"/>
      <c r="HZS6" s="622"/>
      <c r="HZT6" s="622"/>
      <c r="HZU6" s="622"/>
      <c r="HZV6" s="622"/>
      <c r="HZW6" s="622"/>
      <c r="HZX6" s="622"/>
      <c r="HZY6" s="622"/>
      <c r="HZZ6" s="622"/>
      <c r="IAA6" s="622"/>
      <c r="IAB6" s="622"/>
      <c r="IAC6" s="622"/>
      <c r="IAD6" s="622"/>
      <c r="IAE6" s="622"/>
      <c r="IAF6" s="622"/>
      <c r="IAG6" s="622"/>
      <c r="IAH6" s="622"/>
      <c r="IAI6" s="622"/>
      <c r="IAJ6" s="622"/>
      <c r="IAK6" s="622"/>
      <c r="IAL6" s="622"/>
      <c r="IAM6" s="622"/>
      <c r="IAN6" s="622"/>
      <c r="IAO6" s="622"/>
      <c r="IAP6" s="622"/>
      <c r="IAQ6" s="622"/>
      <c r="IAR6" s="622"/>
      <c r="IAS6" s="622"/>
      <c r="IAT6" s="622"/>
      <c r="IAU6" s="622"/>
      <c r="IAV6" s="622"/>
      <c r="IAW6" s="622"/>
      <c r="IAX6" s="622"/>
      <c r="IAY6" s="622"/>
      <c r="IAZ6" s="622"/>
      <c r="IBA6" s="622"/>
      <c r="IBB6" s="622"/>
      <c r="IBC6" s="622"/>
      <c r="IBD6" s="622"/>
      <c r="IBE6" s="622"/>
      <c r="IBF6" s="622"/>
      <c r="IBG6" s="622"/>
      <c r="IBH6" s="622"/>
      <c r="IBI6" s="622"/>
      <c r="IBJ6" s="622"/>
      <c r="IBK6" s="622"/>
      <c r="IBL6" s="622"/>
      <c r="IBM6" s="622"/>
      <c r="IBN6" s="622"/>
      <c r="IBO6" s="622"/>
      <c r="IBP6" s="622"/>
      <c r="IBQ6" s="622"/>
      <c r="IBR6" s="622"/>
      <c r="IBS6" s="622"/>
      <c r="IBT6" s="622"/>
      <c r="IBU6" s="622"/>
      <c r="IBV6" s="622"/>
      <c r="IBW6" s="622"/>
      <c r="IBX6" s="622"/>
      <c r="IBY6" s="622"/>
      <c r="IBZ6" s="622"/>
      <c r="ICA6" s="622"/>
      <c r="ICB6" s="622"/>
      <c r="ICC6" s="622"/>
      <c r="ICD6" s="622"/>
      <c r="ICE6" s="622"/>
      <c r="ICF6" s="622"/>
      <c r="ICG6" s="622"/>
      <c r="ICH6" s="622"/>
      <c r="ICI6" s="622"/>
      <c r="ICJ6" s="622"/>
      <c r="ICK6" s="622"/>
      <c r="ICL6" s="622"/>
      <c r="ICM6" s="622"/>
      <c r="ICN6" s="622"/>
      <c r="ICO6" s="622"/>
      <c r="ICP6" s="622"/>
      <c r="ICQ6" s="622"/>
      <c r="ICR6" s="622"/>
      <c r="ICS6" s="622"/>
      <c r="ICT6" s="622"/>
      <c r="ICU6" s="622"/>
      <c r="ICV6" s="622"/>
      <c r="ICW6" s="622"/>
      <c r="ICX6" s="622"/>
      <c r="ICY6" s="622"/>
      <c r="ICZ6" s="622"/>
      <c r="IDA6" s="622"/>
      <c r="IDB6" s="622"/>
      <c r="IDC6" s="622"/>
      <c r="IDD6" s="622"/>
      <c r="IDE6" s="622"/>
      <c r="IDF6" s="622"/>
      <c r="IDG6" s="622"/>
      <c r="IDH6" s="622"/>
      <c r="IDI6" s="622"/>
      <c r="IDJ6" s="622"/>
      <c r="IDK6" s="622"/>
      <c r="IDL6" s="622"/>
      <c r="IDM6" s="622"/>
      <c r="IDN6" s="622"/>
      <c r="IDO6" s="622"/>
      <c r="IDP6" s="622"/>
      <c r="IDQ6" s="622"/>
      <c r="IDR6" s="622"/>
      <c r="IDS6" s="622"/>
      <c r="IDT6" s="622"/>
      <c r="IDU6" s="622"/>
      <c r="IDV6" s="622"/>
      <c r="IDW6" s="622"/>
      <c r="IDX6" s="622"/>
      <c r="IDY6" s="622"/>
      <c r="IDZ6" s="622"/>
      <c r="IEA6" s="622"/>
      <c r="IEB6" s="622"/>
      <c r="IEC6" s="622"/>
      <c r="IED6" s="622"/>
      <c r="IEE6" s="622"/>
      <c r="IEF6" s="622"/>
      <c r="IEG6" s="622"/>
      <c r="IEH6" s="622"/>
      <c r="IEI6" s="622"/>
      <c r="IEJ6" s="622"/>
      <c r="IEK6" s="622"/>
      <c r="IEL6" s="622"/>
      <c r="IEM6" s="622"/>
      <c r="IEN6" s="622"/>
      <c r="IEO6" s="622"/>
      <c r="IEP6" s="622"/>
      <c r="IEQ6" s="622"/>
      <c r="IER6" s="622"/>
      <c r="IES6" s="622"/>
      <c r="IET6" s="622"/>
      <c r="IEU6" s="622"/>
      <c r="IEV6" s="622"/>
      <c r="IEW6" s="622"/>
      <c r="IEX6" s="622"/>
      <c r="IEY6" s="622"/>
      <c r="IEZ6" s="622"/>
      <c r="IFA6" s="622"/>
      <c r="IFB6" s="622"/>
      <c r="IFC6" s="622"/>
      <c r="IFD6" s="622"/>
      <c r="IFE6" s="622"/>
      <c r="IFF6" s="622"/>
      <c r="IFG6" s="622"/>
      <c r="IFH6" s="622"/>
      <c r="IFI6" s="622"/>
      <c r="IFJ6" s="622"/>
      <c r="IFK6" s="622"/>
      <c r="IFL6" s="622"/>
      <c r="IFM6" s="622"/>
      <c r="IFN6" s="622"/>
      <c r="IFO6" s="622"/>
      <c r="IFP6" s="622"/>
      <c r="IFQ6" s="622"/>
      <c r="IFR6" s="622"/>
      <c r="IFS6" s="622"/>
      <c r="IFT6" s="622"/>
      <c r="IFU6" s="622"/>
      <c r="IFV6" s="622"/>
      <c r="IFW6" s="622"/>
      <c r="IFX6" s="622"/>
      <c r="IFY6" s="622"/>
      <c r="IFZ6" s="622"/>
      <c r="IGA6" s="622"/>
      <c r="IGB6" s="622"/>
      <c r="IGC6" s="622"/>
      <c r="IGD6" s="622"/>
      <c r="IGE6" s="622"/>
      <c r="IGF6" s="622"/>
      <c r="IGG6" s="622"/>
      <c r="IGH6" s="622"/>
      <c r="IGI6" s="622"/>
      <c r="IGJ6" s="622"/>
      <c r="IGK6" s="622"/>
      <c r="IGL6" s="622"/>
      <c r="IGM6" s="622"/>
      <c r="IGN6" s="622"/>
      <c r="IGO6" s="622"/>
      <c r="IGP6" s="622"/>
      <c r="IGQ6" s="622"/>
      <c r="IGR6" s="622"/>
      <c r="IGS6" s="622"/>
      <c r="IGT6" s="622"/>
      <c r="IGU6" s="622"/>
      <c r="IGV6" s="622"/>
      <c r="IGW6" s="622"/>
      <c r="IGX6" s="622"/>
      <c r="IGY6" s="622"/>
      <c r="IGZ6" s="622"/>
      <c r="IHA6" s="622"/>
      <c r="IHB6" s="622"/>
      <c r="IHC6" s="622"/>
      <c r="IHD6" s="622"/>
      <c r="IHE6" s="622"/>
      <c r="IHF6" s="622"/>
      <c r="IHG6" s="622"/>
      <c r="IHH6" s="622"/>
      <c r="IHI6" s="622"/>
      <c r="IHJ6" s="622"/>
      <c r="IHK6" s="622"/>
      <c r="IHL6" s="622"/>
      <c r="IHM6" s="622"/>
      <c r="IHN6" s="622"/>
      <c r="IHO6" s="622"/>
      <c r="IHP6" s="622"/>
      <c r="IHQ6" s="622"/>
      <c r="IHR6" s="622"/>
      <c r="IHS6" s="622"/>
      <c r="IHT6" s="622"/>
      <c r="IHU6" s="622"/>
      <c r="IHV6" s="622"/>
      <c r="IHW6" s="622"/>
      <c r="IHX6" s="622"/>
      <c r="IHY6" s="622"/>
      <c r="IHZ6" s="622"/>
      <c r="IIA6" s="622"/>
      <c r="IIB6" s="622"/>
      <c r="IIC6" s="622"/>
      <c r="IID6" s="622"/>
      <c r="IIE6" s="622"/>
      <c r="IIF6" s="622"/>
      <c r="IIG6" s="622"/>
      <c r="IIH6" s="622"/>
      <c r="III6" s="622"/>
      <c r="IIJ6" s="622"/>
      <c r="IIK6" s="622"/>
      <c r="IIL6" s="622"/>
      <c r="IIM6" s="622"/>
      <c r="IIN6" s="622"/>
      <c r="IIO6" s="622"/>
      <c r="IIP6" s="622"/>
      <c r="IIQ6" s="622"/>
      <c r="IIR6" s="622"/>
      <c r="IIS6" s="622"/>
      <c r="IIT6" s="622"/>
      <c r="IIU6" s="622"/>
      <c r="IIV6" s="622"/>
      <c r="IIW6" s="622"/>
      <c r="IIX6" s="622"/>
      <c r="IIY6" s="622"/>
      <c r="IIZ6" s="622"/>
      <c r="IJA6" s="622"/>
      <c r="IJB6" s="622"/>
      <c r="IJC6" s="622"/>
      <c r="IJD6" s="622"/>
      <c r="IJE6" s="622"/>
      <c r="IJF6" s="622"/>
      <c r="IJG6" s="622"/>
      <c r="IJH6" s="622"/>
      <c r="IJI6" s="622"/>
      <c r="IJJ6" s="622"/>
      <c r="IJK6" s="622"/>
      <c r="IJL6" s="622"/>
      <c r="IJM6" s="622"/>
      <c r="IJN6" s="622"/>
      <c r="IJO6" s="622"/>
      <c r="IJP6" s="622"/>
      <c r="IJQ6" s="622"/>
      <c r="IJR6" s="622"/>
      <c r="IJS6" s="622"/>
      <c r="IJT6" s="622"/>
      <c r="IJU6" s="622"/>
      <c r="IJV6" s="622"/>
      <c r="IJW6" s="622"/>
      <c r="IJX6" s="622"/>
      <c r="IJY6" s="622"/>
      <c r="IJZ6" s="622"/>
      <c r="IKA6" s="622"/>
      <c r="IKB6" s="622"/>
      <c r="IKC6" s="622"/>
      <c r="IKD6" s="622"/>
      <c r="IKE6" s="622"/>
      <c r="IKF6" s="622"/>
      <c r="IKG6" s="622"/>
      <c r="IKH6" s="622"/>
      <c r="IKI6" s="622"/>
      <c r="IKJ6" s="622"/>
      <c r="IKK6" s="622"/>
      <c r="IKL6" s="622"/>
      <c r="IKM6" s="622"/>
      <c r="IKN6" s="622"/>
      <c r="IKO6" s="622"/>
      <c r="IKP6" s="622"/>
      <c r="IKQ6" s="622"/>
      <c r="IKR6" s="622"/>
      <c r="IKS6" s="622"/>
      <c r="IKT6" s="622"/>
      <c r="IKU6" s="622"/>
      <c r="IKV6" s="622"/>
      <c r="IKW6" s="622"/>
      <c r="IKX6" s="622"/>
      <c r="IKY6" s="622"/>
      <c r="IKZ6" s="622"/>
      <c r="ILA6" s="622"/>
      <c r="ILB6" s="622"/>
      <c r="ILC6" s="622"/>
      <c r="ILD6" s="622"/>
      <c r="ILE6" s="622"/>
      <c r="ILF6" s="622"/>
      <c r="ILG6" s="622"/>
      <c r="ILH6" s="622"/>
      <c r="ILI6" s="622"/>
      <c r="ILJ6" s="622"/>
      <c r="ILK6" s="622"/>
      <c r="ILL6" s="622"/>
      <c r="ILM6" s="622"/>
      <c r="ILN6" s="622"/>
      <c r="ILO6" s="622"/>
      <c r="ILP6" s="622"/>
      <c r="ILQ6" s="622"/>
      <c r="ILR6" s="622"/>
      <c r="ILS6" s="622"/>
      <c r="ILT6" s="622"/>
      <c r="ILU6" s="622"/>
      <c r="ILV6" s="622"/>
      <c r="ILW6" s="622"/>
      <c r="ILX6" s="622"/>
      <c r="ILY6" s="622"/>
      <c r="ILZ6" s="622"/>
      <c r="IMA6" s="622"/>
      <c r="IMB6" s="622"/>
      <c r="IMC6" s="622"/>
      <c r="IMD6" s="622"/>
      <c r="IME6" s="622"/>
      <c r="IMF6" s="622"/>
      <c r="IMG6" s="622"/>
      <c r="IMH6" s="622"/>
      <c r="IMI6" s="622"/>
      <c r="IMJ6" s="622"/>
      <c r="IMK6" s="622"/>
      <c r="IML6" s="622"/>
      <c r="IMM6" s="622"/>
      <c r="IMN6" s="622"/>
      <c r="IMO6" s="622"/>
      <c r="IMP6" s="622"/>
      <c r="IMQ6" s="622"/>
      <c r="IMR6" s="622"/>
      <c r="IMS6" s="622"/>
      <c r="IMT6" s="622"/>
      <c r="IMU6" s="622"/>
      <c r="IMV6" s="622"/>
      <c r="IMW6" s="622"/>
      <c r="IMX6" s="622"/>
      <c r="IMY6" s="622"/>
      <c r="IMZ6" s="622"/>
      <c r="INA6" s="622"/>
      <c r="INB6" s="622"/>
      <c r="INC6" s="622"/>
      <c r="IND6" s="622"/>
      <c r="INE6" s="622"/>
      <c r="INF6" s="622"/>
      <c r="ING6" s="622"/>
      <c r="INH6" s="622"/>
      <c r="INI6" s="622"/>
      <c r="INJ6" s="622"/>
      <c r="INK6" s="622"/>
      <c r="INL6" s="622"/>
      <c r="INM6" s="622"/>
      <c r="INN6" s="622"/>
      <c r="INO6" s="622"/>
      <c r="INP6" s="622"/>
      <c r="INQ6" s="622"/>
      <c r="INR6" s="622"/>
      <c r="INS6" s="622"/>
      <c r="INT6" s="622"/>
      <c r="INU6" s="622"/>
      <c r="INV6" s="622"/>
      <c r="INW6" s="622"/>
      <c r="INX6" s="622"/>
      <c r="INY6" s="622"/>
      <c r="INZ6" s="622"/>
      <c r="IOA6" s="622"/>
      <c r="IOB6" s="622"/>
      <c r="IOC6" s="622"/>
      <c r="IOD6" s="622"/>
      <c r="IOE6" s="622"/>
      <c r="IOF6" s="622"/>
      <c r="IOG6" s="622"/>
      <c r="IOH6" s="622"/>
      <c r="IOI6" s="622"/>
      <c r="IOJ6" s="622"/>
      <c r="IOK6" s="622"/>
      <c r="IOL6" s="622"/>
      <c r="IOM6" s="622"/>
      <c r="ION6" s="622"/>
      <c r="IOO6" s="622"/>
      <c r="IOP6" s="622"/>
      <c r="IOQ6" s="622"/>
      <c r="IOR6" s="622"/>
      <c r="IOS6" s="622"/>
      <c r="IOT6" s="622"/>
      <c r="IOU6" s="622"/>
      <c r="IOV6" s="622"/>
      <c r="IOW6" s="622"/>
      <c r="IOX6" s="622"/>
      <c r="IOY6" s="622"/>
      <c r="IOZ6" s="622"/>
      <c r="IPA6" s="622"/>
      <c r="IPB6" s="622"/>
      <c r="IPC6" s="622"/>
      <c r="IPD6" s="622"/>
      <c r="IPE6" s="622"/>
      <c r="IPF6" s="622"/>
      <c r="IPG6" s="622"/>
      <c r="IPH6" s="622"/>
      <c r="IPI6" s="622"/>
      <c r="IPJ6" s="622"/>
      <c r="IPK6" s="622"/>
      <c r="IPL6" s="622"/>
      <c r="IPM6" s="622"/>
      <c r="IPN6" s="622"/>
      <c r="IPO6" s="622"/>
      <c r="IPP6" s="622"/>
      <c r="IPQ6" s="622"/>
      <c r="IPR6" s="622"/>
      <c r="IPS6" s="622"/>
      <c r="IPT6" s="622"/>
      <c r="IPU6" s="622"/>
      <c r="IPV6" s="622"/>
      <c r="IPW6" s="622"/>
      <c r="IPX6" s="622"/>
      <c r="IPY6" s="622"/>
      <c r="IPZ6" s="622"/>
      <c r="IQA6" s="622"/>
      <c r="IQB6" s="622"/>
      <c r="IQC6" s="622"/>
      <c r="IQD6" s="622"/>
      <c r="IQE6" s="622"/>
      <c r="IQF6" s="622"/>
      <c r="IQG6" s="622"/>
      <c r="IQH6" s="622"/>
      <c r="IQI6" s="622"/>
      <c r="IQJ6" s="622"/>
      <c r="IQK6" s="622"/>
      <c r="IQL6" s="622"/>
      <c r="IQM6" s="622"/>
      <c r="IQN6" s="622"/>
      <c r="IQO6" s="622"/>
      <c r="IQP6" s="622"/>
      <c r="IQQ6" s="622"/>
      <c r="IQR6" s="622"/>
      <c r="IQS6" s="622"/>
      <c r="IQT6" s="622"/>
      <c r="IQU6" s="622"/>
      <c r="IQV6" s="622"/>
      <c r="IQW6" s="622"/>
      <c r="IQX6" s="622"/>
      <c r="IQY6" s="622"/>
      <c r="IQZ6" s="622"/>
      <c r="IRA6" s="622"/>
      <c r="IRB6" s="622"/>
      <c r="IRC6" s="622"/>
      <c r="IRD6" s="622"/>
      <c r="IRE6" s="622"/>
      <c r="IRF6" s="622"/>
      <c r="IRG6" s="622"/>
      <c r="IRH6" s="622"/>
      <c r="IRI6" s="622"/>
      <c r="IRJ6" s="622"/>
      <c r="IRK6" s="622"/>
      <c r="IRL6" s="622"/>
      <c r="IRM6" s="622"/>
      <c r="IRN6" s="622"/>
      <c r="IRO6" s="622"/>
      <c r="IRP6" s="622"/>
      <c r="IRQ6" s="622"/>
      <c r="IRR6" s="622"/>
      <c r="IRS6" s="622"/>
      <c r="IRT6" s="622"/>
      <c r="IRU6" s="622"/>
      <c r="IRV6" s="622"/>
      <c r="IRW6" s="622"/>
      <c r="IRX6" s="622"/>
      <c r="IRY6" s="622"/>
      <c r="IRZ6" s="622"/>
      <c r="ISA6" s="622"/>
      <c r="ISB6" s="622"/>
      <c r="ISC6" s="622"/>
      <c r="ISD6" s="622"/>
      <c r="ISE6" s="622"/>
      <c r="ISF6" s="622"/>
      <c r="ISG6" s="622"/>
      <c r="ISH6" s="622"/>
      <c r="ISI6" s="622"/>
      <c r="ISJ6" s="622"/>
      <c r="ISK6" s="622"/>
      <c r="ISL6" s="622"/>
      <c r="ISM6" s="622"/>
      <c r="ISN6" s="622"/>
      <c r="ISO6" s="622"/>
      <c r="ISP6" s="622"/>
      <c r="ISQ6" s="622"/>
      <c r="ISR6" s="622"/>
      <c r="ISS6" s="622"/>
      <c r="IST6" s="622"/>
      <c r="ISU6" s="622"/>
      <c r="ISV6" s="622"/>
      <c r="ISW6" s="622"/>
      <c r="ISX6" s="622"/>
      <c r="ISY6" s="622"/>
      <c r="ISZ6" s="622"/>
      <c r="ITA6" s="622"/>
      <c r="ITB6" s="622"/>
      <c r="ITC6" s="622"/>
      <c r="ITD6" s="622"/>
      <c r="ITE6" s="622"/>
      <c r="ITF6" s="622"/>
      <c r="ITG6" s="622"/>
      <c r="ITH6" s="622"/>
      <c r="ITI6" s="622"/>
      <c r="ITJ6" s="622"/>
      <c r="ITK6" s="622"/>
      <c r="ITL6" s="622"/>
      <c r="ITM6" s="622"/>
      <c r="ITN6" s="622"/>
      <c r="ITO6" s="622"/>
      <c r="ITP6" s="622"/>
      <c r="ITQ6" s="622"/>
      <c r="ITR6" s="622"/>
      <c r="ITS6" s="622"/>
      <c r="ITT6" s="622"/>
      <c r="ITU6" s="622"/>
      <c r="ITV6" s="622"/>
      <c r="ITW6" s="622"/>
      <c r="ITX6" s="622"/>
      <c r="ITY6" s="622"/>
      <c r="ITZ6" s="622"/>
      <c r="IUA6" s="622"/>
      <c r="IUB6" s="622"/>
      <c r="IUC6" s="622"/>
      <c r="IUD6" s="622"/>
      <c r="IUE6" s="622"/>
      <c r="IUF6" s="622"/>
      <c r="IUG6" s="622"/>
      <c r="IUH6" s="622"/>
      <c r="IUI6" s="622"/>
      <c r="IUJ6" s="622"/>
      <c r="IUK6" s="622"/>
      <c r="IUL6" s="622"/>
      <c r="IUM6" s="622"/>
      <c r="IUN6" s="622"/>
      <c r="IUO6" s="622"/>
      <c r="IUP6" s="622"/>
      <c r="IUQ6" s="622"/>
      <c r="IUR6" s="622"/>
      <c r="IUS6" s="622"/>
      <c r="IUT6" s="622"/>
      <c r="IUU6" s="622"/>
      <c r="IUV6" s="622"/>
      <c r="IUW6" s="622"/>
      <c r="IUX6" s="622"/>
      <c r="IUY6" s="622"/>
      <c r="IUZ6" s="622"/>
      <c r="IVA6" s="622"/>
      <c r="IVB6" s="622"/>
      <c r="IVC6" s="622"/>
      <c r="IVD6" s="622"/>
      <c r="IVE6" s="622"/>
      <c r="IVF6" s="622"/>
      <c r="IVG6" s="622"/>
      <c r="IVH6" s="622"/>
      <c r="IVI6" s="622"/>
      <c r="IVJ6" s="622"/>
      <c r="IVK6" s="622"/>
      <c r="IVL6" s="622"/>
      <c r="IVM6" s="622"/>
      <c r="IVN6" s="622"/>
      <c r="IVO6" s="622"/>
      <c r="IVP6" s="622"/>
      <c r="IVQ6" s="622"/>
      <c r="IVR6" s="622"/>
      <c r="IVS6" s="622"/>
      <c r="IVT6" s="622"/>
      <c r="IVU6" s="622"/>
      <c r="IVV6" s="622"/>
      <c r="IVW6" s="622"/>
      <c r="IVX6" s="622"/>
      <c r="IVY6" s="622"/>
      <c r="IVZ6" s="622"/>
      <c r="IWA6" s="622"/>
      <c r="IWB6" s="622"/>
      <c r="IWC6" s="622"/>
      <c r="IWD6" s="622"/>
      <c r="IWE6" s="622"/>
      <c r="IWF6" s="622"/>
      <c r="IWG6" s="622"/>
      <c r="IWH6" s="622"/>
      <c r="IWI6" s="622"/>
      <c r="IWJ6" s="622"/>
      <c r="IWK6" s="622"/>
      <c r="IWL6" s="622"/>
      <c r="IWM6" s="622"/>
      <c r="IWN6" s="622"/>
      <c r="IWO6" s="622"/>
      <c r="IWP6" s="622"/>
      <c r="IWQ6" s="622"/>
      <c r="IWR6" s="622"/>
      <c r="IWS6" s="622"/>
      <c r="IWT6" s="622"/>
      <c r="IWU6" s="622"/>
      <c r="IWV6" s="622"/>
      <c r="IWW6" s="622"/>
      <c r="IWX6" s="622"/>
      <c r="IWY6" s="622"/>
      <c r="IWZ6" s="622"/>
      <c r="IXA6" s="622"/>
      <c r="IXB6" s="622"/>
      <c r="IXC6" s="622"/>
      <c r="IXD6" s="622"/>
      <c r="IXE6" s="622"/>
      <c r="IXF6" s="622"/>
      <c r="IXG6" s="622"/>
      <c r="IXH6" s="622"/>
      <c r="IXI6" s="622"/>
      <c r="IXJ6" s="622"/>
      <c r="IXK6" s="622"/>
      <c r="IXL6" s="622"/>
      <c r="IXM6" s="622"/>
      <c r="IXN6" s="622"/>
      <c r="IXO6" s="622"/>
      <c r="IXP6" s="622"/>
      <c r="IXQ6" s="622"/>
      <c r="IXR6" s="622"/>
      <c r="IXS6" s="622"/>
      <c r="IXT6" s="622"/>
      <c r="IXU6" s="622"/>
      <c r="IXV6" s="622"/>
      <c r="IXW6" s="622"/>
      <c r="IXX6" s="622"/>
      <c r="IXY6" s="622"/>
      <c r="IXZ6" s="622"/>
      <c r="IYA6" s="622"/>
      <c r="IYB6" s="622"/>
      <c r="IYC6" s="622"/>
      <c r="IYD6" s="622"/>
      <c r="IYE6" s="622"/>
      <c r="IYF6" s="622"/>
      <c r="IYG6" s="622"/>
      <c r="IYH6" s="622"/>
      <c r="IYI6" s="622"/>
      <c r="IYJ6" s="622"/>
      <c r="IYK6" s="622"/>
      <c r="IYL6" s="622"/>
      <c r="IYM6" s="622"/>
      <c r="IYN6" s="622"/>
      <c r="IYO6" s="622"/>
      <c r="IYP6" s="622"/>
      <c r="IYQ6" s="622"/>
      <c r="IYR6" s="622"/>
      <c r="IYS6" s="622"/>
      <c r="IYT6" s="622"/>
      <c r="IYU6" s="622"/>
      <c r="IYV6" s="622"/>
      <c r="IYW6" s="622"/>
      <c r="IYX6" s="622"/>
      <c r="IYY6" s="622"/>
      <c r="IYZ6" s="622"/>
      <c r="IZA6" s="622"/>
      <c r="IZB6" s="622"/>
      <c r="IZC6" s="622"/>
      <c r="IZD6" s="622"/>
      <c r="IZE6" s="622"/>
      <c r="IZF6" s="622"/>
      <c r="IZG6" s="622"/>
      <c r="IZH6" s="622"/>
      <c r="IZI6" s="622"/>
      <c r="IZJ6" s="622"/>
      <c r="IZK6" s="622"/>
      <c r="IZL6" s="622"/>
      <c r="IZM6" s="622"/>
      <c r="IZN6" s="622"/>
      <c r="IZO6" s="622"/>
      <c r="IZP6" s="622"/>
      <c r="IZQ6" s="622"/>
      <c r="IZR6" s="622"/>
      <c r="IZS6" s="622"/>
      <c r="IZT6" s="622"/>
      <c r="IZU6" s="622"/>
      <c r="IZV6" s="622"/>
      <c r="IZW6" s="622"/>
      <c r="IZX6" s="622"/>
      <c r="IZY6" s="622"/>
      <c r="IZZ6" s="622"/>
      <c r="JAA6" s="622"/>
      <c r="JAB6" s="622"/>
      <c r="JAC6" s="622"/>
      <c r="JAD6" s="622"/>
      <c r="JAE6" s="622"/>
      <c r="JAF6" s="622"/>
      <c r="JAG6" s="622"/>
      <c r="JAH6" s="622"/>
      <c r="JAI6" s="622"/>
      <c r="JAJ6" s="622"/>
      <c r="JAK6" s="622"/>
      <c r="JAL6" s="622"/>
      <c r="JAM6" s="622"/>
      <c r="JAN6" s="622"/>
      <c r="JAO6" s="622"/>
      <c r="JAP6" s="622"/>
      <c r="JAQ6" s="622"/>
      <c r="JAR6" s="622"/>
      <c r="JAS6" s="622"/>
      <c r="JAT6" s="622"/>
      <c r="JAU6" s="622"/>
      <c r="JAV6" s="622"/>
      <c r="JAW6" s="622"/>
      <c r="JAX6" s="622"/>
      <c r="JAY6" s="622"/>
      <c r="JAZ6" s="622"/>
      <c r="JBA6" s="622"/>
      <c r="JBB6" s="622"/>
      <c r="JBC6" s="622"/>
      <c r="JBD6" s="622"/>
      <c r="JBE6" s="622"/>
      <c r="JBF6" s="622"/>
      <c r="JBG6" s="622"/>
      <c r="JBH6" s="622"/>
      <c r="JBI6" s="622"/>
      <c r="JBJ6" s="622"/>
      <c r="JBK6" s="622"/>
      <c r="JBL6" s="622"/>
      <c r="JBM6" s="622"/>
      <c r="JBN6" s="622"/>
      <c r="JBO6" s="622"/>
      <c r="JBP6" s="622"/>
      <c r="JBQ6" s="622"/>
      <c r="JBR6" s="622"/>
      <c r="JBS6" s="622"/>
      <c r="JBT6" s="622"/>
      <c r="JBU6" s="622"/>
      <c r="JBV6" s="622"/>
      <c r="JBW6" s="622"/>
      <c r="JBX6" s="622"/>
      <c r="JBY6" s="622"/>
      <c r="JBZ6" s="622"/>
      <c r="JCA6" s="622"/>
      <c r="JCB6" s="622"/>
      <c r="JCC6" s="622"/>
      <c r="JCD6" s="622"/>
      <c r="JCE6" s="622"/>
      <c r="JCF6" s="622"/>
      <c r="JCG6" s="622"/>
      <c r="JCH6" s="622"/>
      <c r="JCI6" s="622"/>
      <c r="JCJ6" s="622"/>
      <c r="JCK6" s="622"/>
      <c r="JCL6" s="622"/>
      <c r="JCM6" s="622"/>
      <c r="JCN6" s="622"/>
      <c r="JCO6" s="622"/>
      <c r="JCP6" s="622"/>
      <c r="JCQ6" s="622"/>
      <c r="JCR6" s="622"/>
      <c r="JCS6" s="622"/>
      <c r="JCT6" s="622"/>
      <c r="JCU6" s="622"/>
      <c r="JCV6" s="622"/>
      <c r="JCW6" s="622"/>
      <c r="JCX6" s="622"/>
      <c r="JCY6" s="622"/>
      <c r="JCZ6" s="622"/>
      <c r="JDA6" s="622"/>
      <c r="JDB6" s="622"/>
      <c r="JDC6" s="622"/>
      <c r="JDD6" s="622"/>
      <c r="JDE6" s="622"/>
      <c r="JDF6" s="622"/>
      <c r="JDG6" s="622"/>
      <c r="JDH6" s="622"/>
      <c r="JDI6" s="622"/>
      <c r="JDJ6" s="622"/>
      <c r="JDK6" s="622"/>
      <c r="JDL6" s="622"/>
      <c r="JDM6" s="622"/>
      <c r="JDN6" s="622"/>
      <c r="JDO6" s="622"/>
      <c r="JDP6" s="622"/>
      <c r="JDQ6" s="622"/>
      <c r="JDR6" s="622"/>
      <c r="JDS6" s="622"/>
      <c r="JDT6" s="622"/>
      <c r="JDU6" s="622"/>
      <c r="JDV6" s="622"/>
      <c r="JDW6" s="622"/>
      <c r="JDX6" s="622"/>
      <c r="JDY6" s="622"/>
      <c r="JDZ6" s="622"/>
      <c r="JEA6" s="622"/>
      <c r="JEB6" s="622"/>
      <c r="JEC6" s="622"/>
      <c r="JED6" s="622"/>
      <c r="JEE6" s="622"/>
      <c r="JEF6" s="622"/>
      <c r="JEG6" s="622"/>
      <c r="JEH6" s="622"/>
      <c r="JEI6" s="622"/>
      <c r="JEJ6" s="622"/>
      <c r="JEK6" s="622"/>
      <c r="JEL6" s="622"/>
      <c r="JEM6" s="622"/>
      <c r="JEN6" s="622"/>
      <c r="JEO6" s="622"/>
      <c r="JEP6" s="622"/>
      <c r="JEQ6" s="622"/>
      <c r="JER6" s="622"/>
      <c r="JES6" s="622"/>
      <c r="JET6" s="622"/>
      <c r="JEU6" s="622"/>
      <c r="JEV6" s="622"/>
      <c r="JEW6" s="622"/>
      <c r="JEX6" s="622"/>
      <c r="JEY6" s="622"/>
      <c r="JEZ6" s="622"/>
      <c r="JFA6" s="622"/>
      <c r="JFB6" s="622"/>
      <c r="JFC6" s="622"/>
      <c r="JFD6" s="622"/>
      <c r="JFE6" s="622"/>
      <c r="JFF6" s="622"/>
      <c r="JFG6" s="622"/>
      <c r="JFH6" s="622"/>
      <c r="JFI6" s="622"/>
      <c r="JFJ6" s="622"/>
      <c r="JFK6" s="622"/>
      <c r="JFL6" s="622"/>
      <c r="JFM6" s="622"/>
      <c r="JFN6" s="622"/>
      <c r="JFO6" s="622"/>
      <c r="JFP6" s="622"/>
      <c r="JFQ6" s="622"/>
      <c r="JFR6" s="622"/>
      <c r="JFS6" s="622"/>
      <c r="JFT6" s="622"/>
      <c r="JFU6" s="622"/>
      <c r="JFV6" s="622"/>
      <c r="JFW6" s="622"/>
      <c r="JFX6" s="622"/>
      <c r="JFY6" s="622"/>
      <c r="JFZ6" s="622"/>
      <c r="JGA6" s="622"/>
      <c r="JGB6" s="622"/>
      <c r="JGC6" s="622"/>
      <c r="JGD6" s="622"/>
      <c r="JGE6" s="622"/>
      <c r="JGF6" s="622"/>
      <c r="JGG6" s="622"/>
      <c r="JGH6" s="622"/>
      <c r="JGI6" s="622"/>
      <c r="JGJ6" s="622"/>
      <c r="JGK6" s="622"/>
      <c r="JGL6" s="622"/>
      <c r="JGM6" s="622"/>
      <c r="JGN6" s="622"/>
      <c r="JGO6" s="622"/>
      <c r="JGP6" s="622"/>
      <c r="JGQ6" s="622"/>
      <c r="JGR6" s="622"/>
      <c r="JGS6" s="622"/>
      <c r="JGT6" s="622"/>
      <c r="JGU6" s="622"/>
      <c r="JGV6" s="622"/>
      <c r="JGW6" s="622"/>
      <c r="JGX6" s="622"/>
      <c r="JGY6" s="622"/>
      <c r="JGZ6" s="622"/>
      <c r="JHA6" s="622"/>
      <c r="JHB6" s="622"/>
      <c r="JHC6" s="622"/>
      <c r="JHD6" s="622"/>
      <c r="JHE6" s="622"/>
      <c r="JHF6" s="622"/>
      <c r="JHG6" s="622"/>
      <c r="JHH6" s="622"/>
      <c r="JHI6" s="622"/>
      <c r="JHJ6" s="622"/>
      <c r="JHK6" s="622"/>
      <c r="JHL6" s="622"/>
      <c r="JHM6" s="622"/>
      <c r="JHN6" s="622"/>
      <c r="JHO6" s="622"/>
      <c r="JHP6" s="622"/>
      <c r="JHQ6" s="622"/>
      <c r="JHR6" s="622"/>
      <c r="JHS6" s="622"/>
      <c r="JHT6" s="622"/>
      <c r="JHU6" s="622"/>
      <c r="JHV6" s="622"/>
      <c r="JHW6" s="622"/>
      <c r="JHX6" s="622"/>
      <c r="JHY6" s="622"/>
      <c r="JHZ6" s="622"/>
      <c r="JIA6" s="622"/>
      <c r="JIB6" s="622"/>
      <c r="JIC6" s="622"/>
      <c r="JID6" s="622"/>
      <c r="JIE6" s="622"/>
      <c r="JIF6" s="622"/>
      <c r="JIG6" s="622"/>
      <c r="JIH6" s="622"/>
      <c r="JII6" s="622"/>
      <c r="JIJ6" s="622"/>
      <c r="JIK6" s="622"/>
      <c r="JIL6" s="622"/>
      <c r="JIM6" s="622"/>
      <c r="JIN6" s="622"/>
      <c r="JIO6" s="622"/>
      <c r="JIP6" s="622"/>
      <c r="JIQ6" s="622"/>
      <c r="JIR6" s="622"/>
      <c r="JIS6" s="622"/>
      <c r="JIT6" s="622"/>
      <c r="JIU6" s="622"/>
      <c r="JIV6" s="622"/>
      <c r="JIW6" s="622"/>
      <c r="JIX6" s="622"/>
      <c r="JIY6" s="622"/>
      <c r="JIZ6" s="622"/>
      <c r="JJA6" s="622"/>
      <c r="JJB6" s="622"/>
      <c r="JJC6" s="622"/>
      <c r="JJD6" s="622"/>
      <c r="JJE6" s="622"/>
      <c r="JJF6" s="622"/>
      <c r="JJG6" s="622"/>
      <c r="JJH6" s="622"/>
      <c r="JJI6" s="622"/>
      <c r="JJJ6" s="622"/>
      <c r="JJK6" s="622"/>
      <c r="JJL6" s="622"/>
      <c r="JJM6" s="622"/>
      <c r="JJN6" s="622"/>
      <c r="JJO6" s="622"/>
      <c r="JJP6" s="622"/>
      <c r="JJQ6" s="622"/>
      <c r="JJR6" s="622"/>
      <c r="JJS6" s="622"/>
      <c r="JJT6" s="622"/>
      <c r="JJU6" s="622"/>
      <c r="JJV6" s="622"/>
      <c r="JJW6" s="622"/>
      <c r="JJX6" s="622"/>
      <c r="JJY6" s="622"/>
      <c r="JJZ6" s="622"/>
      <c r="JKA6" s="622"/>
      <c r="JKB6" s="622"/>
      <c r="JKC6" s="622"/>
      <c r="JKD6" s="622"/>
      <c r="JKE6" s="622"/>
      <c r="JKF6" s="622"/>
      <c r="JKG6" s="622"/>
      <c r="JKH6" s="622"/>
      <c r="JKI6" s="622"/>
      <c r="JKJ6" s="622"/>
      <c r="JKK6" s="622"/>
      <c r="JKL6" s="622"/>
      <c r="JKM6" s="622"/>
      <c r="JKN6" s="622"/>
      <c r="JKO6" s="622"/>
      <c r="JKP6" s="622"/>
      <c r="JKQ6" s="622"/>
      <c r="JKR6" s="622"/>
      <c r="JKS6" s="622"/>
      <c r="JKT6" s="622"/>
      <c r="JKU6" s="622"/>
      <c r="JKV6" s="622"/>
      <c r="JKW6" s="622"/>
      <c r="JKX6" s="622"/>
      <c r="JKY6" s="622"/>
      <c r="JKZ6" s="622"/>
      <c r="JLA6" s="622"/>
      <c r="JLB6" s="622"/>
      <c r="JLC6" s="622"/>
      <c r="JLD6" s="622"/>
      <c r="JLE6" s="622"/>
      <c r="JLF6" s="622"/>
      <c r="JLG6" s="622"/>
      <c r="JLH6" s="622"/>
      <c r="JLI6" s="622"/>
      <c r="JLJ6" s="622"/>
      <c r="JLK6" s="622"/>
      <c r="JLL6" s="622"/>
      <c r="JLM6" s="622"/>
      <c r="JLN6" s="622"/>
      <c r="JLO6" s="622"/>
      <c r="JLP6" s="622"/>
      <c r="JLQ6" s="622"/>
      <c r="JLR6" s="622"/>
      <c r="JLS6" s="622"/>
      <c r="JLT6" s="622"/>
      <c r="JLU6" s="622"/>
      <c r="JLV6" s="622"/>
      <c r="JLW6" s="622"/>
      <c r="JLX6" s="622"/>
      <c r="JLY6" s="622"/>
      <c r="JLZ6" s="622"/>
      <c r="JMA6" s="622"/>
      <c r="JMB6" s="622"/>
      <c r="JMC6" s="622"/>
      <c r="JMD6" s="622"/>
      <c r="JME6" s="622"/>
      <c r="JMF6" s="622"/>
      <c r="JMG6" s="622"/>
      <c r="JMH6" s="622"/>
      <c r="JMI6" s="622"/>
      <c r="JMJ6" s="622"/>
      <c r="JMK6" s="622"/>
      <c r="JML6" s="622"/>
      <c r="JMM6" s="622"/>
      <c r="JMN6" s="622"/>
      <c r="JMO6" s="622"/>
      <c r="JMP6" s="622"/>
      <c r="JMQ6" s="622"/>
      <c r="JMR6" s="622"/>
      <c r="JMS6" s="622"/>
      <c r="JMT6" s="622"/>
      <c r="JMU6" s="622"/>
      <c r="JMV6" s="622"/>
      <c r="JMW6" s="622"/>
      <c r="JMX6" s="622"/>
      <c r="JMY6" s="622"/>
      <c r="JMZ6" s="622"/>
      <c r="JNA6" s="622"/>
      <c r="JNB6" s="622"/>
      <c r="JNC6" s="622"/>
      <c r="JND6" s="622"/>
      <c r="JNE6" s="622"/>
      <c r="JNF6" s="622"/>
      <c r="JNG6" s="622"/>
      <c r="JNH6" s="622"/>
      <c r="JNI6" s="622"/>
      <c r="JNJ6" s="622"/>
      <c r="JNK6" s="622"/>
      <c r="JNL6" s="622"/>
      <c r="JNM6" s="622"/>
      <c r="JNN6" s="622"/>
      <c r="JNO6" s="622"/>
      <c r="JNP6" s="622"/>
      <c r="JNQ6" s="622"/>
      <c r="JNR6" s="622"/>
      <c r="JNS6" s="622"/>
      <c r="JNT6" s="622"/>
      <c r="JNU6" s="622"/>
      <c r="JNV6" s="622"/>
      <c r="JNW6" s="622"/>
      <c r="JNX6" s="622"/>
      <c r="JNY6" s="622"/>
      <c r="JNZ6" s="622"/>
      <c r="JOA6" s="622"/>
      <c r="JOB6" s="622"/>
      <c r="JOC6" s="622"/>
      <c r="JOD6" s="622"/>
      <c r="JOE6" s="622"/>
      <c r="JOF6" s="622"/>
      <c r="JOG6" s="622"/>
      <c r="JOH6" s="622"/>
      <c r="JOI6" s="622"/>
      <c r="JOJ6" s="622"/>
      <c r="JOK6" s="622"/>
      <c r="JOL6" s="622"/>
      <c r="JOM6" s="622"/>
      <c r="JON6" s="622"/>
      <c r="JOO6" s="622"/>
      <c r="JOP6" s="622"/>
      <c r="JOQ6" s="622"/>
      <c r="JOR6" s="622"/>
      <c r="JOS6" s="622"/>
      <c r="JOT6" s="622"/>
      <c r="JOU6" s="622"/>
      <c r="JOV6" s="622"/>
      <c r="JOW6" s="622"/>
      <c r="JOX6" s="622"/>
      <c r="JOY6" s="622"/>
      <c r="JOZ6" s="622"/>
      <c r="JPA6" s="622"/>
      <c r="JPB6" s="622"/>
      <c r="JPC6" s="622"/>
      <c r="JPD6" s="622"/>
      <c r="JPE6" s="622"/>
      <c r="JPF6" s="622"/>
      <c r="JPG6" s="622"/>
      <c r="JPH6" s="622"/>
      <c r="JPI6" s="622"/>
      <c r="JPJ6" s="622"/>
      <c r="JPK6" s="622"/>
      <c r="JPL6" s="622"/>
      <c r="JPM6" s="622"/>
      <c r="JPN6" s="622"/>
      <c r="JPO6" s="622"/>
      <c r="JPP6" s="622"/>
      <c r="JPQ6" s="622"/>
      <c r="JPR6" s="622"/>
      <c r="JPS6" s="622"/>
      <c r="JPT6" s="622"/>
      <c r="JPU6" s="622"/>
      <c r="JPV6" s="622"/>
      <c r="JPW6" s="622"/>
      <c r="JPX6" s="622"/>
      <c r="JPY6" s="622"/>
      <c r="JPZ6" s="622"/>
      <c r="JQA6" s="622"/>
      <c r="JQB6" s="622"/>
      <c r="JQC6" s="622"/>
      <c r="JQD6" s="622"/>
      <c r="JQE6" s="622"/>
      <c r="JQF6" s="622"/>
      <c r="JQG6" s="622"/>
      <c r="JQH6" s="622"/>
      <c r="JQI6" s="622"/>
      <c r="JQJ6" s="622"/>
      <c r="JQK6" s="622"/>
      <c r="JQL6" s="622"/>
      <c r="JQM6" s="622"/>
      <c r="JQN6" s="622"/>
      <c r="JQO6" s="622"/>
      <c r="JQP6" s="622"/>
      <c r="JQQ6" s="622"/>
      <c r="JQR6" s="622"/>
      <c r="JQS6" s="622"/>
      <c r="JQT6" s="622"/>
      <c r="JQU6" s="622"/>
      <c r="JQV6" s="622"/>
      <c r="JQW6" s="622"/>
      <c r="JQX6" s="622"/>
      <c r="JQY6" s="622"/>
      <c r="JQZ6" s="622"/>
      <c r="JRA6" s="622"/>
      <c r="JRB6" s="622"/>
      <c r="JRC6" s="622"/>
      <c r="JRD6" s="622"/>
      <c r="JRE6" s="622"/>
      <c r="JRF6" s="622"/>
      <c r="JRG6" s="622"/>
      <c r="JRH6" s="622"/>
      <c r="JRI6" s="622"/>
      <c r="JRJ6" s="622"/>
      <c r="JRK6" s="622"/>
      <c r="JRL6" s="622"/>
      <c r="JRM6" s="622"/>
      <c r="JRN6" s="622"/>
      <c r="JRO6" s="622"/>
      <c r="JRP6" s="622"/>
      <c r="JRQ6" s="622"/>
      <c r="JRR6" s="622"/>
      <c r="JRS6" s="622"/>
      <c r="JRT6" s="622"/>
      <c r="JRU6" s="622"/>
      <c r="JRV6" s="622"/>
      <c r="JRW6" s="622"/>
      <c r="JRX6" s="622"/>
      <c r="JRY6" s="622"/>
      <c r="JRZ6" s="622"/>
      <c r="JSA6" s="622"/>
      <c r="JSB6" s="622"/>
      <c r="JSC6" s="622"/>
      <c r="JSD6" s="622"/>
      <c r="JSE6" s="622"/>
      <c r="JSF6" s="622"/>
      <c r="JSG6" s="622"/>
      <c r="JSH6" s="622"/>
      <c r="JSI6" s="622"/>
      <c r="JSJ6" s="622"/>
      <c r="JSK6" s="622"/>
      <c r="JSL6" s="622"/>
      <c r="JSM6" s="622"/>
      <c r="JSN6" s="622"/>
      <c r="JSO6" s="622"/>
      <c r="JSP6" s="622"/>
      <c r="JSQ6" s="622"/>
      <c r="JSR6" s="622"/>
      <c r="JSS6" s="622"/>
      <c r="JST6" s="622"/>
      <c r="JSU6" s="622"/>
      <c r="JSV6" s="622"/>
      <c r="JSW6" s="622"/>
      <c r="JSX6" s="622"/>
      <c r="JSY6" s="622"/>
      <c r="JSZ6" s="622"/>
      <c r="JTA6" s="622"/>
      <c r="JTB6" s="622"/>
      <c r="JTC6" s="622"/>
      <c r="JTD6" s="622"/>
      <c r="JTE6" s="622"/>
      <c r="JTF6" s="622"/>
      <c r="JTG6" s="622"/>
      <c r="JTH6" s="622"/>
      <c r="JTI6" s="622"/>
      <c r="JTJ6" s="622"/>
      <c r="JTK6" s="622"/>
      <c r="JTL6" s="622"/>
      <c r="JTM6" s="622"/>
      <c r="JTN6" s="622"/>
      <c r="JTO6" s="622"/>
      <c r="JTP6" s="622"/>
      <c r="JTQ6" s="622"/>
      <c r="JTR6" s="622"/>
      <c r="JTS6" s="622"/>
      <c r="JTT6" s="622"/>
      <c r="JTU6" s="622"/>
      <c r="JTV6" s="622"/>
      <c r="JTW6" s="622"/>
      <c r="JTX6" s="622"/>
      <c r="JTY6" s="622"/>
      <c r="JTZ6" s="622"/>
      <c r="JUA6" s="622"/>
      <c r="JUB6" s="622"/>
      <c r="JUC6" s="622"/>
      <c r="JUD6" s="622"/>
      <c r="JUE6" s="622"/>
      <c r="JUF6" s="622"/>
      <c r="JUG6" s="622"/>
      <c r="JUH6" s="622"/>
      <c r="JUI6" s="622"/>
      <c r="JUJ6" s="622"/>
      <c r="JUK6" s="622"/>
      <c r="JUL6" s="622"/>
      <c r="JUM6" s="622"/>
      <c r="JUN6" s="622"/>
      <c r="JUO6" s="622"/>
      <c r="JUP6" s="622"/>
      <c r="JUQ6" s="622"/>
      <c r="JUR6" s="622"/>
      <c r="JUS6" s="622"/>
      <c r="JUT6" s="622"/>
      <c r="JUU6" s="622"/>
      <c r="JUV6" s="622"/>
      <c r="JUW6" s="622"/>
      <c r="JUX6" s="622"/>
      <c r="JUY6" s="622"/>
      <c r="JUZ6" s="622"/>
      <c r="JVA6" s="622"/>
      <c r="JVB6" s="622"/>
      <c r="JVC6" s="622"/>
      <c r="JVD6" s="622"/>
      <c r="JVE6" s="622"/>
      <c r="JVF6" s="622"/>
      <c r="JVG6" s="622"/>
      <c r="JVH6" s="622"/>
      <c r="JVI6" s="622"/>
      <c r="JVJ6" s="622"/>
      <c r="JVK6" s="622"/>
      <c r="JVL6" s="622"/>
      <c r="JVM6" s="622"/>
      <c r="JVN6" s="622"/>
      <c r="JVO6" s="622"/>
      <c r="JVP6" s="622"/>
      <c r="JVQ6" s="622"/>
      <c r="JVR6" s="622"/>
      <c r="JVS6" s="622"/>
      <c r="JVT6" s="622"/>
      <c r="JVU6" s="622"/>
      <c r="JVV6" s="622"/>
      <c r="JVW6" s="622"/>
      <c r="JVX6" s="622"/>
      <c r="JVY6" s="622"/>
      <c r="JVZ6" s="622"/>
      <c r="JWA6" s="622"/>
      <c r="JWB6" s="622"/>
      <c r="JWC6" s="622"/>
      <c r="JWD6" s="622"/>
      <c r="JWE6" s="622"/>
      <c r="JWF6" s="622"/>
      <c r="JWG6" s="622"/>
      <c r="JWH6" s="622"/>
      <c r="JWI6" s="622"/>
      <c r="JWJ6" s="622"/>
      <c r="JWK6" s="622"/>
      <c r="JWL6" s="622"/>
      <c r="JWM6" s="622"/>
      <c r="JWN6" s="622"/>
      <c r="JWO6" s="622"/>
      <c r="JWP6" s="622"/>
      <c r="JWQ6" s="622"/>
      <c r="JWR6" s="622"/>
      <c r="JWS6" s="622"/>
      <c r="JWT6" s="622"/>
      <c r="JWU6" s="622"/>
      <c r="JWV6" s="622"/>
      <c r="JWW6" s="622"/>
      <c r="JWX6" s="622"/>
      <c r="JWY6" s="622"/>
      <c r="JWZ6" s="622"/>
      <c r="JXA6" s="622"/>
      <c r="JXB6" s="622"/>
      <c r="JXC6" s="622"/>
      <c r="JXD6" s="622"/>
      <c r="JXE6" s="622"/>
      <c r="JXF6" s="622"/>
      <c r="JXG6" s="622"/>
      <c r="JXH6" s="622"/>
      <c r="JXI6" s="622"/>
      <c r="JXJ6" s="622"/>
      <c r="JXK6" s="622"/>
      <c r="JXL6" s="622"/>
      <c r="JXM6" s="622"/>
      <c r="JXN6" s="622"/>
      <c r="JXO6" s="622"/>
      <c r="JXP6" s="622"/>
      <c r="JXQ6" s="622"/>
      <c r="JXR6" s="622"/>
      <c r="JXS6" s="622"/>
      <c r="JXT6" s="622"/>
      <c r="JXU6" s="622"/>
      <c r="JXV6" s="622"/>
      <c r="JXW6" s="622"/>
      <c r="JXX6" s="622"/>
      <c r="JXY6" s="622"/>
      <c r="JXZ6" s="622"/>
      <c r="JYA6" s="622"/>
      <c r="JYB6" s="622"/>
      <c r="JYC6" s="622"/>
      <c r="JYD6" s="622"/>
      <c r="JYE6" s="622"/>
      <c r="JYF6" s="622"/>
      <c r="JYG6" s="622"/>
      <c r="JYH6" s="622"/>
      <c r="JYI6" s="622"/>
      <c r="JYJ6" s="622"/>
      <c r="JYK6" s="622"/>
      <c r="JYL6" s="622"/>
      <c r="JYM6" s="622"/>
      <c r="JYN6" s="622"/>
      <c r="JYO6" s="622"/>
      <c r="JYP6" s="622"/>
      <c r="JYQ6" s="622"/>
      <c r="JYR6" s="622"/>
      <c r="JYS6" s="622"/>
      <c r="JYT6" s="622"/>
      <c r="JYU6" s="622"/>
      <c r="JYV6" s="622"/>
      <c r="JYW6" s="622"/>
      <c r="JYX6" s="622"/>
      <c r="JYY6" s="622"/>
      <c r="JYZ6" s="622"/>
      <c r="JZA6" s="622"/>
      <c r="JZB6" s="622"/>
      <c r="JZC6" s="622"/>
      <c r="JZD6" s="622"/>
      <c r="JZE6" s="622"/>
      <c r="JZF6" s="622"/>
      <c r="JZG6" s="622"/>
      <c r="JZH6" s="622"/>
      <c r="JZI6" s="622"/>
      <c r="JZJ6" s="622"/>
      <c r="JZK6" s="622"/>
      <c r="JZL6" s="622"/>
      <c r="JZM6" s="622"/>
      <c r="JZN6" s="622"/>
      <c r="JZO6" s="622"/>
      <c r="JZP6" s="622"/>
      <c r="JZQ6" s="622"/>
      <c r="JZR6" s="622"/>
      <c r="JZS6" s="622"/>
      <c r="JZT6" s="622"/>
      <c r="JZU6" s="622"/>
      <c r="JZV6" s="622"/>
      <c r="JZW6" s="622"/>
      <c r="JZX6" s="622"/>
      <c r="JZY6" s="622"/>
      <c r="JZZ6" s="622"/>
      <c r="KAA6" s="622"/>
      <c r="KAB6" s="622"/>
      <c r="KAC6" s="622"/>
      <c r="KAD6" s="622"/>
      <c r="KAE6" s="622"/>
      <c r="KAF6" s="622"/>
      <c r="KAG6" s="622"/>
      <c r="KAH6" s="622"/>
      <c r="KAI6" s="622"/>
      <c r="KAJ6" s="622"/>
      <c r="KAK6" s="622"/>
      <c r="KAL6" s="622"/>
      <c r="KAM6" s="622"/>
      <c r="KAN6" s="622"/>
      <c r="KAO6" s="622"/>
      <c r="KAP6" s="622"/>
      <c r="KAQ6" s="622"/>
      <c r="KAR6" s="622"/>
      <c r="KAS6" s="622"/>
      <c r="KAT6" s="622"/>
      <c r="KAU6" s="622"/>
      <c r="KAV6" s="622"/>
      <c r="KAW6" s="622"/>
      <c r="KAX6" s="622"/>
      <c r="KAY6" s="622"/>
      <c r="KAZ6" s="622"/>
      <c r="KBA6" s="622"/>
      <c r="KBB6" s="622"/>
      <c r="KBC6" s="622"/>
      <c r="KBD6" s="622"/>
      <c r="KBE6" s="622"/>
      <c r="KBF6" s="622"/>
      <c r="KBG6" s="622"/>
      <c r="KBH6" s="622"/>
      <c r="KBI6" s="622"/>
      <c r="KBJ6" s="622"/>
      <c r="KBK6" s="622"/>
      <c r="KBL6" s="622"/>
      <c r="KBM6" s="622"/>
      <c r="KBN6" s="622"/>
      <c r="KBO6" s="622"/>
      <c r="KBP6" s="622"/>
      <c r="KBQ6" s="622"/>
      <c r="KBR6" s="622"/>
      <c r="KBS6" s="622"/>
      <c r="KBT6" s="622"/>
      <c r="KBU6" s="622"/>
      <c r="KBV6" s="622"/>
      <c r="KBW6" s="622"/>
      <c r="KBX6" s="622"/>
      <c r="KBY6" s="622"/>
      <c r="KBZ6" s="622"/>
      <c r="KCA6" s="622"/>
      <c r="KCB6" s="622"/>
      <c r="KCC6" s="622"/>
      <c r="KCD6" s="622"/>
      <c r="KCE6" s="622"/>
      <c r="KCF6" s="622"/>
      <c r="KCG6" s="622"/>
      <c r="KCH6" s="622"/>
      <c r="KCI6" s="622"/>
      <c r="KCJ6" s="622"/>
      <c r="KCK6" s="622"/>
      <c r="KCL6" s="622"/>
      <c r="KCM6" s="622"/>
      <c r="KCN6" s="622"/>
      <c r="KCO6" s="622"/>
      <c r="KCP6" s="622"/>
      <c r="KCQ6" s="622"/>
      <c r="KCR6" s="622"/>
      <c r="KCS6" s="622"/>
      <c r="KCT6" s="622"/>
      <c r="KCU6" s="622"/>
      <c r="KCV6" s="622"/>
      <c r="KCW6" s="622"/>
      <c r="KCX6" s="622"/>
      <c r="KCY6" s="622"/>
      <c r="KCZ6" s="622"/>
      <c r="KDA6" s="622"/>
      <c r="KDB6" s="622"/>
      <c r="KDC6" s="622"/>
      <c r="KDD6" s="622"/>
      <c r="KDE6" s="622"/>
      <c r="KDF6" s="622"/>
      <c r="KDG6" s="622"/>
      <c r="KDH6" s="622"/>
      <c r="KDI6" s="622"/>
      <c r="KDJ6" s="622"/>
      <c r="KDK6" s="622"/>
      <c r="KDL6" s="622"/>
      <c r="KDM6" s="622"/>
      <c r="KDN6" s="622"/>
      <c r="KDO6" s="622"/>
      <c r="KDP6" s="622"/>
      <c r="KDQ6" s="622"/>
      <c r="KDR6" s="622"/>
      <c r="KDS6" s="622"/>
      <c r="KDT6" s="622"/>
      <c r="KDU6" s="622"/>
      <c r="KDV6" s="622"/>
      <c r="KDW6" s="622"/>
      <c r="KDX6" s="622"/>
      <c r="KDY6" s="622"/>
      <c r="KDZ6" s="622"/>
      <c r="KEA6" s="622"/>
      <c r="KEB6" s="622"/>
      <c r="KEC6" s="622"/>
      <c r="KED6" s="622"/>
      <c r="KEE6" s="622"/>
      <c r="KEF6" s="622"/>
      <c r="KEG6" s="622"/>
      <c r="KEH6" s="622"/>
      <c r="KEI6" s="622"/>
      <c r="KEJ6" s="622"/>
      <c r="KEK6" s="622"/>
      <c r="KEL6" s="622"/>
      <c r="KEM6" s="622"/>
      <c r="KEN6" s="622"/>
      <c r="KEO6" s="622"/>
      <c r="KEP6" s="622"/>
      <c r="KEQ6" s="622"/>
      <c r="KER6" s="622"/>
      <c r="KES6" s="622"/>
      <c r="KET6" s="622"/>
      <c r="KEU6" s="622"/>
      <c r="KEV6" s="622"/>
      <c r="KEW6" s="622"/>
      <c r="KEX6" s="622"/>
      <c r="KEY6" s="622"/>
      <c r="KEZ6" s="622"/>
      <c r="KFA6" s="622"/>
      <c r="KFB6" s="622"/>
      <c r="KFC6" s="622"/>
      <c r="KFD6" s="622"/>
      <c r="KFE6" s="622"/>
      <c r="KFF6" s="622"/>
      <c r="KFG6" s="622"/>
      <c r="KFH6" s="622"/>
      <c r="KFI6" s="622"/>
      <c r="KFJ6" s="622"/>
      <c r="KFK6" s="622"/>
      <c r="KFL6" s="622"/>
      <c r="KFM6" s="622"/>
      <c r="KFN6" s="622"/>
      <c r="KFO6" s="622"/>
      <c r="KFP6" s="622"/>
      <c r="KFQ6" s="622"/>
      <c r="KFR6" s="622"/>
      <c r="KFS6" s="622"/>
      <c r="KFT6" s="622"/>
      <c r="KFU6" s="622"/>
      <c r="KFV6" s="622"/>
      <c r="KFW6" s="622"/>
      <c r="KFX6" s="622"/>
      <c r="KFY6" s="622"/>
      <c r="KFZ6" s="622"/>
      <c r="KGA6" s="622"/>
      <c r="KGB6" s="622"/>
      <c r="KGC6" s="622"/>
      <c r="KGD6" s="622"/>
      <c r="KGE6" s="622"/>
      <c r="KGF6" s="622"/>
      <c r="KGG6" s="622"/>
      <c r="KGH6" s="622"/>
      <c r="KGI6" s="622"/>
      <c r="KGJ6" s="622"/>
      <c r="KGK6" s="622"/>
      <c r="KGL6" s="622"/>
      <c r="KGM6" s="622"/>
      <c r="KGN6" s="622"/>
      <c r="KGO6" s="622"/>
      <c r="KGP6" s="622"/>
      <c r="KGQ6" s="622"/>
      <c r="KGR6" s="622"/>
      <c r="KGS6" s="622"/>
      <c r="KGT6" s="622"/>
      <c r="KGU6" s="622"/>
      <c r="KGV6" s="622"/>
      <c r="KGW6" s="622"/>
      <c r="KGX6" s="622"/>
      <c r="KGY6" s="622"/>
      <c r="KGZ6" s="622"/>
      <c r="KHA6" s="622"/>
      <c r="KHB6" s="622"/>
      <c r="KHC6" s="622"/>
      <c r="KHD6" s="622"/>
      <c r="KHE6" s="622"/>
      <c r="KHF6" s="622"/>
      <c r="KHG6" s="622"/>
      <c r="KHH6" s="622"/>
      <c r="KHI6" s="622"/>
      <c r="KHJ6" s="622"/>
      <c r="KHK6" s="622"/>
      <c r="KHL6" s="622"/>
      <c r="KHM6" s="622"/>
      <c r="KHN6" s="622"/>
      <c r="KHO6" s="622"/>
      <c r="KHP6" s="622"/>
      <c r="KHQ6" s="622"/>
      <c r="KHR6" s="622"/>
      <c r="KHS6" s="622"/>
      <c r="KHT6" s="622"/>
      <c r="KHU6" s="622"/>
      <c r="KHV6" s="622"/>
      <c r="KHW6" s="622"/>
      <c r="KHX6" s="622"/>
      <c r="KHY6" s="622"/>
      <c r="KHZ6" s="622"/>
      <c r="KIA6" s="622"/>
      <c r="KIB6" s="622"/>
      <c r="KIC6" s="622"/>
      <c r="KID6" s="622"/>
      <c r="KIE6" s="622"/>
      <c r="KIF6" s="622"/>
      <c r="KIG6" s="622"/>
      <c r="KIH6" s="622"/>
      <c r="KII6" s="622"/>
      <c r="KIJ6" s="622"/>
      <c r="KIK6" s="622"/>
      <c r="KIL6" s="622"/>
      <c r="KIM6" s="622"/>
      <c r="KIN6" s="622"/>
      <c r="KIO6" s="622"/>
      <c r="KIP6" s="622"/>
      <c r="KIQ6" s="622"/>
      <c r="KIR6" s="622"/>
      <c r="KIS6" s="622"/>
      <c r="KIT6" s="622"/>
      <c r="KIU6" s="622"/>
      <c r="KIV6" s="622"/>
      <c r="KIW6" s="622"/>
      <c r="KIX6" s="622"/>
      <c r="KIY6" s="622"/>
      <c r="KIZ6" s="622"/>
      <c r="KJA6" s="622"/>
      <c r="KJB6" s="622"/>
      <c r="KJC6" s="622"/>
      <c r="KJD6" s="622"/>
      <c r="KJE6" s="622"/>
      <c r="KJF6" s="622"/>
      <c r="KJG6" s="622"/>
      <c r="KJH6" s="622"/>
      <c r="KJI6" s="622"/>
      <c r="KJJ6" s="622"/>
      <c r="KJK6" s="622"/>
      <c r="KJL6" s="622"/>
      <c r="KJM6" s="622"/>
      <c r="KJN6" s="622"/>
      <c r="KJO6" s="622"/>
      <c r="KJP6" s="622"/>
      <c r="KJQ6" s="622"/>
      <c r="KJR6" s="622"/>
      <c r="KJS6" s="622"/>
      <c r="KJT6" s="622"/>
      <c r="KJU6" s="622"/>
      <c r="KJV6" s="622"/>
      <c r="KJW6" s="622"/>
      <c r="KJX6" s="622"/>
      <c r="KJY6" s="622"/>
      <c r="KJZ6" s="622"/>
      <c r="KKA6" s="622"/>
      <c r="KKB6" s="622"/>
      <c r="KKC6" s="622"/>
      <c r="KKD6" s="622"/>
      <c r="KKE6" s="622"/>
      <c r="KKF6" s="622"/>
      <c r="KKG6" s="622"/>
      <c r="KKH6" s="622"/>
      <c r="KKI6" s="622"/>
      <c r="KKJ6" s="622"/>
      <c r="KKK6" s="622"/>
      <c r="KKL6" s="622"/>
      <c r="KKM6" s="622"/>
      <c r="KKN6" s="622"/>
      <c r="KKO6" s="622"/>
      <c r="KKP6" s="622"/>
      <c r="KKQ6" s="622"/>
      <c r="KKR6" s="622"/>
      <c r="KKS6" s="622"/>
      <c r="KKT6" s="622"/>
      <c r="KKU6" s="622"/>
      <c r="KKV6" s="622"/>
      <c r="KKW6" s="622"/>
      <c r="KKX6" s="622"/>
      <c r="KKY6" s="622"/>
      <c r="KKZ6" s="622"/>
      <c r="KLA6" s="622"/>
      <c r="KLB6" s="622"/>
      <c r="KLC6" s="622"/>
      <c r="KLD6" s="622"/>
      <c r="KLE6" s="622"/>
      <c r="KLF6" s="622"/>
      <c r="KLG6" s="622"/>
      <c r="KLH6" s="622"/>
      <c r="KLI6" s="622"/>
      <c r="KLJ6" s="622"/>
      <c r="KLK6" s="622"/>
      <c r="KLL6" s="622"/>
      <c r="KLM6" s="622"/>
      <c r="KLN6" s="622"/>
      <c r="KLO6" s="622"/>
      <c r="KLP6" s="622"/>
      <c r="KLQ6" s="622"/>
      <c r="KLR6" s="622"/>
      <c r="KLS6" s="622"/>
      <c r="KLT6" s="622"/>
      <c r="KLU6" s="622"/>
      <c r="KLV6" s="622"/>
      <c r="KLW6" s="622"/>
      <c r="KLX6" s="622"/>
      <c r="KLY6" s="622"/>
      <c r="KLZ6" s="622"/>
      <c r="KMA6" s="622"/>
      <c r="KMB6" s="622"/>
      <c r="KMC6" s="622"/>
      <c r="KMD6" s="622"/>
      <c r="KME6" s="622"/>
      <c r="KMF6" s="622"/>
      <c r="KMG6" s="622"/>
      <c r="KMH6" s="622"/>
      <c r="KMI6" s="622"/>
      <c r="KMJ6" s="622"/>
      <c r="KMK6" s="622"/>
      <c r="KML6" s="622"/>
      <c r="KMM6" s="622"/>
      <c r="KMN6" s="622"/>
      <c r="KMO6" s="622"/>
      <c r="KMP6" s="622"/>
      <c r="KMQ6" s="622"/>
      <c r="KMR6" s="622"/>
      <c r="KMS6" s="622"/>
      <c r="KMT6" s="622"/>
      <c r="KMU6" s="622"/>
      <c r="KMV6" s="622"/>
      <c r="KMW6" s="622"/>
      <c r="KMX6" s="622"/>
      <c r="KMY6" s="622"/>
      <c r="KMZ6" s="622"/>
      <c r="KNA6" s="622"/>
      <c r="KNB6" s="622"/>
      <c r="KNC6" s="622"/>
      <c r="KND6" s="622"/>
      <c r="KNE6" s="622"/>
      <c r="KNF6" s="622"/>
      <c r="KNG6" s="622"/>
      <c r="KNH6" s="622"/>
      <c r="KNI6" s="622"/>
      <c r="KNJ6" s="622"/>
      <c r="KNK6" s="622"/>
      <c r="KNL6" s="622"/>
      <c r="KNM6" s="622"/>
      <c r="KNN6" s="622"/>
      <c r="KNO6" s="622"/>
      <c r="KNP6" s="622"/>
      <c r="KNQ6" s="622"/>
      <c r="KNR6" s="622"/>
      <c r="KNS6" s="622"/>
      <c r="KNT6" s="622"/>
      <c r="KNU6" s="622"/>
      <c r="KNV6" s="622"/>
      <c r="KNW6" s="622"/>
      <c r="KNX6" s="622"/>
      <c r="KNY6" s="622"/>
      <c r="KNZ6" s="622"/>
      <c r="KOA6" s="622"/>
      <c r="KOB6" s="622"/>
      <c r="KOC6" s="622"/>
      <c r="KOD6" s="622"/>
      <c r="KOE6" s="622"/>
      <c r="KOF6" s="622"/>
      <c r="KOG6" s="622"/>
      <c r="KOH6" s="622"/>
      <c r="KOI6" s="622"/>
      <c r="KOJ6" s="622"/>
      <c r="KOK6" s="622"/>
      <c r="KOL6" s="622"/>
      <c r="KOM6" s="622"/>
      <c r="KON6" s="622"/>
      <c r="KOO6" s="622"/>
      <c r="KOP6" s="622"/>
      <c r="KOQ6" s="622"/>
      <c r="KOR6" s="622"/>
      <c r="KOS6" s="622"/>
      <c r="KOT6" s="622"/>
      <c r="KOU6" s="622"/>
      <c r="KOV6" s="622"/>
      <c r="KOW6" s="622"/>
      <c r="KOX6" s="622"/>
      <c r="KOY6" s="622"/>
      <c r="KOZ6" s="622"/>
      <c r="KPA6" s="622"/>
      <c r="KPB6" s="622"/>
      <c r="KPC6" s="622"/>
      <c r="KPD6" s="622"/>
      <c r="KPE6" s="622"/>
      <c r="KPF6" s="622"/>
      <c r="KPG6" s="622"/>
      <c r="KPH6" s="622"/>
      <c r="KPI6" s="622"/>
      <c r="KPJ6" s="622"/>
      <c r="KPK6" s="622"/>
      <c r="KPL6" s="622"/>
      <c r="KPM6" s="622"/>
      <c r="KPN6" s="622"/>
      <c r="KPO6" s="622"/>
      <c r="KPP6" s="622"/>
      <c r="KPQ6" s="622"/>
      <c r="KPR6" s="622"/>
      <c r="KPS6" s="622"/>
      <c r="KPT6" s="622"/>
      <c r="KPU6" s="622"/>
      <c r="KPV6" s="622"/>
      <c r="KPW6" s="622"/>
      <c r="KPX6" s="622"/>
      <c r="KPY6" s="622"/>
      <c r="KPZ6" s="622"/>
      <c r="KQA6" s="622"/>
      <c r="KQB6" s="622"/>
      <c r="KQC6" s="622"/>
      <c r="KQD6" s="622"/>
      <c r="KQE6" s="622"/>
      <c r="KQF6" s="622"/>
      <c r="KQG6" s="622"/>
      <c r="KQH6" s="622"/>
      <c r="KQI6" s="622"/>
      <c r="KQJ6" s="622"/>
      <c r="KQK6" s="622"/>
      <c r="KQL6" s="622"/>
      <c r="KQM6" s="622"/>
      <c r="KQN6" s="622"/>
      <c r="KQO6" s="622"/>
      <c r="KQP6" s="622"/>
      <c r="KQQ6" s="622"/>
      <c r="KQR6" s="622"/>
      <c r="KQS6" s="622"/>
      <c r="KQT6" s="622"/>
      <c r="KQU6" s="622"/>
      <c r="KQV6" s="622"/>
      <c r="KQW6" s="622"/>
      <c r="KQX6" s="622"/>
      <c r="KQY6" s="622"/>
      <c r="KQZ6" s="622"/>
      <c r="KRA6" s="622"/>
      <c r="KRB6" s="622"/>
      <c r="KRC6" s="622"/>
      <c r="KRD6" s="622"/>
      <c r="KRE6" s="622"/>
      <c r="KRF6" s="622"/>
      <c r="KRG6" s="622"/>
      <c r="KRH6" s="622"/>
      <c r="KRI6" s="622"/>
      <c r="KRJ6" s="622"/>
      <c r="KRK6" s="622"/>
      <c r="KRL6" s="622"/>
      <c r="KRM6" s="622"/>
      <c r="KRN6" s="622"/>
      <c r="KRO6" s="622"/>
      <c r="KRP6" s="622"/>
      <c r="KRQ6" s="622"/>
      <c r="KRR6" s="622"/>
      <c r="KRS6" s="622"/>
      <c r="KRT6" s="622"/>
      <c r="KRU6" s="622"/>
      <c r="KRV6" s="622"/>
      <c r="KRW6" s="622"/>
      <c r="KRX6" s="622"/>
      <c r="KRY6" s="622"/>
      <c r="KRZ6" s="622"/>
      <c r="KSA6" s="622"/>
      <c r="KSB6" s="622"/>
      <c r="KSC6" s="622"/>
      <c r="KSD6" s="622"/>
      <c r="KSE6" s="622"/>
      <c r="KSF6" s="622"/>
      <c r="KSG6" s="622"/>
      <c r="KSH6" s="622"/>
      <c r="KSI6" s="622"/>
      <c r="KSJ6" s="622"/>
      <c r="KSK6" s="622"/>
      <c r="KSL6" s="622"/>
      <c r="KSM6" s="622"/>
      <c r="KSN6" s="622"/>
      <c r="KSO6" s="622"/>
      <c r="KSP6" s="622"/>
      <c r="KSQ6" s="622"/>
      <c r="KSR6" s="622"/>
      <c r="KSS6" s="622"/>
      <c r="KST6" s="622"/>
      <c r="KSU6" s="622"/>
      <c r="KSV6" s="622"/>
      <c r="KSW6" s="622"/>
      <c r="KSX6" s="622"/>
      <c r="KSY6" s="622"/>
      <c r="KSZ6" s="622"/>
      <c r="KTA6" s="622"/>
      <c r="KTB6" s="622"/>
      <c r="KTC6" s="622"/>
      <c r="KTD6" s="622"/>
      <c r="KTE6" s="622"/>
      <c r="KTF6" s="622"/>
      <c r="KTG6" s="622"/>
      <c r="KTH6" s="622"/>
      <c r="KTI6" s="622"/>
      <c r="KTJ6" s="622"/>
      <c r="KTK6" s="622"/>
      <c r="KTL6" s="622"/>
      <c r="KTM6" s="622"/>
      <c r="KTN6" s="622"/>
      <c r="KTO6" s="622"/>
      <c r="KTP6" s="622"/>
      <c r="KTQ6" s="622"/>
      <c r="KTR6" s="622"/>
      <c r="KTS6" s="622"/>
      <c r="KTT6" s="622"/>
      <c r="KTU6" s="622"/>
      <c r="KTV6" s="622"/>
      <c r="KTW6" s="622"/>
      <c r="KTX6" s="622"/>
      <c r="KTY6" s="622"/>
      <c r="KTZ6" s="622"/>
      <c r="KUA6" s="622"/>
      <c r="KUB6" s="622"/>
      <c r="KUC6" s="622"/>
      <c r="KUD6" s="622"/>
      <c r="KUE6" s="622"/>
      <c r="KUF6" s="622"/>
      <c r="KUG6" s="622"/>
      <c r="KUH6" s="622"/>
      <c r="KUI6" s="622"/>
      <c r="KUJ6" s="622"/>
      <c r="KUK6" s="622"/>
      <c r="KUL6" s="622"/>
      <c r="KUM6" s="622"/>
      <c r="KUN6" s="622"/>
      <c r="KUO6" s="622"/>
      <c r="KUP6" s="622"/>
      <c r="KUQ6" s="622"/>
      <c r="KUR6" s="622"/>
      <c r="KUS6" s="622"/>
      <c r="KUT6" s="622"/>
      <c r="KUU6" s="622"/>
      <c r="KUV6" s="622"/>
      <c r="KUW6" s="622"/>
      <c r="KUX6" s="622"/>
      <c r="KUY6" s="622"/>
      <c r="KUZ6" s="622"/>
      <c r="KVA6" s="622"/>
      <c r="KVB6" s="622"/>
      <c r="KVC6" s="622"/>
      <c r="KVD6" s="622"/>
      <c r="KVE6" s="622"/>
      <c r="KVF6" s="622"/>
      <c r="KVG6" s="622"/>
      <c r="KVH6" s="622"/>
      <c r="KVI6" s="622"/>
      <c r="KVJ6" s="622"/>
      <c r="KVK6" s="622"/>
      <c r="KVL6" s="622"/>
      <c r="KVM6" s="622"/>
      <c r="KVN6" s="622"/>
      <c r="KVO6" s="622"/>
      <c r="KVP6" s="622"/>
      <c r="KVQ6" s="622"/>
      <c r="KVR6" s="622"/>
      <c r="KVS6" s="622"/>
      <c r="KVT6" s="622"/>
      <c r="KVU6" s="622"/>
      <c r="KVV6" s="622"/>
      <c r="KVW6" s="622"/>
      <c r="KVX6" s="622"/>
      <c r="KVY6" s="622"/>
      <c r="KVZ6" s="622"/>
      <c r="KWA6" s="622"/>
      <c r="KWB6" s="622"/>
      <c r="KWC6" s="622"/>
      <c r="KWD6" s="622"/>
      <c r="KWE6" s="622"/>
      <c r="KWF6" s="622"/>
      <c r="KWG6" s="622"/>
      <c r="KWH6" s="622"/>
      <c r="KWI6" s="622"/>
      <c r="KWJ6" s="622"/>
      <c r="KWK6" s="622"/>
      <c r="KWL6" s="622"/>
      <c r="KWM6" s="622"/>
      <c r="KWN6" s="622"/>
      <c r="KWO6" s="622"/>
      <c r="KWP6" s="622"/>
      <c r="KWQ6" s="622"/>
      <c r="KWR6" s="622"/>
      <c r="KWS6" s="622"/>
      <c r="KWT6" s="622"/>
      <c r="KWU6" s="622"/>
      <c r="KWV6" s="622"/>
      <c r="KWW6" s="622"/>
      <c r="KWX6" s="622"/>
      <c r="KWY6" s="622"/>
      <c r="KWZ6" s="622"/>
      <c r="KXA6" s="622"/>
      <c r="KXB6" s="622"/>
      <c r="KXC6" s="622"/>
      <c r="KXD6" s="622"/>
      <c r="KXE6" s="622"/>
      <c r="KXF6" s="622"/>
      <c r="KXG6" s="622"/>
      <c r="KXH6" s="622"/>
      <c r="KXI6" s="622"/>
      <c r="KXJ6" s="622"/>
      <c r="KXK6" s="622"/>
      <c r="KXL6" s="622"/>
      <c r="KXM6" s="622"/>
      <c r="KXN6" s="622"/>
      <c r="KXO6" s="622"/>
      <c r="KXP6" s="622"/>
      <c r="KXQ6" s="622"/>
      <c r="KXR6" s="622"/>
      <c r="KXS6" s="622"/>
      <c r="KXT6" s="622"/>
      <c r="KXU6" s="622"/>
      <c r="KXV6" s="622"/>
      <c r="KXW6" s="622"/>
      <c r="KXX6" s="622"/>
      <c r="KXY6" s="622"/>
      <c r="KXZ6" s="622"/>
      <c r="KYA6" s="622"/>
      <c r="KYB6" s="622"/>
      <c r="KYC6" s="622"/>
      <c r="KYD6" s="622"/>
      <c r="KYE6" s="622"/>
      <c r="KYF6" s="622"/>
      <c r="KYG6" s="622"/>
      <c r="KYH6" s="622"/>
      <c r="KYI6" s="622"/>
      <c r="KYJ6" s="622"/>
      <c r="KYK6" s="622"/>
      <c r="KYL6" s="622"/>
      <c r="KYM6" s="622"/>
      <c r="KYN6" s="622"/>
      <c r="KYO6" s="622"/>
      <c r="KYP6" s="622"/>
      <c r="KYQ6" s="622"/>
      <c r="KYR6" s="622"/>
      <c r="KYS6" s="622"/>
      <c r="KYT6" s="622"/>
      <c r="KYU6" s="622"/>
      <c r="KYV6" s="622"/>
      <c r="KYW6" s="622"/>
      <c r="KYX6" s="622"/>
      <c r="KYY6" s="622"/>
      <c r="KYZ6" s="622"/>
      <c r="KZA6" s="622"/>
      <c r="KZB6" s="622"/>
      <c r="KZC6" s="622"/>
      <c r="KZD6" s="622"/>
      <c r="KZE6" s="622"/>
      <c r="KZF6" s="622"/>
      <c r="KZG6" s="622"/>
      <c r="KZH6" s="622"/>
      <c r="KZI6" s="622"/>
      <c r="KZJ6" s="622"/>
      <c r="KZK6" s="622"/>
      <c r="KZL6" s="622"/>
      <c r="KZM6" s="622"/>
      <c r="KZN6" s="622"/>
      <c r="KZO6" s="622"/>
      <c r="KZP6" s="622"/>
      <c r="KZQ6" s="622"/>
      <c r="KZR6" s="622"/>
      <c r="KZS6" s="622"/>
      <c r="KZT6" s="622"/>
      <c r="KZU6" s="622"/>
      <c r="KZV6" s="622"/>
      <c r="KZW6" s="622"/>
      <c r="KZX6" s="622"/>
      <c r="KZY6" s="622"/>
      <c r="KZZ6" s="622"/>
      <c r="LAA6" s="622"/>
      <c r="LAB6" s="622"/>
      <c r="LAC6" s="622"/>
      <c r="LAD6" s="622"/>
      <c r="LAE6" s="622"/>
      <c r="LAF6" s="622"/>
      <c r="LAG6" s="622"/>
      <c r="LAH6" s="622"/>
      <c r="LAI6" s="622"/>
      <c r="LAJ6" s="622"/>
      <c r="LAK6" s="622"/>
      <c r="LAL6" s="622"/>
      <c r="LAM6" s="622"/>
      <c r="LAN6" s="622"/>
      <c r="LAO6" s="622"/>
      <c r="LAP6" s="622"/>
      <c r="LAQ6" s="622"/>
      <c r="LAR6" s="622"/>
      <c r="LAS6" s="622"/>
      <c r="LAT6" s="622"/>
      <c r="LAU6" s="622"/>
      <c r="LAV6" s="622"/>
      <c r="LAW6" s="622"/>
      <c r="LAX6" s="622"/>
      <c r="LAY6" s="622"/>
      <c r="LAZ6" s="622"/>
      <c r="LBA6" s="622"/>
      <c r="LBB6" s="622"/>
      <c r="LBC6" s="622"/>
      <c r="LBD6" s="622"/>
      <c r="LBE6" s="622"/>
      <c r="LBF6" s="622"/>
      <c r="LBG6" s="622"/>
      <c r="LBH6" s="622"/>
      <c r="LBI6" s="622"/>
      <c r="LBJ6" s="622"/>
      <c r="LBK6" s="622"/>
      <c r="LBL6" s="622"/>
      <c r="LBM6" s="622"/>
      <c r="LBN6" s="622"/>
      <c r="LBO6" s="622"/>
      <c r="LBP6" s="622"/>
      <c r="LBQ6" s="622"/>
      <c r="LBR6" s="622"/>
      <c r="LBS6" s="622"/>
      <c r="LBT6" s="622"/>
      <c r="LBU6" s="622"/>
      <c r="LBV6" s="622"/>
      <c r="LBW6" s="622"/>
      <c r="LBX6" s="622"/>
      <c r="LBY6" s="622"/>
      <c r="LBZ6" s="622"/>
      <c r="LCA6" s="622"/>
      <c r="LCB6" s="622"/>
      <c r="LCC6" s="622"/>
      <c r="LCD6" s="622"/>
      <c r="LCE6" s="622"/>
      <c r="LCF6" s="622"/>
      <c r="LCG6" s="622"/>
      <c r="LCH6" s="622"/>
      <c r="LCI6" s="622"/>
      <c r="LCJ6" s="622"/>
      <c r="LCK6" s="622"/>
      <c r="LCL6" s="622"/>
      <c r="LCM6" s="622"/>
      <c r="LCN6" s="622"/>
      <c r="LCO6" s="622"/>
      <c r="LCP6" s="622"/>
      <c r="LCQ6" s="622"/>
      <c r="LCR6" s="622"/>
      <c r="LCS6" s="622"/>
      <c r="LCT6" s="622"/>
      <c r="LCU6" s="622"/>
      <c r="LCV6" s="622"/>
      <c r="LCW6" s="622"/>
      <c r="LCX6" s="622"/>
      <c r="LCY6" s="622"/>
      <c r="LCZ6" s="622"/>
      <c r="LDA6" s="622"/>
      <c r="LDB6" s="622"/>
      <c r="LDC6" s="622"/>
      <c r="LDD6" s="622"/>
      <c r="LDE6" s="622"/>
      <c r="LDF6" s="622"/>
      <c r="LDG6" s="622"/>
      <c r="LDH6" s="622"/>
      <c r="LDI6" s="622"/>
      <c r="LDJ6" s="622"/>
      <c r="LDK6" s="622"/>
      <c r="LDL6" s="622"/>
      <c r="LDM6" s="622"/>
      <c r="LDN6" s="622"/>
      <c r="LDO6" s="622"/>
      <c r="LDP6" s="622"/>
      <c r="LDQ6" s="622"/>
      <c r="LDR6" s="622"/>
      <c r="LDS6" s="622"/>
      <c r="LDT6" s="622"/>
      <c r="LDU6" s="622"/>
      <c r="LDV6" s="622"/>
      <c r="LDW6" s="622"/>
      <c r="LDX6" s="622"/>
      <c r="LDY6" s="622"/>
      <c r="LDZ6" s="622"/>
      <c r="LEA6" s="622"/>
      <c r="LEB6" s="622"/>
      <c r="LEC6" s="622"/>
      <c r="LED6" s="622"/>
      <c r="LEE6" s="622"/>
      <c r="LEF6" s="622"/>
      <c r="LEG6" s="622"/>
      <c r="LEH6" s="622"/>
      <c r="LEI6" s="622"/>
      <c r="LEJ6" s="622"/>
      <c r="LEK6" s="622"/>
      <c r="LEL6" s="622"/>
      <c r="LEM6" s="622"/>
      <c r="LEN6" s="622"/>
      <c r="LEO6" s="622"/>
      <c r="LEP6" s="622"/>
      <c r="LEQ6" s="622"/>
      <c r="LER6" s="622"/>
      <c r="LES6" s="622"/>
      <c r="LET6" s="622"/>
      <c r="LEU6" s="622"/>
      <c r="LEV6" s="622"/>
      <c r="LEW6" s="622"/>
      <c r="LEX6" s="622"/>
      <c r="LEY6" s="622"/>
      <c r="LEZ6" s="622"/>
      <c r="LFA6" s="622"/>
      <c r="LFB6" s="622"/>
      <c r="LFC6" s="622"/>
      <c r="LFD6" s="622"/>
      <c r="LFE6" s="622"/>
      <c r="LFF6" s="622"/>
      <c r="LFG6" s="622"/>
      <c r="LFH6" s="622"/>
      <c r="LFI6" s="622"/>
      <c r="LFJ6" s="622"/>
      <c r="LFK6" s="622"/>
      <c r="LFL6" s="622"/>
      <c r="LFM6" s="622"/>
      <c r="LFN6" s="622"/>
      <c r="LFO6" s="622"/>
      <c r="LFP6" s="622"/>
      <c r="LFQ6" s="622"/>
      <c r="LFR6" s="622"/>
      <c r="LFS6" s="622"/>
      <c r="LFT6" s="622"/>
      <c r="LFU6" s="622"/>
      <c r="LFV6" s="622"/>
      <c r="LFW6" s="622"/>
      <c r="LFX6" s="622"/>
      <c r="LFY6" s="622"/>
      <c r="LFZ6" s="622"/>
      <c r="LGA6" s="622"/>
      <c r="LGB6" s="622"/>
      <c r="LGC6" s="622"/>
      <c r="LGD6" s="622"/>
      <c r="LGE6" s="622"/>
      <c r="LGF6" s="622"/>
      <c r="LGG6" s="622"/>
      <c r="LGH6" s="622"/>
      <c r="LGI6" s="622"/>
      <c r="LGJ6" s="622"/>
      <c r="LGK6" s="622"/>
      <c r="LGL6" s="622"/>
      <c r="LGM6" s="622"/>
      <c r="LGN6" s="622"/>
      <c r="LGO6" s="622"/>
      <c r="LGP6" s="622"/>
      <c r="LGQ6" s="622"/>
      <c r="LGR6" s="622"/>
      <c r="LGS6" s="622"/>
      <c r="LGT6" s="622"/>
      <c r="LGU6" s="622"/>
      <c r="LGV6" s="622"/>
      <c r="LGW6" s="622"/>
      <c r="LGX6" s="622"/>
      <c r="LGY6" s="622"/>
      <c r="LGZ6" s="622"/>
      <c r="LHA6" s="622"/>
      <c r="LHB6" s="622"/>
      <c r="LHC6" s="622"/>
      <c r="LHD6" s="622"/>
      <c r="LHE6" s="622"/>
      <c r="LHF6" s="622"/>
      <c r="LHG6" s="622"/>
      <c r="LHH6" s="622"/>
      <c r="LHI6" s="622"/>
      <c r="LHJ6" s="622"/>
      <c r="LHK6" s="622"/>
      <c r="LHL6" s="622"/>
      <c r="LHM6" s="622"/>
      <c r="LHN6" s="622"/>
      <c r="LHO6" s="622"/>
      <c r="LHP6" s="622"/>
      <c r="LHQ6" s="622"/>
      <c r="LHR6" s="622"/>
      <c r="LHS6" s="622"/>
      <c r="LHT6" s="622"/>
      <c r="LHU6" s="622"/>
      <c r="LHV6" s="622"/>
      <c r="LHW6" s="622"/>
      <c r="LHX6" s="622"/>
      <c r="LHY6" s="622"/>
      <c r="LHZ6" s="622"/>
      <c r="LIA6" s="622"/>
      <c r="LIB6" s="622"/>
      <c r="LIC6" s="622"/>
      <c r="LID6" s="622"/>
      <c r="LIE6" s="622"/>
      <c r="LIF6" s="622"/>
      <c r="LIG6" s="622"/>
      <c r="LIH6" s="622"/>
      <c r="LII6" s="622"/>
      <c r="LIJ6" s="622"/>
      <c r="LIK6" s="622"/>
      <c r="LIL6" s="622"/>
      <c r="LIM6" s="622"/>
      <c r="LIN6" s="622"/>
      <c r="LIO6" s="622"/>
      <c r="LIP6" s="622"/>
      <c r="LIQ6" s="622"/>
      <c r="LIR6" s="622"/>
      <c r="LIS6" s="622"/>
      <c r="LIT6" s="622"/>
      <c r="LIU6" s="622"/>
      <c r="LIV6" s="622"/>
      <c r="LIW6" s="622"/>
      <c r="LIX6" s="622"/>
      <c r="LIY6" s="622"/>
      <c r="LIZ6" s="622"/>
      <c r="LJA6" s="622"/>
      <c r="LJB6" s="622"/>
      <c r="LJC6" s="622"/>
      <c r="LJD6" s="622"/>
      <c r="LJE6" s="622"/>
      <c r="LJF6" s="622"/>
      <c r="LJG6" s="622"/>
      <c r="LJH6" s="622"/>
      <c r="LJI6" s="622"/>
      <c r="LJJ6" s="622"/>
      <c r="LJK6" s="622"/>
      <c r="LJL6" s="622"/>
      <c r="LJM6" s="622"/>
      <c r="LJN6" s="622"/>
      <c r="LJO6" s="622"/>
      <c r="LJP6" s="622"/>
      <c r="LJQ6" s="622"/>
      <c r="LJR6" s="622"/>
      <c r="LJS6" s="622"/>
      <c r="LJT6" s="622"/>
      <c r="LJU6" s="622"/>
      <c r="LJV6" s="622"/>
      <c r="LJW6" s="622"/>
      <c r="LJX6" s="622"/>
      <c r="LJY6" s="622"/>
      <c r="LJZ6" s="622"/>
      <c r="LKA6" s="622"/>
      <c r="LKB6" s="622"/>
      <c r="LKC6" s="622"/>
      <c r="LKD6" s="622"/>
      <c r="LKE6" s="622"/>
      <c r="LKF6" s="622"/>
      <c r="LKG6" s="622"/>
      <c r="LKH6" s="622"/>
      <c r="LKI6" s="622"/>
      <c r="LKJ6" s="622"/>
      <c r="LKK6" s="622"/>
      <c r="LKL6" s="622"/>
      <c r="LKM6" s="622"/>
      <c r="LKN6" s="622"/>
      <c r="LKO6" s="622"/>
      <c r="LKP6" s="622"/>
      <c r="LKQ6" s="622"/>
      <c r="LKR6" s="622"/>
      <c r="LKS6" s="622"/>
      <c r="LKT6" s="622"/>
      <c r="LKU6" s="622"/>
      <c r="LKV6" s="622"/>
      <c r="LKW6" s="622"/>
      <c r="LKX6" s="622"/>
      <c r="LKY6" s="622"/>
      <c r="LKZ6" s="622"/>
      <c r="LLA6" s="622"/>
      <c r="LLB6" s="622"/>
      <c r="LLC6" s="622"/>
      <c r="LLD6" s="622"/>
      <c r="LLE6" s="622"/>
      <c r="LLF6" s="622"/>
      <c r="LLG6" s="622"/>
      <c r="LLH6" s="622"/>
      <c r="LLI6" s="622"/>
      <c r="LLJ6" s="622"/>
      <c r="LLK6" s="622"/>
      <c r="LLL6" s="622"/>
      <c r="LLM6" s="622"/>
      <c r="LLN6" s="622"/>
      <c r="LLO6" s="622"/>
      <c r="LLP6" s="622"/>
      <c r="LLQ6" s="622"/>
      <c r="LLR6" s="622"/>
      <c r="LLS6" s="622"/>
      <c r="LLT6" s="622"/>
      <c r="LLU6" s="622"/>
      <c r="LLV6" s="622"/>
      <c r="LLW6" s="622"/>
      <c r="LLX6" s="622"/>
      <c r="LLY6" s="622"/>
      <c r="LLZ6" s="622"/>
      <c r="LMA6" s="622"/>
      <c r="LMB6" s="622"/>
      <c r="LMC6" s="622"/>
      <c r="LMD6" s="622"/>
      <c r="LME6" s="622"/>
      <c r="LMF6" s="622"/>
      <c r="LMG6" s="622"/>
      <c r="LMH6" s="622"/>
      <c r="LMI6" s="622"/>
      <c r="LMJ6" s="622"/>
      <c r="LMK6" s="622"/>
      <c r="LML6" s="622"/>
      <c r="LMM6" s="622"/>
      <c r="LMN6" s="622"/>
      <c r="LMO6" s="622"/>
      <c r="LMP6" s="622"/>
      <c r="LMQ6" s="622"/>
      <c r="LMR6" s="622"/>
      <c r="LMS6" s="622"/>
      <c r="LMT6" s="622"/>
      <c r="LMU6" s="622"/>
      <c r="LMV6" s="622"/>
      <c r="LMW6" s="622"/>
      <c r="LMX6" s="622"/>
      <c r="LMY6" s="622"/>
      <c r="LMZ6" s="622"/>
      <c r="LNA6" s="622"/>
      <c r="LNB6" s="622"/>
      <c r="LNC6" s="622"/>
      <c r="LND6" s="622"/>
      <c r="LNE6" s="622"/>
      <c r="LNF6" s="622"/>
      <c r="LNG6" s="622"/>
      <c r="LNH6" s="622"/>
      <c r="LNI6" s="622"/>
      <c r="LNJ6" s="622"/>
      <c r="LNK6" s="622"/>
      <c r="LNL6" s="622"/>
      <c r="LNM6" s="622"/>
      <c r="LNN6" s="622"/>
      <c r="LNO6" s="622"/>
      <c r="LNP6" s="622"/>
      <c r="LNQ6" s="622"/>
      <c r="LNR6" s="622"/>
      <c r="LNS6" s="622"/>
      <c r="LNT6" s="622"/>
      <c r="LNU6" s="622"/>
      <c r="LNV6" s="622"/>
      <c r="LNW6" s="622"/>
      <c r="LNX6" s="622"/>
      <c r="LNY6" s="622"/>
      <c r="LNZ6" s="622"/>
      <c r="LOA6" s="622"/>
      <c r="LOB6" s="622"/>
      <c r="LOC6" s="622"/>
      <c r="LOD6" s="622"/>
      <c r="LOE6" s="622"/>
      <c r="LOF6" s="622"/>
      <c r="LOG6" s="622"/>
      <c r="LOH6" s="622"/>
      <c r="LOI6" s="622"/>
      <c r="LOJ6" s="622"/>
      <c r="LOK6" s="622"/>
      <c r="LOL6" s="622"/>
      <c r="LOM6" s="622"/>
      <c r="LON6" s="622"/>
      <c r="LOO6" s="622"/>
      <c r="LOP6" s="622"/>
      <c r="LOQ6" s="622"/>
      <c r="LOR6" s="622"/>
      <c r="LOS6" s="622"/>
      <c r="LOT6" s="622"/>
      <c r="LOU6" s="622"/>
      <c r="LOV6" s="622"/>
      <c r="LOW6" s="622"/>
      <c r="LOX6" s="622"/>
      <c r="LOY6" s="622"/>
      <c r="LOZ6" s="622"/>
      <c r="LPA6" s="622"/>
      <c r="LPB6" s="622"/>
      <c r="LPC6" s="622"/>
      <c r="LPD6" s="622"/>
      <c r="LPE6" s="622"/>
      <c r="LPF6" s="622"/>
      <c r="LPG6" s="622"/>
      <c r="LPH6" s="622"/>
      <c r="LPI6" s="622"/>
      <c r="LPJ6" s="622"/>
      <c r="LPK6" s="622"/>
      <c r="LPL6" s="622"/>
      <c r="LPM6" s="622"/>
      <c r="LPN6" s="622"/>
      <c r="LPO6" s="622"/>
      <c r="LPP6" s="622"/>
      <c r="LPQ6" s="622"/>
      <c r="LPR6" s="622"/>
      <c r="LPS6" s="622"/>
      <c r="LPT6" s="622"/>
      <c r="LPU6" s="622"/>
      <c r="LPV6" s="622"/>
      <c r="LPW6" s="622"/>
      <c r="LPX6" s="622"/>
      <c r="LPY6" s="622"/>
      <c r="LPZ6" s="622"/>
      <c r="LQA6" s="622"/>
      <c r="LQB6" s="622"/>
      <c r="LQC6" s="622"/>
      <c r="LQD6" s="622"/>
      <c r="LQE6" s="622"/>
      <c r="LQF6" s="622"/>
      <c r="LQG6" s="622"/>
      <c r="LQH6" s="622"/>
      <c r="LQI6" s="622"/>
      <c r="LQJ6" s="622"/>
      <c r="LQK6" s="622"/>
      <c r="LQL6" s="622"/>
      <c r="LQM6" s="622"/>
      <c r="LQN6" s="622"/>
      <c r="LQO6" s="622"/>
      <c r="LQP6" s="622"/>
      <c r="LQQ6" s="622"/>
      <c r="LQR6" s="622"/>
      <c r="LQS6" s="622"/>
      <c r="LQT6" s="622"/>
      <c r="LQU6" s="622"/>
      <c r="LQV6" s="622"/>
      <c r="LQW6" s="622"/>
      <c r="LQX6" s="622"/>
      <c r="LQY6" s="622"/>
      <c r="LQZ6" s="622"/>
      <c r="LRA6" s="622"/>
      <c r="LRB6" s="622"/>
      <c r="LRC6" s="622"/>
      <c r="LRD6" s="622"/>
      <c r="LRE6" s="622"/>
      <c r="LRF6" s="622"/>
      <c r="LRG6" s="622"/>
      <c r="LRH6" s="622"/>
      <c r="LRI6" s="622"/>
      <c r="LRJ6" s="622"/>
      <c r="LRK6" s="622"/>
      <c r="LRL6" s="622"/>
      <c r="LRM6" s="622"/>
      <c r="LRN6" s="622"/>
      <c r="LRO6" s="622"/>
      <c r="LRP6" s="622"/>
      <c r="LRQ6" s="622"/>
      <c r="LRR6" s="622"/>
      <c r="LRS6" s="622"/>
      <c r="LRT6" s="622"/>
      <c r="LRU6" s="622"/>
      <c r="LRV6" s="622"/>
      <c r="LRW6" s="622"/>
      <c r="LRX6" s="622"/>
      <c r="LRY6" s="622"/>
      <c r="LRZ6" s="622"/>
      <c r="LSA6" s="622"/>
      <c r="LSB6" s="622"/>
      <c r="LSC6" s="622"/>
      <c r="LSD6" s="622"/>
      <c r="LSE6" s="622"/>
      <c r="LSF6" s="622"/>
      <c r="LSG6" s="622"/>
      <c r="LSH6" s="622"/>
      <c r="LSI6" s="622"/>
      <c r="LSJ6" s="622"/>
      <c r="LSK6" s="622"/>
      <c r="LSL6" s="622"/>
      <c r="LSM6" s="622"/>
      <c r="LSN6" s="622"/>
      <c r="LSO6" s="622"/>
      <c r="LSP6" s="622"/>
      <c r="LSQ6" s="622"/>
      <c r="LSR6" s="622"/>
      <c r="LSS6" s="622"/>
      <c r="LST6" s="622"/>
      <c r="LSU6" s="622"/>
      <c r="LSV6" s="622"/>
      <c r="LSW6" s="622"/>
      <c r="LSX6" s="622"/>
      <c r="LSY6" s="622"/>
      <c r="LSZ6" s="622"/>
      <c r="LTA6" s="622"/>
      <c r="LTB6" s="622"/>
      <c r="LTC6" s="622"/>
      <c r="LTD6" s="622"/>
      <c r="LTE6" s="622"/>
      <c r="LTF6" s="622"/>
      <c r="LTG6" s="622"/>
      <c r="LTH6" s="622"/>
      <c r="LTI6" s="622"/>
      <c r="LTJ6" s="622"/>
      <c r="LTK6" s="622"/>
      <c r="LTL6" s="622"/>
      <c r="LTM6" s="622"/>
      <c r="LTN6" s="622"/>
      <c r="LTO6" s="622"/>
      <c r="LTP6" s="622"/>
      <c r="LTQ6" s="622"/>
      <c r="LTR6" s="622"/>
      <c r="LTS6" s="622"/>
      <c r="LTT6" s="622"/>
      <c r="LTU6" s="622"/>
      <c r="LTV6" s="622"/>
      <c r="LTW6" s="622"/>
      <c r="LTX6" s="622"/>
      <c r="LTY6" s="622"/>
      <c r="LTZ6" s="622"/>
      <c r="LUA6" s="622"/>
      <c r="LUB6" s="622"/>
      <c r="LUC6" s="622"/>
      <c r="LUD6" s="622"/>
      <c r="LUE6" s="622"/>
      <c r="LUF6" s="622"/>
      <c r="LUG6" s="622"/>
      <c r="LUH6" s="622"/>
      <c r="LUI6" s="622"/>
      <c r="LUJ6" s="622"/>
      <c r="LUK6" s="622"/>
      <c r="LUL6" s="622"/>
      <c r="LUM6" s="622"/>
      <c r="LUN6" s="622"/>
      <c r="LUO6" s="622"/>
      <c r="LUP6" s="622"/>
      <c r="LUQ6" s="622"/>
      <c r="LUR6" s="622"/>
      <c r="LUS6" s="622"/>
      <c r="LUT6" s="622"/>
      <c r="LUU6" s="622"/>
      <c r="LUV6" s="622"/>
      <c r="LUW6" s="622"/>
      <c r="LUX6" s="622"/>
      <c r="LUY6" s="622"/>
      <c r="LUZ6" s="622"/>
      <c r="LVA6" s="622"/>
      <c r="LVB6" s="622"/>
      <c r="LVC6" s="622"/>
      <c r="LVD6" s="622"/>
      <c r="LVE6" s="622"/>
      <c r="LVF6" s="622"/>
      <c r="LVG6" s="622"/>
      <c r="LVH6" s="622"/>
      <c r="LVI6" s="622"/>
      <c r="LVJ6" s="622"/>
      <c r="LVK6" s="622"/>
      <c r="LVL6" s="622"/>
      <c r="LVM6" s="622"/>
      <c r="LVN6" s="622"/>
      <c r="LVO6" s="622"/>
      <c r="LVP6" s="622"/>
      <c r="LVQ6" s="622"/>
      <c r="LVR6" s="622"/>
      <c r="LVS6" s="622"/>
      <c r="LVT6" s="622"/>
      <c r="LVU6" s="622"/>
      <c r="LVV6" s="622"/>
      <c r="LVW6" s="622"/>
      <c r="LVX6" s="622"/>
      <c r="LVY6" s="622"/>
      <c r="LVZ6" s="622"/>
      <c r="LWA6" s="622"/>
      <c r="LWB6" s="622"/>
      <c r="LWC6" s="622"/>
      <c r="LWD6" s="622"/>
      <c r="LWE6" s="622"/>
      <c r="LWF6" s="622"/>
      <c r="LWG6" s="622"/>
      <c r="LWH6" s="622"/>
      <c r="LWI6" s="622"/>
      <c r="LWJ6" s="622"/>
      <c r="LWK6" s="622"/>
      <c r="LWL6" s="622"/>
      <c r="LWM6" s="622"/>
      <c r="LWN6" s="622"/>
      <c r="LWO6" s="622"/>
      <c r="LWP6" s="622"/>
      <c r="LWQ6" s="622"/>
      <c r="LWR6" s="622"/>
      <c r="LWS6" s="622"/>
      <c r="LWT6" s="622"/>
      <c r="LWU6" s="622"/>
      <c r="LWV6" s="622"/>
      <c r="LWW6" s="622"/>
      <c r="LWX6" s="622"/>
      <c r="LWY6" s="622"/>
      <c r="LWZ6" s="622"/>
      <c r="LXA6" s="622"/>
      <c r="LXB6" s="622"/>
      <c r="LXC6" s="622"/>
      <c r="LXD6" s="622"/>
      <c r="LXE6" s="622"/>
      <c r="LXF6" s="622"/>
      <c r="LXG6" s="622"/>
      <c r="LXH6" s="622"/>
      <c r="LXI6" s="622"/>
      <c r="LXJ6" s="622"/>
      <c r="LXK6" s="622"/>
      <c r="LXL6" s="622"/>
      <c r="LXM6" s="622"/>
      <c r="LXN6" s="622"/>
      <c r="LXO6" s="622"/>
      <c r="LXP6" s="622"/>
      <c r="LXQ6" s="622"/>
      <c r="LXR6" s="622"/>
      <c r="LXS6" s="622"/>
      <c r="LXT6" s="622"/>
      <c r="LXU6" s="622"/>
      <c r="LXV6" s="622"/>
      <c r="LXW6" s="622"/>
      <c r="LXX6" s="622"/>
      <c r="LXY6" s="622"/>
      <c r="LXZ6" s="622"/>
      <c r="LYA6" s="622"/>
      <c r="LYB6" s="622"/>
      <c r="LYC6" s="622"/>
      <c r="LYD6" s="622"/>
      <c r="LYE6" s="622"/>
      <c r="LYF6" s="622"/>
      <c r="LYG6" s="622"/>
      <c r="LYH6" s="622"/>
      <c r="LYI6" s="622"/>
      <c r="LYJ6" s="622"/>
      <c r="LYK6" s="622"/>
      <c r="LYL6" s="622"/>
      <c r="LYM6" s="622"/>
      <c r="LYN6" s="622"/>
      <c r="LYO6" s="622"/>
      <c r="LYP6" s="622"/>
      <c r="LYQ6" s="622"/>
      <c r="LYR6" s="622"/>
      <c r="LYS6" s="622"/>
      <c r="LYT6" s="622"/>
      <c r="LYU6" s="622"/>
      <c r="LYV6" s="622"/>
      <c r="LYW6" s="622"/>
      <c r="LYX6" s="622"/>
      <c r="LYY6" s="622"/>
      <c r="LYZ6" s="622"/>
      <c r="LZA6" s="622"/>
      <c r="LZB6" s="622"/>
      <c r="LZC6" s="622"/>
      <c r="LZD6" s="622"/>
      <c r="LZE6" s="622"/>
      <c r="LZF6" s="622"/>
      <c r="LZG6" s="622"/>
      <c r="LZH6" s="622"/>
      <c r="LZI6" s="622"/>
      <c r="LZJ6" s="622"/>
      <c r="LZK6" s="622"/>
      <c r="LZL6" s="622"/>
      <c r="LZM6" s="622"/>
      <c r="LZN6" s="622"/>
      <c r="LZO6" s="622"/>
      <c r="LZP6" s="622"/>
      <c r="LZQ6" s="622"/>
      <c r="LZR6" s="622"/>
      <c r="LZS6" s="622"/>
      <c r="LZT6" s="622"/>
      <c r="LZU6" s="622"/>
      <c r="LZV6" s="622"/>
      <c r="LZW6" s="622"/>
      <c r="LZX6" s="622"/>
      <c r="LZY6" s="622"/>
      <c r="LZZ6" s="622"/>
      <c r="MAA6" s="622"/>
      <c r="MAB6" s="622"/>
      <c r="MAC6" s="622"/>
      <c r="MAD6" s="622"/>
      <c r="MAE6" s="622"/>
      <c r="MAF6" s="622"/>
      <c r="MAG6" s="622"/>
      <c r="MAH6" s="622"/>
      <c r="MAI6" s="622"/>
      <c r="MAJ6" s="622"/>
      <c r="MAK6" s="622"/>
      <c r="MAL6" s="622"/>
      <c r="MAM6" s="622"/>
      <c r="MAN6" s="622"/>
      <c r="MAO6" s="622"/>
      <c r="MAP6" s="622"/>
      <c r="MAQ6" s="622"/>
      <c r="MAR6" s="622"/>
      <c r="MAS6" s="622"/>
      <c r="MAT6" s="622"/>
      <c r="MAU6" s="622"/>
      <c r="MAV6" s="622"/>
      <c r="MAW6" s="622"/>
      <c r="MAX6" s="622"/>
      <c r="MAY6" s="622"/>
      <c r="MAZ6" s="622"/>
      <c r="MBA6" s="622"/>
      <c r="MBB6" s="622"/>
      <c r="MBC6" s="622"/>
      <c r="MBD6" s="622"/>
      <c r="MBE6" s="622"/>
      <c r="MBF6" s="622"/>
      <c r="MBG6" s="622"/>
      <c r="MBH6" s="622"/>
      <c r="MBI6" s="622"/>
      <c r="MBJ6" s="622"/>
      <c r="MBK6" s="622"/>
      <c r="MBL6" s="622"/>
      <c r="MBM6" s="622"/>
      <c r="MBN6" s="622"/>
      <c r="MBO6" s="622"/>
      <c r="MBP6" s="622"/>
      <c r="MBQ6" s="622"/>
      <c r="MBR6" s="622"/>
      <c r="MBS6" s="622"/>
      <c r="MBT6" s="622"/>
      <c r="MBU6" s="622"/>
      <c r="MBV6" s="622"/>
      <c r="MBW6" s="622"/>
      <c r="MBX6" s="622"/>
      <c r="MBY6" s="622"/>
      <c r="MBZ6" s="622"/>
      <c r="MCA6" s="622"/>
      <c r="MCB6" s="622"/>
      <c r="MCC6" s="622"/>
      <c r="MCD6" s="622"/>
      <c r="MCE6" s="622"/>
      <c r="MCF6" s="622"/>
      <c r="MCG6" s="622"/>
      <c r="MCH6" s="622"/>
      <c r="MCI6" s="622"/>
      <c r="MCJ6" s="622"/>
      <c r="MCK6" s="622"/>
      <c r="MCL6" s="622"/>
      <c r="MCM6" s="622"/>
      <c r="MCN6" s="622"/>
      <c r="MCO6" s="622"/>
      <c r="MCP6" s="622"/>
      <c r="MCQ6" s="622"/>
      <c r="MCR6" s="622"/>
      <c r="MCS6" s="622"/>
      <c r="MCT6" s="622"/>
      <c r="MCU6" s="622"/>
      <c r="MCV6" s="622"/>
      <c r="MCW6" s="622"/>
      <c r="MCX6" s="622"/>
      <c r="MCY6" s="622"/>
      <c r="MCZ6" s="622"/>
      <c r="MDA6" s="622"/>
      <c r="MDB6" s="622"/>
      <c r="MDC6" s="622"/>
      <c r="MDD6" s="622"/>
      <c r="MDE6" s="622"/>
      <c r="MDF6" s="622"/>
      <c r="MDG6" s="622"/>
      <c r="MDH6" s="622"/>
      <c r="MDI6" s="622"/>
      <c r="MDJ6" s="622"/>
      <c r="MDK6" s="622"/>
      <c r="MDL6" s="622"/>
      <c r="MDM6" s="622"/>
      <c r="MDN6" s="622"/>
      <c r="MDO6" s="622"/>
      <c r="MDP6" s="622"/>
      <c r="MDQ6" s="622"/>
      <c r="MDR6" s="622"/>
      <c r="MDS6" s="622"/>
      <c r="MDT6" s="622"/>
      <c r="MDU6" s="622"/>
      <c r="MDV6" s="622"/>
      <c r="MDW6" s="622"/>
      <c r="MDX6" s="622"/>
      <c r="MDY6" s="622"/>
      <c r="MDZ6" s="622"/>
      <c r="MEA6" s="622"/>
      <c r="MEB6" s="622"/>
      <c r="MEC6" s="622"/>
      <c r="MED6" s="622"/>
      <c r="MEE6" s="622"/>
      <c r="MEF6" s="622"/>
      <c r="MEG6" s="622"/>
      <c r="MEH6" s="622"/>
      <c r="MEI6" s="622"/>
      <c r="MEJ6" s="622"/>
      <c r="MEK6" s="622"/>
      <c r="MEL6" s="622"/>
      <c r="MEM6" s="622"/>
      <c r="MEN6" s="622"/>
      <c r="MEO6" s="622"/>
      <c r="MEP6" s="622"/>
      <c r="MEQ6" s="622"/>
      <c r="MER6" s="622"/>
      <c r="MES6" s="622"/>
      <c r="MET6" s="622"/>
      <c r="MEU6" s="622"/>
      <c r="MEV6" s="622"/>
      <c r="MEW6" s="622"/>
      <c r="MEX6" s="622"/>
      <c r="MEY6" s="622"/>
      <c r="MEZ6" s="622"/>
      <c r="MFA6" s="622"/>
      <c r="MFB6" s="622"/>
      <c r="MFC6" s="622"/>
      <c r="MFD6" s="622"/>
      <c r="MFE6" s="622"/>
      <c r="MFF6" s="622"/>
      <c r="MFG6" s="622"/>
      <c r="MFH6" s="622"/>
      <c r="MFI6" s="622"/>
      <c r="MFJ6" s="622"/>
      <c r="MFK6" s="622"/>
      <c r="MFL6" s="622"/>
      <c r="MFM6" s="622"/>
      <c r="MFN6" s="622"/>
      <c r="MFO6" s="622"/>
      <c r="MFP6" s="622"/>
      <c r="MFQ6" s="622"/>
      <c r="MFR6" s="622"/>
      <c r="MFS6" s="622"/>
      <c r="MFT6" s="622"/>
      <c r="MFU6" s="622"/>
      <c r="MFV6" s="622"/>
      <c r="MFW6" s="622"/>
      <c r="MFX6" s="622"/>
      <c r="MFY6" s="622"/>
      <c r="MFZ6" s="622"/>
      <c r="MGA6" s="622"/>
      <c r="MGB6" s="622"/>
      <c r="MGC6" s="622"/>
      <c r="MGD6" s="622"/>
      <c r="MGE6" s="622"/>
      <c r="MGF6" s="622"/>
      <c r="MGG6" s="622"/>
      <c r="MGH6" s="622"/>
      <c r="MGI6" s="622"/>
      <c r="MGJ6" s="622"/>
      <c r="MGK6" s="622"/>
      <c r="MGL6" s="622"/>
      <c r="MGM6" s="622"/>
      <c r="MGN6" s="622"/>
      <c r="MGO6" s="622"/>
      <c r="MGP6" s="622"/>
      <c r="MGQ6" s="622"/>
      <c r="MGR6" s="622"/>
      <c r="MGS6" s="622"/>
      <c r="MGT6" s="622"/>
      <c r="MGU6" s="622"/>
      <c r="MGV6" s="622"/>
      <c r="MGW6" s="622"/>
      <c r="MGX6" s="622"/>
      <c r="MGY6" s="622"/>
      <c r="MGZ6" s="622"/>
      <c r="MHA6" s="622"/>
      <c r="MHB6" s="622"/>
      <c r="MHC6" s="622"/>
      <c r="MHD6" s="622"/>
      <c r="MHE6" s="622"/>
      <c r="MHF6" s="622"/>
      <c r="MHG6" s="622"/>
      <c r="MHH6" s="622"/>
      <c r="MHI6" s="622"/>
      <c r="MHJ6" s="622"/>
      <c r="MHK6" s="622"/>
      <c r="MHL6" s="622"/>
      <c r="MHM6" s="622"/>
      <c r="MHN6" s="622"/>
      <c r="MHO6" s="622"/>
      <c r="MHP6" s="622"/>
      <c r="MHQ6" s="622"/>
      <c r="MHR6" s="622"/>
      <c r="MHS6" s="622"/>
      <c r="MHT6" s="622"/>
      <c r="MHU6" s="622"/>
      <c r="MHV6" s="622"/>
      <c r="MHW6" s="622"/>
      <c r="MHX6" s="622"/>
      <c r="MHY6" s="622"/>
      <c r="MHZ6" s="622"/>
      <c r="MIA6" s="622"/>
      <c r="MIB6" s="622"/>
      <c r="MIC6" s="622"/>
      <c r="MID6" s="622"/>
      <c r="MIE6" s="622"/>
      <c r="MIF6" s="622"/>
      <c r="MIG6" s="622"/>
      <c r="MIH6" s="622"/>
      <c r="MII6" s="622"/>
      <c r="MIJ6" s="622"/>
      <c r="MIK6" s="622"/>
      <c r="MIL6" s="622"/>
      <c r="MIM6" s="622"/>
      <c r="MIN6" s="622"/>
      <c r="MIO6" s="622"/>
      <c r="MIP6" s="622"/>
      <c r="MIQ6" s="622"/>
      <c r="MIR6" s="622"/>
      <c r="MIS6" s="622"/>
      <c r="MIT6" s="622"/>
      <c r="MIU6" s="622"/>
      <c r="MIV6" s="622"/>
      <c r="MIW6" s="622"/>
      <c r="MIX6" s="622"/>
      <c r="MIY6" s="622"/>
      <c r="MIZ6" s="622"/>
      <c r="MJA6" s="622"/>
      <c r="MJB6" s="622"/>
      <c r="MJC6" s="622"/>
      <c r="MJD6" s="622"/>
      <c r="MJE6" s="622"/>
      <c r="MJF6" s="622"/>
      <c r="MJG6" s="622"/>
      <c r="MJH6" s="622"/>
      <c r="MJI6" s="622"/>
      <c r="MJJ6" s="622"/>
      <c r="MJK6" s="622"/>
      <c r="MJL6" s="622"/>
      <c r="MJM6" s="622"/>
      <c r="MJN6" s="622"/>
      <c r="MJO6" s="622"/>
      <c r="MJP6" s="622"/>
      <c r="MJQ6" s="622"/>
      <c r="MJR6" s="622"/>
      <c r="MJS6" s="622"/>
      <c r="MJT6" s="622"/>
      <c r="MJU6" s="622"/>
      <c r="MJV6" s="622"/>
      <c r="MJW6" s="622"/>
      <c r="MJX6" s="622"/>
      <c r="MJY6" s="622"/>
      <c r="MJZ6" s="622"/>
      <c r="MKA6" s="622"/>
      <c r="MKB6" s="622"/>
      <c r="MKC6" s="622"/>
      <c r="MKD6" s="622"/>
      <c r="MKE6" s="622"/>
      <c r="MKF6" s="622"/>
      <c r="MKG6" s="622"/>
      <c r="MKH6" s="622"/>
      <c r="MKI6" s="622"/>
      <c r="MKJ6" s="622"/>
      <c r="MKK6" s="622"/>
      <c r="MKL6" s="622"/>
      <c r="MKM6" s="622"/>
      <c r="MKN6" s="622"/>
      <c r="MKO6" s="622"/>
      <c r="MKP6" s="622"/>
      <c r="MKQ6" s="622"/>
      <c r="MKR6" s="622"/>
      <c r="MKS6" s="622"/>
      <c r="MKT6" s="622"/>
      <c r="MKU6" s="622"/>
      <c r="MKV6" s="622"/>
      <c r="MKW6" s="622"/>
      <c r="MKX6" s="622"/>
      <c r="MKY6" s="622"/>
      <c r="MKZ6" s="622"/>
      <c r="MLA6" s="622"/>
      <c r="MLB6" s="622"/>
      <c r="MLC6" s="622"/>
      <c r="MLD6" s="622"/>
      <c r="MLE6" s="622"/>
      <c r="MLF6" s="622"/>
      <c r="MLG6" s="622"/>
      <c r="MLH6" s="622"/>
      <c r="MLI6" s="622"/>
      <c r="MLJ6" s="622"/>
      <c r="MLK6" s="622"/>
      <c r="MLL6" s="622"/>
      <c r="MLM6" s="622"/>
      <c r="MLN6" s="622"/>
      <c r="MLO6" s="622"/>
      <c r="MLP6" s="622"/>
      <c r="MLQ6" s="622"/>
      <c r="MLR6" s="622"/>
      <c r="MLS6" s="622"/>
      <c r="MLT6" s="622"/>
      <c r="MLU6" s="622"/>
      <c r="MLV6" s="622"/>
      <c r="MLW6" s="622"/>
      <c r="MLX6" s="622"/>
      <c r="MLY6" s="622"/>
      <c r="MLZ6" s="622"/>
      <c r="MMA6" s="622"/>
      <c r="MMB6" s="622"/>
      <c r="MMC6" s="622"/>
      <c r="MMD6" s="622"/>
      <c r="MME6" s="622"/>
      <c r="MMF6" s="622"/>
      <c r="MMG6" s="622"/>
      <c r="MMH6" s="622"/>
      <c r="MMI6" s="622"/>
      <c r="MMJ6" s="622"/>
      <c r="MMK6" s="622"/>
      <c r="MML6" s="622"/>
      <c r="MMM6" s="622"/>
      <c r="MMN6" s="622"/>
      <c r="MMO6" s="622"/>
      <c r="MMP6" s="622"/>
      <c r="MMQ6" s="622"/>
      <c r="MMR6" s="622"/>
      <c r="MMS6" s="622"/>
      <c r="MMT6" s="622"/>
      <c r="MMU6" s="622"/>
      <c r="MMV6" s="622"/>
      <c r="MMW6" s="622"/>
      <c r="MMX6" s="622"/>
      <c r="MMY6" s="622"/>
      <c r="MMZ6" s="622"/>
      <c r="MNA6" s="622"/>
      <c r="MNB6" s="622"/>
      <c r="MNC6" s="622"/>
      <c r="MND6" s="622"/>
      <c r="MNE6" s="622"/>
      <c r="MNF6" s="622"/>
      <c r="MNG6" s="622"/>
      <c r="MNH6" s="622"/>
      <c r="MNI6" s="622"/>
      <c r="MNJ6" s="622"/>
      <c r="MNK6" s="622"/>
      <c r="MNL6" s="622"/>
      <c r="MNM6" s="622"/>
      <c r="MNN6" s="622"/>
      <c r="MNO6" s="622"/>
      <c r="MNP6" s="622"/>
      <c r="MNQ6" s="622"/>
      <c r="MNR6" s="622"/>
      <c r="MNS6" s="622"/>
      <c r="MNT6" s="622"/>
      <c r="MNU6" s="622"/>
      <c r="MNV6" s="622"/>
      <c r="MNW6" s="622"/>
      <c r="MNX6" s="622"/>
      <c r="MNY6" s="622"/>
      <c r="MNZ6" s="622"/>
      <c r="MOA6" s="622"/>
      <c r="MOB6" s="622"/>
      <c r="MOC6" s="622"/>
      <c r="MOD6" s="622"/>
      <c r="MOE6" s="622"/>
      <c r="MOF6" s="622"/>
      <c r="MOG6" s="622"/>
      <c r="MOH6" s="622"/>
      <c r="MOI6" s="622"/>
      <c r="MOJ6" s="622"/>
      <c r="MOK6" s="622"/>
      <c r="MOL6" s="622"/>
      <c r="MOM6" s="622"/>
      <c r="MON6" s="622"/>
      <c r="MOO6" s="622"/>
      <c r="MOP6" s="622"/>
      <c r="MOQ6" s="622"/>
      <c r="MOR6" s="622"/>
      <c r="MOS6" s="622"/>
      <c r="MOT6" s="622"/>
      <c r="MOU6" s="622"/>
      <c r="MOV6" s="622"/>
      <c r="MOW6" s="622"/>
      <c r="MOX6" s="622"/>
      <c r="MOY6" s="622"/>
      <c r="MOZ6" s="622"/>
      <c r="MPA6" s="622"/>
      <c r="MPB6" s="622"/>
      <c r="MPC6" s="622"/>
      <c r="MPD6" s="622"/>
      <c r="MPE6" s="622"/>
      <c r="MPF6" s="622"/>
      <c r="MPG6" s="622"/>
      <c r="MPH6" s="622"/>
      <c r="MPI6" s="622"/>
      <c r="MPJ6" s="622"/>
      <c r="MPK6" s="622"/>
      <c r="MPL6" s="622"/>
      <c r="MPM6" s="622"/>
      <c r="MPN6" s="622"/>
      <c r="MPO6" s="622"/>
      <c r="MPP6" s="622"/>
      <c r="MPQ6" s="622"/>
      <c r="MPR6" s="622"/>
      <c r="MPS6" s="622"/>
      <c r="MPT6" s="622"/>
      <c r="MPU6" s="622"/>
      <c r="MPV6" s="622"/>
      <c r="MPW6" s="622"/>
      <c r="MPX6" s="622"/>
      <c r="MPY6" s="622"/>
      <c r="MPZ6" s="622"/>
      <c r="MQA6" s="622"/>
      <c r="MQB6" s="622"/>
      <c r="MQC6" s="622"/>
      <c r="MQD6" s="622"/>
      <c r="MQE6" s="622"/>
      <c r="MQF6" s="622"/>
      <c r="MQG6" s="622"/>
      <c r="MQH6" s="622"/>
      <c r="MQI6" s="622"/>
      <c r="MQJ6" s="622"/>
      <c r="MQK6" s="622"/>
      <c r="MQL6" s="622"/>
      <c r="MQM6" s="622"/>
      <c r="MQN6" s="622"/>
      <c r="MQO6" s="622"/>
      <c r="MQP6" s="622"/>
      <c r="MQQ6" s="622"/>
      <c r="MQR6" s="622"/>
      <c r="MQS6" s="622"/>
      <c r="MQT6" s="622"/>
      <c r="MQU6" s="622"/>
      <c r="MQV6" s="622"/>
      <c r="MQW6" s="622"/>
      <c r="MQX6" s="622"/>
      <c r="MQY6" s="622"/>
      <c r="MQZ6" s="622"/>
      <c r="MRA6" s="622"/>
      <c r="MRB6" s="622"/>
      <c r="MRC6" s="622"/>
      <c r="MRD6" s="622"/>
      <c r="MRE6" s="622"/>
      <c r="MRF6" s="622"/>
      <c r="MRG6" s="622"/>
      <c r="MRH6" s="622"/>
      <c r="MRI6" s="622"/>
      <c r="MRJ6" s="622"/>
      <c r="MRK6" s="622"/>
      <c r="MRL6" s="622"/>
      <c r="MRM6" s="622"/>
      <c r="MRN6" s="622"/>
      <c r="MRO6" s="622"/>
      <c r="MRP6" s="622"/>
      <c r="MRQ6" s="622"/>
      <c r="MRR6" s="622"/>
      <c r="MRS6" s="622"/>
      <c r="MRT6" s="622"/>
      <c r="MRU6" s="622"/>
      <c r="MRV6" s="622"/>
      <c r="MRW6" s="622"/>
      <c r="MRX6" s="622"/>
      <c r="MRY6" s="622"/>
      <c r="MRZ6" s="622"/>
      <c r="MSA6" s="622"/>
      <c r="MSB6" s="622"/>
      <c r="MSC6" s="622"/>
      <c r="MSD6" s="622"/>
      <c r="MSE6" s="622"/>
      <c r="MSF6" s="622"/>
      <c r="MSG6" s="622"/>
      <c r="MSH6" s="622"/>
      <c r="MSI6" s="622"/>
      <c r="MSJ6" s="622"/>
      <c r="MSK6" s="622"/>
      <c r="MSL6" s="622"/>
      <c r="MSM6" s="622"/>
      <c r="MSN6" s="622"/>
      <c r="MSO6" s="622"/>
      <c r="MSP6" s="622"/>
      <c r="MSQ6" s="622"/>
      <c r="MSR6" s="622"/>
      <c r="MSS6" s="622"/>
      <c r="MST6" s="622"/>
      <c r="MSU6" s="622"/>
      <c r="MSV6" s="622"/>
      <c r="MSW6" s="622"/>
      <c r="MSX6" s="622"/>
      <c r="MSY6" s="622"/>
      <c r="MSZ6" s="622"/>
      <c r="MTA6" s="622"/>
      <c r="MTB6" s="622"/>
      <c r="MTC6" s="622"/>
      <c r="MTD6" s="622"/>
      <c r="MTE6" s="622"/>
      <c r="MTF6" s="622"/>
      <c r="MTG6" s="622"/>
      <c r="MTH6" s="622"/>
      <c r="MTI6" s="622"/>
      <c r="MTJ6" s="622"/>
      <c r="MTK6" s="622"/>
      <c r="MTL6" s="622"/>
      <c r="MTM6" s="622"/>
      <c r="MTN6" s="622"/>
      <c r="MTO6" s="622"/>
      <c r="MTP6" s="622"/>
      <c r="MTQ6" s="622"/>
      <c r="MTR6" s="622"/>
      <c r="MTS6" s="622"/>
      <c r="MTT6" s="622"/>
      <c r="MTU6" s="622"/>
      <c r="MTV6" s="622"/>
      <c r="MTW6" s="622"/>
      <c r="MTX6" s="622"/>
      <c r="MTY6" s="622"/>
      <c r="MTZ6" s="622"/>
      <c r="MUA6" s="622"/>
      <c r="MUB6" s="622"/>
      <c r="MUC6" s="622"/>
      <c r="MUD6" s="622"/>
      <c r="MUE6" s="622"/>
      <c r="MUF6" s="622"/>
      <c r="MUG6" s="622"/>
      <c r="MUH6" s="622"/>
      <c r="MUI6" s="622"/>
      <c r="MUJ6" s="622"/>
      <c r="MUK6" s="622"/>
      <c r="MUL6" s="622"/>
      <c r="MUM6" s="622"/>
      <c r="MUN6" s="622"/>
      <c r="MUO6" s="622"/>
      <c r="MUP6" s="622"/>
      <c r="MUQ6" s="622"/>
      <c r="MUR6" s="622"/>
      <c r="MUS6" s="622"/>
      <c r="MUT6" s="622"/>
      <c r="MUU6" s="622"/>
      <c r="MUV6" s="622"/>
      <c r="MUW6" s="622"/>
      <c r="MUX6" s="622"/>
      <c r="MUY6" s="622"/>
      <c r="MUZ6" s="622"/>
      <c r="MVA6" s="622"/>
      <c r="MVB6" s="622"/>
      <c r="MVC6" s="622"/>
      <c r="MVD6" s="622"/>
      <c r="MVE6" s="622"/>
      <c r="MVF6" s="622"/>
      <c r="MVG6" s="622"/>
      <c r="MVH6" s="622"/>
      <c r="MVI6" s="622"/>
      <c r="MVJ6" s="622"/>
      <c r="MVK6" s="622"/>
      <c r="MVL6" s="622"/>
      <c r="MVM6" s="622"/>
      <c r="MVN6" s="622"/>
      <c r="MVO6" s="622"/>
      <c r="MVP6" s="622"/>
      <c r="MVQ6" s="622"/>
      <c r="MVR6" s="622"/>
      <c r="MVS6" s="622"/>
      <c r="MVT6" s="622"/>
      <c r="MVU6" s="622"/>
      <c r="MVV6" s="622"/>
      <c r="MVW6" s="622"/>
      <c r="MVX6" s="622"/>
      <c r="MVY6" s="622"/>
      <c r="MVZ6" s="622"/>
      <c r="MWA6" s="622"/>
      <c r="MWB6" s="622"/>
      <c r="MWC6" s="622"/>
      <c r="MWD6" s="622"/>
      <c r="MWE6" s="622"/>
      <c r="MWF6" s="622"/>
      <c r="MWG6" s="622"/>
      <c r="MWH6" s="622"/>
      <c r="MWI6" s="622"/>
      <c r="MWJ6" s="622"/>
      <c r="MWK6" s="622"/>
      <c r="MWL6" s="622"/>
      <c r="MWM6" s="622"/>
      <c r="MWN6" s="622"/>
      <c r="MWO6" s="622"/>
      <c r="MWP6" s="622"/>
      <c r="MWQ6" s="622"/>
      <c r="MWR6" s="622"/>
      <c r="MWS6" s="622"/>
      <c r="MWT6" s="622"/>
      <c r="MWU6" s="622"/>
      <c r="MWV6" s="622"/>
      <c r="MWW6" s="622"/>
      <c r="MWX6" s="622"/>
      <c r="MWY6" s="622"/>
      <c r="MWZ6" s="622"/>
      <c r="MXA6" s="622"/>
      <c r="MXB6" s="622"/>
      <c r="MXC6" s="622"/>
      <c r="MXD6" s="622"/>
      <c r="MXE6" s="622"/>
      <c r="MXF6" s="622"/>
      <c r="MXG6" s="622"/>
      <c r="MXH6" s="622"/>
      <c r="MXI6" s="622"/>
      <c r="MXJ6" s="622"/>
      <c r="MXK6" s="622"/>
      <c r="MXL6" s="622"/>
      <c r="MXM6" s="622"/>
      <c r="MXN6" s="622"/>
      <c r="MXO6" s="622"/>
      <c r="MXP6" s="622"/>
      <c r="MXQ6" s="622"/>
      <c r="MXR6" s="622"/>
      <c r="MXS6" s="622"/>
      <c r="MXT6" s="622"/>
      <c r="MXU6" s="622"/>
      <c r="MXV6" s="622"/>
      <c r="MXW6" s="622"/>
      <c r="MXX6" s="622"/>
      <c r="MXY6" s="622"/>
      <c r="MXZ6" s="622"/>
      <c r="MYA6" s="622"/>
      <c r="MYB6" s="622"/>
      <c r="MYC6" s="622"/>
      <c r="MYD6" s="622"/>
      <c r="MYE6" s="622"/>
      <c r="MYF6" s="622"/>
      <c r="MYG6" s="622"/>
      <c r="MYH6" s="622"/>
      <c r="MYI6" s="622"/>
      <c r="MYJ6" s="622"/>
      <c r="MYK6" s="622"/>
      <c r="MYL6" s="622"/>
      <c r="MYM6" s="622"/>
      <c r="MYN6" s="622"/>
      <c r="MYO6" s="622"/>
      <c r="MYP6" s="622"/>
      <c r="MYQ6" s="622"/>
      <c r="MYR6" s="622"/>
      <c r="MYS6" s="622"/>
      <c r="MYT6" s="622"/>
      <c r="MYU6" s="622"/>
      <c r="MYV6" s="622"/>
      <c r="MYW6" s="622"/>
      <c r="MYX6" s="622"/>
      <c r="MYY6" s="622"/>
      <c r="MYZ6" s="622"/>
      <c r="MZA6" s="622"/>
      <c r="MZB6" s="622"/>
      <c r="MZC6" s="622"/>
      <c r="MZD6" s="622"/>
      <c r="MZE6" s="622"/>
      <c r="MZF6" s="622"/>
      <c r="MZG6" s="622"/>
      <c r="MZH6" s="622"/>
      <c r="MZI6" s="622"/>
      <c r="MZJ6" s="622"/>
      <c r="MZK6" s="622"/>
      <c r="MZL6" s="622"/>
      <c r="MZM6" s="622"/>
      <c r="MZN6" s="622"/>
      <c r="MZO6" s="622"/>
      <c r="MZP6" s="622"/>
      <c r="MZQ6" s="622"/>
      <c r="MZR6" s="622"/>
      <c r="MZS6" s="622"/>
      <c r="MZT6" s="622"/>
      <c r="MZU6" s="622"/>
      <c r="MZV6" s="622"/>
      <c r="MZW6" s="622"/>
      <c r="MZX6" s="622"/>
      <c r="MZY6" s="622"/>
      <c r="MZZ6" s="622"/>
      <c r="NAA6" s="622"/>
      <c r="NAB6" s="622"/>
      <c r="NAC6" s="622"/>
      <c r="NAD6" s="622"/>
      <c r="NAE6" s="622"/>
      <c r="NAF6" s="622"/>
      <c r="NAG6" s="622"/>
      <c r="NAH6" s="622"/>
      <c r="NAI6" s="622"/>
      <c r="NAJ6" s="622"/>
      <c r="NAK6" s="622"/>
      <c r="NAL6" s="622"/>
      <c r="NAM6" s="622"/>
      <c r="NAN6" s="622"/>
      <c r="NAO6" s="622"/>
      <c r="NAP6" s="622"/>
      <c r="NAQ6" s="622"/>
      <c r="NAR6" s="622"/>
      <c r="NAS6" s="622"/>
      <c r="NAT6" s="622"/>
      <c r="NAU6" s="622"/>
      <c r="NAV6" s="622"/>
      <c r="NAW6" s="622"/>
      <c r="NAX6" s="622"/>
      <c r="NAY6" s="622"/>
      <c r="NAZ6" s="622"/>
      <c r="NBA6" s="622"/>
      <c r="NBB6" s="622"/>
      <c r="NBC6" s="622"/>
      <c r="NBD6" s="622"/>
      <c r="NBE6" s="622"/>
      <c r="NBF6" s="622"/>
      <c r="NBG6" s="622"/>
      <c r="NBH6" s="622"/>
      <c r="NBI6" s="622"/>
      <c r="NBJ6" s="622"/>
      <c r="NBK6" s="622"/>
      <c r="NBL6" s="622"/>
      <c r="NBM6" s="622"/>
      <c r="NBN6" s="622"/>
      <c r="NBO6" s="622"/>
      <c r="NBP6" s="622"/>
      <c r="NBQ6" s="622"/>
      <c r="NBR6" s="622"/>
      <c r="NBS6" s="622"/>
      <c r="NBT6" s="622"/>
      <c r="NBU6" s="622"/>
      <c r="NBV6" s="622"/>
      <c r="NBW6" s="622"/>
      <c r="NBX6" s="622"/>
      <c r="NBY6" s="622"/>
      <c r="NBZ6" s="622"/>
      <c r="NCA6" s="622"/>
      <c r="NCB6" s="622"/>
      <c r="NCC6" s="622"/>
      <c r="NCD6" s="622"/>
      <c r="NCE6" s="622"/>
      <c r="NCF6" s="622"/>
      <c r="NCG6" s="622"/>
      <c r="NCH6" s="622"/>
      <c r="NCI6" s="622"/>
      <c r="NCJ6" s="622"/>
      <c r="NCK6" s="622"/>
      <c r="NCL6" s="622"/>
      <c r="NCM6" s="622"/>
      <c r="NCN6" s="622"/>
      <c r="NCO6" s="622"/>
      <c r="NCP6" s="622"/>
      <c r="NCQ6" s="622"/>
      <c r="NCR6" s="622"/>
      <c r="NCS6" s="622"/>
      <c r="NCT6" s="622"/>
      <c r="NCU6" s="622"/>
      <c r="NCV6" s="622"/>
      <c r="NCW6" s="622"/>
      <c r="NCX6" s="622"/>
      <c r="NCY6" s="622"/>
      <c r="NCZ6" s="622"/>
      <c r="NDA6" s="622"/>
      <c r="NDB6" s="622"/>
      <c r="NDC6" s="622"/>
      <c r="NDD6" s="622"/>
      <c r="NDE6" s="622"/>
      <c r="NDF6" s="622"/>
      <c r="NDG6" s="622"/>
      <c r="NDH6" s="622"/>
      <c r="NDI6" s="622"/>
      <c r="NDJ6" s="622"/>
      <c r="NDK6" s="622"/>
      <c r="NDL6" s="622"/>
      <c r="NDM6" s="622"/>
      <c r="NDN6" s="622"/>
      <c r="NDO6" s="622"/>
      <c r="NDP6" s="622"/>
      <c r="NDQ6" s="622"/>
      <c r="NDR6" s="622"/>
      <c r="NDS6" s="622"/>
      <c r="NDT6" s="622"/>
      <c r="NDU6" s="622"/>
      <c r="NDV6" s="622"/>
      <c r="NDW6" s="622"/>
      <c r="NDX6" s="622"/>
      <c r="NDY6" s="622"/>
      <c r="NDZ6" s="622"/>
      <c r="NEA6" s="622"/>
      <c r="NEB6" s="622"/>
      <c r="NEC6" s="622"/>
      <c r="NED6" s="622"/>
      <c r="NEE6" s="622"/>
      <c r="NEF6" s="622"/>
      <c r="NEG6" s="622"/>
      <c r="NEH6" s="622"/>
      <c r="NEI6" s="622"/>
      <c r="NEJ6" s="622"/>
      <c r="NEK6" s="622"/>
      <c r="NEL6" s="622"/>
      <c r="NEM6" s="622"/>
      <c r="NEN6" s="622"/>
      <c r="NEO6" s="622"/>
      <c r="NEP6" s="622"/>
      <c r="NEQ6" s="622"/>
      <c r="NER6" s="622"/>
      <c r="NES6" s="622"/>
      <c r="NET6" s="622"/>
      <c r="NEU6" s="622"/>
      <c r="NEV6" s="622"/>
      <c r="NEW6" s="622"/>
      <c r="NEX6" s="622"/>
      <c r="NEY6" s="622"/>
      <c r="NEZ6" s="622"/>
      <c r="NFA6" s="622"/>
      <c r="NFB6" s="622"/>
      <c r="NFC6" s="622"/>
      <c r="NFD6" s="622"/>
      <c r="NFE6" s="622"/>
      <c r="NFF6" s="622"/>
      <c r="NFG6" s="622"/>
      <c r="NFH6" s="622"/>
      <c r="NFI6" s="622"/>
      <c r="NFJ6" s="622"/>
      <c r="NFK6" s="622"/>
      <c r="NFL6" s="622"/>
      <c r="NFM6" s="622"/>
      <c r="NFN6" s="622"/>
      <c r="NFO6" s="622"/>
      <c r="NFP6" s="622"/>
      <c r="NFQ6" s="622"/>
      <c r="NFR6" s="622"/>
      <c r="NFS6" s="622"/>
      <c r="NFT6" s="622"/>
      <c r="NFU6" s="622"/>
      <c r="NFV6" s="622"/>
      <c r="NFW6" s="622"/>
      <c r="NFX6" s="622"/>
      <c r="NFY6" s="622"/>
      <c r="NFZ6" s="622"/>
      <c r="NGA6" s="622"/>
      <c r="NGB6" s="622"/>
      <c r="NGC6" s="622"/>
      <c r="NGD6" s="622"/>
      <c r="NGE6" s="622"/>
      <c r="NGF6" s="622"/>
      <c r="NGG6" s="622"/>
      <c r="NGH6" s="622"/>
      <c r="NGI6" s="622"/>
      <c r="NGJ6" s="622"/>
      <c r="NGK6" s="622"/>
      <c r="NGL6" s="622"/>
      <c r="NGM6" s="622"/>
      <c r="NGN6" s="622"/>
      <c r="NGO6" s="622"/>
      <c r="NGP6" s="622"/>
      <c r="NGQ6" s="622"/>
      <c r="NGR6" s="622"/>
      <c r="NGS6" s="622"/>
      <c r="NGT6" s="622"/>
      <c r="NGU6" s="622"/>
      <c r="NGV6" s="622"/>
      <c r="NGW6" s="622"/>
      <c r="NGX6" s="622"/>
      <c r="NGY6" s="622"/>
      <c r="NGZ6" s="622"/>
      <c r="NHA6" s="622"/>
      <c r="NHB6" s="622"/>
      <c r="NHC6" s="622"/>
      <c r="NHD6" s="622"/>
      <c r="NHE6" s="622"/>
      <c r="NHF6" s="622"/>
      <c r="NHG6" s="622"/>
      <c r="NHH6" s="622"/>
      <c r="NHI6" s="622"/>
      <c r="NHJ6" s="622"/>
      <c r="NHK6" s="622"/>
      <c r="NHL6" s="622"/>
      <c r="NHM6" s="622"/>
      <c r="NHN6" s="622"/>
      <c r="NHO6" s="622"/>
      <c r="NHP6" s="622"/>
      <c r="NHQ6" s="622"/>
      <c r="NHR6" s="622"/>
      <c r="NHS6" s="622"/>
      <c r="NHT6" s="622"/>
      <c r="NHU6" s="622"/>
      <c r="NHV6" s="622"/>
      <c r="NHW6" s="622"/>
      <c r="NHX6" s="622"/>
      <c r="NHY6" s="622"/>
      <c r="NHZ6" s="622"/>
      <c r="NIA6" s="622"/>
      <c r="NIB6" s="622"/>
      <c r="NIC6" s="622"/>
      <c r="NID6" s="622"/>
      <c r="NIE6" s="622"/>
      <c r="NIF6" s="622"/>
      <c r="NIG6" s="622"/>
      <c r="NIH6" s="622"/>
      <c r="NII6" s="622"/>
      <c r="NIJ6" s="622"/>
      <c r="NIK6" s="622"/>
      <c r="NIL6" s="622"/>
      <c r="NIM6" s="622"/>
      <c r="NIN6" s="622"/>
      <c r="NIO6" s="622"/>
      <c r="NIP6" s="622"/>
      <c r="NIQ6" s="622"/>
      <c r="NIR6" s="622"/>
      <c r="NIS6" s="622"/>
      <c r="NIT6" s="622"/>
      <c r="NIU6" s="622"/>
      <c r="NIV6" s="622"/>
      <c r="NIW6" s="622"/>
      <c r="NIX6" s="622"/>
      <c r="NIY6" s="622"/>
      <c r="NIZ6" s="622"/>
      <c r="NJA6" s="622"/>
      <c r="NJB6" s="622"/>
      <c r="NJC6" s="622"/>
      <c r="NJD6" s="622"/>
      <c r="NJE6" s="622"/>
      <c r="NJF6" s="622"/>
      <c r="NJG6" s="622"/>
      <c r="NJH6" s="622"/>
      <c r="NJI6" s="622"/>
      <c r="NJJ6" s="622"/>
      <c r="NJK6" s="622"/>
      <c r="NJL6" s="622"/>
      <c r="NJM6" s="622"/>
      <c r="NJN6" s="622"/>
      <c r="NJO6" s="622"/>
      <c r="NJP6" s="622"/>
      <c r="NJQ6" s="622"/>
      <c r="NJR6" s="622"/>
      <c r="NJS6" s="622"/>
      <c r="NJT6" s="622"/>
      <c r="NJU6" s="622"/>
      <c r="NJV6" s="622"/>
      <c r="NJW6" s="622"/>
      <c r="NJX6" s="622"/>
      <c r="NJY6" s="622"/>
      <c r="NJZ6" s="622"/>
      <c r="NKA6" s="622"/>
      <c r="NKB6" s="622"/>
      <c r="NKC6" s="622"/>
      <c r="NKD6" s="622"/>
      <c r="NKE6" s="622"/>
      <c r="NKF6" s="622"/>
      <c r="NKG6" s="622"/>
      <c r="NKH6" s="622"/>
      <c r="NKI6" s="622"/>
      <c r="NKJ6" s="622"/>
      <c r="NKK6" s="622"/>
      <c r="NKL6" s="622"/>
      <c r="NKM6" s="622"/>
      <c r="NKN6" s="622"/>
      <c r="NKO6" s="622"/>
      <c r="NKP6" s="622"/>
      <c r="NKQ6" s="622"/>
      <c r="NKR6" s="622"/>
      <c r="NKS6" s="622"/>
      <c r="NKT6" s="622"/>
      <c r="NKU6" s="622"/>
      <c r="NKV6" s="622"/>
      <c r="NKW6" s="622"/>
      <c r="NKX6" s="622"/>
      <c r="NKY6" s="622"/>
      <c r="NKZ6" s="622"/>
      <c r="NLA6" s="622"/>
      <c r="NLB6" s="622"/>
      <c r="NLC6" s="622"/>
      <c r="NLD6" s="622"/>
      <c r="NLE6" s="622"/>
      <c r="NLF6" s="622"/>
      <c r="NLG6" s="622"/>
      <c r="NLH6" s="622"/>
      <c r="NLI6" s="622"/>
      <c r="NLJ6" s="622"/>
      <c r="NLK6" s="622"/>
      <c r="NLL6" s="622"/>
      <c r="NLM6" s="622"/>
      <c r="NLN6" s="622"/>
      <c r="NLO6" s="622"/>
      <c r="NLP6" s="622"/>
      <c r="NLQ6" s="622"/>
      <c r="NLR6" s="622"/>
      <c r="NLS6" s="622"/>
      <c r="NLT6" s="622"/>
      <c r="NLU6" s="622"/>
      <c r="NLV6" s="622"/>
      <c r="NLW6" s="622"/>
      <c r="NLX6" s="622"/>
      <c r="NLY6" s="622"/>
      <c r="NLZ6" s="622"/>
      <c r="NMA6" s="622"/>
      <c r="NMB6" s="622"/>
      <c r="NMC6" s="622"/>
      <c r="NMD6" s="622"/>
      <c r="NME6" s="622"/>
      <c r="NMF6" s="622"/>
      <c r="NMG6" s="622"/>
      <c r="NMH6" s="622"/>
      <c r="NMI6" s="622"/>
      <c r="NMJ6" s="622"/>
      <c r="NMK6" s="622"/>
      <c r="NML6" s="622"/>
      <c r="NMM6" s="622"/>
      <c r="NMN6" s="622"/>
      <c r="NMO6" s="622"/>
      <c r="NMP6" s="622"/>
      <c r="NMQ6" s="622"/>
      <c r="NMR6" s="622"/>
      <c r="NMS6" s="622"/>
      <c r="NMT6" s="622"/>
      <c r="NMU6" s="622"/>
      <c r="NMV6" s="622"/>
      <c r="NMW6" s="622"/>
      <c r="NMX6" s="622"/>
      <c r="NMY6" s="622"/>
      <c r="NMZ6" s="622"/>
      <c r="NNA6" s="622"/>
      <c r="NNB6" s="622"/>
      <c r="NNC6" s="622"/>
      <c r="NND6" s="622"/>
      <c r="NNE6" s="622"/>
      <c r="NNF6" s="622"/>
      <c r="NNG6" s="622"/>
      <c r="NNH6" s="622"/>
      <c r="NNI6" s="622"/>
      <c r="NNJ6" s="622"/>
      <c r="NNK6" s="622"/>
      <c r="NNL6" s="622"/>
      <c r="NNM6" s="622"/>
      <c r="NNN6" s="622"/>
      <c r="NNO6" s="622"/>
      <c r="NNP6" s="622"/>
      <c r="NNQ6" s="622"/>
      <c r="NNR6" s="622"/>
      <c r="NNS6" s="622"/>
      <c r="NNT6" s="622"/>
      <c r="NNU6" s="622"/>
      <c r="NNV6" s="622"/>
      <c r="NNW6" s="622"/>
      <c r="NNX6" s="622"/>
      <c r="NNY6" s="622"/>
      <c r="NNZ6" s="622"/>
      <c r="NOA6" s="622"/>
      <c r="NOB6" s="622"/>
      <c r="NOC6" s="622"/>
      <c r="NOD6" s="622"/>
      <c r="NOE6" s="622"/>
      <c r="NOF6" s="622"/>
      <c r="NOG6" s="622"/>
      <c r="NOH6" s="622"/>
      <c r="NOI6" s="622"/>
      <c r="NOJ6" s="622"/>
      <c r="NOK6" s="622"/>
      <c r="NOL6" s="622"/>
      <c r="NOM6" s="622"/>
      <c r="NON6" s="622"/>
      <c r="NOO6" s="622"/>
      <c r="NOP6" s="622"/>
      <c r="NOQ6" s="622"/>
      <c r="NOR6" s="622"/>
      <c r="NOS6" s="622"/>
      <c r="NOT6" s="622"/>
      <c r="NOU6" s="622"/>
      <c r="NOV6" s="622"/>
      <c r="NOW6" s="622"/>
      <c r="NOX6" s="622"/>
      <c r="NOY6" s="622"/>
      <c r="NOZ6" s="622"/>
      <c r="NPA6" s="622"/>
      <c r="NPB6" s="622"/>
      <c r="NPC6" s="622"/>
      <c r="NPD6" s="622"/>
      <c r="NPE6" s="622"/>
      <c r="NPF6" s="622"/>
      <c r="NPG6" s="622"/>
      <c r="NPH6" s="622"/>
      <c r="NPI6" s="622"/>
      <c r="NPJ6" s="622"/>
      <c r="NPK6" s="622"/>
      <c r="NPL6" s="622"/>
      <c r="NPM6" s="622"/>
      <c r="NPN6" s="622"/>
      <c r="NPO6" s="622"/>
      <c r="NPP6" s="622"/>
      <c r="NPQ6" s="622"/>
      <c r="NPR6" s="622"/>
      <c r="NPS6" s="622"/>
      <c r="NPT6" s="622"/>
      <c r="NPU6" s="622"/>
      <c r="NPV6" s="622"/>
      <c r="NPW6" s="622"/>
      <c r="NPX6" s="622"/>
      <c r="NPY6" s="622"/>
      <c r="NPZ6" s="622"/>
      <c r="NQA6" s="622"/>
      <c r="NQB6" s="622"/>
      <c r="NQC6" s="622"/>
      <c r="NQD6" s="622"/>
      <c r="NQE6" s="622"/>
      <c r="NQF6" s="622"/>
      <c r="NQG6" s="622"/>
      <c r="NQH6" s="622"/>
      <c r="NQI6" s="622"/>
      <c r="NQJ6" s="622"/>
      <c r="NQK6" s="622"/>
      <c r="NQL6" s="622"/>
      <c r="NQM6" s="622"/>
      <c r="NQN6" s="622"/>
      <c r="NQO6" s="622"/>
      <c r="NQP6" s="622"/>
      <c r="NQQ6" s="622"/>
      <c r="NQR6" s="622"/>
      <c r="NQS6" s="622"/>
      <c r="NQT6" s="622"/>
      <c r="NQU6" s="622"/>
      <c r="NQV6" s="622"/>
      <c r="NQW6" s="622"/>
      <c r="NQX6" s="622"/>
      <c r="NQY6" s="622"/>
      <c r="NQZ6" s="622"/>
      <c r="NRA6" s="622"/>
      <c r="NRB6" s="622"/>
      <c r="NRC6" s="622"/>
      <c r="NRD6" s="622"/>
      <c r="NRE6" s="622"/>
      <c r="NRF6" s="622"/>
      <c r="NRG6" s="622"/>
      <c r="NRH6" s="622"/>
      <c r="NRI6" s="622"/>
      <c r="NRJ6" s="622"/>
      <c r="NRK6" s="622"/>
      <c r="NRL6" s="622"/>
      <c r="NRM6" s="622"/>
      <c r="NRN6" s="622"/>
      <c r="NRO6" s="622"/>
      <c r="NRP6" s="622"/>
      <c r="NRQ6" s="622"/>
      <c r="NRR6" s="622"/>
      <c r="NRS6" s="622"/>
      <c r="NRT6" s="622"/>
      <c r="NRU6" s="622"/>
      <c r="NRV6" s="622"/>
      <c r="NRW6" s="622"/>
      <c r="NRX6" s="622"/>
      <c r="NRY6" s="622"/>
      <c r="NRZ6" s="622"/>
      <c r="NSA6" s="622"/>
      <c r="NSB6" s="622"/>
      <c r="NSC6" s="622"/>
      <c r="NSD6" s="622"/>
      <c r="NSE6" s="622"/>
      <c r="NSF6" s="622"/>
      <c r="NSG6" s="622"/>
      <c r="NSH6" s="622"/>
      <c r="NSI6" s="622"/>
      <c r="NSJ6" s="622"/>
      <c r="NSK6" s="622"/>
      <c r="NSL6" s="622"/>
      <c r="NSM6" s="622"/>
      <c r="NSN6" s="622"/>
      <c r="NSO6" s="622"/>
      <c r="NSP6" s="622"/>
      <c r="NSQ6" s="622"/>
      <c r="NSR6" s="622"/>
      <c r="NSS6" s="622"/>
      <c r="NST6" s="622"/>
      <c r="NSU6" s="622"/>
      <c r="NSV6" s="622"/>
      <c r="NSW6" s="622"/>
      <c r="NSX6" s="622"/>
      <c r="NSY6" s="622"/>
      <c r="NSZ6" s="622"/>
      <c r="NTA6" s="622"/>
      <c r="NTB6" s="622"/>
      <c r="NTC6" s="622"/>
      <c r="NTD6" s="622"/>
      <c r="NTE6" s="622"/>
      <c r="NTF6" s="622"/>
      <c r="NTG6" s="622"/>
      <c r="NTH6" s="622"/>
      <c r="NTI6" s="622"/>
      <c r="NTJ6" s="622"/>
      <c r="NTK6" s="622"/>
      <c r="NTL6" s="622"/>
      <c r="NTM6" s="622"/>
      <c r="NTN6" s="622"/>
      <c r="NTO6" s="622"/>
      <c r="NTP6" s="622"/>
      <c r="NTQ6" s="622"/>
      <c r="NTR6" s="622"/>
      <c r="NTS6" s="622"/>
      <c r="NTT6" s="622"/>
      <c r="NTU6" s="622"/>
      <c r="NTV6" s="622"/>
      <c r="NTW6" s="622"/>
      <c r="NTX6" s="622"/>
      <c r="NTY6" s="622"/>
      <c r="NTZ6" s="622"/>
      <c r="NUA6" s="622"/>
      <c r="NUB6" s="622"/>
      <c r="NUC6" s="622"/>
      <c r="NUD6" s="622"/>
      <c r="NUE6" s="622"/>
      <c r="NUF6" s="622"/>
      <c r="NUG6" s="622"/>
      <c r="NUH6" s="622"/>
      <c r="NUI6" s="622"/>
      <c r="NUJ6" s="622"/>
      <c r="NUK6" s="622"/>
      <c r="NUL6" s="622"/>
      <c r="NUM6" s="622"/>
      <c r="NUN6" s="622"/>
      <c r="NUO6" s="622"/>
      <c r="NUP6" s="622"/>
      <c r="NUQ6" s="622"/>
      <c r="NUR6" s="622"/>
      <c r="NUS6" s="622"/>
      <c r="NUT6" s="622"/>
      <c r="NUU6" s="622"/>
      <c r="NUV6" s="622"/>
      <c r="NUW6" s="622"/>
      <c r="NUX6" s="622"/>
      <c r="NUY6" s="622"/>
      <c r="NUZ6" s="622"/>
      <c r="NVA6" s="622"/>
      <c r="NVB6" s="622"/>
      <c r="NVC6" s="622"/>
      <c r="NVD6" s="622"/>
      <c r="NVE6" s="622"/>
      <c r="NVF6" s="622"/>
      <c r="NVG6" s="622"/>
      <c r="NVH6" s="622"/>
      <c r="NVI6" s="622"/>
      <c r="NVJ6" s="622"/>
      <c r="NVK6" s="622"/>
      <c r="NVL6" s="622"/>
      <c r="NVM6" s="622"/>
      <c r="NVN6" s="622"/>
      <c r="NVO6" s="622"/>
      <c r="NVP6" s="622"/>
      <c r="NVQ6" s="622"/>
      <c r="NVR6" s="622"/>
      <c r="NVS6" s="622"/>
      <c r="NVT6" s="622"/>
      <c r="NVU6" s="622"/>
      <c r="NVV6" s="622"/>
      <c r="NVW6" s="622"/>
      <c r="NVX6" s="622"/>
      <c r="NVY6" s="622"/>
      <c r="NVZ6" s="622"/>
      <c r="NWA6" s="622"/>
      <c r="NWB6" s="622"/>
      <c r="NWC6" s="622"/>
      <c r="NWD6" s="622"/>
      <c r="NWE6" s="622"/>
      <c r="NWF6" s="622"/>
      <c r="NWG6" s="622"/>
      <c r="NWH6" s="622"/>
      <c r="NWI6" s="622"/>
      <c r="NWJ6" s="622"/>
      <c r="NWK6" s="622"/>
      <c r="NWL6" s="622"/>
      <c r="NWM6" s="622"/>
      <c r="NWN6" s="622"/>
      <c r="NWO6" s="622"/>
      <c r="NWP6" s="622"/>
      <c r="NWQ6" s="622"/>
      <c r="NWR6" s="622"/>
      <c r="NWS6" s="622"/>
      <c r="NWT6" s="622"/>
      <c r="NWU6" s="622"/>
      <c r="NWV6" s="622"/>
      <c r="NWW6" s="622"/>
      <c r="NWX6" s="622"/>
      <c r="NWY6" s="622"/>
      <c r="NWZ6" s="622"/>
      <c r="NXA6" s="622"/>
      <c r="NXB6" s="622"/>
      <c r="NXC6" s="622"/>
      <c r="NXD6" s="622"/>
      <c r="NXE6" s="622"/>
      <c r="NXF6" s="622"/>
      <c r="NXG6" s="622"/>
      <c r="NXH6" s="622"/>
      <c r="NXI6" s="622"/>
      <c r="NXJ6" s="622"/>
      <c r="NXK6" s="622"/>
      <c r="NXL6" s="622"/>
      <c r="NXM6" s="622"/>
      <c r="NXN6" s="622"/>
      <c r="NXO6" s="622"/>
      <c r="NXP6" s="622"/>
      <c r="NXQ6" s="622"/>
      <c r="NXR6" s="622"/>
      <c r="NXS6" s="622"/>
      <c r="NXT6" s="622"/>
      <c r="NXU6" s="622"/>
      <c r="NXV6" s="622"/>
      <c r="NXW6" s="622"/>
      <c r="NXX6" s="622"/>
      <c r="NXY6" s="622"/>
      <c r="NXZ6" s="622"/>
      <c r="NYA6" s="622"/>
      <c r="NYB6" s="622"/>
      <c r="NYC6" s="622"/>
      <c r="NYD6" s="622"/>
      <c r="NYE6" s="622"/>
      <c r="NYF6" s="622"/>
      <c r="NYG6" s="622"/>
      <c r="NYH6" s="622"/>
      <c r="NYI6" s="622"/>
      <c r="NYJ6" s="622"/>
      <c r="NYK6" s="622"/>
      <c r="NYL6" s="622"/>
      <c r="NYM6" s="622"/>
      <c r="NYN6" s="622"/>
      <c r="NYO6" s="622"/>
      <c r="NYP6" s="622"/>
      <c r="NYQ6" s="622"/>
      <c r="NYR6" s="622"/>
      <c r="NYS6" s="622"/>
      <c r="NYT6" s="622"/>
      <c r="NYU6" s="622"/>
      <c r="NYV6" s="622"/>
      <c r="NYW6" s="622"/>
      <c r="NYX6" s="622"/>
      <c r="NYY6" s="622"/>
      <c r="NYZ6" s="622"/>
      <c r="NZA6" s="622"/>
      <c r="NZB6" s="622"/>
      <c r="NZC6" s="622"/>
      <c r="NZD6" s="622"/>
      <c r="NZE6" s="622"/>
      <c r="NZF6" s="622"/>
      <c r="NZG6" s="622"/>
      <c r="NZH6" s="622"/>
      <c r="NZI6" s="622"/>
      <c r="NZJ6" s="622"/>
      <c r="NZK6" s="622"/>
      <c r="NZL6" s="622"/>
      <c r="NZM6" s="622"/>
      <c r="NZN6" s="622"/>
      <c r="NZO6" s="622"/>
      <c r="NZP6" s="622"/>
      <c r="NZQ6" s="622"/>
      <c r="NZR6" s="622"/>
      <c r="NZS6" s="622"/>
      <c r="NZT6" s="622"/>
      <c r="NZU6" s="622"/>
      <c r="NZV6" s="622"/>
      <c r="NZW6" s="622"/>
      <c r="NZX6" s="622"/>
      <c r="NZY6" s="622"/>
      <c r="NZZ6" s="622"/>
      <c r="OAA6" s="622"/>
      <c r="OAB6" s="622"/>
      <c r="OAC6" s="622"/>
      <c r="OAD6" s="622"/>
      <c r="OAE6" s="622"/>
      <c r="OAF6" s="622"/>
      <c r="OAG6" s="622"/>
      <c r="OAH6" s="622"/>
      <c r="OAI6" s="622"/>
      <c r="OAJ6" s="622"/>
      <c r="OAK6" s="622"/>
      <c r="OAL6" s="622"/>
      <c r="OAM6" s="622"/>
      <c r="OAN6" s="622"/>
      <c r="OAO6" s="622"/>
      <c r="OAP6" s="622"/>
      <c r="OAQ6" s="622"/>
      <c r="OAR6" s="622"/>
      <c r="OAS6" s="622"/>
      <c r="OAT6" s="622"/>
      <c r="OAU6" s="622"/>
      <c r="OAV6" s="622"/>
      <c r="OAW6" s="622"/>
      <c r="OAX6" s="622"/>
      <c r="OAY6" s="622"/>
      <c r="OAZ6" s="622"/>
      <c r="OBA6" s="622"/>
      <c r="OBB6" s="622"/>
      <c r="OBC6" s="622"/>
      <c r="OBD6" s="622"/>
      <c r="OBE6" s="622"/>
      <c r="OBF6" s="622"/>
      <c r="OBG6" s="622"/>
      <c r="OBH6" s="622"/>
      <c r="OBI6" s="622"/>
      <c r="OBJ6" s="622"/>
      <c r="OBK6" s="622"/>
      <c r="OBL6" s="622"/>
      <c r="OBM6" s="622"/>
      <c r="OBN6" s="622"/>
      <c r="OBO6" s="622"/>
      <c r="OBP6" s="622"/>
      <c r="OBQ6" s="622"/>
      <c r="OBR6" s="622"/>
      <c r="OBS6" s="622"/>
      <c r="OBT6" s="622"/>
      <c r="OBU6" s="622"/>
      <c r="OBV6" s="622"/>
      <c r="OBW6" s="622"/>
      <c r="OBX6" s="622"/>
      <c r="OBY6" s="622"/>
      <c r="OBZ6" s="622"/>
      <c r="OCA6" s="622"/>
      <c r="OCB6" s="622"/>
      <c r="OCC6" s="622"/>
      <c r="OCD6" s="622"/>
      <c r="OCE6" s="622"/>
      <c r="OCF6" s="622"/>
      <c r="OCG6" s="622"/>
      <c r="OCH6" s="622"/>
      <c r="OCI6" s="622"/>
      <c r="OCJ6" s="622"/>
      <c r="OCK6" s="622"/>
      <c r="OCL6" s="622"/>
      <c r="OCM6" s="622"/>
      <c r="OCN6" s="622"/>
      <c r="OCO6" s="622"/>
      <c r="OCP6" s="622"/>
      <c r="OCQ6" s="622"/>
      <c r="OCR6" s="622"/>
      <c r="OCS6" s="622"/>
      <c r="OCT6" s="622"/>
      <c r="OCU6" s="622"/>
      <c r="OCV6" s="622"/>
      <c r="OCW6" s="622"/>
      <c r="OCX6" s="622"/>
      <c r="OCY6" s="622"/>
      <c r="OCZ6" s="622"/>
      <c r="ODA6" s="622"/>
      <c r="ODB6" s="622"/>
      <c r="ODC6" s="622"/>
      <c r="ODD6" s="622"/>
      <c r="ODE6" s="622"/>
      <c r="ODF6" s="622"/>
      <c r="ODG6" s="622"/>
      <c r="ODH6" s="622"/>
      <c r="ODI6" s="622"/>
      <c r="ODJ6" s="622"/>
      <c r="ODK6" s="622"/>
      <c r="ODL6" s="622"/>
      <c r="ODM6" s="622"/>
      <c r="ODN6" s="622"/>
      <c r="ODO6" s="622"/>
      <c r="ODP6" s="622"/>
      <c r="ODQ6" s="622"/>
      <c r="ODR6" s="622"/>
      <c r="ODS6" s="622"/>
      <c r="ODT6" s="622"/>
      <c r="ODU6" s="622"/>
      <c r="ODV6" s="622"/>
      <c r="ODW6" s="622"/>
      <c r="ODX6" s="622"/>
      <c r="ODY6" s="622"/>
      <c r="ODZ6" s="622"/>
      <c r="OEA6" s="622"/>
      <c r="OEB6" s="622"/>
      <c r="OEC6" s="622"/>
      <c r="OED6" s="622"/>
      <c r="OEE6" s="622"/>
      <c r="OEF6" s="622"/>
      <c r="OEG6" s="622"/>
      <c r="OEH6" s="622"/>
      <c r="OEI6" s="622"/>
      <c r="OEJ6" s="622"/>
      <c r="OEK6" s="622"/>
      <c r="OEL6" s="622"/>
      <c r="OEM6" s="622"/>
      <c r="OEN6" s="622"/>
      <c r="OEO6" s="622"/>
      <c r="OEP6" s="622"/>
      <c r="OEQ6" s="622"/>
      <c r="OER6" s="622"/>
      <c r="OES6" s="622"/>
      <c r="OET6" s="622"/>
      <c r="OEU6" s="622"/>
      <c r="OEV6" s="622"/>
      <c r="OEW6" s="622"/>
      <c r="OEX6" s="622"/>
      <c r="OEY6" s="622"/>
      <c r="OEZ6" s="622"/>
      <c r="OFA6" s="622"/>
      <c r="OFB6" s="622"/>
      <c r="OFC6" s="622"/>
      <c r="OFD6" s="622"/>
      <c r="OFE6" s="622"/>
      <c r="OFF6" s="622"/>
      <c r="OFG6" s="622"/>
      <c r="OFH6" s="622"/>
      <c r="OFI6" s="622"/>
      <c r="OFJ6" s="622"/>
      <c r="OFK6" s="622"/>
      <c r="OFL6" s="622"/>
      <c r="OFM6" s="622"/>
      <c r="OFN6" s="622"/>
      <c r="OFO6" s="622"/>
      <c r="OFP6" s="622"/>
      <c r="OFQ6" s="622"/>
      <c r="OFR6" s="622"/>
      <c r="OFS6" s="622"/>
      <c r="OFT6" s="622"/>
      <c r="OFU6" s="622"/>
      <c r="OFV6" s="622"/>
      <c r="OFW6" s="622"/>
      <c r="OFX6" s="622"/>
      <c r="OFY6" s="622"/>
      <c r="OFZ6" s="622"/>
      <c r="OGA6" s="622"/>
      <c r="OGB6" s="622"/>
      <c r="OGC6" s="622"/>
      <c r="OGD6" s="622"/>
      <c r="OGE6" s="622"/>
      <c r="OGF6" s="622"/>
      <c r="OGG6" s="622"/>
      <c r="OGH6" s="622"/>
      <c r="OGI6" s="622"/>
      <c r="OGJ6" s="622"/>
      <c r="OGK6" s="622"/>
      <c r="OGL6" s="622"/>
      <c r="OGM6" s="622"/>
      <c r="OGN6" s="622"/>
      <c r="OGO6" s="622"/>
      <c r="OGP6" s="622"/>
      <c r="OGQ6" s="622"/>
      <c r="OGR6" s="622"/>
      <c r="OGS6" s="622"/>
      <c r="OGT6" s="622"/>
      <c r="OGU6" s="622"/>
      <c r="OGV6" s="622"/>
      <c r="OGW6" s="622"/>
      <c r="OGX6" s="622"/>
      <c r="OGY6" s="622"/>
      <c r="OGZ6" s="622"/>
      <c r="OHA6" s="622"/>
      <c r="OHB6" s="622"/>
      <c r="OHC6" s="622"/>
      <c r="OHD6" s="622"/>
      <c r="OHE6" s="622"/>
      <c r="OHF6" s="622"/>
      <c r="OHG6" s="622"/>
      <c r="OHH6" s="622"/>
      <c r="OHI6" s="622"/>
      <c r="OHJ6" s="622"/>
      <c r="OHK6" s="622"/>
      <c r="OHL6" s="622"/>
      <c r="OHM6" s="622"/>
      <c r="OHN6" s="622"/>
      <c r="OHO6" s="622"/>
      <c r="OHP6" s="622"/>
      <c r="OHQ6" s="622"/>
      <c r="OHR6" s="622"/>
      <c r="OHS6" s="622"/>
      <c r="OHT6" s="622"/>
      <c r="OHU6" s="622"/>
      <c r="OHV6" s="622"/>
      <c r="OHW6" s="622"/>
      <c r="OHX6" s="622"/>
      <c r="OHY6" s="622"/>
      <c r="OHZ6" s="622"/>
      <c r="OIA6" s="622"/>
      <c r="OIB6" s="622"/>
      <c r="OIC6" s="622"/>
      <c r="OID6" s="622"/>
      <c r="OIE6" s="622"/>
      <c r="OIF6" s="622"/>
      <c r="OIG6" s="622"/>
      <c r="OIH6" s="622"/>
      <c r="OII6" s="622"/>
      <c r="OIJ6" s="622"/>
      <c r="OIK6" s="622"/>
      <c r="OIL6" s="622"/>
      <c r="OIM6" s="622"/>
      <c r="OIN6" s="622"/>
      <c r="OIO6" s="622"/>
      <c r="OIP6" s="622"/>
      <c r="OIQ6" s="622"/>
      <c r="OIR6" s="622"/>
      <c r="OIS6" s="622"/>
      <c r="OIT6" s="622"/>
      <c r="OIU6" s="622"/>
      <c r="OIV6" s="622"/>
      <c r="OIW6" s="622"/>
      <c r="OIX6" s="622"/>
      <c r="OIY6" s="622"/>
      <c r="OIZ6" s="622"/>
      <c r="OJA6" s="622"/>
      <c r="OJB6" s="622"/>
      <c r="OJC6" s="622"/>
      <c r="OJD6" s="622"/>
      <c r="OJE6" s="622"/>
      <c r="OJF6" s="622"/>
      <c r="OJG6" s="622"/>
      <c r="OJH6" s="622"/>
      <c r="OJI6" s="622"/>
      <c r="OJJ6" s="622"/>
      <c r="OJK6" s="622"/>
      <c r="OJL6" s="622"/>
      <c r="OJM6" s="622"/>
      <c r="OJN6" s="622"/>
      <c r="OJO6" s="622"/>
      <c r="OJP6" s="622"/>
      <c r="OJQ6" s="622"/>
      <c r="OJR6" s="622"/>
      <c r="OJS6" s="622"/>
      <c r="OJT6" s="622"/>
      <c r="OJU6" s="622"/>
      <c r="OJV6" s="622"/>
      <c r="OJW6" s="622"/>
      <c r="OJX6" s="622"/>
      <c r="OJY6" s="622"/>
      <c r="OJZ6" s="622"/>
      <c r="OKA6" s="622"/>
      <c r="OKB6" s="622"/>
      <c r="OKC6" s="622"/>
      <c r="OKD6" s="622"/>
      <c r="OKE6" s="622"/>
      <c r="OKF6" s="622"/>
      <c r="OKG6" s="622"/>
      <c r="OKH6" s="622"/>
      <c r="OKI6" s="622"/>
      <c r="OKJ6" s="622"/>
      <c r="OKK6" s="622"/>
      <c r="OKL6" s="622"/>
      <c r="OKM6" s="622"/>
      <c r="OKN6" s="622"/>
      <c r="OKO6" s="622"/>
      <c r="OKP6" s="622"/>
      <c r="OKQ6" s="622"/>
      <c r="OKR6" s="622"/>
      <c r="OKS6" s="622"/>
      <c r="OKT6" s="622"/>
      <c r="OKU6" s="622"/>
      <c r="OKV6" s="622"/>
      <c r="OKW6" s="622"/>
      <c r="OKX6" s="622"/>
      <c r="OKY6" s="622"/>
      <c r="OKZ6" s="622"/>
      <c r="OLA6" s="622"/>
      <c r="OLB6" s="622"/>
      <c r="OLC6" s="622"/>
      <c r="OLD6" s="622"/>
      <c r="OLE6" s="622"/>
      <c r="OLF6" s="622"/>
      <c r="OLG6" s="622"/>
      <c r="OLH6" s="622"/>
      <c r="OLI6" s="622"/>
      <c r="OLJ6" s="622"/>
      <c r="OLK6" s="622"/>
      <c r="OLL6" s="622"/>
      <c r="OLM6" s="622"/>
      <c r="OLN6" s="622"/>
      <c r="OLO6" s="622"/>
      <c r="OLP6" s="622"/>
      <c r="OLQ6" s="622"/>
      <c r="OLR6" s="622"/>
      <c r="OLS6" s="622"/>
      <c r="OLT6" s="622"/>
      <c r="OLU6" s="622"/>
      <c r="OLV6" s="622"/>
      <c r="OLW6" s="622"/>
      <c r="OLX6" s="622"/>
      <c r="OLY6" s="622"/>
      <c r="OLZ6" s="622"/>
      <c r="OMA6" s="622"/>
      <c r="OMB6" s="622"/>
      <c r="OMC6" s="622"/>
      <c r="OMD6" s="622"/>
      <c r="OME6" s="622"/>
      <c r="OMF6" s="622"/>
      <c r="OMG6" s="622"/>
      <c r="OMH6" s="622"/>
      <c r="OMI6" s="622"/>
      <c r="OMJ6" s="622"/>
      <c r="OMK6" s="622"/>
      <c r="OML6" s="622"/>
      <c r="OMM6" s="622"/>
      <c r="OMN6" s="622"/>
      <c r="OMO6" s="622"/>
      <c r="OMP6" s="622"/>
      <c r="OMQ6" s="622"/>
      <c r="OMR6" s="622"/>
      <c r="OMS6" s="622"/>
      <c r="OMT6" s="622"/>
      <c r="OMU6" s="622"/>
      <c r="OMV6" s="622"/>
      <c r="OMW6" s="622"/>
      <c r="OMX6" s="622"/>
      <c r="OMY6" s="622"/>
      <c r="OMZ6" s="622"/>
      <c r="ONA6" s="622"/>
      <c r="ONB6" s="622"/>
      <c r="ONC6" s="622"/>
      <c r="OND6" s="622"/>
      <c r="ONE6" s="622"/>
      <c r="ONF6" s="622"/>
      <c r="ONG6" s="622"/>
      <c r="ONH6" s="622"/>
      <c r="ONI6" s="622"/>
      <c r="ONJ6" s="622"/>
      <c r="ONK6" s="622"/>
      <c r="ONL6" s="622"/>
      <c r="ONM6" s="622"/>
      <c r="ONN6" s="622"/>
      <c r="ONO6" s="622"/>
      <c r="ONP6" s="622"/>
      <c r="ONQ6" s="622"/>
      <c r="ONR6" s="622"/>
      <c r="ONS6" s="622"/>
      <c r="ONT6" s="622"/>
      <c r="ONU6" s="622"/>
      <c r="ONV6" s="622"/>
      <c r="ONW6" s="622"/>
      <c r="ONX6" s="622"/>
      <c r="ONY6" s="622"/>
      <c r="ONZ6" s="622"/>
      <c r="OOA6" s="622"/>
      <c r="OOB6" s="622"/>
      <c r="OOC6" s="622"/>
      <c r="OOD6" s="622"/>
      <c r="OOE6" s="622"/>
      <c r="OOF6" s="622"/>
      <c r="OOG6" s="622"/>
      <c r="OOH6" s="622"/>
      <c r="OOI6" s="622"/>
      <c r="OOJ6" s="622"/>
      <c r="OOK6" s="622"/>
      <c r="OOL6" s="622"/>
      <c r="OOM6" s="622"/>
      <c r="OON6" s="622"/>
      <c r="OOO6" s="622"/>
      <c r="OOP6" s="622"/>
      <c r="OOQ6" s="622"/>
      <c r="OOR6" s="622"/>
      <c r="OOS6" s="622"/>
      <c r="OOT6" s="622"/>
      <c r="OOU6" s="622"/>
      <c r="OOV6" s="622"/>
      <c r="OOW6" s="622"/>
      <c r="OOX6" s="622"/>
      <c r="OOY6" s="622"/>
      <c r="OOZ6" s="622"/>
      <c r="OPA6" s="622"/>
      <c r="OPB6" s="622"/>
      <c r="OPC6" s="622"/>
      <c r="OPD6" s="622"/>
      <c r="OPE6" s="622"/>
      <c r="OPF6" s="622"/>
      <c r="OPG6" s="622"/>
      <c r="OPH6" s="622"/>
      <c r="OPI6" s="622"/>
      <c r="OPJ6" s="622"/>
      <c r="OPK6" s="622"/>
      <c r="OPL6" s="622"/>
      <c r="OPM6" s="622"/>
      <c r="OPN6" s="622"/>
      <c r="OPO6" s="622"/>
      <c r="OPP6" s="622"/>
      <c r="OPQ6" s="622"/>
      <c r="OPR6" s="622"/>
      <c r="OPS6" s="622"/>
      <c r="OPT6" s="622"/>
      <c r="OPU6" s="622"/>
      <c r="OPV6" s="622"/>
      <c r="OPW6" s="622"/>
      <c r="OPX6" s="622"/>
      <c r="OPY6" s="622"/>
      <c r="OPZ6" s="622"/>
      <c r="OQA6" s="622"/>
      <c r="OQB6" s="622"/>
      <c r="OQC6" s="622"/>
      <c r="OQD6" s="622"/>
      <c r="OQE6" s="622"/>
      <c r="OQF6" s="622"/>
      <c r="OQG6" s="622"/>
      <c r="OQH6" s="622"/>
      <c r="OQI6" s="622"/>
      <c r="OQJ6" s="622"/>
      <c r="OQK6" s="622"/>
      <c r="OQL6" s="622"/>
      <c r="OQM6" s="622"/>
      <c r="OQN6" s="622"/>
      <c r="OQO6" s="622"/>
      <c r="OQP6" s="622"/>
      <c r="OQQ6" s="622"/>
      <c r="OQR6" s="622"/>
      <c r="OQS6" s="622"/>
      <c r="OQT6" s="622"/>
      <c r="OQU6" s="622"/>
      <c r="OQV6" s="622"/>
      <c r="OQW6" s="622"/>
      <c r="OQX6" s="622"/>
      <c r="OQY6" s="622"/>
      <c r="OQZ6" s="622"/>
      <c r="ORA6" s="622"/>
      <c r="ORB6" s="622"/>
      <c r="ORC6" s="622"/>
      <c r="ORD6" s="622"/>
      <c r="ORE6" s="622"/>
      <c r="ORF6" s="622"/>
      <c r="ORG6" s="622"/>
      <c r="ORH6" s="622"/>
      <c r="ORI6" s="622"/>
      <c r="ORJ6" s="622"/>
      <c r="ORK6" s="622"/>
      <c r="ORL6" s="622"/>
      <c r="ORM6" s="622"/>
      <c r="ORN6" s="622"/>
      <c r="ORO6" s="622"/>
      <c r="ORP6" s="622"/>
      <c r="ORQ6" s="622"/>
      <c r="ORR6" s="622"/>
      <c r="ORS6" s="622"/>
      <c r="ORT6" s="622"/>
      <c r="ORU6" s="622"/>
      <c r="ORV6" s="622"/>
      <c r="ORW6" s="622"/>
      <c r="ORX6" s="622"/>
      <c r="ORY6" s="622"/>
      <c r="ORZ6" s="622"/>
      <c r="OSA6" s="622"/>
      <c r="OSB6" s="622"/>
      <c r="OSC6" s="622"/>
      <c r="OSD6" s="622"/>
      <c r="OSE6" s="622"/>
      <c r="OSF6" s="622"/>
      <c r="OSG6" s="622"/>
      <c r="OSH6" s="622"/>
      <c r="OSI6" s="622"/>
      <c r="OSJ6" s="622"/>
      <c r="OSK6" s="622"/>
      <c r="OSL6" s="622"/>
      <c r="OSM6" s="622"/>
      <c r="OSN6" s="622"/>
      <c r="OSO6" s="622"/>
      <c r="OSP6" s="622"/>
      <c r="OSQ6" s="622"/>
      <c r="OSR6" s="622"/>
      <c r="OSS6" s="622"/>
      <c r="OST6" s="622"/>
      <c r="OSU6" s="622"/>
      <c r="OSV6" s="622"/>
      <c r="OSW6" s="622"/>
      <c r="OSX6" s="622"/>
      <c r="OSY6" s="622"/>
      <c r="OSZ6" s="622"/>
      <c r="OTA6" s="622"/>
      <c r="OTB6" s="622"/>
      <c r="OTC6" s="622"/>
      <c r="OTD6" s="622"/>
      <c r="OTE6" s="622"/>
      <c r="OTF6" s="622"/>
      <c r="OTG6" s="622"/>
      <c r="OTH6" s="622"/>
      <c r="OTI6" s="622"/>
      <c r="OTJ6" s="622"/>
      <c r="OTK6" s="622"/>
      <c r="OTL6" s="622"/>
      <c r="OTM6" s="622"/>
      <c r="OTN6" s="622"/>
      <c r="OTO6" s="622"/>
      <c r="OTP6" s="622"/>
      <c r="OTQ6" s="622"/>
      <c r="OTR6" s="622"/>
      <c r="OTS6" s="622"/>
      <c r="OTT6" s="622"/>
      <c r="OTU6" s="622"/>
      <c r="OTV6" s="622"/>
      <c r="OTW6" s="622"/>
      <c r="OTX6" s="622"/>
      <c r="OTY6" s="622"/>
      <c r="OTZ6" s="622"/>
      <c r="OUA6" s="622"/>
      <c r="OUB6" s="622"/>
      <c r="OUC6" s="622"/>
      <c r="OUD6" s="622"/>
      <c r="OUE6" s="622"/>
      <c r="OUF6" s="622"/>
      <c r="OUG6" s="622"/>
      <c r="OUH6" s="622"/>
      <c r="OUI6" s="622"/>
      <c r="OUJ6" s="622"/>
      <c r="OUK6" s="622"/>
      <c r="OUL6" s="622"/>
      <c r="OUM6" s="622"/>
      <c r="OUN6" s="622"/>
      <c r="OUO6" s="622"/>
      <c r="OUP6" s="622"/>
      <c r="OUQ6" s="622"/>
      <c r="OUR6" s="622"/>
      <c r="OUS6" s="622"/>
      <c r="OUT6" s="622"/>
      <c r="OUU6" s="622"/>
      <c r="OUV6" s="622"/>
      <c r="OUW6" s="622"/>
      <c r="OUX6" s="622"/>
      <c r="OUY6" s="622"/>
      <c r="OUZ6" s="622"/>
      <c r="OVA6" s="622"/>
      <c r="OVB6" s="622"/>
      <c r="OVC6" s="622"/>
      <c r="OVD6" s="622"/>
      <c r="OVE6" s="622"/>
      <c r="OVF6" s="622"/>
      <c r="OVG6" s="622"/>
      <c r="OVH6" s="622"/>
      <c r="OVI6" s="622"/>
      <c r="OVJ6" s="622"/>
      <c r="OVK6" s="622"/>
      <c r="OVL6" s="622"/>
      <c r="OVM6" s="622"/>
      <c r="OVN6" s="622"/>
      <c r="OVO6" s="622"/>
      <c r="OVP6" s="622"/>
      <c r="OVQ6" s="622"/>
      <c r="OVR6" s="622"/>
      <c r="OVS6" s="622"/>
      <c r="OVT6" s="622"/>
      <c r="OVU6" s="622"/>
      <c r="OVV6" s="622"/>
      <c r="OVW6" s="622"/>
      <c r="OVX6" s="622"/>
      <c r="OVY6" s="622"/>
      <c r="OVZ6" s="622"/>
      <c r="OWA6" s="622"/>
      <c r="OWB6" s="622"/>
      <c r="OWC6" s="622"/>
      <c r="OWD6" s="622"/>
      <c r="OWE6" s="622"/>
      <c r="OWF6" s="622"/>
      <c r="OWG6" s="622"/>
      <c r="OWH6" s="622"/>
      <c r="OWI6" s="622"/>
      <c r="OWJ6" s="622"/>
      <c r="OWK6" s="622"/>
      <c r="OWL6" s="622"/>
      <c r="OWM6" s="622"/>
      <c r="OWN6" s="622"/>
      <c r="OWO6" s="622"/>
      <c r="OWP6" s="622"/>
      <c r="OWQ6" s="622"/>
      <c r="OWR6" s="622"/>
      <c r="OWS6" s="622"/>
      <c r="OWT6" s="622"/>
      <c r="OWU6" s="622"/>
      <c r="OWV6" s="622"/>
      <c r="OWW6" s="622"/>
      <c r="OWX6" s="622"/>
      <c r="OWY6" s="622"/>
      <c r="OWZ6" s="622"/>
      <c r="OXA6" s="622"/>
      <c r="OXB6" s="622"/>
      <c r="OXC6" s="622"/>
      <c r="OXD6" s="622"/>
      <c r="OXE6" s="622"/>
      <c r="OXF6" s="622"/>
      <c r="OXG6" s="622"/>
      <c r="OXH6" s="622"/>
      <c r="OXI6" s="622"/>
      <c r="OXJ6" s="622"/>
      <c r="OXK6" s="622"/>
      <c r="OXL6" s="622"/>
      <c r="OXM6" s="622"/>
      <c r="OXN6" s="622"/>
      <c r="OXO6" s="622"/>
      <c r="OXP6" s="622"/>
      <c r="OXQ6" s="622"/>
      <c r="OXR6" s="622"/>
      <c r="OXS6" s="622"/>
      <c r="OXT6" s="622"/>
      <c r="OXU6" s="622"/>
      <c r="OXV6" s="622"/>
      <c r="OXW6" s="622"/>
      <c r="OXX6" s="622"/>
      <c r="OXY6" s="622"/>
      <c r="OXZ6" s="622"/>
      <c r="OYA6" s="622"/>
      <c r="OYB6" s="622"/>
      <c r="OYC6" s="622"/>
      <c r="OYD6" s="622"/>
      <c r="OYE6" s="622"/>
      <c r="OYF6" s="622"/>
      <c r="OYG6" s="622"/>
      <c r="OYH6" s="622"/>
      <c r="OYI6" s="622"/>
      <c r="OYJ6" s="622"/>
      <c r="OYK6" s="622"/>
      <c r="OYL6" s="622"/>
      <c r="OYM6" s="622"/>
      <c r="OYN6" s="622"/>
      <c r="OYO6" s="622"/>
      <c r="OYP6" s="622"/>
      <c r="OYQ6" s="622"/>
      <c r="OYR6" s="622"/>
      <c r="OYS6" s="622"/>
      <c r="OYT6" s="622"/>
      <c r="OYU6" s="622"/>
      <c r="OYV6" s="622"/>
      <c r="OYW6" s="622"/>
      <c r="OYX6" s="622"/>
      <c r="OYY6" s="622"/>
      <c r="OYZ6" s="622"/>
      <c r="OZA6" s="622"/>
      <c r="OZB6" s="622"/>
      <c r="OZC6" s="622"/>
      <c r="OZD6" s="622"/>
      <c r="OZE6" s="622"/>
      <c r="OZF6" s="622"/>
      <c r="OZG6" s="622"/>
      <c r="OZH6" s="622"/>
      <c r="OZI6" s="622"/>
      <c r="OZJ6" s="622"/>
      <c r="OZK6" s="622"/>
      <c r="OZL6" s="622"/>
      <c r="OZM6" s="622"/>
      <c r="OZN6" s="622"/>
      <c r="OZO6" s="622"/>
      <c r="OZP6" s="622"/>
      <c r="OZQ6" s="622"/>
      <c r="OZR6" s="622"/>
      <c r="OZS6" s="622"/>
      <c r="OZT6" s="622"/>
      <c r="OZU6" s="622"/>
      <c r="OZV6" s="622"/>
      <c r="OZW6" s="622"/>
      <c r="OZX6" s="622"/>
      <c r="OZY6" s="622"/>
      <c r="OZZ6" s="622"/>
      <c r="PAA6" s="622"/>
      <c r="PAB6" s="622"/>
      <c r="PAC6" s="622"/>
      <c r="PAD6" s="622"/>
      <c r="PAE6" s="622"/>
      <c r="PAF6" s="622"/>
      <c r="PAG6" s="622"/>
      <c r="PAH6" s="622"/>
      <c r="PAI6" s="622"/>
      <c r="PAJ6" s="622"/>
      <c r="PAK6" s="622"/>
      <c r="PAL6" s="622"/>
      <c r="PAM6" s="622"/>
      <c r="PAN6" s="622"/>
      <c r="PAO6" s="622"/>
      <c r="PAP6" s="622"/>
      <c r="PAQ6" s="622"/>
      <c r="PAR6" s="622"/>
      <c r="PAS6" s="622"/>
      <c r="PAT6" s="622"/>
      <c r="PAU6" s="622"/>
      <c r="PAV6" s="622"/>
      <c r="PAW6" s="622"/>
      <c r="PAX6" s="622"/>
      <c r="PAY6" s="622"/>
      <c r="PAZ6" s="622"/>
      <c r="PBA6" s="622"/>
      <c r="PBB6" s="622"/>
      <c r="PBC6" s="622"/>
      <c r="PBD6" s="622"/>
      <c r="PBE6" s="622"/>
      <c r="PBF6" s="622"/>
      <c r="PBG6" s="622"/>
      <c r="PBH6" s="622"/>
      <c r="PBI6" s="622"/>
      <c r="PBJ6" s="622"/>
      <c r="PBK6" s="622"/>
      <c r="PBL6" s="622"/>
      <c r="PBM6" s="622"/>
      <c r="PBN6" s="622"/>
      <c r="PBO6" s="622"/>
      <c r="PBP6" s="622"/>
      <c r="PBQ6" s="622"/>
      <c r="PBR6" s="622"/>
      <c r="PBS6" s="622"/>
      <c r="PBT6" s="622"/>
      <c r="PBU6" s="622"/>
      <c r="PBV6" s="622"/>
      <c r="PBW6" s="622"/>
      <c r="PBX6" s="622"/>
      <c r="PBY6" s="622"/>
      <c r="PBZ6" s="622"/>
      <c r="PCA6" s="622"/>
      <c r="PCB6" s="622"/>
      <c r="PCC6" s="622"/>
      <c r="PCD6" s="622"/>
      <c r="PCE6" s="622"/>
      <c r="PCF6" s="622"/>
      <c r="PCG6" s="622"/>
      <c r="PCH6" s="622"/>
      <c r="PCI6" s="622"/>
      <c r="PCJ6" s="622"/>
      <c r="PCK6" s="622"/>
      <c r="PCL6" s="622"/>
      <c r="PCM6" s="622"/>
      <c r="PCN6" s="622"/>
      <c r="PCO6" s="622"/>
      <c r="PCP6" s="622"/>
      <c r="PCQ6" s="622"/>
      <c r="PCR6" s="622"/>
      <c r="PCS6" s="622"/>
      <c r="PCT6" s="622"/>
      <c r="PCU6" s="622"/>
      <c r="PCV6" s="622"/>
      <c r="PCW6" s="622"/>
      <c r="PCX6" s="622"/>
      <c r="PCY6" s="622"/>
      <c r="PCZ6" s="622"/>
      <c r="PDA6" s="622"/>
      <c r="PDB6" s="622"/>
      <c r="PDC6" s="622"/>
      <c r="PDD6" s="622"/>
      <c r="PDE6" s="622"/>
      <c r="PDF6" s="622"/>
      <c r="PDG6" s="622"/>
      <c r="PDH6" s="622"/>
      <c r="PDI6" s="622"/>
      <c r="PDJ6" s="622"/>
      <c r="PDK6" s="622"/>
      <c r="PDL6" s="622"/>
      <c r="PDM6" s="622"/>
      <c r="PDN6" s="622"/>
      <c r="PDO6" s="622"/>
      <c r="PDP6" s="622"/>
      <c r="PDQ6" s="622"/>
      <c r="PDR6" s="622"/>
      <c r="PDS6" s="622"/>
      <c r="PDT6" s="622"/>
      <c r="PDU6" s="622"/>
      <c r="PDV6" s="622"/>
      <c r="PDW6" s="622"/>
      <c r="PDX6" s="622"/>
      <c r="PDY6" s="622"/>
      <c r="PDZ6" s="622"/>
      <c r="PEA6" s="622"/>
      <c r="PEB6" s="622"/>
      <c r="PEC6" s="622"/>
      <c r="PED6" s="622"/>
      <c r="PEE6" s="622"/>
      <c r="PEF6" s="622"/>
      <c r="PEG6" s="622"/>
      <c r="PEH6" s="622"/>
      <c r="PEI6" s="622"/>
      <c r="PEJ6" s="622"/>
      <c r="PEK6" s="622"/>
      <c r="PEL6" s="622"/>
      <c r="PEM6" s="622"/>
      <c r="PEN6" s="622"/>
      <c r="PEO6" s="622"/>
      <c r="PEP6" s="622"/>
      <c r="PEQ6" s="622"/>
      <c r="PER6" s="622"/>
      <c r="PES6" s="622"/>
      <c r="PET6" s="622"/>
      <c r="PEU6" s="622"/>
      <c r="PEV6" s="622"/>
      <c r="PEW6" s="622"/>
      <c r="PEX6" s="622"/>
      <c r="PEY6" s="622"/>
      <c r="PEZ6" s="622"/>
      <c r="PFA6" s="622"/>
      <c r="PFB6" s="622"/>
      <c r="PFC6" s="622"/>
      <c r="PFD6" s="622"/>
      <c r="PFE6" s="622"/>
      <c r="PFF6" s="622"/>
      <c r="PFG6" s="622"/>
      <c r="PFH6" s="622"/>
      <c r="PFI6" s="622"/>
      <c r="PFJ6" s="622"/>
      <c r="PFK6" s="622"/>
      <c r="PFL6" s="622"/>
      <c r="PFM6" s="622"/>
      <c r="PFN6" s="622"/>
      <c r="PFO6" s="622"/>
      <c r="PFP6" s="622"/>
      <c r="PFQ6" s="622"/>
      <c r="PFR6" s="622"/>
      <c r="PFS6" s="622"/>
      <c r="PFT6" s="622"/>
      <c r="PFU6" s="622"/>
      <c r="PFV6" s="622"/>
      <c r="PFW6" s="622"/>
      <c r="PFX6" s="622"/>
      <c r="PFY6" s="622"/>
      <c r="PFZ6" s="622"/>
      <c r="PGA6" s="622"/>
      <c r="PGB6" s="622"/>
      <c r="PGC6" s="622"/>
      <c r="PGD6" s="622"/>
      <c r="PGE6" s="622"/>
      <c r="PGF6" s="622"/>
      <c r="PGG6" s="622"/>
      <c r="PGH6" s="622"/>
      <c r="PGI6" s="622"/>
      <c r="PGJ6" s="622"/>
      <c r="PGK6" s="622"/>
      <c r="PGL6" s="622"/>
      <c r="PGM6" s="622"/>
      <c r="PGN6" s="622"/>
      <c r="PGO6" s="622"/>
      <c r="PGP6" s="622"/>
      <c r="PGQ6" s="622"/>
      <c r="PGR6" s="622"/>
      <c r="PGS6" s="622"/>
      <c r="PGT6" s="622"/>
      <c r="PGU6" s="622"/>
      <c r="PGV6" s="622"/>
      <c r="PGW6" s="622"/>
      <c r="PGX6" s="622"/>
      <c r="PGY6" s="622"/>
      <c r="PGZ6" s="622"/>
      <c r="PHA6" s="622"/>
      <c r="PHB6" s="622"/>
      <c r="PHC6" s="622"/>
      <c r="PHD6" s="622"/>
      <c r="PHE6" s="622"/>
      <c r="PHF6" s="622"/>
      <c r="PHG6" s="622"/>
      <c r="PHH6" s="622"/>
      <c r="PHI6" s="622"/>
      <c r="PHJ6" s="622"/>
      <c r="PHK6" s="622"/>
      <c r="PHL6" s="622"/>
      <c r="PHM6" s="622"/>
      <c r="PHN6" s="622"/>
      <c r="PHO6" s="622"/>
      <c r="PHP6" s="622"/>
      <c r="PHQ6" s="622"/>
      <c r="PHR6" s="622"/>
      <c r="PHS6" s="622"/>
      <c r="PHT6" s="622"/>
      <c r="PHU6" s="622"/>
      <c r="PHV6" s="622"/>
      <c r="PHW6" s="622"/>
      <c r="PHX6" s="622"/>
      <c r="PHY6" s="622"/>
      <c r="PHZ6" s="622"/>
      <c r="PIA6" s="622"/>
      <c r="PIB6" s="622"/>
      <c r="PIC6" s="622"/>
      <c r="PID6" s="622"/>
      <c r="PIE6" s="622"/>
      <c r="PIF6" s="622"/>
      <c r="PIG6" s="622"/>
      <c r="PIH6" s="622"/>
      <c r="PII6" s="622"/>
      <c r="PIJ6" s="622"/>
      <c r="PIK6" s="622"/>
      <c r="PIL6" s="622"/>
      <c r="PIM6" s="622"/>
      <c r="PIN6" s="622"/>
      <c r="PIO6" s="622"/>
      <c r="PIP6" s="622"/>
      <c r="PIQ6" s="622"/>
      <c r="PIR6" s="622"/>
      <c r="PIS6" s="622"/>
      <c r="PIT6" s="622"/>
      <c r="PIU6" s="622"/>
      <c r="PIV6" s="622"/>
      <c r="PIW6" s="622"/>
      <c r="PIX6" s="622"/>
      <c r="PIY6" s="622"/>
      <c r="PIZ6" s="622"/>
      <c r="PJA6" s="622"/>
      <c r="PJB6" s="622"/>
      <c r="PJC6" s="622"/>
      <c r="PJD6" s="622"/>
      <c r="PJE6" s="622"/>
      <c r="PJF6" s="622"/>
      <c r="PJG6" s="622"/>
      <c r="PJH6" s="622"/>
      <c r="PJI6" s="622"/>
      <c r="PJJ6" s="622"/>
      <c r="PJK6" s="622"/>
      <c r="PJL6" s="622"/>
      <c r="PJM6" s="622"/>
      <c r="PJN6" s="622"/>
      <c r="PJO6" s="622"/>
      <c r="PJP6" s="622"/>
      <c r="PJQ6" s="622"/>
      <c r="PJR6" s="622"/>
      <c r="PJS6" s="622"/>
      <c r="PJT6" s="622"/>
      <c r="PJU6" s="622"/>
      <c r="PJV6" s="622"/>
      <c r="PJW6" s="622"/>
      <c r="PJX6" s="622"/>
      <c r="PJY6" s="622"/>
      <c r="PJZ6" s="622"/>
      <c r="PKA6" s="622"/>
      <c r="PKB6" s="622"/>
      <c r="PKC6" s="622"/>
      <c r="PKD6" s="622"/>
      <c r="PKE6" s="622"/>
      <c r="PKF6" s="622"/>
      <c r="PKG6" s="622"/>
      <c r="PKH6" s="622"/>
      <c r="PKI6" s="622"/>
      <c r="PKJ6" s="622"/>
      <c r="PKK6" s="622"/>
      <c r="PKL6" s="622"/>
      <c r="PKM6" s="622"/>
      <c r="PKN6" s="622"/>
      <c r="PKO6" s="622"/>
      <c r="PKP6" s="622"/>
      <c r="PKQ6" s="622"/>
      <c r="PKR6" s="622"/>
      <c r="PKS6" s="622"/>
      <c r="PKT6" s="622"/>
      <c r="PKU6" s="622"/>
      <c r="PKV6" s="622"/>
      <c r="PKW6" s="622"/>
      <c r="PKX6" s="622"/>
      <c r="PKY6" s="622"/>
      <c r="PKZ6" s="622"/>
      <c r="PLA6" s="622"/>
      <c r="PLB6" s="622"/>
      <c r="PLC6" s="622"/>
      <c r="PLD6" s="622"/>
      <c r="PLE6" s="622"/>
      <c r="PLF6" s="622"/>
      <c r="PLG6" s="622"/>
      <c r="PLH6" s="622"/>
      <c r="PLI6" s="622"/>
      <c r="PLJ6" s="622"/>
      <c r="PLK6" s="622"/>
      <c r="PLL6" s="622"/>
      <c r="PLM6" s="622"/>
      <c r="PLN6" s="622"/>
      <c r="PLO6" s="622"/>
      <c r="PLP6" s="622"/>
      <c r="PLQ6" s="622"/>
      <c r="PLR6" s="622"/>
      <c r="PLS6" s="622"/>
      <c r="PLT6" s="622"/>
      <c r="PLU6" s="622"/>
      <c r="PLV6" s="622"/>
      <c r="PLW6" s="622"/>
      <c r="PLX6" s="622"/>
      <c r="PLY6" s="622"/>
      <c r="PLZ6" s="622"/>
      <c r="PMA6" s="622"/>
      <c r="PMB6" s="622"/>
      <c r="PMC6" s="622"/>
      <c r="PMD6" s="622"/>
      <c r="PME6" s="622"/>
      <c r="PMF6" s="622"/>
      <c r="PMG6" s="622"/>
      <c r="PMH6" s="622"/>
      <c r="PMI6" s="622"/>
      <c r="PMJ6" s="622"/>
      <c r="PMK6" s="622"/>
      <c r="PML6" s="622"/>
      <c r="PMM6" s="622"/>
      <c r="PMN6" s="622"/>
      <c r="PMO6" s="622"/>
      <c r="PMP6" s="622"/>
      <c r="PMQ6" s="622"/>
      <c r="PMR6" s="622"/>
      <c r="PMS6" s="622"/>
      <c r="PMT6" s="622"/>
      <c r="PMU6" s="622"/>
      <c r="PMV6" s="622"/>
      <c r="PMW6" s="622"/>
      <c r="PMX6" s="622"/>
      <c r="PMY6" s="622"/>
      <c r="PMZ6" s="622"/>
      <c r="PNA6" s="622"/>
      <c r="PNB6" s="622"/>
      <c r="PNC6" s="622"/>
      <c r="PND6" s="622"/>
      <c r="PNE6" s="622"/>
      <c r="PNF6" s="622"/>
      <c r="PNG6" s="622"/>
      <c r="PNH6" s="622"/>
      <c r="PNI6" s="622"/>
      <c r="PNJ6" s="622"/>
      <c r="PNK6" s="622"/>
      <c r="PNL6" s="622"/>
      <c r="PNM6" s="622"/>
      <c r="PNN6" s="622"/>
      <c r="PNO6" s="622"/>
      <c r="PNP6" s="622"/>
      <c r="PNQ6" s="622"/>
      <c r="PNR6" s="622"/>
      <c r="PNS6" s="622"/>
      <c r="PNT6" s="622"/>
      <c r="PNU6" s="622"/>
      <c r="PNV6" s="622"/>
      <c r="PNW6" s="622"/>
      <c r="PNX6" s="622"/>
      <c r="PNY6" s="622"/>
      <c r="PNZ6" s="622"/>
      <c r="POA6" s="622"/>
      <c r="POB6" s="622"/>
      <c r="POC6" s="622"/>
      <c r="POD6" s="622"/>
      <c r="POE6" s="622"/>
      <c r="POF6" s="622"/>
      <c r="POG6" s="622"/>
      <c r="POH6" s="622"/>
      <c r="POI6" s="622"/>
      <c r="POJ6" s="622"/>
      <c r="POK6" s="622"/>
      <c r="POL6" s="622"/>
      <c r="POM6" s="622"/>
      <c r="PON6" s="622"/>
      <c r="POO6" s="622"/>
      <c r="POP6" s="622"/>
      <c r="POQ6" s="622"/>
      <c r="POR6" s="622"/>
      <c r="POS6" s="622"/>
      <c r="POT6" s="622"/>
      <c r="POU6" s="622"/>
      <c r="POV6" s="622"/>
      <c r="POW6" s="622"/>
      <c r="POX6" s="622"/>
      <c r="POY6" s="622"/>
      <c r="POZ6" s="622"/>
      <c r="PPA6" s="622"/>
      <c r="PPB6" s="622"/>
      <c r="PPC6" s="622"/>
      <c r="PPD6" s="622"/>
      <c r="PPE6" s="622"/>
      <c r="PPF6" s="622"/>
      <c r="PPG6" s="622"/>
      <c r="PPH6" s="622"/>
      <c r="PPI6" s="622"/>
      <c r="PPJ6" s="622"/>
      <c r="PPK6" s="622"/>
      <c r="PPL6" s="622"/>
      <c r="PPM6" s="622"/>
      <c r="PPN6" s="622"/>
      <c r="PPO6" s="622"/>
      <c r="PPP6" s="622"/>
      <c r="PPQ6" s="622"/>
      <c r="PPR6" s="622"/>
      <c r="PPS6" s="622"/>
      <c r="PPT6" s="622"/>
      <c r="PPU6" s="622"/>
      <c r="PPV6" s="622"/>
      <c r="PPW6" s="622"/>
      <c r="PPX6" s="622"/>
      <c r="PPY6" s="622"/>
      <c r="PPZ6" s="622"/>
      <c r="PQA6" s="622"/>
      <c r="PQB6" s="622"/>
      <c r="PQC6" s="622"/>
      <c r="PQD6" s="622"/>
      <c r="PQE6" s="622"/>
      <c r="PQF6" s="622"/>
      <c r="PQG6" s="622"/>
      <c r="PQH6" s="622"/>
      <c r="PQI6" s="622"/>
      <c r="PQJ6" s="622"/>
      <c r="PQK6" s="622"/>
      <c r="PQL6" s="622"/>
      <c r="PQM6" s="622"/>
      <c r="PQN6" s="622"/>
      <c r="PQO6" s="622"/>
      <c r="PQP6" s="622"/>
      <c r="PQQ6" s="622"/>
      <c r="PQR6" s="622"/>
      <c r="PQS6" s="622"/>
      <c r="PQT6" s="622"/>
      <c r="PQU6" s="622"/>
      <c r="PQV6" s="622"/>
      <c r="PQW6" s="622"/>
      <c r="PQX6" s="622"/>
      <c r="PQY6" s="622"/>
      <c r="PQZ6" s="622"/>
      <c r="PRA6" s="622"/>
      <c r="PRB6" s="622"/>
      <c r="PRC6" s="622"/>
      <c r="PRD6" s="622"/>
      <c r="PRE6" s="622"/>
      <c r="PRF6" s="622"/>
      <c r="PRG6" s="622"/>
      <c r="PRH6" s="622"/>
      <c r="PRI6" s="622"/>
      <c r="PRJ6" s="622"/>
      <c r="PRK6" s="622"/>
      <c r="PRL6" s="622"/>
      <c r="PRM6" s="622"/>
      <c r="PRN6" s="622"/>
      <c r="PRO6" s="622"/>
      <c r="PRP6" s="622"/>
      <c r="PRQ6" s="622"/>
      <c r="PRR6" s="622"/>
      <c r="PRS6" s="622"/>
      <c r="PRT6" s="622"/>
      <c r="PRU6" s="622"/>
      <c r="PRV6" s="622"/>
      <c r="PRW6" s="622"/>
      <c r="PRX6" s="622"/>
      <c r="PRY6" s="622"/>
      <c r="PRZ6" s="622"/>
      <c r="PSA6" s="622"/>
      <c r="PSB6" s="622"/>
      <c r="PSC6" s="622"/>
      <c r="PSD6" s="622"/>
      <c r="PSE6" s="622"/>
      <c r="PSF6" s="622"/>
      <c r="PSG6" s="622"/>
      <c r="PSH6" s="622"/>
      <c r="PSI6" s="622"/>
      <c r="PSJ6" s="622"/>
      <c r="PSK6" s="622"/>
      <c r="PSL6" s="622"/>
      <c r="PSM6" s="622"/>
      <c r="PSN6" s="622"/>
      <c r="PSO6" s="622"/>
      <c r="PSP6" s="622"/>
      <c r="PSQ6" s="622"/>
      <c r="PSR6" s="622"/>
      <c r="PSS6" s="622"/>
      <c r="PST6" s="622"/>
      <c r="PSU6" s="622"/>
      <c r="PSV6" s="622"/>
      <c r="PSW6" s="622"/>
      <c r="PSX6" s="622"/>
      <c r="PSY6" s="622"/>
      <c r="PSZ6" s="622"/>
      <c r="PTA6" s="622"/>
      <c r="PTB6" s="622"/>
      <c r="PTC6" s="622"/>
      <c r="PTD6" s="622"/>
      <c r="PTE6" s="622"/>
      <c r="PTF6" s="622"/>
      <c r="PTG6" s="622"/>
      <c r="PTH6" s="622"/>
      <c r="PTI6" s="622"/>
      <c r="PTJ6" s="622"/>
      <c r="PTK6" s="622"/>
      <c r="PTL6" s="622"/>
      <c r="PTM6" s="622"/>
      <c r="PTN6" s="622"/>
      <c r="PTO6" s="622"/>
      <c r="PTP6" s="622"/>
      <c r="PTQ6" s="622"/>
      <c r="PTR6" s="622"/>
      <c r="PTS6" s="622"/>
      <c r="PTT6" s="622"/>
      <c r="PTU6" s="622"/>
      <c r="PTV6" s="622"/>
      <c r="PTW6" s="622"/>
      <c r="PTX6" s="622"/>
      <c r="PTY6" s="622"/>
      <c r="PTZ6" s="622"/>
      <c r="PUA6" s="622"/>
      <c r="PUB6" s="622"/>
      <c r="PUC6" s="622"/>
      <c r="PUD6" s="622"/>
      <c r="PUE6" s="622"/>
      <c r="PUF6" s="622"/>
      <c r="PUG6" s="622"/>
      <c r="PUH6" s="622"/>
      <c r="PUI6" s="622"/>
      <c r="PUJ6" s="622"/>
      <c r="PUK6" s="622"/>
      <c r="PUL6" s="622"/>
      <c r="PUM6" s="622"/>
      <c r="PUN6" s="622"/>
      <c r="PUO6" s="622"/>
      <c r="PUP6" s="622"/>
      <c r="PUQ6" s="622"/>
      <c r="PUR6" s="622"/>
      <c r="PUS6" s="622"/>
      <c r="PUT6" s="622"/>
      <c r="PUU6" s="622"/>
      <c r="PUV6" s="622"/>
      <c r="PUW6" s="622"/>
      <c r="PUX6" s="622"/>
      <c r="PUY6" s="622"/>
      <c r="PUZ6" s="622"/>
      <c r="PVA6" s="622"/>
      <c r="PVB6" s="622"/>
      <c r="PVC6" s="622"/>
      <c r="PVD6" s="622"/>
      <c r="PVE6" s="622"/>
      <c r="PVF6" s="622"/>
      <c r="PVG6" s="622"/>
      <c r="PVH6" s="622"/>
      <c r="PVI6" s="622"/>
      <c r="PVJ6" s="622"/>
      <c r="PVK6" s="622"/>
      <c r="PVL6" s="622"/>
      <c r="PVM6" s="622"/>
      <c r="PVN6" s="622"/>
      <c r="PVO6" s="622"/>
      <c r="PVP6" s="622"/>
      <c r="PVQ6" s="622"/>
      <c r="PVR6" s="622"/>
      <c r="PVS6" s="622"/>
      <c r="PVT6" s="622"/>
      <c r="PVU6" s="622"/>
      <c r="PVV6" s="622"/>
      <c r="PVW6" s="622"/>
      <c r="PVX6" s="622"/>
      <c r="PVY6" s="622"/>
      <c r="PVZ6" s="622"/>
      <c r="PWA6" s="622"/>
      <c r="PWB6" s="622"/>
      <c r="PWC6" s="622"/>
      <c r="PWD6" s="622"/>
      <c r="PWE6" s="622"/>
      <c r="PWF6" s="622"/>
      <c r="PWG6" s="622"/>
      <c r="PWH6" s="622"/>
      <c r="PWI6" s="622"/>
      <c r="PWJ6" s="622"/>
      <c r="PWK6" s="622"/>
      <c r="PWL6" s="622"/>
      <c r="PWM6" s="622"/>
      <c r="PWN6" s="622"/>
      <c r="PWO6" s="622"/>
      <c r="PWP6" s="622"/>
      <c r="PWQ6" s="622"/>
      <c r="PWR6" s="622"/>
      <c r="PWS6" s="622"/>
      <c r="PWT6" s="622"/>
      <c r="PWU6" s="622"/>
      <c r="PWV6" s="622"/>
      <c r="PWW6" s="622"/>
      <c r="PWX6" s="622"/>
      <c r="PWY6" s="622"/>
      <c r="PWZ6" s="622"/>
      <c r="PXA6" s="622"/>
      <c r="PXB6" s="622"/>
      <c r="PXC6" s="622"/>
      <c r="PXD6" s="622"/>
      <c r="PXE6" s="622"/>
      <c r="PXF6" s="622"/>
      <c r="PXG6" s="622"/>
      <c r="PXH6" s="622"/>
      <c r="PXI6" s="622"/>
      <c r="PXJ6" s="622"/>
      <c r="PXK6" s="622"/>
      <c r="PXL6" s="622"/>
      <c r="PXM6" s="622"/>
      <c r="PXN6" s="622"/>
      <c r="PXO6" s="622"/>
      <c r="PXP6" s="622"/>
      <c r="PXQ6" s="622"/>
      <c r="PXR6" s="622"/>
      <c r="PXS6" s="622"/>
      <c r="PXT6" s="622"/>
      <c r="PXU6" s="622"/>
      <c r="PXV6" s="622"/>
      <c r="PXW6" s="622"/>
      <c r="PXX6" s="622"/>
      <c r="PXY6" s="622"/>
      <c r="PXZ6" s="622"/>
      <c r="PYA6" s="622"/>
      <c r="PYB6" s="622"/>
      <c r="PYC6" s="622"/>
      <c r="PYD6" s="622"/>
      <c r="PYE6" s="622"/>
      <c r="PYF6" s="622"/>
      <c r="PYG6" s="622"/>
      <c r="PYH6" s="622"/>
      <c r="PYI6" s="622"/>
      <c r="PYJ6" s="622"/>
      <c r="PYK6" s="622"/>
      <c r="PYL6" s="622"/>
      <c r="PYM6" s="622"/>
      <c r="PYN6" s="622"/>
      <c r="PYO6" s="622"/>
      <c r="PYP6" s="622"/>
      <c r="PYQ6" s="622"/>
      <c r="PYR6" s="622"/>
      <c r="PYS6" s="622"/>
      <c r="PYT6" s="622"/>
      <c r="PYU6" s="622"/>
      <c r="PYV6" s="622"/>
      <c r="PYW6" s="622"/>
      <c r="PYX6" s="622"/>
      <c r="PYY6" s="622"/>
      <c r="PYZ6" s="622"/>
      <c r="PZA6" s="622"/>
      <c r="PZB6" s="622"/>
      <c r="PZC6" s="622"/>
      <c r="PZD6" s="622"/>
      <c r="PZE6" s="622"/>
      <c r="PZF6" s="622"/>
      <c r="PZG6" s="622"/>
      <c r="PZH6" s="622"/>
      <c r="PZI6" s="622"/>
      <c r="PZJ6" s="622"/>
      <c r="PZK6" s="622"/>
      <c r="PZL6" s="622"/>
      <c r="PZM6" s="622"/>
      <c r="PZN6" s="622"/>
      <c r="PZO6" s="622"/>
      <c r="PZP6" s="622"/>
      <c r="PZQ6" s="622"/>
      <c r="PZR6" s="622"/>
      <c r="PZS6" s="622"/>
      <c r="PZT6" s="622"/>
      <c r="PZU6" s="622"/>
      <c r="PZV6" s="622"/>
      <c r="PZW6" s="622"/>
      <c r="PZX6" s="622"/>
      <c r="PZY6" s="622"/>
      <c r="PZZ6" s="622"/>
      <c r="QAA6" s="622"/>
      <c r="QAB6" s="622"/>
      <c r="QAC6" s="622"/>
      <c r="QAD6" s="622"/>
      <c r="QAE6" s="622"/>
      <c r="QAF6" s="622"/>
      <c r="QAG6" s="622"/>
      <c r="QAH6" s="622"/>
      <c r="QAI6" s="622"/>
      <c r="QAJ6" s="622"/>
      <c r="QAK6" s="622"/>
      <c r="QAL6" s="622"/>
      <c r="QAM6" s="622"/>
      <c r="QAN6" s="622"/>
      <c r="QAO6" s="622"/>
      <c r="QAP6" s="622"/>
      <c r="QAQ6" s="622"/>
      <c r="QAR6" s="622"/>
      <c r="QAS6" s="622"/>
      <c r="QAT6" s="622"/>
      <c r="QAU6" s="622"/>
      <c r="QAV6" s="622"/>
      <c r="QAW6" s="622"/>
      <c r="QAX6" s="622"/>
      <c r="QAY6" s="622"/>
      <c r="QAZ6" s="622"/>
      <c r="QBA6" s="622"/>
      <c r="QBB6" s="622"/>
      <c r="QBC6" s="622"/>
      <c r="QBD6" s="622"/>
      <c r="QBE6" s="622"/>
      <c r="QBF6" s="622"/>
      <c r="QBG6" s="622"/>
      <c r="QBH6" s="622"/>
      <c r="QBI6" s="622"/>
      <c r="QBJ6" s="622"/>
      <c r="QBK6" s="622"/>
      <c r="QBL6" s="622"/>
      <c r="QBM6" s="622"/>
      <c r="QBN6" s="622"/>
      <c r="QBO6" s="622"/>
      <c r="QBP6" s="622"/>
      <c r="QBQ6" s="622"/>
      <c r="QBR6" s="622"/>
      <c r="QBS6" s="622"/>
      <c r="QBT6" s="622"/>
      <c r="QBU6" s="622"/>
      <c r="QBV6" s="622"/>
      <c r="QBW6" s="622"/>
      <c r="QBX6" s="622"/>
      <c r="QBY6" s="622"/>
      <c r="QBZ6" s="622"/>
      <c r="QCA6" s="622"/>
      <c r="QCB6" s="622"/>
      <c r="QCC6" s="622"/>
      <c r="QCD6" s="622"/>
      <c r="QCE6" s="622"/>
      <c r="QCF6" s="622"/>
      <c r="QCG6" s="622"/>
      <c r="QCH6" s="622"/>
      <c r="QCI6" s="622"/>
      <c r="QCJ6" s="622"/>
      <c r="QCK6" s="622"/>
      <c r="QCL6" s="622"/>
      <c r="QCM6" s="622"/>
      <c r="QCN6" s="622"/>
      <c r="QCO6" s="622"/>
      <c r="QCP6" s="622"/>
      <c r="QCQ6" s="622"/>
      <c r="QCR6" s="622"/>
      <c r="QCS6" s="622"/>
      <c r="QCT6" s="622"/>
      <c r="QCU6" s="622"/>
      <c r="QCV6" s="622"/>
      <c r="QCW6" s="622"/>
      <c r="QCX6" s="622"/>
      <c r="QCY6" s="622"/>
      <c r="QCZ6" s="622"/>
      <c r="QDA6" s="622"/>
      <c r="QDB6" s="622"/>
      <c r="QDC6" s="622"/>
      <c r="QDD6" s="622"/>
      <c r="QDE6" s="622"/>
      <c r="QDF6" s="622"/>
      <c r="QDG6" s="622"/>
      <c r="QDH6" s="622"/>
      <c r="QDI6" s="622"/>
      <c r="QDJ6" s="622"/>
      <c r="QDK6" s="622"/>
      <c r="QDL6" s="622"/>
      <c r="QDM6" s="622"/>
      <c r="QDN6" s="622"/>
      <c r="QDO6" s="622"/>
      <c r="QDP6" s="622"/>
      <c r="QDQ6" s="622"/>
      <c r="QDR6" s="622"/>
      <c r="QDS6" s="622"/>
      <c r="QDT6" s="622"/>
      <c r="QDU6" s="622"/>
      <c r="QDV6" s="622"/>
      <c r="QDW6" s="622"/>
      <c r="QDX6" s="622"/>
      <c r="QDY6" s="622"/>
      <c r="QDZ6" s="622"/>
      <c r="QEA6" s="622"/>
      <c r="QEB6" s="622"/>
      <c r="QEC6" s="622"/>
      <c r="QED6" s="622"/>
      <c r="QEE6" s="622"/>
      <c r="QEF6" s="622"/>
      <c r="QEG6" s="622"/>
      <c r="QEH6" s="622"/>
      <c r="QEI6" s="622"/>
      <c r="QEJ6" s="622"/>
      <c r="QEK6" s="622"/>
      <c r="QEL6" s="622"/>
      <c r="QEM6" s="622"/>
      <c r="QEN6" s="622"/>
      <c r="QEO6" s="622"/>
      <c r="QEP6" s="622"/>
      <c r="QEQ6" s="622"/>
      <c r="QER6" s="622"/>
      <c r="QES6" s="622"/>
      <c r="QET6" s="622"/>
      <c r="QEU6" s="622"/>
      <c r="QEV6" s="622"/>
      <c r="QEW6" s="622"/>
      <c r="QEX6" s="622"/>
      <c r="QEY6" s="622"/>
      <c r="QEZ6" s="622"/>
      <c r="QFA6" s="622"/>
      <c r="QFB6" s="622"/>
      <c r="QFC6" s="622"/>
      <c r="QFD6" s="622"/>
      <c r="QFE6" s="622"/>
      <c r="QFF6" s="622"/>
      <c r="QFG6" s="622"/>
      <c r="QFH6" s="622"/>
      <c r="QFI6" s="622"/>
      <c r="QFJ6" s="622"/>
      <c r="QFK6" s="622"/>
      <c r="QFL6" s="622"/>
      <c r="QFM6" s="622"/>
      <c r="QFN6" s="622"/>
      <c r="QFO6" s="622"/>
      <c r="QFP6" s="622"/>
      <c r="QFQ6" s="622"/>
      <c r="QFR6" s="622"/>
      <c r="QFS6" s="622"/>
      <c r="QFT6" s="622"/>
      <c r="QFU6" s="622"/>
      <c r="QFV6" s="622"/>
      <c r="QFW6" s="622"/>
      <c r="QFX6" s="622"/>
      <c r="QFY6" s="622"/>
      <c r="QFZ6" s="622"/>
      <c r="QGA6" s="622"/>
      <c r="QGB6" s="622"/>
      <c r="QGC6" s="622"/>
      <c r="QGD6" s="622"/>
      <c r="QGE6" s="622"/>
      <c r="QGF6" s="622"/>
      <c r="QGG6" s="622"/>
      <c r="QGH6" s="622"/>
      <c r="QGI6" s="622"/>
      <c r="QGJ6" s="622"/>
      <c r="QGK6" s="622"/>
      <c r="QGL6" s="622"/>
      <c r="QGM6" s="622"/>
      <c r="QGN6" s="622"/>
      <c r="QGO6" s="622"/>
      <c r="QGP6" s="622"/>
      <c r="QGQ6" s="622"/>
      <c r="QGR6" s="622"/>
      <c r="QGS6" s="622"/>
      <c r="QGT6" s="622"/>
      <c r="QGU6" s="622"/>
      <c r="QGV6" s="622"/>
      <c r="QGW6" s="622"/>
      <c r="QGX6" s="622"/>
      <c r="QGY6" s="622"/>
      <c r="QGZ6" s="622"/>
      <c r="QHA6" s="622"/>
      <c r="QHB6" s="622"/>
      <c r="QHC6" s="622"/>
      <c r="QHD6" s="622"/>
      <c r="QHE6" s="622"/>
      <c r="QHF6" s="622"/>
      <c r="QHG6" s="622"/>
      <c r="QHH6" s="622"/>
      <c r="QHI6" s="622"/>
      <c r="QHJ6" s="622"/>
      <c r="QHK6" s="622"/>
      <c r="QHL6" s="622"/>
      <c r="QHM6" s="622"/>
      <c r="QHN6" s="622"/>
      <c r="QHO6" s="622"/>
      <c r="QHP6" s="622"/>
      <c r="QHQ6" s="622"/>
      <c r="QHR6" s="622"/>
      <c r="QHS6" s="622"/>
      <c r="QHT6" s="622"/>
      <c r="QHU6" s="622"/>
      <c r="QHV6" s="622"/>
      <c r="QHW6" s="622"/>
      <c r="QHX6" s="622"/>
      <c r="QHY6" s="622"/>
      <c r="QHZ6" s="622"/>
      <c r="QIA6" s="622"/>
      <c r="QIB6" s="622"/>
      <c r="QIC6" s="622"/>
      <c r="QID6" s="622"/>
      <c r="QIE6" s="622"/>
      <c r="QIF6" s="622"/>
      <c r="QIG6" s="622"/>
      <c r="QIH6" s="622"/>
      <c r="QII6" s="622"/>
      <c r="QIJ6" s="622"/>
      <c r="QIK6" s="622"/>
      <c r="QIL6" s="622"/>
      <c r="QIM6" s="622"/>
      <c r="QIN6" s="622"/>
      <c r="QIO6" s="622"/>
      <c r="QIP6" s="622"/>
      <c r="QIQ6" s="622"/>
      <c r="QIR6" s="622"/>
      <c r="QIS6" s="622"/>
      <c r="QIT6" s="622"/>
      <c r="QIU6" s="622"/>
      <c r="QIV6" s="622"/>
      <c r="QIW6" s="622"/>
      <c r="QIX6" s="622"/>
      <c r="QIY6" s="622"/>
      <c r="QIZ6" s="622"/>
      <c r="QJA6" s="622"/>
      <c r="QJB6" s="622"/>
      <c r="QJC6" s="622"/>
      <c r="QJD6" s="622"/>
      <c r="QJE6" s="622"/>
      <c r="QJF6" s="622"/>
      <c r="QJG6" s="622"/>
      <c r="QJH6" s="622"/>
      <c r="QJI6" s="622"/>
      <c r="QJJ6" s="622"/>
      <c r="QJK6" s="622"/>
      <c r="QJL6" s="622"/>
      <c r="QJM6" s="622"/>
      <c r="QJN6" s="622"/>
      <c r="QJO6" s="622"/>
      <c r="QJP6" s="622"/>
      <c r="QJQ6" s="622"/>
      <c r="QJR6" s="622"/>
      <c r="QJS6" s="622"/>
      <c r="QJT6" s="622"/>
      <c r="QJU6" s="622"/>
      <c r="QJV6" s="622"/>
      <c r="QJW6" s="622"/>
      <c r="QJX6" s="622"/>
      <c r="QJY6" s="622"/>
      <c r="QJZ6" s="622"/>
      <c r="QKA6" s="622"/>
      <c r="QKB6" s="622"/>
      <c r="QKC6" s="622"/>
      <c r="QKD6" s="622"/>
      <c r="QKE6" s="622"/>
      <c r="QKF6" s="622"/>
      <c r="QKG6" s="622"/>
      <c r="QKH6" s="622"/>
      <c r="QKI6" s="622"/>
      <c r="QKJ6" s="622"/>
      <c r="QKK6" s="622"/>
      <c r="QKL6" s="622"/>
      <c r="QKM6" s="622"/>
      <c r="QKN6" s="622"/>
      <c r="QKO6" s="622"/>
      <c r="QKP6" s="622"/>
      <c r="QKQ6" s="622"/>
      <c r="QKR6" s="622"/>
      <c r="QKS6" s="622"/>
      <c r="QKT6" s="622"/>
      <c r="QKU6" s="622"/>
      <c r="QKV6" s="622"/>
      <c r="QKW6" s="622"/>
      <c r="QKX6" s="622"/>
      <c r="QKY6" s="622"/>
      <c r="QKZ6" s="622"/>
      <c r="QLA6" s="622"/>
      <c r="QLB6" s="622"/>
      <c r="QLC6" s="622"/>
      <c r="QLD6" s="622"/>
      <c r="QLE6" s="622"/>
      <c r="QLF6" s="622"/>
      <c r="QLG6" s="622"/>
      <c r="QLH6" s="622"/>
      <c r="QLI6" s="622"/>
      <c r="QLJ6" s="622"/>
      <c r="QLK6" s="622"/>
      <c r="QLL6" s="622"/>
      <c r="QLM6" s="622"/>
      <c r="QLN6" s="622"/>
      <c r="QLO6" s="622"/>
      <c r="QLP6" s="622"/>
      <c r="QLQ6" s="622"/>
      <c r="QLR6" s="622"/>
      <c r="QLS6" s="622"/>
      <c r="QLT6" s="622"/>
      <c r="QLU6" s="622"/>
      <c r="QLV6" s="622"/>
      <c r="QLW6" s="622"/>
      <c r="QLX6" s="622"/>
      <c r="QLY6" s="622"/>
      <c r="QLZ6" s="622"/>
      <c r="QMA6" s="622"/>
      <c r="QMB6" s="622"/>
      <c r="QMC6" s="622"/>
      <c r="QMD6" s="622"/>
      <c r="QME6" s="622"/>
      <c r="QMF6" s="622"/>
      <c r="QMG6" s="622"/>
      <c r="QMH6" s="622"/>
      <c r="QMI6" s="622"/>
      <c r="QMJ6" s="622"/>
      <c r="QMK6" s="622"/>
      <c r="QML6" s="622"/>
      <c r="QMM6" s="622"/>
      <c r="QMN6" s="622"/>
      <c r="QMO6" s="622"/>
      <c r="QMP6" s="622"/>
      <c r="QMQ6" s="622"/>
      <c r="QMR6" s="622"/>
      <c r="QMS6" s="622"/>
      <c r="QMT6" s="622"/>
      <c r="QMU6" s="622"/>
      <c r="QMV6" s="622"/>
      <c r="QMW6" s="622"/>
      <c r="QMX6" s="622"/>
      <c r="QMY6" s="622"/>
      <c r="QMZ6" s="622"/>
      <c r="QNA6" s="622"/>
      <c r="QNB6" s="622"/>
      <c r="QNC6" s="622"/>
      <c r="QND6" s="622"/>
      <c r="QNE6" s="622"/>
      <c r="QNF6" s="622"/>
      <c r="QNG6" s="622"/>
      <c r="QNH6" s="622"/>
      <c r="QNI6" s="622"/>
      <c r="QNJ6" s="622"/>
      <c r="QNK6" s="622"/>
      <c r="QNL6" s="622"/>
      <c r="QNM6" s="622"/>
      <c r="QNN6" s="622"/>
      <c r="QNO6" s="622"/>
      <c r="QNP6" s="622"/>
      <c r="QNQ6" s="622"/>
      <c r="QNR6" s="622"/>
      <c r="QNS6" s="622"/>
      <c r="QNT6" s="622"/>
      <c r="QNU6" s="622"/>
      <c r="QNV6" s="622"/>
      <c r="QNW6" s="622"/>
      <c r="QNX6" s="622"/>
      <c r="QNY6" s="622"/>
      <c r="QNZ6" s="622"/>
      <c r="QOA6" s="622"/>
      <c r="QOB6" s="622"/>
      <c r="QOC6" s="622"/>
      <c r="QOD6" s="622"/>
      <c r="QOE6" s="622"/>
      <c r="QOF6" s="622"/>
      <c r="QOG6" s="622"/>
      <c r="QOH6" s="622"/>
      <c r="QOI6" s="622"/>
      <c r="QOJ6" s="622"/>
      <c r="QOK6" s="622"/>
      <c r="QOL6" s="622"/>
      <c r="QOM6" s="622"/>
      <c r="QON6" s="622"/>
      <c r="QOO6" s="622"/>
      <c r="QOP6" s="622"/>
      <c r="QOQ6" s="622"/>
      <c r="QOR6" s="622"/>
      <c r="QOS6" s="622"/>
      <c r="QOT6" s="622"/>
      <c r="QOU6" s="622"/>
      <c r="QOV6" s="622"/>
      <c r="QOW6" s="622"/>
      <c r="QOX6" s="622"/>
      <c r="QOY6" s="622"/>
      <c r="QOZ6" s="622"/>
      <c r="QPA6" s="622"/>
      <c r="QPB6" s="622"/>
      <c r="QPC6" s="622"/>
      <c r="QPD6" s="622"/>
      <c r="QPE6" s="622"/>
      <c r="QPF6" s="622"/>
      <c r="QPG6" s="622"/>
      <c r="QPH6" s="622"/>
      <c r="QPI6" s="622"/>
      <c r="QPJ6" s="622"/>
      <c r="QPK6" s="622"/>
      <c r="QPL6" s="622"/>
      <c r="QPM6" s="622"/>
      <c r="QPN6" s="622"/>
      <c r="QPO6" s="622"/>
      <c r="QPP6" s="622"/>
      <c r="QPQ6" s="622"/>
      <c r="QPR6" s="622"/>
      <c r="QPS6" s="622"/>
      <c r="QPT6" s="622"/>
      <c r="QPU6" s="622"/>
      <c r="QPV6" s="622"/>
      <c r="QPW6" s="622"/>
      <c r="QPX6" s="622"/>
      <c r="QPY6" s="622"/>
      <c r="QPZ6" s="622"/>
      <c r="QQA6" s="622"/>
      <c r="QQB6" s="622"/>
      <c r="QQC6" s="622"/>
      <c r="QQD6" s="622"/>
      <c r="QQE6" s="622"/>
      <c r="QQF6" s="622"/>
      <c r="QQG6" s="622"/>
      <c r="QQH6" s="622"/>
      <c r="QQI6" s="622"/>
      <c r="QQJ6" s="622"/>
      <c r="QQK6" s="622"/>
      <c r="QQL6" s="622"/>
      <c r="QQM6" s="622"/>
      <c r="QQN6" s="622"/>
      <c r="QQO6" s="622"/>
      <c r="QQP6" s="622"/>
      <c r="QQQ6" s="622"/>
      <c r="QQR6" s="622"/>
      <c r="QQS6" s="622"/>
      <c r="QQT6" s="622"/>
      <c r="QQU6" s="622"/>
      <c r="QQV6" s="622"/>
      <c r="QQW6" s="622"/>
      <c r="QQX6" s="622"/>
      <c r="QQY6" s="622"/>
      <c r="QQZ6" s="622"/>
      <c r="QRA6" s="622"/>
      <c r="QRB6" s="622"/>
      <c r="QRC6" s="622"/>
      <c r="QRD6" s="622"/>
      <c r="QRE6" s="622"/>
      <c r="QRF6" s="622"/>
      <c r="QRG6" s="622"/>
      <c r="QRH6" s="622"/>
      <c r="QRI6" s="622"/>
      <c r="QRJ6" s="622"/>
      <c r="QRK6" s="622"/>
      <c r="QRL6" s="622"/>
      <c r="QRM6" s="622"/>
      <c r="QRN6" s="622"/>
      <c r="QRO6" s="622"/>
      <c r="QRP6" s="622"/>
      <c r="QRQ6" s="622"/>
      <c r="QRR6" s="622"/>
      <c r="QRS6" s="622"/>
      <c r="QRT6" s="622"/>
      <c r="QRU6" s="622"/>
      <c r="QRV6" s="622"/>
      <c r="QRW6" s="622"/>
      <c r="QRX6" s="622"/>
      <c r="QRY6" s="622"/>
      <c r="QRZ6" s="622"/>
      <c r="QSA6" s="622"/>
      <c r="QSB6" s="622"/>
      <c r="QSC6" s="622"/>
      <c r="QSD6" s="622"/>
      <c r="QSE6" s="622"/>
      <c r="QSF6" s="622"/>
      <c r="QSG6" s="622"/>
      <c r="QSH6" s="622"/>
      <c r="QSI6" s="622"/>
      <c r="QSJ6" s="622"/>
      <c r="QSK6" s="622"/>
      <c r="QSL6" s="622"/>
      <c r="QSM6" s="622"/>
      <c r="QSN6" s="622"/>
      <c r="QSO6" s="622"/>
      <c r="QSP6" s="622"/>
      <c r="QSQ6" s="622"/>
      <c r="QSR6" s="622"/>
      <c r="QSS6" s="622"/>
      <c r="QST6" s="622"/>
      <c r="QSU6" s="622"/>
      <c r="QSV6" s="622"/>
      <c r="QSW6" s="622"/>
      <c r="QSX6" s="622"/>
      <c r="QSY6" s="622"/>
      <c r="QSZ6" s="622"/>
      <c r="QTA6" s="622"/>
      <c r="QTB6" s="622"/>
      <c r="QTC6" s="622"/>
      <c r="QTD6" s="622"/>
      <c r="QTE6" s="622"/>
      <c r="QTF6" s="622"/>
      <c r="QTG6" s="622"/>
      <c r="QTH6" s="622"/>
      <c r="QTI6" s="622"/>
      <c r="QTJ6" s="622"/>
      <c r="QTK6" s="622"/>
      <c r="QTL6" s="622"/>
      <c r="QTM6" s="622"/>
      <c r="QTN6" s="622"/>
      <c r="QTO6" s="622"/>
      <c r="QTP6" s="622"/>
      <c r="QTQ6" s="622"/>
      <c r="QTR6" s="622"/>
      <c r="QTS6" s="622"/>
      <c r="QTT6" s="622"/>
      <c r="QTU6" s="622"/>
      <c r="QTV6" s="622"/>
      <c r="QTW6" s="622"/>
      <c r="QTX6" s="622"/>
      <c r="QTY6" s="622"/>
      <c r="QTZ6" s="622"/>
      <c r="QUA6" s="622"/>
      <c r="QUB6" s="622"/>
      <c r="QUC6" s="622"/>
      <c r="QUD6" s="622"/>
      <c r="QUE6" s="622"/>
      <c r="QUF6" s="622"/>
      <c r="QUG6" s="622"/>
      <c r="QUH6" s="622"/>
      <c r="QUI6" s="622"/>
      <c r="QUJ6" s="622"/>
      <c r="QUK6" s="622"/>
      <c r="QUL6" s="622"/>
      <c r="QUM6" s="622"/>
      <c r="QUN6" s="622"/>
      <c r="QUO6" s="622"/>
      <c r="QUP6" s="622"/>
      <c r="QUQ6" s="622"/>
      <c r="QUR6" s="622"/>
      <c r="QUS6" s="622"/>
      <c r="QUT6" s="622"/>
      <c r="QUU6" s="622"/>
      <c r="QUV6" s="622"/>
      <c r="QUW6" s="622"/>
      <c r="QUX6" s="622"/>
      <c r="QUY6" s="622"/>
      <c r="QUZ6" s="622"/>
      <c r="QVA6" s="622"/>
      <c r="QVB6" s="622"/>
      <c r="QVC6" s="622"/>
      <c r="QVD6" s="622"/>
      <c r="QVE6" s="622"/>
      <c r="QVF6" s="622"/>
      <c r="QVG6" s="622"/>
      <c r="QVH6" s="622"/>
      <c r="QVI6" s="622"/>
      <c r="QVJ6" s="622"/>
      <c r="QVK6" s="622"/>
      <c r="QVL6" s="622"/>
      <c r="QVM6" s="622"/>
      <c r="QVN6" s="622"/>
      <c r="QVO6" s="622"/>
      <c r="QVP6" s="622"/>
      <c r="QVQ6" s="622"/>
      <c r="QVR6" s="622"/>
      <c r="QVS6" s="622"/>
      <c r="QVT6" s="622"/>
      <c r="QVU6" s="622"/>
      <c r="QVV6" s="622"/>
      <c r="QVW6" s="622"/>
      <c r="QVX6" s="622"/>
      <c r="QVY6" s="622"/>
      <c r="QVZ6" s="622"/>
      <c r="QWA6" s="622"/>
      <c r="QWB6" s="622"/>
      <c r="QWC6" s="622"/>
      <c r="QWD6" s="622"/>
      <c r="QWE6" s="622"/>
      <c r="QWF6" s="622"/>
      <c r="QWG6" s="622"/>
      <c r="QWH6" s="622"/>
      <c r="QWI6" s="622"/>
      <c r="QWJ6" s="622"/>
      <c r="QWK6" s="622"/>
      <c r="QWL6" s="622"/>
      <c r="QWM6" s="622"/>
      <c r="QWN6" s="622"/>
      <c r="QWO6" s="622"/>
      <c r="QWP6" s="622"/>
      <c r="QWQ6" s="622"/>
      <c r="QWR6" s="622"/>
      <c r="QWS6" s="622"/>
      <c r="QWT6" s="622"/>
      <c r="QWU6" s="622"/>
      <c r="QWV6" s="622"/>
      <c r="QWW6" s="622"/>
      <c r="QWX6" s="622"/>
      <c r="QWY6" s="622"/>
      <c r="QWZ6" s="622"/>
      <c r="QXA6" s="622"/>
      <c r="QXB6" s="622"/>
      <c r="QXC6" s="622"/>
      <c r="QXD6" s="622"/>
      <c r="QXE6" s="622"/>
      <c r="QXF6" s="622"/>
      <c r="QXG6" s="622"/>
      <c r="QXH6" s="622"/>
      <c r="QXI6" s="622"/>
      <c r="QXJ6" s="622"/>
      <c r="QXK6" s="622"/>
      <c r="QXL6" s="622"/>
      <c r="QXM6" s="622"/>
      <c r="QXN6" s="622"/>
      <c r="QXO6" s="622"/>
      <c r="QXP6" s="622"/>
      <c r="QXQ6" s="622"/>
      <c r="QXR6" s="622"/>
      <c r="QXS6" s="622"/>
      <c r="QXT6" s="622"/>
      <c r="QXU6" s="622"/>
      <c r="QXV6" s="622"/>
      <c r="QXW6" s="622"/>
      <c r="QXX6" s="622"/>
      <c r="QXY6" s="622"/>
      <c r="QXZ6" s="622"/>
      <c r="QYA6" s="622"/>
      <c r="QYB6" s="622"/>
      <c r="QYC6" s="622"/>
      <c r="QYD6" s="622"/>
      <c r="QYE6" s="622"/>
      <c r="QYF6" s="622"/>
      <c r="QYG6" s="622"/>
      <c r="QYH6" s="622"/>
      <c r="QYI6" s="622"/>
      <c r="QYJ6" s="622"/>
      <c r="QYK6" s="622"/>
      <c r="QYL6" s="622"/>
      <c r="QYM6" s="622"/>
      <c r="QYN6" s="622"/>
      <c r="QYO6" s="622"/>
      <c r="QYP6" s="622"/>
      <c r="QYQ6" s="622"/>
      <c r="QYR6" s="622"/>
      <c r="QYS6" s="622"/>
      <c r="QYT6" s="622"/>
      <c r="QYU6" s="622"/>
      <c r="QYV6" s="622"/>
      <c r="QYW6" s="622"/>
      <c r="QYX6" s="622"/>
      <c r="QYY6" s="622"/>
      <c r="QYZ6" s="622"/>
      <c r="QZA6" s="622"/>
      <c r="QZB6" s="622"/>
      <c r="QZC6" s="622"/>
      <c r="QZD6" s="622"/>
      <c r="QZE6" s="622"/>
      <c r="QZF6" s="622"/>
      <c r="QZG6" s="622"/>
      <c r="QZH6" s="622"/>
      <c r="QZI6" s="622"/>
      <c r="QZJ6" s="622"/>
      <c r="QZK6" s="622"/>
      <c r="QZL6" s="622"/>
      <c r="QZM6" s="622"/>
      <c r="QZN6" s="622"/>
      <c r="QZO6" s="622"/>
      <c r="QZP6" s="622"/>
      <c r="QZQ6" s="622"/>
      <c r="QZR6" s="622"/>
      <c r="QZS6" s="622"/>
      <c r="QZT6" s="622"/>
      <c r="QZU6" s="622"/>
      <c r="QZV6" s="622"/>
      <c r="QZW6" s="622"/>
      <c r="QZX6" s="622"/>
      <c r="QZY6" s="622"/>
      <c r="QZZ6" s="622"/>
      <c r="RAA6" s="622"/>
      <c r="RAB6" s="622"/>
      <c r="RAC6" s="622"/>
      <c r="RAD6" s="622"/>
      <c r="RAE6" s="622"/>
      <c r="RAF6" s="622"/>
      <c r="RAG6" s="622"/>
      <c r="RAH6" s="622"/>
      <c r="RAI6" s="622"/>
      <c r="RAJ6" s="622"/>
      <c r="RAK6" s="622"/>
      <c r="RAL6" s="622"/>
      <c r="RAM6" s="622"/>
      <c r="RAN6" s="622"/>
      <c r="RAO6" s="622"/>
      <c r="RAP6" s="622"/>
      <c r="RAQ6" s="622"/>
      <c r="RAR6" s="622"/>
      <c r="RAS6" s="622"/>
      <c r="RAT6" s="622"/>
      <c r="RAU6" s="622"/>
      <c r="RAV6" s="622"/>
      <c r="RAW6" s="622"/>
      <c r="RAX6" s="622"/>
      <c r="RAY6" s="622"/>
      <c r="RAZ6" s="622"/>
      <c r="RBA6" s="622"/>
      <c r="RBB6" s="622"/>
      <c r="RBC6" s="622"/>
      <c r="RBD6" s="622"/>
      <c r="RBE6" s="622"/>
      <c r="RBF6" s="622"/>
      <c r="RBG6" s="622"/>
      <c r="RBH6" s="622"/>
      <c r="RBI6" s="622"/>
      <c r="RBJ6" s="622"/>
      <c r="RBK6" s="622"/>
      <c r="RBL6" s="622"/>
      <c r="RBM6" s="622"/>
      <c r="RBN6" s="622"/>
      <c r="RBO6" s="622"/>
      <c r="RBP6" s="622"/>
      <c r="RBQ6" s="622"/>
      <c r="RBR6" s="622"/>
      <c r="RBS6" s="622"/>
      <c r="RBT6" s="622"/>
      <c r="RBU6" s="622"/>
      <c r="RBV6" s="622"/>
      <c r="RBW6" s="622"/>
      <c r="RBX6" s="622"/>
      <c r="RBY6" s="622"/>
      <c r="RBZ6" s="622"/>
      <c r="RCA6" s="622"/>
      <c r="RCB6" s="622"/>
      <c r="RCC6" s="622"/>
      <c r="RCD6" s="622"/>
      <c r="RCE6" s="622"/>
      <c r="RCF6" s="622"/>
      <c r="RCG6" s="622"/>
      <c r="RCH6" s="622"/>
      <c r="RCI6" s="622"/>
      <c r="RCJ6" s="622"/>
      <c r="RCK6" s="622"/>
      <c r="RCL6" s="622"/>
      <c r="RCM6" s="622"/>
      <c r="RCN6" s="622"/>
      <c r="RCO6" s="622"/>
      <c r="RCP6" s="622"/>
      <c r="RCQ6" s="622"/>
      <c r="RCR6" s="622"/>
      <c r="RCS6" s="622"/>
      <c r="RCT6" s="622"/>
      <c r="RCU6" s="622"/>
      <c r="RCV6" s="622"/>
      <c r="RCW6" s="622"/>
      <c r="RCX6" s="622"/>
      <c r="RCY6" s="622"/>
      <c r="RCZ6" s="622"/>
      <c r="RDA6" s="622"/>
      <c r="RDB6" s="622"/>
      <c r="RDC6" s="622"/>
      <c r="RDD6" s="622"/>
      <c r="RDE6" s="622"/>
      <c r="RDF6" s="622"/>
      <c r="RDG6" s="622"/>
      <c r="RDH6" s="622"/>
      <c r="RDI6" s="622"/>
      <c r="RDJ6" s="622"/>
      <c r="RDK6" s="622"/>
      <c r="RDL6" s="622"/>
      <c r="RDM6" s="622"/>
      <c r="RDN6" s="622"/>
      <c r="RDO6" s="622"/>
      <c r="RDP6" s="622"/>
      <c r="RDQ6" s="622"/>
      <c r="RDR6" s="622"/>
      <c r="RDS6" s="622"/>
      <c r="RDT6" s="622"/>
      <c r="RDU6" s="622"/>
      <c r="RDV6" s="622"/>
      <c r="RDW6" s="622"/>
      <c r="RDX6" s="622"/>
      <c r="RDY6" s="622"/>
      <c r="RDZ6" s="622"/>
      <c r="REA6" s="622"/>
      <c r="REB6" s="622"/>
      <c r="REC6" s="622"/>
      <c r="RED6" s="622"/>
      <c r="REE6" s="622"/>
      <c r="REF6" s="622"/>
      <c r="REG6" s="622"/>
      <c r="REH6" s="622"/>
      <c r="REI6" s="622"/>
      <c r="REJ6" s="622"/>
      <c r="REK6" s="622"/>
      <c r="REL6" s="622"/>
      <c r="REM6" s="622"/>
      <c r="REN6" s="622"/>
      <c r="REO6" s="622"/>
      <c r="REP6" s="622"/>
      <c r="REQ6" s="622"/>
      <c r="RER6" s="622"/>
      <c r="RES6" s="622"/>
      <c r="RET6" s="622"/>
      <c r="REU6" s="622"/>
      <c r="REV6" s="622"/>
      <c r="REW6" s="622"/>
      <c r="REX6" s="622"/>
      <c r="REY6" s="622"/>
      <c r="REZ6" s="622"/>
      <c r="RFA6" s="622"/>
      <c r="RFB6" s="622"/>
      <c r="RFC6" s="622"/>
      <c r="RFD6" s="622"/>
      <c r="RFE6" s="622"/>
      <c r="RFF6" s="622"/>
      <c r="RFG6" s="622"/>
      <c r="RFH6" s="622"/>
      <c r="RFI6" s="622"/>
      <c r="RFJ6" s="622"/>
      <c r="RFK6" s="622"/>
      <c r="RFL6" s="622"/>
      <c r="RFM6" s="622"/>
      <c r="RFN6" s="622"/>
      <c r="RFO6" s="622"/>
      <c r="RFP6" s="622"/>
      <c r="RFQ6" s="622"/>
      <c r="RFR6" s="622"/>
      <c r="RFS6" s="622"/>
      <c r="RFT6" s="622"/>
      <c r="RFU6" s="622"/>
      <c r="RFV6" s="622"/>
      <c r="RFW6" s="622"/>
      <c r="RFX6" s="622"/>
      <c r="RFY6" s="622"/>
      <c r="RFZ6" s="622"/>
      <c r="RGA6" s="622"/>
      <c r="RGB6" s="622"/>
      <c r="RGC6" s="622"/>
      <c r="RGD6" s="622"/>
      <c r="RGE6" s="622"/>
      <c r="RGF6" s="622"/>
      <c r="RGG6" s="622"/>
      <c r="RGH6" s="622"/>
      <c r="RGI6" s="622"/>
      <c r="RGJ6" s="622"/>
      <c r="RGK6" s="622"/>
      <c r="RGL6" s="622"/>
      <c r="RGM6" s="622"/>
      <c r="RGN6" s="622"/>
      <c r="RGO6" s="622"/>
      <c r="RGP6" s="622"/>
      <c r="RGQ6" s="622"/>
      <c r="RGR6" s="622"/>
      <c r="RGS6" s="622"/>
      <c r="RGT6" s="622"/>
      <c r="RGU6" s="622"/>
      <c r="RGV6" s="622"/>
      <c r="RGW6" s="622"/>
      <c r="RGX6" s="622"/>
      <c r="RGY6" s="622"/>
      <c r="RGZ6" s="622"/>
      <c r="RHA6" s="622"/>
      <c r="RHB6" s="622"/>
      <c r="RHC6" s="622"/>
      <c r="RHD6" s="622"/>
      <c r="RHE6" s="622"/>
      <c r="RHF6" s="622"/>
      <c r="RHG6" s="622"/>
      <c r="RHH6" s="622"/>
      <c r="RHI6" s="622"/>
      <c r="RHJ6" s="622"/>
      <c r="RHK6" s="622"/>
      <c r="RHL6" s="622"/>
      <c r="RHM6" s="622"/>
      <c r="RHN6" s="622"/>
      <c r="RHO6" s="622"/>
      <c r="RHP6" s="622"/>
      <c r="RHQ6" s="622"/>
      <c r="RHR6" s="622"/>
      <c r="RHS6" s="622"/>
      <c r="RHT6" s="622"/>
      <c r="RHU6" s="622"/>
      <c r="RHV6" s="622"/>
      <c r="RHW6" s="622"/>
      <c r="RHX6" s="622"/>
      <c r="RHY6" s="622"/>
      <c r="RHZ6" s="622"/>
      <c r="RIA6" s="622"/>
      <c r="RIB6" s="622"/>
      <c r="RIC6" s="622"/>
      <c r="RID6" s="622"/>
      <c r="RIE6" s="622"/>
      <c r="RIF6" s="622"/>
      <c r="RIG6" s="622"/>
      <c r="RIH6" s="622"/>
      <c r="RII6" s="622"/>
      <c r="RIJ6" s="622"/>
      <c r="RIK6" s="622"/>
      <c r="RIL6" s="622"/>
      <c r="RIM6" s="622"/>
      <c r="RIN6" s="622"/>
      <c r="RIO6" s="622"/>
      <c r="RIP6" s="622"/>
      <c r="RIQ6" s="622"/>
      <c r="RIR6" s="622"/>
      <c r="RIS6" s="622"/>
      <c r="RIT6" s="622"/>
      <c r="RIU6" s="622"/>
      <c r="RIV6" s="622"/>
      <c r="RIW6" s="622"/>
      <c r="RIX6" s="622"/>
      <c r="RIY6" s="622"/>
      <c r="RIZ6" s="622"/>
      <c r="RJA6" s="622"/>
      <c r="RJB6" s="622"/>
      <c r="RJC6" s="622"/>
      <c r="RJD6" s="622"/>
      <c r="RJE6" s="622"/>
      <c r="RJF6" s="622"/>
      <c r="RJG6" s="622"/>
      <c r="RJH6" s="622"/>
      <c r="RJI6" s="622"/>
      <c r="RJJ6" s="622"/>
      <c r="RJK6" s="622"/>
      <c r="RJL6" s="622"/>
      <c r="RJM6" s="622"/>
      <c r="RJN6" s="622"/>
      <c r="RJO6" s="622"/>
      <c r="RJP6" s="622"/>
      <c r="RJQ6" s="622"/>
      <c r="RJR6" s="622"/>
      <c r="RJS6" s="622"/>
      <c r="RJT6" s="622"/>
      <c r="RJU6" s="622"/>
      <c r="RJV6" s="622"/>
      <c r="RJW6" s="622"/>
      <c r="RJX6" s="622"/>
      <c r="RJY6" s="622"/>
      <c r="RJZ6" s="622"/>
      <c r="RKA6" s="622"/>
      <c r="RKB6" s="622"/>
      <c r="RKC6" s="622"/>
      <c r="RKD6" s="622"/>
      <c r="RKE6" s="622"/>
      <c r="RKF6" s="622"/>
      <c r="RKG6" s="622"/>
      <c r="RKH6" s="622"/>
      <c r="RKI6" s="622"/>
      <c r="RKJ6" s="622"/>
      <c r="RKK6" s="622"/>
      <c r="RKL6" s="622"/>
      <c r="RKM6" s="622"/>
      <c r="RKN6" s="622"/>
      <c r="RKO6" s="622"/>
      <c r="RKP6" s="622"/>
      <c r="RKQ6" s="622"/>
      <c r="RKR6" s="622"/>
      <c r="RKS6" s="622"/>
      <c r="RKT6" s="622"/>
      <c r="RKU6" s="622"/>
      <c r="RKV6" s="622"/>
      <c r="RKW6" s="622"/>
      <c r="RKX6" s="622"/>
      <c r="RKY6" s="622"/>
      <c r="RKZ6" s="622"/>
      <c r="RLA6" s="622"/>
      <c r="RLB6" s="622"/>
      <c r="RLC6" s="622"/>
      <c r="RLD6" s="622"/>
      <c r="RLE6" s="622"/>
      <c r="RLF6" s="622"/>
      <c r="RLG6" s="622"/>
      <c r="RLH6" s="622"/>
      <c r="RLI6" s="622"/>
      <c r="RLJ6" s="622"/>
      <c r="RLK6" s="622"/>
      <c r="RLL6" s="622"/>
      <c r="RLM6" s="622"/>
      <c r="RLN6" s="622"/>
      <c r="RLO6" s="622"/>
      <c r="RLP6" s="622"/>
      <c r="RLQ6" s="622"/>
      <c r="RLR6" s="622"/>
      <c r="RLS6" s="622"/>
      <c r="RLT6" s="622"/>
      <c r="RLU6" s="622"/>
      <c r="RLV6" s="622"/>
      <c r="RLW6" s="622"/>
      <c r="RLX6" s="622"/>
      <c r="RLY6" s="622"/>
      <c r="RLZ6" s="622"/>
      <c r="RMA6" s="622"/>
      <c r="RMB6" s="622"/>
      <c r="RMC6" s="622"/>
      <c r="RMD6" s="622"/>
      <c r="RME6" s="622"/>
      <c r="RMF6" s="622"/>
      <c r="RMG6" s="622"/>
      <c r="RMH6" s="622"/>
      <c r="RMI6" s="622"/>
      <c r="RMJ6" s="622"/>
      <c r="RMK6" s="622"/>
      <c r="RML6" s="622"/>
      <c r="RMM6" s="622"/>
      <c r="RMN6" s="622"/>
      <c r="RMO6" s="622"/>
      <c r="RMP6" s="622"/>
      <c r="RMQ6" s="622"/>
      <c r="RMR6" s="622"/>
      <c r="RMS6" s="622"/>
      <c r="RMT6" s="622"/>
      <c r="RMU6" s="622"/>
      <c r="RMV6" s="622"/>
      <c r="RMW6" s="622"/>
      <c r="RMX6" s="622"/>
      <c r="RMY6" s="622"/>
      <c r="RMZ6" s="622"/>
      <c r="RNA6" s="622"/>
      <c r="RNB6" s="622"/>
      <c r="RNC6" s="622"/>
      <c r="RND6" s="622"/>
      <c r="RNE6" s="622"/>
      <c r="RNF6" s="622"/>
      <c r="RNG6" s="622"/>
      <c r="RNH6" s="622"/>
      <c r="RNI6" s="622"/>
      <c r="RNJ6" s="622"/>
      <c r="RNK6" s="622"/>
      <c r="RNL6" s="622"/>
      <c r="RNM6" s="622"/>
      <c r="RNN6" s="622"/>
      <c r="RNO6" s="622"/>
      <c r="RNP6" s="622"/>
      <c r="RNQ6" s="622"/>
      <c r="RNR6" s="622"/>
      <c r="RNS6" s="622"/>
      <c r="RNT6" s="622"/>
      <c r="RNU6" s="622"/>
      <c r="RNV6" s="622"/>
      <c r="RNW6" s="622"/>
      <c r="RNX6" s="622"/>
      <c r="RNY6" s="622"/>
      <c r="RNZ6" s="622"/>
      <c r="ROA6" s="622"/>
      <c r="ROB6" s="622"/>
      <c r="ROC6" s="622"/>
      <c r="ROD6" s="622"/>
      <c r="ROE6" s="622"/>
      <c r="ROF6" s="622"/>
      <c r="ROG6" s="622"/>
      <c r="ROH6" s="622"/>
      <c r="ROI6" s="622"/>
      <c r="ROJ6" s="622"/>
      <c r="ROK6" s="622"/>
      <c r="ROL6" s="622"/>
      <c r="ROM6" s="622"/>
      <c r="RON6" s="622"/>
      <c r="ROO6" s="622"/>
      <c r="ROP6" s="622"/>
      <c r="ROQ6" s="622"/>
      <c r="ROR6" s="622"/>
      <c r="ROS6" s="622"/>
      <c r="ROT6" s="622"/>
      <c r="ROU6" s="622"/>
      <c r="ROV6" s="622"/>
      <c r="ROW6" s="622"/>
      <c r="ROX6" s="622"/>
      <c r="ROY6" s="622"/>
      <c r="ROZ6" s="622"/>
      <c r="RPA6" s="622"/>
      <c r="RPB6" s="622"/>
      <c r="RPC6" s="622"/>
      <c r="RPD6" s="622"/>
      <c r="RPE6" s="622"/>
      <c r="RPF6" s="622"/>
      <c r="RPG6" s="622"/>
      <c r="RPH6" s="622"/>
      <c r="RPI6" s="622"/>
      <c r="RPJ6" s="622"/>
      <c r="RPK6" s="622"/>
      <c r="RPL6" s="622"/>
      <c r="RPM6" s="622"/>
      <c r="RPN6" s="622"/>
      <c r="RPO6" s="622"/>
      <c r="RPP6" s="622"/>
      <c r="RPQ6" s="622"/>
      <c r="RPR6" s="622"/>
      <c r="RPS6" s="622"/>
      <c r="RPT6" s="622"/>
      <c r="RPU6" s="622"/>
      <c r="RPV6" s="622"/>
      <c r="RPW6" s="622"/>
      <c r="RPX6" s="622"/>
      <c r="RPY6" s="622"/>
      <c r="RPZ6" s="622"/>
      <c r="RQA6" s="622"/>
      <c r="RQB6" s="622"/>
      <c r="RQC6" s="622"/>
      <c r="RQD6" s="622"/>
      <c r="RQE6" s="622"/>
      <c r="RQF6" s="622"/>
      <c r="RQG6" s="622"/>
      <c r="RQH6" s="622"/>
      <c r="RQI6" s="622"/>
      <c r="RQJ6" s="622"/>
      <c r="RQK6" s="622"/>
      <c r="RQL6" s="622"/>
      <c r="RQM6" s="622"/>
      <c r="RQN6" s="622"/>
      <c r="RQO6" s="622"/>
      <c r="RQP6" s="622"/>
      <c r="RQQ6" s="622"/>
      <c r="RQR6" s="622"/>
      <c r="RQS6" s="622"/>
      <c r="RQT6" s="622"/>
      <c r="RQU6" s="622"/>
      <c r="RQV6" s="622"/>
      <c r="RQW6" s="622"/>
      <c r="RQX6" s="622"/>
      <c r="RQY6" s="622"/>
      <c r="RQZ6" s="622"/>
      <c r="RRA6" s="622"/>
      <c r="RRB6" s="622"/>
      <c r="RRC6" s="622"/>
      <c r="RRD6" s="622"/>
      <c r="RRE6" s="622"/>
      <c r="RRF6" s="622"/>
      <c r="RRG6" s="622"/>
      <c r="RRH6" s="622"/>
      <c r="RRI6" s="622"/>
      <c r="RRJ6" s="622"/>
      <c r="RRK6" s="622"/>
      <c r="RRL6" s="622"/>
      <c r="RRM6" s="622"/>
      <c r="RRN6" s="622"/>
      <c r="RRO6" s="622"/>
      <c r="RRP6" s="622"/>
      <c r="RRQ6" s="622"/>
      <c r="RRR6" s="622"/>
      <c r="RRS6" s="622"/>
      <c r="RRT6" s="622"/>
      <c r="RRU6" s="622"/>
      <c r="RRV6" s="622"/>
      <c r="RRW6" s="622"/>
      <c r="RRX6" s="622"/>
      <c r="RRY6" s="622"/>
      <c r="RRZ6" s="622"/>
      <c r="RSA6" s="622"/>
      <c r="RSB6" s="622"/>
      <c r="RSC6" s="622"/>
      <c r="RSD6" s="622"/>
      <c r="RSE6" s="622"/>
      <c r="RSF6" s="622"/>
      <c r="RSG6" s="622"/>
      <c r="RSH6" s="622"/>
      <c r="RSI6" s="622"/>
      <c r="RSJ6" s="622"/>
      <c r="RSK6" s="622"/>
      <c r="RSL6" s="622"/>
      <c r="RSM6" s="622"/>
      <c r="RSN6" s="622"/>
      <c r="RSO6" s="622"/>
      <c r="RSP6" s="622"/>
      <c r="RSQ6" s="622"/>
      <c r="RSR6" s="622"/>
      <c r="RSS6" s="622"/>
      <c r="RST6" s="622"/>
      <c r="RSU6" s="622"/>
      <c r="RSV6" s="622"/>
      <c r="RSW6" s="622"/>
      <c r="RSX6" s="622"/>
      <c r="RSY6" s="622"/>
      <c r="RSZ6" s="622"/>
      <c r="RTA6" s="622"/>
      <c r="RTB6" s="622"/>
      <c r="RTC6" s="622"/>
      <c r="RTD6" s="622"/>
      <c r="RTE6" s="622"/>
      <c r="RTF6" s="622"/>
      <c r="RTG6" s="622"/>
      <c r="RTH6" s="622"/>
      <c r="RTI6" s="622"/>
      <c r="RTJ6" s="622"/>
      <c r="RTK6" s="622"/>
      <c r="RTL6" s="622"/>
      <c r="RTM6" s="622"/>
      <c r="RTN6" s="622"/>
      <c r="RTO6" s="622"/>
      <c r="RTP6" s="622"/>
      <c r="RTQ6" s="622"/>
      <c r="RTR6" s="622"/>
      <c r="RTS6" s="622"/>
      <c r="RTT6" s="622"/>
      <c r="RTU6" s="622"/>
      <c r="RTV6" s="622"/>
      <c r="RTW6" s="622"/>
      <c r="RTX6" s="622"/>
      <c r="RTY6" s="622"/>
      <c r="RTZ6" s="622"/>
      <c r="RUA6" s="622"/>
      <c r="RUB6" s="622"/>
      <c r="RUC6" s="622"/>
      <c r="RUD6" s="622"/>
      <c r="RUE6" s="622"/>
      <c r="RUF6" s="622"/>
      <c r="RUG6" s="622"/>
      <c r="RUH6" s="622"/>
      <c r="RUI6" s="622"/>
      <c r="RUJ6" s="622"/>
      <c r="RUK6" s="622"/>
      <c r="RUL6" s="622"/>
      <c r="RUM6" s="622"/>
      <c r="RUN6" s="622"/>
      <c r="RUO6" s="622"/>
      <c r="RUP6" s="622"/>
      <c r="RUQ6" s="622"/>
      <c r="RUR6" s="622"/>
      <c r="RUS6" s="622"/>
      <c r="RUT6" s="622"/>
      <c r="RUU6" s="622"/>
      <c r="RUV6" s="622"/>
      <c r="RUW6" s="622"/>
      <c r="RUX6" s="622"/>
      <c r="RUY6" s="622"/>
      <c r="RUZ6" s="622"/>
      <c r="RVA6" s="622"/>
      <c r="RVB6" s="622"/>
      <c r="RVC6" s="622"/>
      <c r="RVD6" s="622"/>
      <c r="RVE6" s="622"/>
      <c r="RVF6" s="622"/>
      <c r="RVG6" s="622"/>
      <c r="RVH6" s="622"/>
      <c r="RVI6" s="622"/>
      <c r="RVJ6" s="622"/>
      <c r="RVK6" s="622"/>
      <c r="RVL6" s="622"/>
      <c r="RVM6" s="622"/>
      <c r="RVN6" s="622"/>
      <c r="RVO6" s="622"/>
      <c r="RVP6" s="622"/>
      <c r="RVQ6" s="622"/>
      <c r="RVR6" s="622"/>
      <c r="RVS6" s="622"/>
      <c r="RVT6" s="622"/>
      <c r="RVU6" s="622"/>
      <c r="RVV6" s="622"/>
      <c r="RVW6" s="622"/>
      <c r="RVX6" s="622"/>
      <c r="RVY6" s="622"/>
      <c r="RVZ6" s="622"/>
      <c r="RWA6" s="622"/>
      <c r="RWB6" s="622"/>
      <c r="RWC6" s="622"/>
      <c r="RWD6" s="622"/>
      <c r="RWE6" s="622"/>
      <c r="RWF6" s="622"/>
      <c r="RWG6" s="622"/>
      <c r="RWH6" s="622"/>
      <c r="RWI6" s="622"/>
      <c r="RWJ6" s="622"/>
      <c r="RWK6" s="622"/>
      <c r="RWL6" s="622"/>
      <c r="RWM6" s="622"/>
      <c r="RWN6" s="622"/>
      <c r="RWO6" s="622"/>
      <c r="RWP6" s="622"/>
      <c r="RWQ6" s="622"/>
      <c r="RWR6" s="622"/>
      <c r="RWS6" s="622"/>
      <c r="RWT6" s="622"/>
      <c r="RWU6" s="622"/>
      <c r="RWV6" s="622"/>
      <c r="RWW6" s="622"/>
      <c r="RWX6" s="622"/>
      <c r="RWY6" s="622"/>
      <c r="RWZ6" s="622"/>
      <c r="RXA6" s="622"/>
      <c r="RXB6" s="622"/>
      <c r="RXC6" s="622"/>
      <c r="RXD6" s="622"/>
      <c r="RXE6" s="622"/>
      <c r="RXF6" s="622"/>
      <c r="RXG6" s="622"/>
      <c r="RXH6" s="622"/>
      <c r="RXI6" s="622"/>
      <c r="RXJ6" s="622"/>
      <c r="RXK6" s="622"/>
      <c r="RXL6" s="622"/>
      <c r="RXM6" s="622"/>
      <c r="RXN6" s="622"/>
      <c r="RXO6" s="622"/>
      <c r="RXP6" s="622"/>
      <c r="RXQ6" s="622"/>
      <c r="RXR6" s="622"/>
      <c r="RXS6" s="622"/>
      <c r="RXT6" s="622"/>
      <c r="RXU6" s="622"/>
      <c r="RXV6" s="622"/>
      <c r="RXW6" s="622"/>
      <c r="RXX6" s="622"/>
      <c r="RXY6" s="622"/>
      <c r="RXZ6" s="622"/>
      <c r="RYA6" s="622"/>
      <c r="RYB6" s="622"/>
      <c r="RYC6" s="622"/>
      <c r="RYD6" s="622"/>
      <c r="RYE6" s="622"/>
      <c r="RYF6" s="622"/>
      <c r="RYG6" s="622"/>
      <c r="RYH6" s="622"/>
      <c r="RYI6" s="622"/>
      <c r="RYJ6" s="622"/>
      <c r="RYK6" s="622"/>
      <c r="RYL6" s="622"/>
      <c r="RYM6" s="622"/>
      <c r="RYN6" s="622"/>
      <c r="RYO6" s="622"/>
      <c r="RYP6" s="622"/>
      <c r="RYQ6" s="622"/>
      <c r="RYR6" s="622"/>
      <c r="RYS6" s="622"/>
      <c r="RYT6" s="622"/>
      <c r="RYU6" s="622"/>
      <c r="RYV6" s="622"/>
      <c r="RYW6" s="622"/>
      <c r="RYX6" s="622"/>
      <c r="RYY6" s="622"/>
      <c r="RYZ6" s="622"/>
      <c r="RZA6" s="622"/>
      <c r="RZB6" s="622"/>
      <c r="RZC6" s="622"/>
      <c r="RZD6" s="622"/>
      <c r="RZE6" s="622"/>
      <c r="RZF6" s="622"/>
      <c r="RZG6" s="622"/>
      <c r="RZH6" s="622"/>
      <c r="RZI6" s="622"/>
      <c r="RZJ6" s="622"/>
      <c r="RZK6" s="622"/>
      <c r="RZL6" s="622"/>
      <c r="RZM6" s="622"/>
      <c r="RZN6" s="622"/>
      <c r="RZO6" s="622"/>
      <c r="RZP6" s="622"/>
      <c r="RZQ6" s="622"/>
      <c r="RZR6" s="622"/>
      <c r="RZS6" s="622"/>
      <c r="RZT6" s="622"/>
      <c r="RZU6" s="622"/>
      <c r="RZV6" s="622"/>
      <c r="RZW6" s="622"/>
      <c r="RZX6" s="622"/>
      <c r="RZY6" s="622"/>
      <c r="RZZ6" s="622"/>
      <c r="SAA6" s="622"/>
      <c r="SAB6" s="622"/>
      <c r="SAC6" s="622"/>
      <c r="SAD6" s="622"/>
      <c r="SAE6" s="622"/>
      <c r="SAF6" s="622"/>
      <c r="SAG6" s="622"/>
      <c r="SAH6" s="622"/>
      <c r="SAI6" s="622"/>
      <c r="SAJ6" s="622"/>
      <c r="SAK6" s="622"/>
      <c r="SAL6" s="622"/>
      <c r="SAM6" s="622"/>
      <c r="SAN6" s="622"/>
      <c r="SAO6" s="622"/>
      <c r="SAP6" s="622"/>
      <c r="SAQ6" s="622"/>
      <c r="SAR6" s="622"/>
      <c r="SAS6" s="622"/>
      <c r="SAT6" s="622"/>
      <c r="SAU6" s="622"/>
      <c r="SAV6" s="622"/>
      <c r="SAW6" s="622"/>
      <c r="SAX6" s="622"/>
      <c r="SAY6" s="622"/>
      <c r="SAZ6" s="622"/>
      <c r="SBA6" s="622"/>
      <c r="SBB6" s="622"/>
      <c r="SBC6" s="622"/>
      <c r="SBD6" s="622"/>
      <c r="SBE6" s="622"/>
      <c r="SBF6" s="622"/>
      <c r="SBG6" s="622"/>
      <c r="SBH6" s="622"/>
      <c r="SBI6" s="622"/>
      <c r="SBJ6" s="622"/>
      <c r="SBK6" s="622"/>
      <c r="SBL6" s="622"/>
      <c r="SBM6" s="622"/>
      <c r="SBN6" s="622"/>
      <c r="SBO6" s="622"/>
      <c r="SBP6" s="622"/>
      <c r="SBQ6" s="622"/>
      <c r="SBR6" s="622"/>
      <c r="SBS6" s="622"/>
      <c r="SBT6" s="622"/>
      <c r="SBU6" s="622"/>
      <c r="SBV6" s="622"/>
      <c r="SBW6" s="622"/>
      <c r="SBX6" s="622"/>
      <c r="SBY6" s="622"/>
      <c r="SBZ6" s="622"/>
      <c r="SCA6" s="622"/>
      <c r="SCB6" s="622"/>
      <c r="SCC6" s="622"/>
      <c r="SCD6" s="622"/>
      <c r="SCE6" s="622"/>
      <c r="SCF6" s="622"/>
      <c r="SCG6" s="622"/>
      <c r="SCH6" s="622"/>
      <c r="SCI6" s="622"/>
      <c r="SCJ6" s="622"/>
      <c r="SCK6" s="622"/>
      <c r="SCL6" s="622"/>
      <c r="SCM6" s="622"/>
      <c r="SCN6" s="622"/>
      <c r="SCO6" s="622"/>
      <c r="SCP6" s="622"/>
      <c r="SCQ6" s="622"/>
      <c r="SCR6" s="622"/>
      <c r="SCS6" s="622"/>
      <c r="SCT6" s="622"/>
      <c r="SCU6" s="622"/>
      <c r="SCV6" s="622"/>
      <c r="SCW6" s="622"/>
      <c r="SCX6" s="622"/>
      <c r="SCY6" s="622"/>
      <c r="SCZ6" s="622"/>
      <c r="SDA6" s="622"/>
      <c r="SDB6" s="622"/>
      <c r="SDC6" s="622"/>
      <c r="SDD6" s="622"/>
      <c r="SDE6" s="622"/>
      <c r="SDF6" s="622"/>
      <c r="SDG6" s="622"/>
      <c r="SDH6" s="622"/>
      <c r="SDI6" s="622"/>
      <c r="SDJ6" s="622"/>
      <c r="SDK6" s="622"/>
      <c r="SDL6" s="622"/>
      <c r="SDM6" s="622"/>
      <c r="SDN6" s="622"/>
      <c r="SDO6" s="622"/>
      <c r="SDP6" s="622"/>
      <c r="SDQ6" s="622"/>
      <c r="SDR6" s="622"/>
      <c r="SDS6" s="622"/>
      <c r="SDT6" s="622"/>
      <c r="SDU6" s="622"/>
      <c r="SDV6" s="622"/>
      <c r="SDW6" s="622"/>
      <c r="SDX6" s="622"/>
      <c r="SDY6" s="622"/>
      <c r="SDZ6" s="622"/>
      <c r="SEA6" s="622"/>
      <c r="SEB6" s="622"/>
      <c r="SEC6" s="622"/>
      <c r="SED6" s="622"/>
      <c r="SEE6" s="622"/>
      <c r="SEF6" s="622"/>
      <c r="SEG6" s="622"/>
      <c r="SEH6" s="622"/>
      <c r="SEI6" s="622"/>
      <c r="SEJ6" s="622"/>
      <c r="SEK6" s="622"/>
      <c r="SEL6" s="622"/>
      <c r="SEM6" s="622"/>
      <c r="SEN6" s="622"/>
      <c r="SEO6" s="622"/>
      <c r="SEP6" s="622"/>
      <c r="SEQ6" s="622"/>
      <c r="SER6" s="622"/>
      <c r="SES6" s="622"/>
      <c r="SET6" s="622"/>
      <c r="SEU6" s="622"/>
      <c r="SEV6" s="622"/>
      <c r="SEW6" s="622"/>
      <c r="SEX6" s="622"/>
      <c r="SEY6" s="622"/>
      <c r="SEZ6" s="622"/>
      <c r="SFA6" s="622"/>
      <c r="SFB6" s="622"/>
      <c r="SFC6" s="622"/>
      <c r="SFD6" s="622"/>
      <c r="SFE6" s="622"/>
      <c r="SFF6" s="622"/>
      <c r="SFG6" s="622"/>
      <c r="SFH6" s="622"/>
      <c r="SFI6" s="622"/>
      <c r="SFJ6" s="622"/>
      <c r="SFK6" s="622"/>
      <c r="SFL6" s="622"/>
      <c r="SFM6" s="622"/>
      <c r="SFN6" s="622"/>
      <c r="SFO6" s="622"/>
      <c r="SFP6" s="622"/>
      <c r="SFQ6" s="622"/>
      <c r="SFR6" s="622"/>
      <c r="SFS6" s="622"/>
      <c r="SFT6" s="622"/>
      <c r="SFU6" s="622"/>
      <c r="SFV6" s="622"/>
      <c r="SFW6" s="622"/>
      <c r="SFX6" s="622"/>
      <c r="SFY6" s="622"/>
      <c r="SFZ6" s="622"/>
      <c r="SGA6" s="622"/>
      <c r="SGB6" s="622"/>
      <c r="SGC6" s="622"/>
      <c r="SGD6" s="622"/>
      <c r="SGE6" s="622"/>
      <c r="SGF6" s="622"/>
      <c r="SGG6" s="622"/>
      <c r="SGH6" s="622"/>
      <c r="SGI6" s="622"/>
      <c r="SGJ6" s="622"/>
      <c r="SGK6" s="622"/>
      <c r="SGL6" s="622"/>
      <c r="SGM6" s="622"/>
      <c r="SGN6" s="622"/>
      <c r="SGO6" s="622"/>
      <c r="SGP6" s="622"/>
      <c r="SGQ6" s="622"/>
      <c r="SGR6" s="622"/>
      <c r="SGS6" s="622"/>
      <c r="SGT6" s="622"/>
      <c r="SGU6" s="622"/>
      <c r="SGV6" s="622"/>
      <c r="SGW6" s="622"/>
      <c r="SGX6" s="622"/>
      <c r="SGY6" s="622"/>
      <c r="SGZ6" s="622"/>
      <c r="SHA6" s="622"/>
      <c r="SHB6" s="622"/>
      <c r="SHC6" s="622"/>
      <c r="SHD6" s="622"/>
      <c r="SHE6" s="622"/>
      <c r="SHF6" s="622"/>
      <c r="SHG6" s="622"/>
      <c r="SHH6" s="622"/>
      <c r="SHI6" s="622"/>
      <c r="SHJ6" s="622"/>
      <c r="SHK6" s="622"/>
      <c r="SHL6" s="622"/>
      <c r="SHM6" s="622"/>
      <c r="SHN6" s="622"/>
      <c r="SHO6" s="622"/>
      <c r="SHP6" s="622"/>
      <c r="SHQ6" s="622"/>
      <c r="SHR6" s="622"/>
      <c r="SHS6" s="622"/>
      <c r="SHT6" s="622"/>
      <c r="SHU6" s="622"/>
      <c r="SHV6" s="622"/>
      <c r="SHW6" s="622"/>
      <c r="SHX6" s="622"/>
      <c r="SHY6" s="622"/>
      <c r="SHZ6" s="622"/>
      <c r="SIA6" s="622"/>
      <c r="SIB6" s="622"/>
      <c r="SIC6" s="622"/>
      <c r="SID6" s="622"/>
      <c r="SIE6" s="622"/>
      <c r="SIF6" s="622"/>
      <c r="SIG6" s="622"/>
      <c r="SIH6" s="622"/>
      <c r="SII6" s="622"/>
      <c r="SIJ6" s="622"/>
      <c r="SIK6" s="622"/>
      <c r="SIL6" s="622"/>
      <c r="SIM6" s="622"/>
      <c r="SIN6" s="622"/>
      <c r="SIO6" s="622"/>
      <c r="SIP6" s="622"/>
      <c r="SIQ6" s="622"/>
      <c r="SIR6" s="622"/>
      <c r="SIS6" s="622"/>
      <c r="SIT6" s="622"/>
      <c r="SIU6" s="622"/>
      <c r="SIV6" s="622"/>
      <c r="SIW6" s="622"/>
      <c r="SIX6" s="622"/>
      <c r="SIY6" s="622"/>
      <c r="SIZ6" s="622"/>
      <c r="SJA6" s="622"/>
      <c r="SJB6" s="622"/>
      <c r="SJC6" s="622"/>
      <c r="SJD6" s="622"/>
      <c r="SJE6" s="622"/>
      <c r="SJF6" s="622"/>
      <c r="SJG6" s="622"/>
      <c r="SJH6" s="622"/>
      <c r="SJI6" s="622"/>
      <c r="SJJ6" s="622"/>
      <c r="SJK6" s="622"/>
      <c r="SJL6" s="622"/>
      <c r="SJM6" s="622"/>
      <c r="SJN6" s="622"/>
      <c r="SJO6" s="622"/>
      <c r="SJP6" s="622"/>
      <c r="SJQ6" s="622"/>
      <c r="SJR6" s="622"/>
      <c r="SJS6" s="622"/>
      <c r="SJT6" s="622"/>
      <c r="SJU6" s="622"/>
      <c r="SJV6" s="622"/>
      <c r="SJW6" s="622"/>
      <c r="SJX6" s="622"/>
      <c r="SJY6" s="622"/>
      <c r="SJZ6" s="622"/>
      <c r="SKA6" s="622"/>
      <c r="SKB6" s="622"/>
      <c r="SKC6" s="622"/>
      <c r="SKD6" s="622"/>
      <c r="SKE6" s="622"/>
      <c r="SKF6" s="622"/>
      <c r="SKG6" s="622"/>
      <c r="SKH6" s="622"/>
      <c r="SKI6" s="622"/>
      <c r="SKJ6" s="622"/>
      <c r="SKK6" s="622"/>
      <c r="SKL6" s="622"/>
      <c r="SKM6" s="622"/>
      <c r="SKN6" s="622"/>
      <c r="SKO6" s="622"/>
      <c r="SKP6" s="622"/>
      <c r="SKQ6" s="622"/>
      <c r="SKR6" s="622"/>
      <c r="SKS6" s="622"/>
      <c r="SKT6" s="622"/>
      <c r="SKU6" s="622"/>
      <c r="SKV6" s="622"/>
      <c r="SKW6" s="622"/>
      <c r="SKX6" s="622"/>
      <c r="SKY6" s="622"/>
      <c r="SKZ6" s="622"/>
      <c r="SLA6" s="622"/>
      <c r="SLB6" s="622"/>
      <c r="SLC6" s="622"/>
      <c r="SLD6" s="622"/>
      <c r="SLE6" s="622"/>
      <c r="SLF6" s="622"/>
      <c r="SLG6" s="622"/>
      <c r="SLH6" s="622"/>
      <c r="SLI6" s="622"/>
      <c r="SLJ6" s="622"/>
      <c r="SLK6" s="622"/>
      <c r="SLL6" s="622"/>
      <c r="SLM6" s="622"/>
      <c r="SLN6" s="622"/>
      <c r="SLO6" s="622"/>
      <c r="SLP6" s="622"/>
      <c r="SLQ6" s="622"/>
      <c r="SLR6" s="622"/>
      <c r="SLS6" s="622"/>
      <c r="SLT6" s="622"/>
      <c r="SLU6" s="622"/>
      <c r="SLV6" s="622"/>
      <c r="SLW6" s="622"/>
      <c r="SLX6" s="622"/>
      <c r="SLY6" s="622"/>
      <c r="SLZ6" s="622"/>
      <c r="SMA6" s="622"/>
      <c r="SMB6" s="622"/>
      <c r="SMC6" s="622"/>
      <c r="SMD6" s="622"/>
      <c r="SME6" s="622"/>
      <c r="SMF6" s="622"/>
      <c r="SMG6" s="622"/>
      <c r="SMH6" s="622"/>
      <c r="SMI6" s="622"/>
      <c r="SMJ6" s="622"/>
      <c r="SMK6" s="622"/>
      <c r="SML6" s="622"/>
      <c r="SMM6" s="622"/>
      <c r="SMN6" s="622"/>
      <c r="SMO6" s="622"/>
      <c r="SMP6" s="622"/>
      <c r="SMQ6" s="622"/>
      <c r="SMR6" s="622"/>
      <c r="SMS6" s="622"/>
      <c r="SMT6" s="622"/>
      <c r="SMU6" s="622"/>
      <c r="SMV6" s="622"/>
      <c r="SMW6" s="622"/>
      <c r="SMX6" s="622"/>
      <c r="SMY6" s="622"/>
      <c r="SMZ6" s="622"/>
      <c r="SNA6" s="622"/>
      <c r="SNB6" s="622"/>
      <c r="SNC6" s="622"/>
      <c r="SND6" s="622"/>
      <c r="SNE6" s="622"/>
      <c r="SNF6" s="622"/>
      <c r="SNG6" s="622"/>
      <c r="SNH6" s="622"/>
      <c r="SNI6" s="622"/>
      <c r="SNJ6" s="622"/>
      <c r="SNK6" s="622"/>
      <c r="SNL6" s="622"/>
      <c r="SNM6" s="622"/>
      <c r="SNN6" s="622"/>
      <c r="SNO6" s="622"/>
      <c r="SNP6" s="622"/>
      <c r="SNQ6" s="622"/>
      <c r="SNR6" s="622"/>
      <c r="SNS6" s="622"/>
      <c r="SNT6" s="622"/>
      <c r="SNU6" s="622"/>
      <c r="SNV6" s="622"/>
      <c r="SNW6" s="622"/>
      <c r="SNX6" s="622"/>
      <c r="SNY6" s="622"/>
      <c r="SNZ6" s="622"/>
      <c r="SOA6" s="622"/>
      <c r="SOB6" s="622"/>
      <c r="SOC6" s="622"/>
      <c r="SOD6" s="622"/>
      <c r="SOE6" s="622"/>
      <c r="SOF6" s="622"/>
      <c r="SOG6" s="622"/>
      <c r="SOH6" s="622"/>
      <c r="SOI6" s="622"/>
      <c r="SOJ6" s="622"/>
      <c r="SOK6" s="622"/>
      <c r="SOL6" s="622"/>
      <c r="SOM6" s="622"/>
      <c r="SON6" s="622"/>
      <c r="SOO6" s="622"/>
      <c r="SOP6" s="622"/>
      <c r="SOQ6" s="622"/>
      <c r="SOR6" s="622"/>
      <c r="SOS6" s="622"/>
      <c r="SOT6" s="622"/>
      <c r="SOU6" s="622"/>
      <c r="SOV6" s="622"/>
      <c r="SOW6" s="622"/>
      <c r="SOX6" s="622"/>
      <c r="SOY6" s="622"/>
      <c r="SOZ6" s="622"/>
      <c r="SPA6" s="622"/>
      <c r="SPB6" s="622"/>
      <c r="SPC6" s="622"/>
      <c r="SPD6" s="622"/>
      <c r="SPE6" s="622"/>
      <c r="SPF6" s="622"/>
      <c r="SPG6" s="622"/>
      <c r="SPH6" s="622"/>
      <c r="SPI6" s="622"/>
      <c r="SPJ6" s="622"/>
      <c r="SPK6" s="622"/>
      <c r="SPL6" s="622"/>
      <c r="SPM6" s="622"/>
      <c r="SPN6" s="622"/>
      <c r="SPO6" s="622"/>
      <c r="SPP6" s="622"/>
      <c r="SPQ6" s="622"/>
      <c r="SPR6" s="622"/>
      <c r="SPS6" s="622"/>
      <c r="SPT6" s="622"/>
      <c r="SPU6" s="622"/>
      <c r="SPV6" s="622"/>
      <c r="SPW6" s="622"/>
      <c r="SPX6" s="622"/>
      <c r="SPY6" s="622"/>
      <c r="SPZ6" s="622"/>
      <c r="SQA6" s="622"/>
      <c r="SQB6" s="622"/>
      <c r="SQC6" s="622"/>
      <c r="SQD6" s="622"/>
      <c r="SQE6" s="622"/>
      <c r="SQF6" s="622"/>
      <c r="SQG6" s="622"/>
      <c r="SQH6" s="622"/>
      <c r="SQI6" s="622"/>
      <c r="SQJ6" s="622"/>
      <c r="SQK6" s="622"/>
      <c r="SQL6" s="622"/>
      <c r="SQM6" s="622"/>
      <c r="SQN6" s="622"/>
      <c r="SQO6" s="622"/>
      <c r="SQP6" s="622"/>
      <c r="SQQ6" s="622"/>
      <c r="SQR6" s="622"/>
      <c r="SQS6" s="622"/>
      <c r="SQT6" s="622"/>
      <c r="SQU6" s="622"/>
      <c r="SQV6" s="622"/>
      <c r="SQW6" s="622"/>
      <c r="SQX6" s="622"/>
      <c r="SQY6" s="622"/>
      <c r="SQZ6" s="622"/>
      <c r="SRA6" s="622"/>
      <c r="SRB6" s="622"/>
      <c r="SRC6" s="622"/>
      <c r="SRD6" s="622"/>
      <c r="SRE6" s="622"/>
      <c r="SRF6" s="622"/>
      <c r="SRG6" s="622"/>
      <c r="SRH6" s="622"/>
      <c r="SRI6" s="622"/>
      <c r="SRJ6" s="622"/>
      <c r="SRK6" s="622"/>
      <c r="SRL6" s="622"/>
      <c r="SRM6" s="622"/>
      <c r="SRN6" s="622"/>
      <c r="SRO6" s="622"/>
      <c r="SRP6" s="622"/>
      <c r="SRQ6" s="622"/>
      <c r="SRR6" s="622"/>
      <c r="SRS6" s="622"/>
      <c r="SRT6" s="622"/>
      <c r="SRU6" s="622"/>
      <c r="SRV6" s="622"/>
      <c r="SRW6" s="622"/>
      <c r="SRX6" s="622"/>
      <c r="SRY6" s="622"/>
      <c r="SRZ6" s="622"/>
      <c r="SSA6" s="622"/>
      <c r="SSB6" s="622"/>
      <c r="SSC6" s="622"/>
      <c r="SSD6" s="622"/>
      <c r="SSE6" s="622"/>
      <c r="SSF6" s="622"/>
      <c r="SSG6" s="622"/>
      <c r="SSH6" s="622"/>
      <c r="SSI6" s="622"/>
      <c r="SSJ6" s="622"/>
      <c r="SSK6" s="622"/>
      <c r="SSL6" s="622"/>
      <c r="SSM6" s="622"/>
      <c r="SSN6" s="622"/>
      <c r="SSO6" s="622"/>
      <c r="SSP6" s="622"/>
      <c r="SSQ6" s="622"/>
      <c r="SSR6" s="622"/>
      <c r="SSS6" s="622"/>
      <c r="SST6" s="622"/>
      <c r="SSU6" s="622"/>
      <c r="SSV6" s="622"/>
      <c r="SSW6" s="622"/>
      <c r="SSX6" s="622"/>
      <c r="SSY6" s="622"/>
      <c r="SSZ6" s="622"/>
      <c r="STA6" s="622"/>
      <c r="STB6" s="622"/>
      <c r="STC6" s="622"/>
      <c r="STD6" s="622"/>
      <c r="STE6" s="622"/>
      <c r="STF6" s="622"/>
      <c r="STG6" s="622"/>
      <c r="STH6" s="622"/>
      <c r="STI6" s="622"/>
      <c r="STJ6" s="622"/>
      <c r="STK6" s="622"/>
      <c r="STL6" s="622"/>
      <c r="STM6" s="622"/>
      <c r="STN6" s="622"/>
      <c r="STO6" s="622"/>
      <c r="STP6" s="622"/>
      <c r="STQ6" s="622"/>
      <c r="STR6" s="622"/>
      <c r="STS6" s="622"/>
      <c r="STT6" s="622"/>
      <c r="STU6" s="622"/>
      <c r="STV6" s="622"/>
      <c r="STW6" s="622"/>
      <c r="STX6" s="622"/>
      <c r="STY6" s="622"/>
      <c r="STZ6" s="622"/>
      <c r="SUA6" s="622"/>
      <c r="SUB6" s="622"/>
      <c r="SUC6" s="622"/>
      <c r="SUD6" s="622"/>
      <c r="SUE6" s="622"/>
      <c r="SUF6" s="622"/>
      <c r="SUG6" s="622"/>
      <c r="SUH6" s="622"/>
      <c r="SUI6" s="622"/>
      <c r="SUJ6" s="622"/>
      <c r="SUK6" s="622"/>
      <c r="SUL6" s="622"/>
      <c r="SUM6" s="622"/>
      <c r="SUN6" s="622"/>
      <c r="SUO6" s="622"/>
      <c r="SUP6" s="622"/>
      <c r="SUQ6" s="622"/>
      <c r="SUR6" s="622"/>
      <c r="SUS6" s="622"/>
      <c r="SUT6" s="622"/>
      <c r="SUU6" s="622"/>
      <c r="SUV6" s="622"/>
      <c r="SUW6" s="622"/>
      <c r="SUX6" s="622"/>
      <c r="SUY6" s="622"/>
      <c r="SUZ6" s="622"/>
      <c r="SVA6" s="622"/>
      <c r="SVB6" s="622"/>
      <c r="SVC6" s="622"/>
      <c r="SVD6" s="622"/>
      <c r="SVE6" s="622"/>
      <c r="SVF6" s="622"/>
      <c r="SVG6" s="622"/>
      <c r="SVH6" s="622"/>
      <c r="SVI6" s="622"/>
      <c r="SVJ6" s="622"/>
      <c r="SVK6" s="622"/>
      <c r="SVL6" s="622"/>
      <c r="SVM6" s="622"/>
      <c r="SVN6" s="622"/>
      <c r="SVO6" s="622"/>
      <c r="SVP6" s="622"/>
      <c r="SVQ6" s="622"/>
      <c r="SVR6" s="622"/>
      <c r="SVS6" s="622"/>
      <c r="SVT6" s="622"/>
      <c r="SVU6" s="622"/>
      <c r="SVV6" s="622"/>
      <c r="SVW6" s="622"/>
      <c r="SVX6" s="622"/>
      <c r="SVY6" s="622"/>
      <c r="SVZ6" s="622"/>
      <c r="SWA6" s="622"/>
      <c r="SWB6" s="622"/>
      <c r="SWC6" s="622"/>
      <c r="SWD6" s="622"/>
      <c r="SWE6" s="622"/>
      <c r="SWF6" s="622"/>
      <c r="SWG6" s="622"/>
      <c r="SWH6" s="622"/>
      <c r="SWI6" s="622"/>
      <c r="SWJ6" s="622"/>
      <c r="SWK6" s="622"/>
      <c r="SWL6" s="622"/>
      <c r="SWM6" s="622"/>
      <c r="SWN6" s="622"/>
      <c r="SWO6" s="622"/>
      <c r="SWP6" s="622"/>
      <c r="SWQ6" s="622"/>
      <c r="SWR6" s="622"/>
      <c r="SWS6" s="622"/>
      <c r="SWT6" s="622"/>
      <c r="SWU6" s="622"/>
      <c r="SWV6" s="622"/>
      <c r="SWW6" s="622"/>
      <c r="SWX6" s="622"/>
      <c r="SWY6" s="622"/>
      <c r="SWZ6" s="622"/>
      <c r="SXA6" s="622"/>
      <c r="SXB6" s="622"/>
      <c r="SXC6" s="622"/>
      <c r="SXD6" s="622"/>
      <c r="SXE6" s="622"/>
      <c r="SXF6" s="622"/>
      <c r="SXG6" s="622"/>
      <c r="SXH6" s="622"/>
      <c r="SXI6" s="622"/>
      <c r="SXJ6" s="622"/>
      <c r="SXK6" s="622"/>
      <c r="SXL6" s="622"/>
      <c r="SXM6" s="622"/>
      <c r="SXN6" s="622"/>
      <c r="SXO6" s="622"/>
      <c r="SXP6" s="622"/>
      <c r="SXQ6" s="622"/>
      <c r="SXR6" s="622"/>
      <c r="SXS6" s="622"/>
      <c r="SXT6" s="622"/>
      <c r="SXU6" s="622"/>
      <c r="SXV6" s="622"/>
      <c r="SXW6" s="622"/>
      <c r="SXX6" s="622"/>
      <c r="SXY6" s="622"/>
      <c r="SXZ6" s="622"/>
      <c r="SYA6" s="622"/>
      <c r="SYB6" s="622"/>
      <c r="SYC6" s="622"/>
      <c r="SYD6" s="622"/>
      <c r="SYE6" s="622"/>
      <c r="SYF6" s="622"/>
      <c r="SYG6" s="622"/>
      <c r="SYH6" s="622"/>
      <c r="SYI6" s="622"/>
      <c r="SYJ6" s="622"/>
      <c r="SYK6" s="622"/>
      <c r="SYL6" s="622"/>
      <c r="SYM6" s="622"/>
      <c r="SYN6" s="622"/>
      <c r="SYO6" s="622"/>
      <c r="SYP6" s="622"/>
      <c r="SYQ6" s="622"/>
      <c r="SYR6" s="622"/>
      <c r="SYS6" s="622"/>
      <c r="SYT6" s="622"/>
      <c r="SYU6" s="622"/>
      <c r="SYV6" s="622"/>
      <c r="SYW6" s="622"/>
      <c r="SYX6" s="622"/>
      <c r="SYY6" s="622"/>
      <c r="SYZ6" s="622"/>
      <c r="SZA6" s="622"/>
      <c r="SZB6" s="622"/>
      <c r="SZC6" s="622"/>
      <c r="SZD6" s="622"/>
      <c r="SZE6" s="622"/>
      <c r="SZF6" s="622"/>
      <c r="SZG6" s="622"/>
      <c r="SZH6" s="622"/>
      <c r="SZI6" s="622"/>
      <c r="SZJ6" s="622"/>
      <c r="SZK6" s="622"/>
      <c r="SZL6" s="622"/>
      <c r="SZM6" s="622"/>
      <c r="SZN6" s="622"/>
      <c r="SZO6" s="622"/>
      <c r="SZP6" s="622"/>
      <c r="SZQ6" s="622"/>
      <c r="SZR6" s="622"/>
      <c r="SZS6" s="622"/>
      <c r="SZT6" s="622"/>
      <c r="SZU6" s="622"/>
      <c r="SZV6" s="622"/>
      <c r="SZW6" s="622"/>
      <c r="SZX6" s="622"/>
      <c r="SZY6" s="622"/>
      <c r="SZZ6" s="622"/>
      <c r="TAA6" s="622"/>
      <c r="TAB6" s="622"/>
      <c r="TAC6" s="622"/>
      <c r="TAD6" s="622"/>
      <c r="TAE6" s="622"/>
      <c r="TAF6" s="622"/>
      <c r="TAG6" s="622"/>
      <c r="TAH6" s="622"/>
      <c r="TAI6" s="622"/>
      <c r="TAJ6" s="622"/>
      <c r="TAK6" s="622"/>
      <c r="TAL6" s="622"/>
      <c r="TAM6" s="622"/>
      <c r="TAN6" s="622"/>
      <c r="TAO6" s="622"/>
      <c r="TAP6" s="622"/>
      <c r="TAQ6" s="622"/>
      <c r="TAR6" s="622"/>
      <c r="TAS6" s="622"/>
      <c r="TAT6" s="622"/>
      <c r="TAU6" s="622"/>
      <c r="TAV6" s="622"/>
      <c r="TAW6" s="622"/>
      <c r="TAX6" s="622"/>
      <c r="TAY6" s="622"/>
      <c r="TAZ6" s="622"/>
      <c r="TBA6" s="622"/>
      <c r="TBB6" s="622"/>
      <c r="TBC6" s="622"/>
      <c r="TBD6" s="622"/>
      <c r="TBE6" s="622"/>
      <c r="TBF6" s="622"/>
      <c r="TBG6" s="622"/>
      <c r="TBH6" s="622"/>
      <c r="TBI6" s="622"/>
      <c r="TBJ6" s="622"/>
      <c r="TBK6" s="622"/>
      <c r="TBL6" s="622"/>
      <c r="TBM6" s="622"/>
      <c r="TBN6" s="622"/>
      <c r="TBO6" s="622"/>
      <c r="TBP6" s="622"/>
      <c r="TBQ6" s="622"/>
      <c r="TBR6" s="622"/>
      <c r="TBS6" s="622"/>
      <c r="TBT6" s="622"/>
      <c r="TBU6" s="622"/>
      <c r="TBV6" s="622"/>
      <c r="TBW6" s="622"/>
      <c r="TBX6" s="622"/>
      <c r="TBY6" s="622"/>
      <c r="TBZ6" s="622"/>
      <c r="TCA6" s="622"/>
      <c r="TCB6" s="622"/>
      <c r="TCC6" s="622"/>
      <c r="TCD6" s="622"/>
      <c r="TCE6" s="622"/>
      <c r="TCF6" s="622"/>
      <c r="TCG6" s="622"/>
      <c r="TCH6" s="622"/>
      <c r="TCI6" s="622"/>
      <c r="TCJ6" s="622"/>
      <c r="TCK6" s="622"/>
      <c r="TCL6" s="622"/>
      <c r="TCM6" s="622"/>
      <c r="TCN6" s="622"/>
      <c r="TCO6" s="622"/>
      <c r="TCP6" s="622"/>
      <c r="TCQ6" s="622"/>
      <c r="TCR6" s="622"/>
      <c r="TCS6" s="622"/>
      <c r="TCT6" s="622"/>
      <c r="TCU6" s="622"/>
      <c r="TCV6" s="622"/>
      <c r="TCW6" s="622"/>
      <c r="TCX6" s="622"/>
      <c r="TCY6" s="622"/>
      <c r="TCZ6" s="622"/>
      <c r="TDA6" s="622"/>
      <c r="TDB6" s="622"/>
      <c r="TDC6" s="622"/>
      <c r="TDD6" s="622"/>
      <c r="TDE6" s="622"/>
      <c r="TDF6" s="622"/>
      <c r="TDG6" s="622"/>
      <c r="TDH6" s="622"/>
      <c r="TDI6" s="622"/>
      <c r="TDJ6" s="622"/>
      <c r="TDK6" s="622"/>
      <c r="TDL6" s="622"/>
      <c r="TDM6" s="622"/>
      <c r="TDN6" s="622"/>
      <c r="TDO6" s="622"/>
      <c r="TDP6" s="622"/>
      <c r="TDQ6" s="622"/>
      <c r="TDR6" s="622"/>
      <c r="TDS6" s="622"/>
      <c r="TDT6" s="622"/>
      <c r="TDU6" s="622"/>
      <c r="TDV6" s="622"/>
      <c r="TDW6" s="622"/>
      <c r="TDX6" s="622"/>
      <c r="TDY6" s="622"/>
      <c r="TDZ6" s="622"/>
      <c r="TEA6" s="622"/>
      <c r="TEB6" s="622"/>
      <c r="TEC6" s="622"/>
      <c r="TED6" s="622"/>
      <c r="TEE6" s="622"/>
      <c r="TEF6" s="622"/>
      <c r="TEG6" s="622"/>
      <c r="TEH6" s="622"/>
      <c r="TEI6" s="622"/>
      <c r="TEJ6" s="622"/>
      <c r="TEK6" s="622"/>
      <c r="TEL6" s="622"/>
      <c r="TEM6" s="622"/>
      <c r="TEN6" s="622"/>
      <c r="TEO6" s="622"/>
      <c r="TEP6" s="622"/>
      <c r="TEQ6" s="622"/>
      <c r="TER6" s="622"/>
      <c r="TES6" s="622"/>
      <c r="TET6" s="622"/>
      <c r="TEU6" s="622"/>
      <c r="TEV6" s="622"/>
      <c r="TEW6" s="622"/>
      <c r="TEX6" s="622"/>
      <c r="TEY6" s="622"/>
      <c r="TEZ6" s="622"/>
      <c r="TFA6" s="622"/>
      <c r="TFB6" s="622"/>
      <c r="TFC6" s="622"/>
      <c r="TFD6" s="622"/>
      <c r="TFE6" s="622"/>
      <c r="TFF6" s="622"/>
      <c r="TFG6" s="622"/>
      <c r="TFH6" s="622"/>
      <c r="TFI6" s="622"/>
      <c r="TFJ6" s="622"/>
      <c r="TFK6" s="622"/>
      <c r="TFL6" s="622"/>
      <c r="TFM6" s="622"/>
      <c r="TFN6" s="622"/>
      <c r="TFO6" s="622"/>
      <c r="TFP6" s="622"/>
      <c r="TFQ6" s="622"/>
      <c r="TFR6" s="622"/>
      <c r="TFS6" s="622"/>
      <c r="TFT6" s="622"/>
      <c r="TFU6" s="622"/>
      <c r="TFV6" s="622"/>
      <c r="TFW6" s="622"/>
      <c r="TFX6" s="622"/>
      <c r="TFY6" s="622"/>
      <c r="TFZ6" s="622"/>
      <c r="TGA6" s="622"/>
      <c r="TGB6" s="622"/>
      <c r="TGC6" s="622"/>
      <c r="TGD6" s="622"/>
      <c r="TGE6" s="622"/>
      <c r="TGF6" s="622"/>
      <c r="TGG6" s="622"/>
      <c r="TGH6" s="622"/>
      <c r="TGI6" s="622"/>
      <c r="TGJ6" s="622"/>
      <c r="TGK6" s="622"/>
      <c r="TGL6" s="622"/>
      <c r="TGM6" s="622"/>
      <c r="TGN6" s="622"/>
      <c r="TGO6" s="622"/>
      <c r="TGP6" s="622"/>
      <c r="TGQ6" s="622"/>
      <c r="TGR6" s="622"/>
      <c r="TGS6" s="622"/>
      <c r="TGT6" s="622"/>
      <c r="TGU6" s="622"/>
      <c r="TGV6" s="622"/>
      <c r="TGW6" s="622"/>
      <c r="TGX6" s="622"/>
      <c r="TGY6" s="622"/>
      <c r="TGZ6" s="622"/>
      <c r="THA6" s="622"/>
      <c r="THB6" s="622"/>
      <c r="THC6" s="622"/>
      <c r="THD6" s="622"/>
      <c r="THE6" s="622"/>
      <c r="THF6" s="622"/>
      <c r="THG6" s="622"/>
      <c r="THH6" s="622"/>
      <c r="THI6" s="622"/>
      <c r="THJ6" s="622"/>
      <c r="THK6" s="622"/>
      <c r="THL6" s="622"/>
      <c r="THM6" s="622"/>
      <c r="THN6" s="622"/>
      <c r="THO6" s="622"/>
      <c r="THP6" s="622"/>
      <c r="THQ6" s="622"/>
      <c r="THR6" s="622"/>
      <c r="THS6" s="622"/>
      <c r="THT6" s="622"/>
      <c r="THU6" s="622"/>
      <c r="THV6" s="622"/>
      <c r="THW6" s="622"/>
      <c r="THX6" s="622"/>
      <c r="THY6" s="622"/>
      <c r="THZ6" s="622"/>
      <c r="TIA6" s="622"/>
      <c r="TIB6" s="622"/>
      <c r="TIC6" s="622"/>
      <c r="TID6" s="622"/>
      <c r="TIE6" s="622"/>
      <c r="TIF6" s="622"/>
      <c r="TIG6" s="622"/>
      <c r="TIH6" s="622"/>
      <c r="TII6" s="622"/>
      <c r="TIJ6" s="622"/>
      <c r="TIK6" s="622"/>
      <c r="TIL6" s="622"/>
      <c r="TIM6" s="622"/>
      <c r="TIN6" s="622"/>
      <c r="TIO6" s="622"/>
      <c r="TIP6" s="622"/>
      <c r="TIQ6" s="622"/>
      <c r="TIR6" s="622"/>
      <c r="TIS6" s="622"/>
      <c r="TIT6" s="622"/>
      <c r="TIU6" s="622"/>
      <c r="TIV6" s="622"/>
      <c r="TIW6" s="622"/>
      <c r="TIX6" s="622"/>
      <c r="TIY6" s="622"/>
      <c r="TIZ6" s="622"/>
      <c r="TJA6" s="622"/>
      <c r="TJB6" s="622"/>
      <c r="TJC6" s="622"/>
      <c r="TJD6" s="622"/>
      <c r="TJE6" s="622"/>
      <c r="TJF6" s="622"/>
      <c r="TJG6" s="622"/>
      <c r="TJH6" s="622"/>
      <c r="TJI6" s="622"/>
      <c r="TJJ6" s="622"/>
      <c r="TJK6" s="622"/>
      <c r="TJL6" s="622"/>
      <c r="TJM6" s="622"/>
      <c r="TJN6" s="622"/>
      <c r="TJO6" s="622"/>
      <c r="TJP6" s="622"/>
      <c r="TJQ6" s="622"/>
      <c r="TJR6" s="622"/>
      <c r="TJS6" s="622"/>
      <c r="TJT6" s="622"/>
      <c r="TJU6" s="622"/>
      <c r="TJV6" s="622"/>
      <c r="TJW6" s="622"/>
      <c r="TJX6" s="622"/>
      <c r="TJY6" s="622"/>
      <c r="TJZ6" s="622"/>
      <c r="TKA6" s="622"/>
      <c r="TKB6" s="622"/>
      <c r="TKC6" s="622"/>
      <c r="TKD6" s="622"/>
      <c r="TKE6" s="622"/>
      <c r="TKF6" s="622"/>
      <c r="TKG6" s="622"/>
      <c r="TKH6" s="622"/>
      <c r="TKI6" s="622"/>
      <c r="TKJ6" s="622"/>
      <c r="TKK6" s="622"/>
      <c r="TKL6" s="622"/>
      <c r="TKM6" s="622"/>
      <c r="TKN6" s="622"/>
      <c r="TKO6" s="622"/>
      <c r="TKP6" s="622"/>
      <c r="TKQ6" s="622"/>
      <c r="TKR6" s="622"/>
      <c r="TKS6" s="622"/>
      <c r="TKT6" s="622"/>
      <c r="TKU6" s="622"/>
      <c r="TKV6" s="622"/>
      <c r="TKW6" s="622"/>
      <c r="TKX6" s="622"/>
      <c r="TKY6" s="622"/>
      <c r="TKZ6" s="622"/>
      <c r="TLA6" s="622"/>
      <c r="TLB6" s="622"/>
      <c r="TLC6" s="622"/>
      <c r="TLD6" s="622"/>
      <c r="TLE6" s="622"/>
      <c r="TLF6" s="622"/>
      <c r="TLG6" s="622"/>
      <c r="TLH6" s="622"/>
      <c r="TLI6" s="622"/>
      <c r="TLJ6" s="622"/>
      <c r="TLK6" s="622"/>
      <c r="TLL6" s="622"/>
      <c r="TLM6" s="622"/>
      <c r="TLN6" s="622"/>
      <c r="TLO6" s="622"/>
      <c r="TLP6" s="622"/>
      <c r="TLQ6" s="622"/>
      <c r="TLR6" s="622"/>
      <c r="TLS6" s="622"/>
      <c r="TLT6" s="622"/>
      <c r="TLU6" s="622"/>
      <c r="TLV6" s="622"/>
      <c r="TLW6" s="622"/>
      <c r="TLX6" s="622"/>
      <c r="TLY6" s="622"/>
      <c r="TLZ6" s="622"/>
      <c r="TMA6" s="622"/>
      <c r="TMB6" s="622"/>
      <c r="TMC6" s="622"/>
      <c r="TMD6" s="622"/>
      <c r="TME6" s="622"/>
      <c r="TMF6" s="622"/>
      <c r="TMG6" s="622"/>
      <c r="TMH6" s="622"/>
      <c r="TMI6" s="622"/>
      <c r="TMJ6" s="622"/>
      <c r="TMK6" s="622"/>
      <c r="TML6" s="622"/>
      <c r="TMM6" s="622"/>
      <c r="TMN6" s="622"/>
      <c r="TMO6" s="622"/>
      <c r="TMP6" s="622"/>
      <c r="TMQ6" s="622"/>
      <c r="TMR6" s="622"/>
      <c r="TMS6" s="622"/>
      <c r="TMT6" s="622"/>
      <c r="TMU6" s="622"/>
      <c r="TMV6" s="622"/>
      <c r="TMW6" s="622"/>
      <c r="TMX6" s="622"/>
      <c r="TMY6" s="622"/>
      <c r="TMZ6" s="622"/>
      <c r="TNA6" s="622"/>
      <c r="TNB6" s="622"/>
      <c r="TNC6" s="622"/>
      <c r="TND6" s="622"/>
      <c r="TNE6" s="622"/>
      <c r="TNF6" s="622"/>
      <c r="TNG6" s="622"/>
      <c r="TNH6" s="622"/>
      <c r="TNI6" s="622"/>
      <c r="TNJ6" s="622"/>
      <c r="TNK6" s="622"/>
      <c r="TNL6" s="622"/>
      <c r="TNM6" s="622"/>
      <c r="TNN6" s="622"/>
      <c r="TNO6" s="622"/>
      <c r="TNP6" s="622"/>
      <c r="TNQ6" s="622"/>
      <c r="TNR6" s="622"/>
      <c r="TNS6" s="622"/>
      <c r="TNT6" s="622"/>
      <c r="TNU6" s="622"/>
      <c r="TNV6" s="622"/>
      <c r="TNW6" s="622"/>
      <c r="TNX6" s="622"/>
      <c r="TNY6" s="622"/>
      <c r="TNZ6" s="622"/>
      <c r="TOA6" s="622"/>
      <c r="TOB6" s="622"/>
      <c r="TOC6" s="622"/>
      <c r="TOD6" s="622"/>
      <c r="TOE6" s="622"/>
      <c r="TOF6" s="622"/>
      <c r="TOG6" s="622"/>
      <c r="TOH6" s="622"/>
      <c r="TOI6" s="622"/>
      <c r="TOJ6" s="622"/>
      <c r="TOK6" s="622"/>
      <c r="TOL6" s="622"/>
      <c r="TOM6" s="622"/>
      <c r="TON6" s="622"/>
      <c r="TOO6" s="622"/>
      <c r="TOP6" s="622"/>
      <c r="TOQ6" s="622"/>
      <c r="TOR6" s="622"/>
      <c r="TOS6" s="622"/>
      <c r="TOT6" s="622"/>
      <c r="TOU6" s="622"/>
      <c r="TOV6" s="622"/>
      <c r="TOW6" s="622"/>
      <c r="TOX6" s="622"/>
      <c r="TOY6" s="622"/>
      <c r="TOZ6" s="622"/>
      <c r="TPA6" s="622"/>
      <c r="TPB6" s="622"/>
      <c r="TPC6" s="622"/>
      <c r="TPD6" s="622"/>
      <c r="TPE6" s="622"/>
      <c r="TPF6" s="622"/>
      <c r="TPG6" s="622"/>
      <c r="TPH6" s="622"/>
      <c r="TPI6" s="622"/>
      <c r="TPJ6" s="622"/>
      <c r="TPK6" s="622"/>
      <c r="TPL6" s="622"/>
      <c r="TPM6" s="622"/>
      <c r="TPN6" s="622"/>
      <c r="TPO6" s="622"/>
      <c r="TPP6" s="622"/>
      <c r="TPQ6" s="622"/>
      <c r="TPR6" s="622"/>
      <c r="TPS6" s="622"/>
      <c r="TPT6" s="622"/>
      <c r="TPU6" s="622"/>
      <c r="TPV6" s="622"/>
      <c r="TPW6" s="622"/>
      <c r="TPX6" s="622"/>
      <c r="TPY6" s="622"/>
      <c r="TPZ6" s="622"/>
      <c r="TQA6" s="622"/>
      <c r="TQB6" s="622"/>
      <c r="TQC6" s="622"/>
      <c r="TQD6" s="622"/>
      <c r="TQE6" s="622"/>
      <c r="TQF6" s="622"/>
      <c r="TQG6" s="622"/>
      <c r="TQH6" s="622"/>
      <c r="TQI6" s="622"/>
      <c r="TQJ6" s="622"/>
      <c r="TQK6" s="622"/>
      <c r="TQL6" s="622"/>
      <c r="TQM6" s="622"/>
      <c r="TQN6" s="622"/>
      <c r="TQO6" s="622"/>
      <c r="TQP6" s="622"/>
      <c r="TQQ6" s="622"/>
      <c r="TQR6" s="622"/>
      <c r="TQS6" s="622"/>
      <c r="TQT6" s="622"/>
      <c r="TQU6" s="622"/>
      <c r="TQV6" s="622"/>
      <c r="TQW6" s="622"/>
      <c r="TQX6" s="622"/>
      <c r="TQY6" s="622"/>
      <c r="TQZ6" s="622"/>
      <c r="TRA6" s="622"/>
      <c r="TRB6" s="622"/>
      <c r="TRC6" s="622"/>
      <c r="TRD6" s="622"/>
      <c r="TRE6" s="622"/>
      <c r="TRF6" s="622"/>
      <c r="TRG6" s="622"/>
      <c r="TRH6" s="622"/>
      <c r="TRI6" s="622"/>
      <c r="TRJ6" s="622"/>
      <c r="TRK6" s="622"/>
      <c r="TRL6" s="622"/>
      <c r="TRM6" s="622"/>
      <c r="TRN6" s="622"/>
      <c r="TRO6" s="622"/>
      <c r="TRP6" s="622"/>
      <c r="TRQ6" s="622"/>
      <c r="TRR6" s="622"/>
      <c r="TRS6" s="622"/>
      <c r="TRT6" s="622"/>
      <c r="TRU6" s="622"/>
      <c r="TRV6" s="622"/>
      <c r="TRW6" s="622"/>
      <c r="TRX6" s="622"/>
      <c r="TRY6" s="622"/>
      <c r="TRZ6" s="622"/>
      <c r="TSA6" s="622"/>
      <c r="TSB6" s="622"/>
      <c r="TSC6" s="622"/>
      <c r="TSD6" s="622"/>
      <c r="TSE6" s="622"/>
      <c r="TSF6" s="622"/>
      <c r="TSG6" s="622"/>
      <c r="TSH6" s="622"/>
      <c r="TSI6" s="622"/>
      <c r="TSJ6" s="622"/>
      <c r="TSK6" s="622"/>
      <c r="TSL6" s="622"/>
      <c r="TSM6" s="622"/>
      <c r="TSN6" s="622"/>
      <c r="TSO6" s="622"/>
      <c r="TSP6" s="622"/>
      <c r="TSQ6" s="622"/>
      <c r="TSR6" s="622"/>
      <c r="TSS6" s="622"/>
      <c r="TST6" s="622"/>
      <c r="TSU6" s="622"/>
      <c r="TSV6" s="622"/>
      <c r="TSW6" s="622"/>
      <c r="TSX6" s="622"/>
      <c r="TSY6" s="622"/>
      <c r="TSZ6" s="622"/>
      <c r="TTA6" s="622"/>
      <c r="TTB6" s="622"/>
      <c r="TTC6" s="622"/>
      <c r="TTD6" s="622"/>
      <c r="TTE6" s="622"/>
      <c r="TTF6" s="622"/>
      <c r="TTG6" s="622"/>
      <c r="TTH6" s="622"/>
      <c r="TTI6" s="622"/>
      <c r="TTJ6" s="622"/>
      <c r="TTK6" s="622"/>
      <c r="TTL6" s="622"/>
      <c r="TTM6" s="622"/>
      <c r="TTN6" s="622"/>
      <c r="TTO6" s="622"/>
      <c r="TTP6" s="622"/>
      <c r="TTQ6" s="622"/>
      <c r="TTR6" s="622"/>
      <c r="TTS6" s="622"/>
      <c r="TTT6" s="622"/>
      <c r="TTU6" s="622"/>
      <c r="TTV6" s="622"/>
      <c r="TTW6" s="622"/>
      <c r="TTX6" s="622"/>
      <c r="TTY6" s="622"/>
      <c r="TTZ6" s="622"/>
      <c r="TUA6" s="622"/>
      <c r="TUB6" s="622"/>
      <c r="TUC6" s="622"/>
      <c r="TUD6" s="622"/>
      <c r="TUE6" s="622"/>
      <c r="TUF6" s="622"/>
      <c r="TUG6" s="622"/>
      <c r="TUH6" s="622"/>
      <c r="TUI6" s="622"/>
      <c r="TUJ6" s="622"/>
      <c r="TUK6" s="622"/>
      <c r="TUL6" s="622"/>
      <c r="TUM6" s="622"/>
      <c r="TUN6" s="622"/>
      <c r="TUO6" s="622"/>
      <c r="TUP6" s="622"/>
      <c r="TUQ6" s="622"/>
      <c r="TUR6" s="622"/>
      <c r="TUS6" s="622"/>
      <c r="TUT6" s="622"/>
      <c r="TUU6" s="622"/>
      <c r="TUV6" s="622"/>
      <c r="TUW6" s="622"/>
      <c r="TUX6" s="622"/>
      <c r="TUY6" s="622"/>
      <c r="TUZ6" s="622"/>
      <c r="TVA6" s="622"/>
      <c r="TVB6" s="622"/>
      <c r="TVC6" s="622"/>
      <c r="TVD6" s="622"/>
      <c r="TVE6" s="622"/>
      <c r="TVF6" s="622"/>
      <c r="TVG6" s="622"/>
      <c r="TVH6" s="622"/>
      <c r="TVI6" s="622"/>
      <c r="TVJ6" s="622"/>
      <c r="TVK6" s="622"/>
      <c r="TVL6" s="622"/>
      <c r="TVM6" s="622"/>
      <c r="TVN6" s="622"/>
      <c r="TVO6" s="622"/>
      <c r="TVP6" s="622"/>
      <c r="TVQ6" s="622"/>
      <c r="TVR6" s="622"/>
      <c r="TVS6" s="622"/>
      <c r="TVT6" s="622"/>
      <c r="TVU6" s="622"/>
      <c r="TVV6" s="622"/>
      <c r="TVW6" s="622"/>
      <c r="TVX6" s="622"/>
      <c r="TVY6" s="622"/>
      <c r="TVZ6" s="622"/>
      <c r="TWA6" s="622"/>
      <c r="TWB6" s="622"/>
      <c r="TWC6" s="622"/>
      <c r="TWD6" s="622"/>
      <c r="TWE6" s="622"/>
      <c r="TWF6" s="622"/>
      <c r="TWG6" s="622"/>
      <c r="TWH6" s="622"/>
      <c r="TWI6" s="622"/>
      <c r="TWJ6" s="622"/>
      <c r="TWK6" s="622"/>
      <c r="TWL6" s="622"/>
      <c r="TWM6" s="622"/>
      <c r="TWN6" s="622"/>
      <c r="TWO6" s="622"/>
      <c r="TWP6" s="622"/>
      <c r="TWQ6" s="622"/>
      <c r="TWR6" s="622"/>
      <c r="TWS6" s="622"/>
      <c r="TWT6" s="622"/>
      <c r="TWU6" s="622"/>
      <c r="TWV6" s="622"/>
      <c r="TWW6" s="622"/>
      <c r="TWX6" s="622"/>
      <c r="TWY6" s="622"/>
      <c r="TWZ6" s="622"/>
      <c r="TXA6" s="622"/>
      <c r="TXB6" s="622"/>
      <c r="TXC6" s="622"/>
      <c r="TXD6" s="622"/>
      <c r="TXE6" s="622"/>
      <c r="TXF6" s="622"/>
      <c r="TXG6" s="622"/>
      <c r="TXH6" s="622"/>
      <c r="TXI6" s="622"/>
      <c r="TXJ6" s="622"/>
      <c r="TXK6" s="622"/>
      <c r="TXL6" s="622"/>
      <c r="TXM6" s="622"/>
      <c r="TXN6" s="622"/>
      <c r="TXO6" s="622"/>
      <c r="TXP6" s="622"/>
      <c r="TXQ6" s="622"/>
      <c r="TXR6" s="622"/>
      <c r="TXS6" s="622"/>
      <c r="TXT6" s="622"/>
      <c r="TXU6" s="622"/>
      <c r="TXV6" s="622"/>
      <c r="TXW6" s="622"/>
      <c r="TXX6" s="622"/>
      <c r="TXY6" s="622"/>
      <c r="TXZ6" s="622"/>
      <c r="TYA6" s="622"/>
      <c r="TYB6" s="622"/>
      <c r="TYC6" s="622"/>
      <c r="TYD6" s="622"/>
      <c r="TYE6" s="622"/>
      <c r="TYF6" s="622"/>
      <c r="TYG6" s="622"/>
      <c r="TYH6" s="622"/>
      <c r="TYI6" s="622"/>
      <c r="TYJ6" s="622"/>
      <c r="TYK6" s="622"/>
      <c r="TYL6" s="622"/>
      <c r="TYM6" s="622"/>
      <c r="TYN6" s="622"/>
      <c r="TYO6" s="622"/>
      <c r="TYP6" s="622"/>
      <c r="TYQ6" s="622"/>
      <c r="TYR6" s="622"/>
      <c r="TYS6" s="622"/>
      <c r="TYT6" s="622"/>
      <c r="TYU6" s="622"/>
      <c r="TYV6" s="622"/>
      <c r="TYW6" s="622"/>
      <c r="TYX6" s="622"/>
      <c r="TYY6" s="622"/>
      <c r="TYZ6" s="622"/>
      <c r="TZA6" s="622"/>
      <c r="TZB6" s="622"/>
      <c r="TZC6" s="622"/>
      <c r="TZD6" s="622"/>
      <c r="TZE6" s="622"/>
      <c r="TZF6" s="622"/>
      <c r="TZG6" s="622"/>
      <c r="TZH6" s="622"/>
      <c r="TZI6" s="622"/>
      <c r="TZJ6" s="622"/>
      <c r="TZK6" s="622"/>
      <c r="TZL6" s="622"/>
      <c r="TZM6" s="622"/>
      <c r="TZN6" s="622"/>
      <c r="TZO6" s="622"/>
      <c r="TZP6" s="622"/>
      <c r="TZQ6" s="622"/>
      <c r="TZR6" s="622"/>
      <c r="TZS6" s="622"/>
      <c r="TZT6" s="622"/>
      <c r="TZU6" s="622"/>
      <c r="TZV6" s="622"/>
      <c r="TZW6" s="622"/>
      <c r="TZX6" s="622"/>
      <c r="TZY6" s="622"/>
      <c r="TZZ6" s="622"/>
      <c r="UAA6" s="622"/>
      <c r="UAB6" s="622"/>
      <c r="UAC6" s="622"/>
      <c r="UAD6" s="622"/>
      <c r="UAE6" s="622"/>
      <c r="UAF6" s="622"/>
      <c r="UAG6" s="622"/>
      <c r="UAH6" s="622"/>
      <c r="UAI6" s="622"/>
      <c r="UAJ6" s="622"/>
      <c r="UAK6" s="622"/>
      <c r="UAL6" s="622"/>
      <c r="UAM6" s="622"/>
      <c r="UAN6" s="622"/>
      <c r="UAO6" s="622"/>
      <c r="UAP6" s="622"/>
      <c r="UAQ6" s="622"/>
      <c r="UAR6" s="622"/>
      <c r="UAS6" s="622"/>
      <c r="UAT6" s="622"/>
      <c r="UAU6" s="622"/>
      <c r="UAV6" s="622"/>
      <c r="UAW6" s="622"/>
      <c r="UAX6" s="622"/>
      <c r="UAY6" s="622"/>
      <c r="UAZ6" s="622"/>
      <c r="UBA6" s="622"/>
      <c r="UBB6" s="622"/>
      <c r="UBC6" s="622"/>
      <c r="UBD6" s="622"/>
      <c r="UBE6" s="622"/>
      <c r="UBF6" s="622"/>
      <c r="UBG6" s="622"/>
      <c r="UBH6" s="622"/>
      <c r="UBI6" s="622"/>
      <c r="UBJ6" s="622"/>
      <c r="UBK6" s="622"/>
      <c r="UBL6" s="622"/>
      <c r="UBM6" s="622"/>
      <c r="UBN6" s="622"/>
      <c r="UBO6" s="622"/>
      <c r="UBP6" s="622"/>
      <c r="UBQ6" s="622"/>
      <c r="UBR6" s="622"/>
      <c r="UBS6" s="622"/>
      <c r="UBT6" s="622"/>
      <c r="UBU6" s="622"/>
      <c r="UBV6" s="622"/>
      <c r="UBW6" s="622"/>
      <c r="UBX6" s="622"/>
      <c r="UBY6" s="622"/>
      <c r="UBZ6" s="622"/>
      <c r="UCA6" s="622"/>
      <c r="UCB6" s="622"/>
      <c r="UCC6" s="622"/>
      <c r="UCD6" s="622"/>
      <c r="UCE6" s="622"/>
      <c r="UCF6" s="622"/>
      <c r="UCG6" s="622"/>
      <c r="UCH6" s="622"/>
      <c r="UCI6" s="622"/>
      <c r="UCJ6" s="622"/>
      <c r="UCK6" s="622"/>
      <c r="UCL6" s="622"/>
      <c r="UCM6" s="622"/>
      <c r="UCN6" s="622"/>
      <c r="UCO6" s="622"/>
      <c r="UCP6" s="622"/>
      <c r="UCQ6" s="622"/>
      <c r="UCR6" s="622"/>
      <c r="UCS6" s="622"/>
      <c r="UCT6" s="622"/>
      <c r="UCU6" s="622"/>
      <c r="UCV6" s="622"/>
      <c r="UCW6" s="622"/>
      <c r="UCX6" s="622"/>
      <c r="UCY6" s="622"/>
      <c r="UCZ6" s="622"/>
      <c r="UDA6" s="622"/>
      <c r="UDB6" s="622"/>
      <c r="UDC6" s="622"/>
      <c r="UDD6" s="622"/>
      <c r="UDE6" s="622"/>
      <c r="UDF6" s="622"/>
      <c r="UDG6" s="622"/>
      <c r="UDH6" s="622"/>
      <c r="UDI6" s="622"/>
      <c r="UDJ6" s="622"/>
      <c r="UDK6" s="622"/>
      <c r="UDL6" s="622"/>
      <c r="UDM6" s="622"/>
      <c r="UDN6" s="622"/>
      <c r="UDO6" s="622"/>
      <c r="UDP6" s="622"/>
      <c r="UDQ6" s="622"/>
      <c r="UDR6" s="622"/>
      <c r="UDS6" s="622"/>
      <c r="UDT6" s="622"/>
      <c r="UDU6" s="622"/>
      <c r="UDV6" s="622"/>
      <c r="UDW6" s="622"/>
      <c r="UDX6" s="622"/>
      <c r="UDY6" s="622"/>
      <c r="UDZ6" s="622"/>
      <c r="UEA6" s="622"/>
      <c r="UEB6" s="622"/>
      <c r="UEC6" s="622"/>
      <c r="UED6" s="622"/>
      <c r="UEE6" s="622"/>
      <c r="UEF6" s="622"/>
      <c r="UEG6" s="622"/>
      <c r="UEH6" s="622"/>
      <c r="UEI6" s="622"/>
      <c r="UEJ6" s="622"/>
      <c r="UEK6" s="622"/>
      <c r="UEL6" s="622"/>
      <c r="UEM6" s="622"/>
      <c r="UEN6" s="622"/>
      <c r="UEO6" s="622"/>
      <c r="UEP6" s="622"/>
      <c r="UEQ6" s="622"/>
      <c r="UER6" s="622"/>
      <c r="UES6" s="622"/>
      <c r="UET6" s="622"/>
      <c r="UEU6" s="622"/>
      <c r="UEV6" s="622"/>
      <c r="UEW6" s="622"/>
      <c r="UEX6" s="622"/>
      <c r="UEY6" s="622"/>
      <c r="UEZ6" s="622"/>
      <c r="UFA6" s="622"/>
      <c r="UFB6" s="622"/>
      <c r="UFC6" s="622"/>
      <c r="UFD6" s="622"/>
      <c r="UFE6" s="622"/>
      <c r="UFF6" s="622"/>
      <c r="UFG6" s="622"/>
      <c r="UFH6" s="622"/>
      <c r="UFI6" s="622"/>
      <c r="UFJ6" s="622"/>
      <c r="UFK6" s="622"/>
      <c r="UFL6" s="622"/>
      <c r="UFM6" s="622"/>
      <c r="UFN6" s="622"/>
      <c r="UFO6" s="622"/>
      <c r="UFP6" s="622"/>
      <c r="UFQ6" s="622"/>
      <c r="UFR6" s="622"/>
      <c r="UFS6" s="622"/>
      <c r="UFT6" s="622"/>
      <c r="UFU6" s="622"/>
      <c r="UFV6" s="622"/>
      <c r="UFW6" s="622"/>
      <c r="UFX6" s="622"/>
      <c r="UFY6" s="622"/>
      <c r="UFZ6" s="622"/>
      <c r="UGA6" s="622"/>
      <c r="UGB6" s="622"/>
      <c r="UGC6" s="622"/>
      <c r="UGD6" s="622"/>
      <c r="UGE6" s="622"/>
      <c r="UGF6" s="622"/>
      <c r="UGG6" s="622"/>
      <c r="UGH6" s="622"/>
      <c r="UGI6" s="622"/>
      <c r="UGJ6" s="622"/>
      <c r="UGK6" s="622"/>
      <c r="UGL6" s="622"/>
      <c r="UGM6" s="622"/>
      <c r="UGN6" s="622"/>
      <c r="UGO6" s="622"/>
      <c r="UGP6" s="622"/>
      <c r="UGQ6" s="622"/>
      <c r="UGR6" s="622"/>
      <c r="UGS6" s="622"/>
      <c r="UGT6" s="622"/>
      <c r="UGU6" s="622"/>
      <c r="UGV6" s="622"/>
      <c r="UGW6" s="622"/>
      <c r="UGX6" s="622"/>
      <c r="UGY6" s="622"/>
      <c r="UGZ6" s="622"/>
      <c r="UHA6" s="622"/>
      <c r="UHB6" s="622"/>
      <c r="UHC6" s="622"/>
      <c r="UHD6" s="622"/>
      <c r="UHE6" s="622"/>
      <c r="UHF6" s="622"/>
      <c r="UHG6" s="622"/>
      <c r="UHH6" s="622"/>
      <c r="UHI6" s="622"/>
      <c r="UHJ6" s="622"/>
      <c r="UHK6" s="622"/>
      <c r="UHL6" s="622"/>
      <c r="UHM6" s="622"/>
      <c r="UHN6" s="622"/>
      <c r="UHO6" s="622"/>
      <c r="UHP6" s="622"/>
      <c r="UHQ6" s="622"/>
      <c r="UHR6" s="622"/>
      <c r="UHS6" s="622"/>
      <c r="UHT6" s="622"/>
      <c r="UHU6" s="622"/>
      <c r="UHV6" s="622"/>
      <c r="UHW6" s="622"/>
      <c r="UHX6" s="622"/>
      <c r="UHY6" s="622"/>
      <c r="UHZ6" s="622"/>
      <c r="UIA6" s="622"/>
      <c r="UIB6" s="622"/>
      <c r="UIC6" s="622"/>
      <c r="UID6" s="622"/>
      <c r="UIE6" s="622"/>
      <c r="UIF6" s="622"/>
      <c r="UIG6" s="622"/>
      <c r="UIH6" s="622"/>
      <c r="UII6" s="622"/>
      <c r="UIJ6" s="622"/>
      <c r="UIK6" s="622"/>
      <c r="UIL6" s="622"/>
      <c r="UIM6" s="622"/>
      <c r="UIN6" s="622"/>
      <c r="UIO6" s="622"/>
      <c r="UIP6" s="622"/>
      <c r="UIQ6" s="622"/>
      <c r="UIR6" s="622"/>
      <c r="UIS6" s="622"/>
      <c r="UIT6" s="622"/>
      <c r="UIU6" s="622"/>
      <c r="UIV6" s="622"/>
      <c r="UIW6" s="622"/>
      <c r="UIX6" s="622"/>
      <c r="UIY6" s="622"/>
      <c r="UIZ6" s="622"/>
      <c r="UJA6" s="622"/>
      <c r="UJB6" s="622"/>
      <c r="UJC6" s="622"/>
      <c r="UJD6" s="622"/>
      <c r="UJE6" s="622"/>
      <c r="UJF6" s="622"/>
      <c r="UJG6" s="622"/>
      <c r="UJH6" s="622"/>
      <c r="UJI6" s="622"/>
      <c r="UJJ6" s="622"/>
      <c r="UJK6" s="622"/>
      <c r="UJL6" s="622"/>
      <c r="UJM6" s="622"/>
      <c r="UJN6" s="622"/>
      <c r="UJO6" s="622"/>
      <c r="UJP6" s="622"/>
      <c r="UJQ6" s="622"/>
      <c r="UJR6" s="622"/>
      <c r="UJS6" s="622"/>
      <c r="UJT6" s="622"/>
      <c r="UJU6" s="622"/>
      <c r="UJV6" s="622"/>
      <c r="UJW6" s="622"/>
      <c r="UJX6" s="622"/>
      <c r="UJY6" s="622"/>
      <c r="UJZ6" s="622"/>
      <c r="UKA6" s="622"/>
      <c r="UKB6" s="622"/>
      <c r="UKC6" s="622"/>
      <c r="UKD6" s="622"/>
      <c r="UKE6" s="622"/>
      <c r="UKF6" s="622"/>
      <c r="UKG6" s="622"/>
      <c r="UKH6" s="622"/>
      <c r="UKI6" s="622"/>
      <c r="UKJ6" s="622"/>
      <c r="UKK6" s="622"/>
      <c r="UKL6" s="622"/>
      <c r="UKM6" s="622"/>
      <c r="UKN6" s="622"/>
      <c r="UKO6" s="622"/>
      <c r="UKP6" s="622"/>
      <c r="UKQ6" s="622"/>
      <c r="UKR6" s="622"/>
      <c r="UKS6" s="622"/>
      <c r="UKT6" s="622"/>
      <c r="UKU6" s="622"/>
      <c r="UKV6" s="622"/>
      <c r="UKW6" s="622"/>
      <c r="UKX6" s="622"/>
      <c r="UKY6" s="622"/>
      <c r="UKZ6" s="622"/>
      <c r="ULA6" s="622"/>
      <c r="ULB6" s="622"/>
      <c r="ULC6" s="622"/>
      <c r="ULD6" s="622"/>
      <c r="ULE6" s="622"/>
      <c r="ULF6" s="622"/>
      <c r="ULG6" s="622"/>
      <c r="ULH6" s="622"/>
      <c r="ULI6" s="622"/>
      <c r="ULJ6" s="622"/>
      <c r="ULK6" s="622"/>
      <c r="ULL6" s="622"/>
      <c r="ULM6" s="622"/>
      <c r="ULN6" s="622"/>
      <c r="ULO6" s="622"/>
      <c r="ULP6" s="622"/>
      <c r="ULQ6" s="622"/>
      <c r="ULR6" s="622"/>
      <c r="ULS6" s="622"/>
      <c r="ULT6" s="622"/>
      <c r="ULU6" s="622"/>
      <c r="ULV6" s="622"/>
      <c r="ULW6" s="622"/>
      <c r="ULX6" s="622"/>
      <c r="ULY6" s="622"/>
      <c r="ULZ6" s="622"/>
      <c r="UMA6" s="622"/>
      <c r="UMB6" s="622"/>
      <c r="UMC6" s="622"/>
      <c r="UMD6" s="622"/>
      <c r="UME6" s="622"/>
      <c r="UMF6" s="622"/>
      <c r="UMG6" s="622"/>
      <c r="UMH6" s="622"/>
      <c r="UMI6" s="622"/>
      <c r="UMJ6" s="622"/>
      <c r="UMK6" s="622"/>
      <c r="UML6" s="622"/>
      <c r="UMM6" s="622"/>
      <c r="UMN6" s="622"/>
      <c r="UMO6" s="622"/>
      <c r="UMP6" s="622"/>
      <c r="UMQ6" s="622"/>
      <c r="UMR6" s="622"/>
      <c r="UMS6" s="622"/>
      <c r="UMT6" s="622"/>
      <c r="UMU6" s="622"/>
      <c r="UMV6" s="622"/>
      <c r="UMW6" s="622"/>
      <c r="UMX6" s="622"/>
      <c r="UMY6" s="622"/>
      <c r="UMZ6" s="622"/>
      <c r="UNA6" s="622"/>
      <c r="UNB6" s="622"/>
      <c r="UNC6" s="622"/>
      <c r="UND6" s="622"/>
      <c r="UNE6" s="622"/>
      <c r="UNF6" s="622"/>
      <c r="UNG6" s="622"/>
      <c r="UNH6" s="622"/>
      <c r="UNI6" s="622"/>
      <c r="UNJ6" s="622"/>
      <c r="UNK6" s="622"/>
      <c r="UNL6" s="622"/>
      <c r="UNM6" s="622"/>
      <c r="UNN6" s="622"/>
      <c r="UNO6" s="622"/>
      <c r="UNP6" s="622"/>
      <c r="UNQ6" s="622"/>
      <c r="UNR6" s="622"/>
      <c r="UNS6" s="622"/>
      <c r="UNT6" s="622"/>
      <c r="UNU6" s="622"/>
      <c r="UNV6" s="622"/>
      <c r="UNW6" s="622"/>
      <c r="UNX6" s="622"/>
      <c r="UNY6" s="622"/>
      <c r="UNZ6" s="622"/>
      <c r="UOA6" s="622"/>
      <c r="UOB6" s="622"/>
      <c r="UOC6" s="622"/>
      <c r="UOD6" s="622"/>
      <c r="UOE6" s="622"/>
      <c r="UOF6" s="622"/>
      <c r="UOG6" s="622"/>
      <c r="UOH6" s="622"/>
      <c r="UOI6" s="622"/>
      <c r="UOJ6" s="622"/>
      <c r="UOK6" s="622"/>
      <c r="UOL6" s="622"/>
      <c r="UOM6" s="622"/>
      <c r="UON6" s="622"/>
      <c r="UOO6" s="622"/>
      <c r="UOP6" s="622"/>
      <c r="UOQ6" s="622"/>
      <c r="UOR6" s="622"/>
      <c r="UOS6" s="622"/>
      <c r="UOT6" s="622"/>
      <c r="UOU6" s="622"/>
      <c r="UOV6" s="622"/>
      <c r="UOW6" s="622"/>
      <c r="UOX6" s="622"/>
      <c r="UOY6" s="622"/>
      <c r="UOZ6" s="622"/>
      <c r="UPA6" s="622"/>
      <c r="UPB6" s="622"/>
      <c r="UPC6" s="622"/>
      <c r="UPD6" s="622"/>
      <c r="UPE6" s="622"/>
      <c r="UPF6" s="622"/>
      <c r="UPG6" s="622"/>
      <c r="UPH6" s="622"/>
      <c r="UPI6" s="622"/>
      <c r="UPJ6" s="622"/>
      <c r="UPK6" s="622"/>
      <c r="UPL6" s="622"/>
      <c r="UPM6" s="622"/>
      <c r="UPN6" s="622"/>
      <c r="UPO6" s="622"/>
      <c r="UPP6" s="622"/>
      <c r="UPQ6" s="622"/>
      <c r="UPR6" s="622"/>
      <c r="UPS6" s="622"/>
      <c r="UPT6" s="622"/>
      <c r="UPU6" s="622"/>
      <c r="UPV6" s="622"/>
      <c r="UPW6" s="622"/>
      <c r="UPX6" s="622"/>
      <c r="UPY6" s="622"/>
      <c r="UPZ6" s="622"/>
      <c r="UQA6" s="622"/>
      <c r="UQB6" s="622"/>
      <c r="UQC6" s="622"/>
      <c r="UQD6" s="622"/>
      <c r="UQE6" s="622"/>
      <c r="UQF6" s="622"/>
      <c r="UQG6" s="622"/>
      <c r="UQH6" s="622"/>
      <c r="UQI6" s="622"/>
      <c r="UQJ6" s="622"/>
      <c r="UQK6" s="622"/>
      <c r="UQL6" s="622"/>
      <c r="UQM6" s="622"/>
      <c r="UQN6" s="622"/>
      <c r="UQO6" s="622"/>
      <c r="UQP6" s="622"/>
      <c r="UQQ6" s="622"/>
      <c r="UQR6" s="622"/>
      <c r="UQS6" s="622"/>
      <c r="UQT6" s="622"/>
      <c r="UQU6" s="622"/>
      <c r="UQV6" s="622"/>
      <c r="UQW6" s="622"/>
      <c r="UQX6" s="622"/>
      <c r="UQY6" s="622"/>
      <c r="UQZ6" s="622"/>
      <c r="URA6" s="622"/>
      <c r="URB6" s="622"/>
      <c r="URC6" s="622"/>
      <c r="URD6" s="622"/>
      <c r="URE6" s="622"/>
      <c r="URF6" s="622"/>
      <c r="URG6" s="622"/>
      <c r="URH6" s="622"/>
      <c r="URI6" s="622"/>
      <c r="URJ6" s="622"/>
      <c r="URK6" s="622"/>
      <c r="URL6" s="622"/>
      <c r="URM6" s="622"/>
      <c r="URN6" s="622"/>
      <c r="URO6" s="622"/>
      <c r="URP6" s="622"/>
      <c r="URQ6" s="622"/>
      <c r="URR6" s="622"/>
      <c r="URS6" s="622"/>
      <c r="URT6" s="622"/>
      <c r="URU6" s="622"/>
      <c r="URV6" s="622"/>
      <c r="URW6" s="622"/>
      <c r="URX6" s="622"/>
      <c r="URY6" s="622"/>
      <c r="URZ6" s="622"/>
      <c r="USA6" s="622"/>
      <c r="USB6" s="622"/>
      <c r="USC6" s="622"/>
      <c r="USD6" s="622"/>
      <c r="USE6" s="622"/>
      <c r="USF6" s="622"/>
      <c r="USG6" s="622"/>
      <c r="USH6" s="622"/>
      <c r="USI6" s="622"/>
      <c r="USJ6" s="622"/>
      <c r="USK6" s="622"/>
      <c r="USL6" s="622"/>
      <c r="USM6" s="622"/>
      <c r="USN6" s="622"/>
      <c r="USO6" s="622"/>
      <c r="USP6" s="622"/>
      <c r="USQ6" s="622"/>
      <c r="USR6" s="622"/>
      <c r="USS6" s="622"/>
      <c r="UST6" s="622"/>
      <c r="USU6" s="622"/>
      <c r="USV6" s="622"/>
      <c r="USW6" s="622"/>
      <c r="USX6" s="622"/>
      <c r="USY6" s="622"/>
      <c r="USZ6" s="622"/>
      <c r="UTA6" s="622"/>
      <c r="UTB6" s="622"/>
      <c r="UTC6" s="622"/>
      <c r="UTD6" s="622"/>
      <c r="UTE6" s="622"/>
      <c r="UTF6" s="622"/>
      <c r="UTG6" s="622"/>
      <c r="UTH6" s="622"/>
      <c r="UTI6" s="622"/>
      <c r="UTJ6" s="622"/>
      <c r="UTK6" s="622"/>
      <c r="UTL6" s="622"/>
      <c r="UTM6" s="622"/>
      <c r="UTN6" s="622"/>
      <c r="UTO6" s="622"/>
      <c r="UTP6" s="622"/>
      <c r="UTQ6" s="622"/>
      <c r="UTR6" s="622"/>
      <c r="UTS6" s="622"/>
      <c r="UTT6" s="622"/>
      <c r="UTU6" s="622"/>
      <c r="UTV6" s="622"/>
      <c r="UTW6" s="622"/>
      <c r="UTX6" s="622"/>
      <c r="UTY6" s="622"/>
      <c r="UTZ6" s="622"/>
      <c r="UUA6" s="622"/>
      <c r="UUB6" s="622"/>
      <c r="UUC6" s="622"/>
      <c r="UUD6" s="622"/>
      <c r="UUE6" s="622"/>
      <c r="UUF6" s="622"/>
      <c r="UUG6" s="622"/>
      <c r="UUH6" s="622"/>
      <c r="UUI6" s="622"/>
      <c r="UUJ6" s="622"/>
      <c r="UUK6" s="622"/>
      <c r="UUL6" s="622"/>
      <c r="UUM6" s="622"/>
      <c r="UUN6" s="622"/>
      <c r="UUO6" s="622"/>
      <c r="UUP6" s="622"/>
      <c r="UUQ6" s="622"/>
      <c r="UUR6" s="622"/>
      <c r="UUS6" s="622"/>
      <c r="UUT6" s="622"/>
      <c r="UUU6" s="622"/>
      <c r="UUV6" s="622"/>
      <c r="UUW6" s="622"/>
      <c r="UUX6" s="622"/>
      <c r="UUY6" s="622"/>
      <c r="UUZ6" s="622"/>
      <c r="UVA6" s="622"/>
      <c r="UVB6" s="622"/>
      <c r="UVC6" s="622"/>
      <c r="UVD6" s="622"/>
      <c r="UVE6" s="622"/>
      <c r="UVF6" s="622"/>
      <c r="UVG6" s="622"/>
      <c r="UVH6" s="622"/>
      <c r="UVI6" s="622"/>
      <c r="UVJ6" s="622"/>
      <c r="UVK6" s="622"/>
      <c r="UVL6" s="622"/>
      <c r="UVM6" s="622"/>
      <c r="UVN6" s="622"/>
      <c r="UVO6" s="622"/>
      <c r="UVP6" s="622"/>
      <c r="UVQ6" s="622"/>
      <c r="UVR6" s="622"/>
      <c r="UVS6" s="622"/>
      <c r="UVT6" s="622"/>
      <c r="UVU6" s="622"/>
      <c r="UVV6" s="622"/>
      <c r="UVW6" s="622"/>
      <c r="UVX6" s="622"/>
      <c r="UVY6" s="622"/>
      <c r="UVZ6" s="622"/>
      <c r="UWA6" s="622"/>
      <c r="UWB6" s="622"/>
      <c r="UWC6" s="622"/>
      <c r="UWD6" s="622"/>
      <c r="UWE6" s="622"/>
      <c r="UWF6" s="622"/>
      <c r="UWG6" s="622"/>
      <c r="UWH6" s="622"/>
      <c r="UWI6" s="622"/>
      <c r="UWJ6" s="622"/>
      <c r="UWK6" s="622"/>
      <c r="UWL6" s="622"/>
      <c r="UWM6" s="622"/>
      <c r="UWN6" s="622"/>
      <c r="UWO6" s="622"/>
      <c r="UWP6" s="622"/>
      <c r="UWQ6" s="622"/>
      <c r="UWR6" s="622"/>
      <c r="UWS6" s="622"/>
      <c r="UWT6" s="622"/>
      <c r="UWU6" s="622"/>
      <c r="UWV6" s="622"/>
      <c r="UWW6" s="622"/>
      <c r="UWX6" s="622"/>
      <c r="UWY6" s="622"/>
      <c r="UWZ6" s="622"/>
      <c r="UXA6" s="622"/>
      <c r="UXB6" s="622"/>
      <c r="UXC6" s="622"/>
      <c r="UXD6" s="622"/>
      <c r="UXE6" s="622"/>
      <c r="UXF6" s="622"/>
      <c r="UXG6" s="622"/>
      <c r="UXH6" s="622"/>
      <c r="UXI6" s="622"/>
      <c r="UXJ6" s="622"/>
      <c r="UXK6" s="622"/>
      <c r="UXL6" s="622"/>
      <c r="UXM6" s="622"/>
      <c r="UXN6" s="622"/>
      <c r="UXO6" s="622"/>
      <c r="UXP6" s="622"/>
      <c r="UXQ6" s="622"/>
      <c r="UXR6" s="622"/>
      <c r="UXS6" s="622"/>
      <c r="UXT6" s="622"/>
      <c r="UXU6" s="622"/>
      <c r="UXV6" s="622"/>
      <c r="UXW6" s="622"/>
      <c r="UXX6" s="622"/>
      <c r="UXY6" s="622"/>
      <c r="UXZ6" s="622"/>
      <c r="UYA6" s="622"/>
      <c r="UYB6" s="622"/>
      <c r="UYC6" s="622"/>
      <c r="UYD6" s="622"/>
      <c r="UYE6" s="622"/>
      <c r="UYF6" s="622"/>
      <c r="UYG6" s="622"/>
      <c r="UYH6" s="622"/>
      <c r="UYI6" s="622"/>
      <c r="UYJ6" s="622"/>
      <c r="UYK6" s="622"/>
      <c r="UYL6" s="622"/>
      <c r="UYM6" s="622"/>
      <c r="UYN6" s="622"/>
      <c r="UYO6" s="622"/>
      <c r="UYP6" s="622"/>
      <c r="UYQ6" s="622"/>
      <c r="UYR6" s="622"/>
      <c r="UYS6" s="622"/>
      <c r="UYT6" s="622"/>
      <c r="UYU6" s="622"/>
      <c r="UYV6" s="622"/>
      <c r="UYW6" s="622"/>
      <c r="UYX6" s="622"/>
      <c r="UYY6" s="622"/>
      <c r="UYZ6" s="622"/>
      <c r="UZA6" s="622"/>
      <c r="UZB6" s="622"/>
      <c r="UZC6" s="622"/>
      <c r="UZD6" s="622"/>
      <c r="UZE6" s="622"/>
      <c r="UZF6" s="622"/>
      <c r="UZG6" s="622"/>
      <c r="UZH6" s="622"/>
      <c r="UZI6" s="622"/>
      <c r="UZJ6" s="622"/>
      <c r="UZK6" s="622"/>
      <c r="UZL6" s="622"/>
      <c r="UZM6" s="622"/>
      <c r="UZN6" s="622"/>
      <c r="UZO6" s="622"/>
      <c r="UZP6" s="622"/>
      <c r="UZQ6" s="622"/>
      <c r="UZR6" s="622"/>
      <c r="UZS6" s="622"/>
      <c r="UZT6" s="622"/>
      <c r="UZU6" s="622"/>
      <c r="UZV6" s="622"/>
      <c r="UZW6" s="622"/>
      <c r="UZX6" s="622"/>
      <c r="UZY6" s="622"/>
      <c r="UZZ6" s="622"/>
      <c r="VAA6" s="622"/>
      <c r="VAB6" s="622"/>
      <c r="VAC6" s="622"/>
      <c r="VAD6" s="622"/>
      <c r="VAE6" s="622"/>
      <c r="VAF6" s="622"/>
      <c r="VAG6" s="622"/>
      <c r="VAH6" s="622"/>
      <c r="VAI6" s="622"/>
      <c r="VAJ6" s="622"/>
      <c r="VAK6" s="622"/>
      <c r="VAL6" s="622"/>
      <c r="VAM6" s="622"/>
      <c r="VAN6" s="622"/>
      <c r="VAO6" s="622"/>
      <c r="VAP6" s="622"/>
      <c r="VAQ6" s="622"/>
      <c r="VAR6" s="622"/>
      <c r="VAS6" s="622"/>
      <c r="VAT6" s="622"/>
      <c r="VAU6" s="622"/>
      <c r="VAV6" s="622"/>
      <c r="VAW6" s="622"/>
      <c r="VAX6" s="622"/>
      <c r="VAY6" s="622"/>
      <c r="VAZ6" s="622"/>
      <c r="VBA6" s="622"/>
      <c r="VBB6" s="622"/>
      <c r="VBC6" s="622"/>
      <c r="VBD6" s="622"/>
      <c r="VBE6" s="622"/>
      <c r="VBF6" s="622"/>
      <c r="VBG6" s="622"/>
      <c r="VBH6" s="622"/>
      <c r="VBI6" s="622"/>
      <c r="VBJ6" s="622"/>
      <c r="VBK6" s="622"/>
      <c r="VBL6" s="622"/>
      <c r="VBM6" s="622"/>
      <c r="VBN6" s="622"/>
      <c r="VBO6" s="622"/>
      <c r="VBP6" s="622"/>
      <c r="VBQ6" s="622"/>
      <c r="VBR6" s="622"/>
      <c r="VBS6" s="622"/>
      <c r="VBT6" s="622"/>
      <c r="VBU6" s="622"/>
      <c r="VBV6" s="622"/>
      <c r="VBW6" s="622"/>
      <c r="VBX6" s="622"/>
      <c r="VBY6" s="622"/>
      <c r="VBZ6" s="622"/>
      <c r="VCA6" s="622"/>
      <c r="VCB6" s="622"/>
      <c r="VCC6" s="622"/>
      <c r="VCD6" s="622"/>
      <c r="VCE6" s="622"/>
      <c r="VCF6" s="622"/>
      <c r="VCG6" s="622"/>
      <c r="VCH6" s="622"/>
      <c r="VCI6" s="622"/>
      <c r="VCJ6" s="622"/>
      <c r="VCK6" s="622"/>
      <c r="VCL6" s="622"/>
      <c r="VCM6" s="622"/>
      <c r="VCN6" s="622"/>
      <c r="VCO6" s="622"/>
      <c r="VCP6" s="622"/>
      <c r="VCQ6" s="622"/>
      <c r="VCR6" s="622"/>
      <c r="VCS6" s="622"/>
      <c r="VCT6" s="622"/>
      <c r="VCU6" s="622"/>
      <c r="VCV6" s="622"/>
      <c r="VCW6" s="622"/>
      <c r="VCX6" s="622"/>
      <c r="VCY6" s="622"/>
      <c r="VCZ6" s="622"/>
      <c r="VDA6" s="622"/>
      <c r="VDB6" s="622"/>
      <c r="VDC6" s="622"/>
      <c r="VDD6" s="622"/>
      <c r="VDE6" s="622"/>
      <c r="VDF6" s="622"/>
      <c r="VDG6" s="622"/>
      <c r="VDH6" s="622"/>
      <c r="VDI6" s="622"/>
      <c r="VDJ6" s="622"/>
      <c r="VDK6" s="622"/>
      <c r="VDL6" s="622"/>
      <c r="VDM6" s="622"/>
      <c r="VDN6" s="622"/>
      <c r="VDO6" s="622"/>
      <c r="VDP6" s="622"/>
      <c r="VDQ6" s="622"/>
      <c r="VDR6" s="622"/>
      <c r="VDS6" s="622"/>
      <c r="VDT6" s="622"/>
      <c r="VDU6" s="622"/>
      <c r="VDV6" s="622"/>
      <c r="VDW6" s="622"/>
      <c r="VDX6" s="622"/>
      <c r="VDY6" s="622"/>
      <c r="VDZ6" s="622"/>
      <c r="VEA6" s="622"/>
      <c r="VEB6" s="622"/>
      <c r="VEC6" s="622"/>
      <c r="VED6" s="622"/>
      <c r="VEE6" s="622"/>
      <c r="VEF6" s="622"/>
      <c r="VEG6" s="622"/>
      <c r="VEH6" s="622"/>
      <c r="VEI6" s="622"/>
      <c r="VEJ6" s="622"/>
      <c r="VEK6" s="622"/>
      <c r="VEL6" s="622"/>
      <c r="VEM6" s="622"/>
      <c r="VEN6" s="622"/>
      <c r="VEO6" s="622"/>
      <c r="VEP6" s="622"/>
      <c r="VEQ6" s="622"/>
      <c r="VER6" s="622"/>
      <c r="VES6" s="622"/>
      <c r="VET6" s="622"/>
      <c r="VEU6" s="622"/>
      <c r="VEV6" s="622"/>
      <c r="VEW6" s="622"/>
      <c r="VEX6" s="622"/>
      <c r="VEY6" s="622"/>
      <c r="VEZ6" s="622"/>
      <c r="VFA6" s="622"/>
      <c r="VFB6" s="622"/>
      <c r="VFC6" s="622"/>
      <c r="VFD6" s="622"/>
      <c r="VFE6" s="622"/>
      <c r="VFF6" s="622"/>
      <c r="VFG6" s="622"/>
      <c r="VFH6" s="622"/>
      <c r="VFI6" s="622"/>
      <c r="VFJ6" s="622"/>
      <c r="VFK6" s="622"/>
      <c r="VFL6" s="622"/>
      <c r="VFM6" s="622"/>
      <c r="VFN6" s="622"/>
      <c r="VFO6" s="622"/>
      <c r="VFP6" s="622"/>
      <c r="VFQ6" s="622"/>
      <c r="VFR6" s="622"/>
      <c r="VFS6" s="622"/>
      <c r="VFT6" s="622"/>
      <c r="VFU6" s="622"/>
      <c r="VFV6" s="622"/>
      <c r="VFW6" s="622"/>
      <c r="VFX6" s="622"/>
      <c r="VFY6" s="622"/>
      <c r="VFZ6" s="622"/>
      <c r="VGA6" s="622"/>
      <c r="VGB6" s="622"/>
      <c r="VGC6" s="622"/>
      <c r="VGD6" s="622"/>
      <c r="VGE6" s="622"/>
      <c r="VGF6" s="622"/>
      <c r="VGG6" s="622"/>
      <c r="VGH6" s="622"/>
      <c r="VGI6" s="622"/>
      <c r="VGJ6" s="622"/>
      <c r="VGK6" s="622"/>
      <c r="VGL6" s="622"/>
      <c r="VGM6" s="622"/>
      <c r="VGN6" s="622"/>
      <c r="VGO6" s="622"/>
      <c r="VGP6" s="622"/>
      <c r="VGQ6" s="622"/>
      <c r="VGR6" s="622"/>
      <c r="VGS6" s="622"/>
      <c r="VGT6" s="622"/>
      <c r="VGU6" s="622"/>
      <c r="VGV6" s="622"/>
      <c r="VGW6" s="622"/>
      <c r="VGX6" s="622"/>
      <c r="VGY6" s="622"/>
      <c r="VGZ6" s="622"/>
      <c r="VHA6" s="622"/>
      <c r="VHB6" s="622"/>
      <c r="VHC6" s="622"/>
      <c r="VHD6" s="622"/>
      <c r="VHE6" s="622"/>
      <c r="VHF6" s="622"/>
      <c r="VHG6" s="622"/>
      <c r="VHH6" s="622"/>
      <c r="VHI6" s="622"/>
      <c r="VHJ6" s="622"/>
      <c r="VHK6" s="622"/>
      <c r="VHL6" s="622"/>
      <c r="VHM6" s="622"/>
      <c r="VHN6" s="622"/>
      <c r="VHO6" s="622"/>
      <c r="VHP6" s="622"/>
      <c r="VHQ6" s="622"/>
      <c r="VHR6" s="622"/>
      <c r="VHS6" s="622"/>
      <c r="VHT6" s="622"/>
      <c r="VHU6" s="622"/>
      <c r="VHV6" s="622"/>
      <c r="VHW6" s="622"/>
      <c r="VHX6" s="622"/>
      <c r="VHY6" s="622"/>
      <c r="VHZ6" s="622"/>
      <c r="VIA6" s="622"/>
      <c r="VIB6" s="622"/>
      <c r="VIC6" s="622"/>
      <c r="VID6" s="622"/>
      <c r="VIE6" s="622"/>
      <c r="VIF6" s="622"/>
      <c r="VIG6" s="622"/>
      <c r="VIH6" s="622"/>
      <c r="VII6" s="622"/>
      <c r="VIJ6" s="622"/>
      <c r="VIK6" s="622"/>
      <c r="VIL6" s="622"/>
      <c r="VIM6" s="622"/>
      <c r="VIN6" s="622"/>
      <c r="VIO6" s="622"/>
      <c r="VIP6" s="622"/>
      <c r="VIQ6" s="622"/>
      <c r="VIR6" s="622"/>
      <c r="VIS6" s="622"/>
      <c r="VIT6" s="622"/>
      <c r="VIU6" s="622"/>
      <c r="VIV6" s="622"/>
      <c r="VIW6" s="622"/>
      <c r="VIX6" s="622"/>
      <c r="VIY6" s="622"/>
      <c r="VIZ6" s="622"/>
      <c r="VJA6" s="622"/>
      <c r="VJB6" s="622"/>
      <c r="VJC6" s="622"/>
      <c r="VJD6" s="622"/>
      <c r="VJE6" s="622"/>
      <c r="VJF6" s="622"/>
      <c r="VJG6" s="622"/>
      <c r="VJH6" s="622"/>
      <c r="VJI6" s="622"/>
      <c r="VJJ6" s="622"/>
      <c r="VJK6" s="622"/>
      <c r="VJL6" s="622"/>
      <c r="VJM6" s="622"/>
      <c r="VJN6" s="622"/>
      <c r="VJO6" s="622"/>
      <c r="VJP6" s="622"/>
      <c r="VJQ6" s="622"/>
      <c r="VJR6" s="622"/>
      <c r="VJS6" s="622"/>
      <c r="VJT6" s="622"/>
      <c r="VJU6" s="622"/>
      <c r="VJV6" s="622"/>
      <c r="VJW6" s="622"/>
      <c r="VJX6" s="622"/>
      <c r="VJY6" s="622"/>
      <c r="VJZ6" s="622"/>
      <c r="VKA6" s="622"/>
      <c r="VKB6" s="622"/>
      <c r="VKC6" s="622"/>
      <c r="VKD6" s="622"/>
      <c r="VKE6" s="622"/>
      <c r="VKF6" s="622"/>
      <c r="VKG6" s="622"/>
      <c r="VKH6" s="622"/>
      <c r="VKI6" s="622"/>
      <c r="VKJ6" s="622"/>
      <c r="VKK6" s="622"/>
      <c r="VKL6" s="622"/>
      <c r="VKM6" s="622"/>
      <c r="VKN6" s="622"/>
      <c r="VKO6" s="622"/>
      <c r="VKP6" s="622"/>
      <c r="VKQ6" s="622"/>
      <c r="VKR6" s="622"/>
      <c r="VKS6" s="622"/>
      <c r="VKT6" s="622"/>
      <c r="VKU6" s="622"/>
      <c r="VKV6" s="622"/>
      <c r="VKW6" s="622"/>
      <c r="VKX6" s="622"/>
      <c r="VKY6" s="622"/>
      <c r="VKZ6" s="622"/>
      <c r="VLA6" s="622"/>
      <c r="VLB6" s="622"/>
      <c r="VLC6" s="622"/>
      <c r="VLD6" s="622"/>
      <c r="VLE6" s="622"/>
      <c r="VLF6" s="622"/>
      <c r="VLG6" s="622"/>
      <c r="VLH6" s="622"/>
      <c r="VLI6" s="622"/>
      <c r="VLJ6" s="622"/>
      <c r="VLK6" s="622"/>
      <c r="VLL6" s="622"/>
      <c r="VLM6" s="622"/>
      <c r="VLN6" s="622"/>
      <c r="VLO6" s="622"/>
      <c r="VLP6" s="622"/>
      <c r="VLQ6" s="622"/>
      <c r="VLR6" s="622"/>
      <c r="VLS6" s="622"/>
      <c r="VLT6" s="622"/>
      <c r="VLU6" s="622"/>
      <c r="VLV6" s="622"/>
      <c r="VLW6" s="622"/>
      <c r="VLX6" s="622"/>
      <c r="VLY6" s="622"/>
      <c r="VLZ6" s="622"/>
      <c r="VMA6" s="622"/>
      <c r="VMB6" s="622"/>
      <c r="VMC6" s="622"/>
      <c r="VMD6" s="622"/>
      <c r="VME6" s="622"/>
      <c r="VMF6" s="622"/>
      <c r="VMG6" s="622"/>
      <c r="VMH6" s="622"/>
      <c r="VMI6" s="622"/>
      <c r="VMJ6" s="622"/>
      <c r="VMK6" s="622"/>
      <c r="VML6" s="622"/>
      <c r="VMM6" s="622"/>
      <c r="VMN6" s="622"/>
      <c r="VMO6" s="622"/>
      <c r="VMP6" s="622"/>
      <c r="VMQ6" s="622"/>
      <c r="VMR6" s="622"/>
      <c r="VMS6" s="622"/>
      <c r="VMT6" s="622"/>
      <c r="VMU6" s="622"/>
      <c r="VMV6" s="622"/>
      <c r="VMW6" s="622"/>
      <c r="VMX6" s="622"/>
      <c r="VMY6" s="622"/>
      <c r="VMZ6" s="622"/>
      <c r="VNA6" s="622"/>
      <c r="VNB6" s="622"/>
      <c r="VNC6" s="622"/>
      <c r="VND6" s="622"/>
      <c r="VNE6" s="622"/>
      <c r="VNF6" s="622"/>
      <c r="VNG6" s="622"/>
      <c r="VNH6" s="622"/>
      <c r="VNI6" s="622"/>
      <c r="VNJ6" s="622"/>
      <c r="VNK6" s="622"/>
      <c r="VNL6" s="622"/>
      <c r="VNM6" s="622"/>
      <c r="VNN6" s="622"/>
      <c r="VNO6" s="622"/>
      <c r="VNP6" s="622"/>
      <c r="VNQ6" s="622"/>
      <c r="VNR6" s="622"/>
      <c r="VNS6" s="622"/>
      <c r="VNT6" s="622"/>
      <c r="VNU6" s="622"/>
      <c r="VNV6" s="622"/>
      <c r="VNW6" s="622"/>
      <c r="VNX6" s="622"/>
      <c r="VNY6" s="622"/>
      <c r="VNZ6" s="622"/>
      <c r="VOA6" s="622"/>
      <c r="VOB6" s="622"/>
      <c r="VOC6" s="622"/>
      <c r="VOD6" s="622"/>
      <c r="VOE6" s="622"/>
      <c r="VOF6" s="622"/>
      <c r="VOG6" s="622"/>
      <c r="VOH6" s="622"/>
      <c r="VOI6" s="622"/>
      <c r="VOJ6" s="622"/>
      <c r="VOK6" s="622"/>
      <c r="VOL6" s="622"/>
      <c r="VOM6" s="622"/>
      <c r="VON6" s="622"/>
      <c r="VOO6" s="622"/>
      <c r="VOP6" s="622"/>
      <c r="VOQ6" s="622"/>
      <c r="VOR6" s="622"/>
      <c r="VOS6" s="622"/>
      <c r="VOT6" s="622"/>
      <c r="VOU6" s="622"/>
      <c r="VOV6" s="622"/>
      <c r="VOW6" s="622"/>
      <c r="VOX6" s="622"/>
      <c r="VOY6" s="622"/>
      <c r="VOZ6" s="622"/>
      <c r="VPA6" s="622"/>
      <c r="VPB6" s="622"/>
      <c r="VPC6" s="622"/>
      <c r="VPD6" s="622"/>
      <c r="VPE6" s="622"/>
      <c r="VPF6" s="622"/>
      <c r="VPG6" s="622"/>
      <c r="VPH6" s="622"/>
      <c r="VPI6" s="622"/>
      <c r="VPJ6" s="622"/>
      <c r="VPK6" s="622"/>
      <c r="VPL6" s="622"/>
      <c r="VPM6" s="622"/>
      <c r="VPN6" s="622"/>
      <c r="VPO6" s="622"/>
      <c r="VPP6" s="622"/>
      <c r="VPQ6" s="622"/>
      <c r="VPR6" s="622"/>
      <c r="VPS6" s="622"/>
      <c r="VPT6" s="622"/>
      <c r="VPU6" s="622"/>
      <c r="VPV6" s="622"/>
      <c r="VPW6" s="622"/>
      <c r="VPX6" s="622"/>
      <c r="VPY6" s="622"/>
      <c r="VPZ6" s="622"/>
      <c r="VQA6" s="622"/>
      <c r="VQB6" s="622"/>
      <c r="VQC6" s="622"/>
      <c r="VQD6" s="622"/>
      <c r="VQE6" s="622"/>
      <c r="VQF6" s="622"/>
      <c r="VQG6" s="622"/>
      <c r="VQH6" s="622"/>
      <c r="VQI6" s="622"/>
      <c r="VQJ6" s="622"/>
      <c r="VQK6" s="622"/>
      <c r="VQL6" s="622"/>
      <c r="VQM6" s="622"/>
      <c r="VQN6" s="622"/>
      <c r="VQO6" s="622"/>
      <c r="VQP6" s="622"/>
      <c r="VQQ6" s="622"/>
      <c r="VQR6" s="622"/>
      <c r="VQS6" s="622"/>
      <c r="VQT6" s="622"/>
      <c r="VQU6" s="622"/>
      <c r="VQV6" s="622"/>
      <c r="VQW6" s="622"/>
      <c r="VQX6" s="622"/>
      <c r="VQY6" s="622"/>
      <c r="VQZ6" s="622"/>
      <c r="VRA6" s="622"/>
      <c r="VRB6" s="622"/>
      <c r="VRC6" s="622"/>
      <c r="VRD6" s="622"/>
      <c r="VRE6" s="622"/>
      <c r="VRF6" s="622"/>
      <c r="VRG6" s="622"/>
      <c r="VRH6" s="622"/>
      <c r="VRI6" s="622"/>
      <c r="VRJ6" s="622"/>
      <c r="VRK6" s="622"/>
      <c r="VRL6" s="622"/>
      <c r="VRM6" s="622"/>
      <c r="VRN6" s="622"/>
      <c r="VRO6" s="622"/>
      <c r="VRP6" s="622"/>
      <c r="VRQ6" s="622"/>
      <c r="VRR6" s="622"/>
      <c r="VRS6" s="622"/>
      <c r="VRT6" s="622"/>
      <c r="VRU6" s="622"/>
      <c r="VRV6" s="622"/>
      <c r="VRW6" s="622"/>
      <c r="VRX6" s="622"/>
      <c r="VRY6" s="622"/>
      <c r="VRZ6" s="622"/>
      <c r="VSA6" s="622"/>
      <c r="VSB6" s="622"/>
      <c r="VSC6" s="622"/>
      <c r="VSD6" s="622"/>
      <c r="VSE6" s="622"/>
      <c r="VSF6" s="622"/>
      <c r="VSG6" s="622"/>
      <c r="VSH6" s="622"/>
      <c r="VSI6" s="622"/>
      <c r="VSJ6" s="622"/>
      <c r="VSK6" s="622"/>
      <c r="VSL6" s="622"/>
      <c r="VSM6" s="622"/>
      <c r="VSN6" s="622"/>
      <c r="VSO6" s="622"/>
      <c r="VSP6" s="622"/>
      <c r="VSQ6" s="622"/>
      <c r="VSR6" s="622"/>
      <c r="VSS6" s="622"/>
      <c r="VST6" s="622"/>
      <c r="VSU6" s="622"/>
      <c r="VSV6" s="622"/>
      <c r="VSW6" s="622"/>
      <c r="VSX6" s="622"/>
      <c r="VSY6" s="622"/>
      <c r="VSZ6" s="622"/>
      <c r="VTA6" s="622"/>
      <c r="VTB6" s="622"/>
      <c r="VTC6" s="622"/>
      <c r="VTD6" s="622"/>
      <c r="VTE6" s="622"/>
      <c r="VTF6" s="622"/>
      <c r="VTG6" s="622"/>
      <c r="VTH6" s="622"/>
      <c r="VTI6" s="622"/>
      <c r="VTJ6" s="622"/>
      <c r="VTK6" s="622"/>
      <c r="VTL6" s="622"/>
      <c r="VTM6" s="622"/>
      <c r="VTN6" s="622"/>
      <c r="VTO6" s="622"/>
      <c r="VTP6" s="622"/>
      <c r="VTQ6" s="622"/>
      <c r="VTR6" s="622"/>
      <c r="VTS6" s="622"/>
      <c r="VTT6" s="622"/>
      <c r="VTU6" s="622"/>
      <c r="VTV6" s="622"/>
      <c r="VTW6" s="622"/>
      <c r="VTX6" s="622"/>
      <c r="VTY6" s="622"/>
      <c r="VTZ6" s="622"/>
      <c r="VUA6" s="622"/>
      <c r="VUB6" s="622"/>
      <c r="VUC6" s="622"/>
      <c r="VUD6" s="622"/>
      <c r="VUE6" s="622"/>
      <c r="VUF6" s="622"/>
      <c r="VUG6" s="622"/>
      <c r="VUH6" s="622"/>
      <c r="VUI6" s="622"/>
      <c r="VUJ6" s="622"/>
      <c r="VUK6" s="622"/>
      <c r="VUL6" s="622"/>
      <c r="VUM6" s="622"/>
      <c r="VUN6" s="622"/>
      <c r="VUO6" s="622"/>
      <c r="VUP6" s="622"/>
      <c r="VUQ6" s="622"/>
      <c r="VUR6" s="622"/>
      <c r="VUS6" s="622"/>
      <c r="VUT6" s="622"/>
      <c r="VUU6" s="622"/>
      <c r="VUV6" s="622"/>
      <c r="VUW6" s="622"/>
      <c r="VUX6" s="622"/>
      <c r="VUY6" s="622"/>
      <c r="VUZ6" s="622"/>
      <c r="VVA6" s="622"/>
      <c r="VVB6" s="622"/>
      <c r="VVC6" s="622"/>
      <c r="VVD6" s="622"/>
      <c r="VVE6" s="622"/>
      <c r="VVF6" s="622"/>
      <c r="VVG6" s="622"/>
      <c r="VVH6" s="622"/>
      <c r="VVI6" s="622"/>
      <c r="VVJ6" s="622"/>
      <c r="VVK6" s="622"/>
      <c r="VVL6" s="622"/>
      <c r="VVM6" s="622"/>
      <c r="VVN6" s="622"/>
      <c r="VVO6" s="622"/>
      <c r="VVP6" s="622"/>
      <c r="VVQ6" s="622"/>
      <c r="VVR6" s="622"/>
      <c r="VVS6" s="622"/>
      <c r="VVT6" s="622"/>
      <c r="VVU6" s="622"/>
      <c r="VVV6" s="622"/>
      <c r="VVW6" s="622"/>
      <c r="VVX6" s="622"/>
      <c r="VVY6" s="622"/>
      <c r="VVZ6" s="622"/>
      <c r="VWA6" s="622"/>
      <c r="VWB6" s="622"/>
      <c r="VWC6" s="622"/>
      <c r="VWD6" s="622"/>
      <c r="VWE6" s="622"/>
      <c r="VWF6" s="622"/>
      <c r="VWG6" s="622"/>
      <c r="VWH6" s="622"/>
      <c r="VWI6" s="622"/>
      <c r="VWJ6" s="622"/>
      <c r="VWK6" s="622"/>
      <c r="VWL6" s="622"/>
      <c r="VWM6" s="622"/>
      <c r="VWN6" s="622"/>
      <c r="VWO6" s="622"/>
      <c r="VWP6" s="622"/>
      <c r="VWQ6" s="622"/>
      <c r="VWR6" s="622"/>
      <c r="VWS6" s="622"/>
      <c r="VWT6" s="622"/>
      <c r="VWU6" s="622"/>
      <c r="VWV6" s="622"/>
      <c r="VWW6" s="622"/>
      <c r="VWX6" s="622"/>
      <c r="VWY6" s="622"/>
      <c r="VWZ6" s="622"/>
      <c r="VXA6" s="622"/>
      <c r="VXB6" s="622"/>
      <c r="VXC6" s="622"/>
      <c r="VXD6" s="622"/>
      <c r="VXE6" s="622"/>
      <c r="VXF6" s="622"/>
      <c r="VXG6" s="622"/>
      <c r="VXH6" s="622"/>
      <c r="VXI6" s="622"/>
      <c r="VXJ6" s="622"/>
      <c r="VXK6" s="622"/>
      <c r="VXL6" s="622"/>
      <c r="VXM6" s="622"/>
      <c r="VXN6" s="622"/>
      <c r="VXO6" s="622"/>
      <c r="VXP6" s="622"/>
      <c r="VXQ6" s="622"/>
      <c r="VXR6" s="622"/>
      <c r="VXS6" s="622"/>
      <c r="VXT6" s="622"/>
      <c r="VXU6" s="622"/>
      <c r="VXV6" s="622"/>
      <c r="VXW6" s="622"/>
      <c r="VXX6" s="622"/>
      <c r="VXY6" s="622"/>
      <c r="VXZ6" s="622"/>
      <c r="VYA6" s="622"/>
      <c r="VYB6" s="622"/>
      <c r="VYC6" s="622"/>
      <c r="VYD6" s="622"/>
      <c r="VYE6" s="622"/>
      <c r="VYF6" s="622"/>
      <c r="VYG6" s="622"/>
      <c r="VYH6" s="622"/>
      <c r="VYI6" s="622"/>
      <c r="VYJ6" s="622"/>
      <c r="VYK6" s="622"/>
      <c r="VYL6" s="622"/>
      <c r="VYM6" s="622"/>
      <c r="VYN6" s="622"/>
      <c r="VYO6" s="622"/>
      <c r="VYP6" s="622"/>
      <c r="VYQ6" s="622"/>
      <c r="VYR6" s="622"/>
      <c r="VYS6" s="622"/>
      <c r="VYT6" s="622"/>
      <c r="VYU6" s="622"/>
      <c r="VYV6" s="622"/>
      <c r="VYW6" s="622"/>
      <c r="VYX6" s="622"/>
      <c r="VYY6" s="622"/>
      <c r="VYZ6" s="622"/>
      <c r="VZA6" s="622"/>
      <c r="VZB6" s="622"/>
      <c r="VZC6" s="622"/>
      <c r="VZD6" s="622"/>
      <c r="VZE6" s="622"/>
      <c r="VZF6" s="622"/>
      <c r="VZG6" s="622"/>
      <c r="VZH6" s="622"/>
      <c r="VZI6" s="622"/>
      <c r="VZJ6" s="622"/>
      <c r="VZK6" s="622"/>
      <c r="VZL6" s="622"/>
      <c r="VZM6" s="622"/>
      <c r="VZN6" s="622"/>
      <c r="VZO6" s="622"/>
      <c r="VZP6" s="622"/>
      <c r="VZQ6" s="622"/>
      <c r="VZR6" s="622"/>
      <c r="VZS6" s="622"/>
      <c r="VZT6" s="622"/>
      <c r="VZU6" s="622"/>
      <c r="VZV6" s="622"/>
      <c r="VZW6" s="622"/>
      <c r="VZX6" s="622"/>
      <c r="VZY6" s="622"/>
      <c r="VZZ6" s="622"/>
      <c r="WAA6" s="622"/>
      <c r="WAB6" s="622"/>
      <c r="WAC6" s="622"/>
      <c r="WAD6" s="622"/>
      <c r="WAE6" s="622"/>
      <c r="WAF6" s="622"/>
      <c r="WAG6" s="622"/>
      <c r="WAH6" s="622"/>
      <c r="WAI6" s="622"/>
      <c r="WAJ6" s="622"/>
      <c r="WAK6" s="622"/>
      <c r="WAL6" s="622"/>
      <c r="WAM6" s="622"/>
      <c r="WAN6" s="622"/>
      <c r="WAO6" s="622"/>
      <c r="WAP6" s="622"/>
      <c r="WAQ6" s="622"/>
      <c r="WAR6" s="622"/>
      <c r="WAS6" s="622"/>
      <c r="WAT6" s="622"/>
      <c r="WAU6" s="622"/>
      <c r="WAV6" s="622"/>
      <c r="WAW6" s="622"/>
      <c r="WAX6" s="622"/>
      <c r="WAY6" s="622"/>
      <c r="WAZ6" s="622"/>
      <c r="WBA6" s="622"/>
      <c r="WBB6" s="622"/>
      <c r="WBC6" s="622"/>
      <c r="WBD6" s="622"/>
      <c r="WBE6" s="622"/>
      <c r="WBF6" s="622"/>
      <c r="WBG6" s="622"/>
      <c r="WBH6" s="622"/>
      <c r="WBI6" s="622"/>
      <c r="WBJ6" s="622"/>
      <c r="WBK6" s="622"/>
      <c r="WBL6" s="622"/>
      <c r="WBM6" s="622"/>
      <c r="WBN6" s="622"/>
      <c r="WBO6" s="622"/>
      <c r="WBP6" s="622"/>
      <c r="WBQ6" s="622"/>
      <c r="WBR6" s="622"/>
      <c r="WBS6" s="622"/>
      <c r="WBT6" s="622"/>
      <c r="WBU6" s="622"/>
      <c r="WBV6" s="622"/>
      <c r="WBW6" s="622"/>
      <c r="WBX6" s="622"/>
      <c r="WBY6" s="622"/>
      <c r="WBZ6" s="622"/>
      <c r="WCA6" s="622"/>
      <c r="WCB6" s="622"/>
      <c r="WCC6" s="622"/>
      <c r="WCD6" s="622"/>
      <c r="WCE6" s="622"/>
      <c r="WCF6" s="622"/>
      <c r="WCG6" s="622"/>
      <c r="WCH6" s="622"/>
      <c r="WCI6" s="622"/>
      <c r="WCJ6" s="622"/>
      <c r="WCK6" s="622"/>
      <c r="WCL6" s="622"/>
      <c r="WCM6" s="622"/>
      <c r="WCN6" s="622"/>
      <c r="WCO6" s="622"/>
      <c r="WCP6" s="622"/>
      <c r="WCQ6" s="622"/>
      <c r="WCR6" s="622"/>
      <c r="WCS6" s="622"/>
      <c r="WCT6" s="622"/>
      <c r="WCU6" s="622"/>
      <c r="WCV6" s="622"/>
      <c r="WCW6" s="622"/>
      <c r="WCX6" s="622"/>
      <c r="WCY6" s="622"/>
      <c r="WCZ6" s="622"/>
      <c r="WDA6" s="622"/>
      <c r="WDB6" s="622"/>
      <c r="WDC6" s="622"/>
      <c r="WDD6" s="622"/>
      <c r="WDE6" s="622"/>
      <c r="WDF6" s="622"/>
      <c r="WDG6" s="622"/>
      <c r="WDH6" s="622"/>
      <c r="WDI6" s="622"/>
      <c r="WDJ6" s="622"/>
      <c r="WDK6" s="622"/>
      <c r="WDL6" s="622"/>
      <c r="WDM6" s="622"/>
      <c r="WDN6" s="622"/>
      <c r="WDO6" s="622"/>
      <c r="WDP6" s="622"/>
      <c r="WDQ6" s="622"/>
      <c r="WDR6" s="622"/>
      <c r="WDS6" s="622"/>
      <c r="WDT6" s="622"/>
      <c r="WDU6" s="622"/>
      <c r="WDV6" s="622"/>
      <c r="WDW6" s="622"/>
      <c r="WDX6" s="622"/>
      <c r="WDY6" s="622"/>
      <c r="WDZ6" s="622"/>
      <c r="WEA6" s="622"/>
      <c r="WEB6" s="622"/>
      <c r="WEC6" s="622"/>
      <c r="WED6" s="622"/>
      <c r="WEE6" s="622"/>
      <c r="WEF6" s="622"/>
      <c r="WEG6" s="622"/>
      <c r="WEH6" s="622"/>
      <c r="WEI6" s="622"/>
      <c r="WEJ6" s="622"/>
      <c r="WEK6" s="622"/>
      <c r="WEL6" s="622"/>
      <c r="WEM6" s="622"/>
      <c r="WEN6" s="622"/>
      <c r="WEO6" s="622"/>
      <c r="WEP6" s="622"/>
      <c r="WEQ6" s="622"/>
      <c r="WER6" s="622"/>
      <c r="WES6" s="622"/>
      <c r="WET6" s="622"/>
      <c r="WEU6" s="622"/>
      <c r="WEV6" s="622"/>
      <c r="WEW6" s="622"/>
      <c r="WEX6" s="622"/>
      <c r="WEY6" s="622"/>
      <c r="WEZ6" s="622"/>
      <c r="WFA6" s="622"/>
      <c r="WFB6" s="622"/>
      <c r="WFC6" s="622"/>
      <c r="WFD6" s="622"/>
      <c r="WFE6" s="622"/>
      <c r="WFF6" s="622"/>
      <c r="WFG6" s="622"/>
      <c r="WFH6" s="622"/>
      <c r="WFI6" s="622"/>
      <c r="WFJ6" s="622"/>
      <c r="WFK6" s="622"/>
      <c r="WFL6" s="622"/>
      <c r="WFM6" s="622"/>
      <c r="WFN6" s="622"/>
      <c r="WFO6" s="622"/>
      <c r="WFP6" s="622"/>
      <c r="WFQ6" s="622"/>
      <c r="WFR6" s="622"/>
      <c r="WFS6" s="622"/>
      <c r="WFT6" s="622"/>
      <c r="WFU6" s="622"/>
      <c r="WFV6" s="622"/>
      <c r="WFW6" s="622"/>
      <c r="WFX6" s="622"/>
      <c r="WFY6" s="622"/>
      <c r="WFZ6" s="622"/>
      <c r="WGA6" s="622"/>
      <c r="WGB6" s="622"/>
      <c r="WGC6" s="622"/>
      <c r="WGD6" s="622"/>
      <c r="WGE6" s="622"/>
      <c r="WGF6" s="622"/>
      <c r="WGG6" s="622"/>
      <c r="WGH6" s="622"/>
      <c r="WGI6" s="622"/>
      <c r="WGJ6" s="622"/>
      <c r="WGK6" s="622"/>
      <c r="WGL6" s="622"/>
      <c r="WGM6" s="622"/>
      <c r="WGN6" s="622"/>
      <c r="WGO6" s="622"/>
      <c r="WGP6" s="622"/>
      <c r="WGQ6" s="622"/>
      <c r="WGR6" s="622"/>
      <c r="WGS6" s="622"/>
      <c r="WGT6" s="622"/>
      <c r="WGU6" s="622"/>
      <c r="WGV6" s="622"/>
      <c r="WGW6" s="622"/>
      <c r="WGX6" s="622"/>
      <c r="WGY6" s="622"/>
      <c r="WGZ6" s="622"/>
      <c r="WHA6" s="622"/>
      <c r="WHB6" s="622"/>
      <c r="WHC6" s="622"/>
      <c r="WHD6" s="622"/>
      <c r="WHE6" s="622"/>
      <c r="WHF6" s="622"/>
      <c r="WHG6" s="622"/>
      <c r="WHH6" s="622"/>
      <c r="WHI6" s="622"/>
      <c r="WHJ6" s="622"/>
      <c r="WHK6" s="622"/>
      <c r="WHL6" s="622"/>
      <c r="WHM6" s="622"/>
      <c r="WHN6" s="622"/>
      <c r="WHO6" s="622"/>
      <c r="WHP6" s="622"/>
      <c r="WHQ6" s="622"/>
      <c r="WHR6" s="622"/>
      <c r="WHS6" s="622"/>
      <c r="WHT6" s="622"/>
      <c r="WHU6" s="622"/>
      <c r="WHV6" s="622"/>
      <c r="WHW6" s="622"/>
      <c r="WHX6" s="622"/>
      <c r="WHY6" s="622"/>
      <c r="WHZ6" s="622"/>
      <c r="WIA6" s="622"/>
      <c r="WIB6" s="622"/>
      <c r="WIC6" s="622"/>
      <c r="WID6" s="622"/>
      <c r="WIE6" s="622"/>
      <c r="WIF6" s="622"/>
      <c r="WIG6" s="622"/>
      <c r="WIH6" s="622"/>
      <c r="WII6" s="622"/>
      <c r="WIJ6" s="622"/>
      <c r="WIK6" s="622"/>
      <c r="WIL6" s="622"/>
      <c r="WIM6" s="622"/>
      <c r="WIN6" s="622"/>
      <c r="WIO6" s="622"/>
      <c r="WIP6" s="622"/>
      <c r="WIQ6" s="622"/>
      <c r="WIR6" s="622"/>
      <c r="WIS6" s="622"/>
      <c r="WIT6" s="622"/>
      <c r="WIU6" s="622"/>
      <c r="WIV6" s="622"/>
      <c r="WIW6" s="622"/>
      <c r="WIX6" s="622"/>
      <c r="WIY6" s="622"/>
      <c r="WIZ6" s="622"/>
      <c r="WJA6" s="622"/>
      <c r="WJB6" s="622"/>
      <c r="WJC6" s="622"/>
      <c r="WJD6" s="622"/>
      <c r="WJE6" s="622"/>
      <c r="WJF6" s="622"/>
      <c r="WJG6" s="622"/>
      <c r="WJH6" s="622"/>
      <c r="WJI6" s="622"/>
      <c r="WJJ6" s="622"/>
      <c r="WJK6" s="622"/>
      <c r="WJL6" s="622"/>
      <c r="WJM6" s="622"/>
      <c r="WJN6" s="622"/>
      <c r="WJO6" s="622"/>
      <c r="WJP6" s="622"/>
      <c r="WJQ6" s="622"/>
      <c r="WJR6" s="622"/>
      <c r="WJS6" s="622"/>
      <c r="WJT6" s="622"/>
      <c r="WJU6" s="622"/>
      <c r="WJV6" s="622"/>
      <c r="WJW6" s="622"/>
      <c r="WJX6" s="622"/>
      <c r="WJY6" s="622"/>
      <c r="WJZ6" s="622"/>
      <c r="WKA6" s="622"/>
      <c r="WKB6" s="622"/>
      <c r="WKC6" s="622"/>
      <c r="WKD6" s="622"/>
      <c r="WKE6" s="622"/>
      <c r="WKF6" s="622"/>
      <c r="WKG6" s="622"/>
      <c r="WKH6" s="622"/>
      <c r="WKI6" s="622"/>
      <c r="WKJ6" s="622"/>
      <c r="WKK6" s="622"/>
      <c r="WKL6" s="622"/>
      <c r="WKM6" s="622"/>
      <c r="WKN6" s="622"/>
      <c r="WKO6" s="622"/>
      <c r="WKP6" s="622"/>
      <c r="WKQ6" s="622"/>
      <c r="WKR6" s="622"/>
      <c r="WKS6" s="622"/>
      <c r="WKT6" s="622"/>
      <c r="WKU6" s="622"/>
      <c r="WKV6" s="622"/>
      <c r="WKW6" s="622"/>
      <c r="WKX6" s="622"/>
      <c r="WKY6" s="622"/>
      <c r="WKZ6" s="622"/>
      <c r="WLA6" s="622"/>
      <c r="WLB6" s="622"/>
      <c r="WLC6" s="622"/>
      <c r="WLD6" s="622"/>
      <c r="WLE6" s="622"/>
      <c r="WLF6" s="622"/>
      <c r="WLG6" s="622"/>
      <c r="WLH6" s="622"/>
      <c r="WLI6" s="622"/>
      <c r="WLJ6" s="622"/>
      <c r="WLK6" s="622"/>
      <c r="WLL6" s="622"/>
      <c r="WLM6" s="622"/>
      <c r="WLN6" s="622"/>
      <c r="WLO6" s="622"/>
      <c r="WLP6" s="622"/>
      <c r="WLQ6" s="622"/>
      <c r="WLR6" s="622"/>
      <c r="WLS6" s="622"/>
      <c r="WLT6" s="622"/>
      <c r="WLU6" s="622"/>
      <c r="WLV6" s="622"/>
      <c r="WLW6" s="622"/>
      <c r="WLX6" s="622"/>
      <c r="WLY6" s="622"/>
      <c r="WLZ6" s="622"/>
      <c r="WMA6" s="622"/>
      <c r="WMB6" s="622"/>
      <c r="WMC6" s="622"/>
      <c r="WMD6" s="622"/>
      <c r="WME6" s="622"/>
      <c r="WMF6" s="622"/>
      <c r="WMG6" s="622"/>
      <c r="WMH6" s="622"/>
      <c r="WMI6" s="622"/>
      <c r="WMJ6" s="622"/>
      <c r="WMK6" s="622"/>
      <c r="WML6" s="622"/>
      <c r="WMM6" s="622"/>
      <c r="WMN6" s="622"/>
      <c r="WMO6" s="622"/>
      <c r="WMP6" s="622"/>
      <c r="WMQ6" s="622"/>
      <c r="WMR6" s="622"/>
      <c r="WMS6" s="622"/>
      <c r="WMT6" s="622"/>
      <c r="WMU6" s="622"/>
      <c r="WMV6" s="622"/>
      <c r="WMW6" s="622"/>
      <c r="WMX6" s="622"/>
      <c r="WMY6" s="622"/>
      <c r="WMZ6" s="622"/>
      <c r="WNA6" s="622"/>
      <c r="WNB6" s="622"/>
      <c r="WNC6" s="622"/>
      <c r="WND6" s="622"/>
      <c r="WNE6" s="622"/>
      <c r="WNF6" s="622"/>
      <c r="WNG6" s="622"/>
      <c r="WNH6" s="622"/>
      <c r="WNI6" s="622"/>
      <c r="WNJ6" s="622"/>
      <c r="WNK6" s="622"/>
      <c r="WNL6" s="622"/>
      <c r="WNM6" s="622"/>
      <c r="WNN6" s="622"/>
      <c r="WNO6" s="622"/>
      <c r="WNP6" s="622"/>
      <c r="WNQ6" s="622"/>
      <c r="WNR6" s="622"/>
      <c r="WNS6" s="622"/>
      <c r="WNT6" s="622"/>
      <c r="WNU6" s="622"/>
      <c r="WNV6" s="622"/>
      <c r="WNW6" s="622"/>
      <c r="WNX6" s="622"/>
      <c r="WNY6" s="622"/>
      <c r="WNZ6" s="622"/>
      <c r="WOA6" s="622"/>
      <c r="WOB6" s="622"/>
      <c r="WOC6" s="622"/>
      <c r="WOD6" s="622"/>
      <c r="WOE6" s="622"/>
      <c r="WOF6" s="622"/>
      <c r="WOG6" s="622"/>
      <c r="WOH6" s="622"/>
      <c r="WOI6" s="622"/>
      <c r="WOJ6" s="622"/>
      <c r="WOK6" s="622"/>
      <c r="WOL6" s="622"/>
      <c r="WOM6" s="622"/>
      <c r="WON6" s="622"/>
      <c r="WOO6" s="622"/>
      <c r="WOP6" s="622"/>
      <c r="WOQ6" s="622"/>
      <c r="WOR6" s="622"/>
      <c r="WOS6" s="622"/>
      <c r="WOT6" s="622"/>
      <c r="WOU6" s="622"/>
      <c r="WOV6" s="622"/>
      <c r="WOW6" s="622"/>
      <c r="WOX6" s="622"/>
      <c r="WOY6" s="622"/>
      <c r="WOZ6" s="622"/>
      <c r="WPA6" s="622"/>
      <c r="WPB6" s="622"/>
      <c r="WPC6" s="622"/>
      <c r="WPD6" s="622"/>
      <c r="WPE6" s="622"/>
      <c r="WPF6" s="622"/>
      <c r="WPG6" s="622"/>
      <c r="WPH6" s="622"/>
      <c r="WPI6" s="622"/>
      <c r="WPJ6" s="622"/>
      <c r="WPK6" s="622"/>
      <c r="WPL6" s="622"/>
      <c r="WPM6" s="622"/>
      <c r="WPN6" s="622"/>
      <c r="WPO6" s="622"/>
      <c r="WPP6" s="622"/>
      <c r="WPQ6" s="622"/>
      <c r="WPR6" s="622"/>
      <c r="WPS6" s="622"/>
      <c r="WPT6" s="622"/>
      <c r="WPU6" s="622"/>
      <c r="WPV6" s="622"/>
      <c r="WPW6" s="622"/>
      <c r="WPX6" s="622"/>
      <c r="WPY6" s="622"/>
      <c r="WPZ6" s="622"/>
      <c r="WQA6" s="622"/>
      <c r="WQB6" s="622"/>
      <c r="WQC6" s="622"/>
      <c r="WQD6" s="622"/>
      <c r="WQE6" s="622"/>
      <c r="WQF6" s="622"/>
      <c r="WQG6" s="622"/>
      <c r="WQH6" s="622"/>
      <c r="WQI6" s="622"/>
      <c r="WQJ6" s="622"/>
      <c r="WQK6" s="622"/>
      <c r="WQL6" s="622"/>
      <c r="WQM6" s="622"/>
      <c r="WQN6" s="622"/>
      <c r="WQO6" s="622"/>
      <c r="WQP6" s="622"/>
      <c r="WQQ6" s="622"/>
      <c r="WQR6" s="622"/>
      <c r="WQS6" s="622"/>
      <c r="WQT6" s="622"/>
      <c r="WQU6" s="622"/>
      <c r="WQV6" s="622"/>
      <c r="WQW6" s="622"/>
      <c r="WQX6" s="622"/>
      <c r="WQY6" s="622"/>
      <c r="WQZ6" s="622"/>
      <c r="WRA6" s="622"/>
      <c r="WRB6" s="622"/>
      <c r="WRC6" s="622"/>
      <c r="WRD6" s="622"/>
      <c r="WRE6" s="622"/>
      <c r="WRF6" s="622"/>
      <c r="WRG6" s="622"/>
      <c r="WRH6" s="622"/>
      <c r="WRI6" s="622"/>
      <c r="WRJ6" s="622"/>
      <c r="WRK6" s="622"/>
      <c r="WRL6" s="622"/>
      <c r="WRM6" s="622"/>
      <c r="WRN6" s="622"/>
      <c r="WRO6" s="622"/>
      <c r="WRP6" s="622"/>
      <c r="WRQ6" s="622"/>
      <c r="WRR6" s="622"/>
      <c r="WRS6" s="622"/>
      <c r="WRT6" s="622"/>
      <c r="WRU6" s="622"/>
      <c r="WRV6" s="622"/>
      <c r="WRW6" s="622"/>
      <c r="WRX6" s="622"/>
      <c r="WRY6" s="622"/>
      <c r="WRZ6" s="622"/>
      <c r="WSA6" s="622"/>
      <c r="WSB6" s="622"/>
      <c r="WSC6" s="622"/>
      <c r="WSD6" s="622"/>
      <c r="WSE6" s="622"/>
      <c r="WSF6" s="622"/>
      <c r="WSG6" s="622"/>
      <c r="WSH6" s="622"/>
      <c r="WSI6" s="622"/>
      <c r="WSJ6" s="622"/>
      <c r="WSK6" s="622"/>
      <c r="WSL6" s="622"/>
      <c r="WSM6" s="622"/>
      <c r="WSN6" s="622"/>
      <c r="WSO6" s="622"/>
      <c r="WSP6" s="622"/>
      <c r="WSQ6" s="622"/>
      <c r="WSR6" s="622"/>
      <c r="WSS6" s="622"/>
      <c r="WST6" s="622"/>
      <c r="WSU6" s="622"/>
      <c r="WSV6" s="622"/>
      <c r="WSW6" s="622"/>
      <c r="WSX6" s="622"/>
      <c r="WSY6" s="622"/>
      <c r="WSZ6" s="622"/>
      <c r="WTA6" s="622"/>
      <c r="WTB6" s="622"/>
      <c r="WTC6" s="622"/>
      <c r="WTD6" s="622"/>
      <c r="WTE6" s="622"/>
      <c r="WTF6" s="622"/>
      <c r="WTG6" s="622"/>
      <c r="WTH6" s="622"/>
      <c r="WTI6" s="622"/>
      <c r="WTJ6" s="622"/>
      <c r="WTK6" s="622"/>
      <c r="WTL6" s="622"/>
      <c r="WTM6" s="622"/>
      <c r="WTN6" s="622"/>
      <c r="WTO6" s="622"/>
      <c r="WTP6" s="622"/>
      <c r="WTQ6" s="622"/>
      <c r="WTR6" s="622"/>
      <c r="WTS6" s="622"/>
      <c r="WTT6" s="622"/>
      <c r="WTU6" s="622"/>
      <c r="WTV6" s="622"/>
      <c r="WTW6" s="622"/>
      <c r="WTX6" s="622"/>
      <c r="WTY6" s="622"/>
      <c r="WTZ6" s="622"/>
      <c r="WUA6" s="622"/>
      <c r="WUB6" s="622"/>
      <c r="WUC6" s="622"/>
      <c r="WUD6" s="622"/>
      <c r="WUE6" s="622"/>
      <c r="WUF6" s="622"/>
      <c r="WUG6" s="622"/>
      <c r="WUH6" s="622"/>
      <c r="WUI6" s="622"/>
      <c r="WUJ6" s="622"/>
      <c r="WUK6" s="622"/>
      <c r="WUL6" s="622"/>
      <c r="WUM6" s="622"/>
      <c r="WUN6" s="622"/>
      <c r="WUO6" s="622"/>
      <c r="WUP6" s="622"/>
      <c r="WUQ6" s="622"/>
      <c r="WUR6" s="622"/>
      <c r="WUS6" s="622"/>
      <c r="WUT6" s="622"/>
      <c r="WUU6" s="622"/>
      <c r="WUV6" s="622"/>
      <c r="WUW6" s="622"/>
      <c r="WUX6" s="622"/>
      <c r="WUY6" s="622"/>
      <c r="WUZ6" s="622"/>
      <c r="WVA6" s="622"/>
      <c r="WVB6" s="622"/>
      <c r="WVC6" s="622"/>
      <c r="WVD6" s="622"/>
      <c r="WVE6" s="622"/>
      <c r="WVF6" s="622"/>
      <c r="WVG6" s="622"/>
      <c r="WVH6" s="622"/>
      <c r="WVI6" s="622"/>
      <c r="WVJ6" s="622"/>
      <c r="WVK6" s="622"/>
      <c r="WVL6" s="622"/>
      <c r="WVM6" s="622"/>
      <c r="WVN6" s="622"/>
      <c r="WVO6" s="622"/>
      <c r="WVP6" s="622"/>
      <c r="WVQ6" s="622"/>
      <c r="WVR6" s="622"/>
      <c r="WVS6" s="622"/>
      <c r="WVT6" s="622"/>
      <c r="WVU6" s="622"/>
      <c r="WVV6" s="622"/>
      <c r="WVW6" s="622"/>
      <c r="WVX6" s="622"/>
      <c r="WVY6" s="622"/>
      <c r="WVZ6" s="622"/>
      <c r="WWA6" s="622"/>
      <c r="WWB6" s="622"/>
      <c r="WWC6" s="622"/>
      <c r="WWD6" s="622"/>
      <c r="WWE6" s="622"/>
      <c r="WWF6" s="622"/>
      <c r="WWG6" s="622"/>
      <c r="WWH6" s="622"/>
      <c r="WWI6" s="622"/>
      <c r="WWJ6" s="622"/>
      <c r="WWK6" s="622"/>
      <c r="WWL6" s="622"/>
      <c r="WWM6" s="622"/>
      <c r="WWN6" s="622"/>
      <c r="WWO6" s="622"/>
      <c r="WWP6" s="622"/>
      <c r="WWQ6" s="622"/>
      <c r="WWR6" s="622"/>
      <c r="WWS6" s="622"/>
      <c r="WWT6" s="622"/>
      <c r="WWU6" s="622"/>
      <c r="WWV6" s="622"/>
      <c r="WWW6" s="622"/>
      <c r="WWX6" s="622"/>
      <c r="WWY6" s="622"/>
      <c r="WWZ6" s="622"/>
      <c r="WXA6" s="622"/>
      <c r="WXB6" s="622"/>
      <c r="WXC6" s="622"/>
      <c r="WXD6" s="622"/>
      <c r="WXE6" s="622"/>
      <c r="WXF6" s="622"/>
      <c r="WXG6" s="622"/>
      <c r="WXH6" s="622"/>
      <c r="WXI6" s="622"/>
      <c r="WXJ6" s="622"/>
      <c r="WXK6" s="622"/>
      <c r="WXL6" s="622"/>
      <c r="WXM6" s="622"/>
      <c r="WXN6" s="622"/>
      <c r="WXO6" s="622"/>
      <c r="WXP6" s="622"/>
      <c r="WXQ6" s="622"/>
      <c r="WXR6" s="622"/>
      <c r="WXS6" s="622"/>
      <c r="WXT6" s="622"/>
      <c r="WXU6" s="622"/>
      <c r="WXV6" s="622"/>
      <c r="WXW6" s="622"/>
      <c r="WXX6" s="622"/>
      <c r="WXY6" s="622"/>
      <c r="WXZ6" s="622"/>
      <c r="WYA6" s="622"/>
      <c r="WYB6" s="622"/>
      <c r="WYC6" s="622"/>
      <c r="WYD6" s="622"/>
      <c r="WYE6" s="622"/>
      <c r="WYF6" s="622"/>
      <c r="WYG6" s="622"/>
      <c r="WYH6" s="622"/>
      <c r="WYI6" s="622"/>
      <c r="WYJ6" s="622"/>
      <c r="WYK6" s="622"/>
      <c r="WYL6" s="622"/>
      <c r="WYM6" s="622"/>
      <c r="WYN6" s="622"/>
      <c r="WYO6" s="622"/>
      <c r="WYP6" s="622"/>
      <c r="WYQ6" s="622"/>
      <c r="WYR6" s="622"/>
      <c r="WYS6" s="622"/>
      <c r="WYT6" s="622"/>
      <c r="WYU6" s="622"/>
      <c r="WYV6" s="622"/>
      <c r="WYW6" s="622"/>
      <c r="WYX6" s="622"/>
      <c r="WYY6" s="622"/>
      <c r="WYZ6" s="622"/>
      <c r="WZA6" s="622"/>
      <c r="WZB6" s="622"/>
      <c r="WZC6" s="622"/>
      <c r="WZD6" s="622"/>
      <c r="WZE6" s="622"/>
      <c r="WZF6" s="622"/>
      <c r="WZG6" s="622"/>
      <c r="WZH6" s="622"/>
      <c r="WZI6" s="622"/>
      <c r="WZJ6" s="622"/>
      <c r="WZK6" s="622"/>
      <c r="WZL6" s="622"/>
      <c r="WZM6" s="622"/>
      <c r="WZN6" s="622"/>
      <c r="WZO6" s="622"/>
      <c r="WZP6" s="622"/>
      <c r="WZQ6" s="622"/>
      <c r="WZR6" s="622"/>
      <c r="WZS6" s="622"/>
      <c r="WZT6" s="622"/>
      <c r="WZU6" s="622"/>
      <c r="WZV6" s="622"/>
      <c r="WZW6" s="622"/>
      <c r="WZX6" s="622"/>
      <c r="WZY6" s="622"/>
      <c r="WZZ6" s="622"/>
      <c r="XAA6" s="622"/>
      <c r="XAB6" s="622"/>
      <c r="XAC6" s="622"/>
      <c r="XAD6" s="622"/>
      <c r="XAE6" s="622"/>
      <c r="XAF6" s="622"/>
      <c r="XAG6" s="622"/>
      <c r="XAH6" s="622"/>
      <c r="XAI6" s="622"/>
      <c r="XAJ6" s="622"/>
      <c r="XAK6" s="622"/>
      <c r="XAL6" s="622"/>
      <c r="XAM6" s="622"/>
      <c r="XAN6" s="622"/>
      <c r="XAO6" s="622"/>
      <c r="XAP6" s="622"/>
      <c r="XAQ6" s="622"/>
      <c r="XAR6" s="622"/>
      <c r="XAS6" s="622"/>
      <c r="XAT6" s="622"/>
      <c r="XAU6" s="622"/>
      <c r="XAV6" s="622"/>
      <c r="XAW6" s="622"/>
      <c r="XAX6" s="622"/>
      <c r="XAY6" s="622"/>
      <c r="XAZ6" s="622"/>
      <c r="XBA6" s="622"/>
      <c r="XBB6" s="622"/>
      <c r="XBC6" s="622"/>
      <c r="XBD6" s="622"/>
      <c r="XBE6" s="622"/>
      <c r="XBF6" s="622"/>
      <c r="XBG6" s="622"/>
      <c r="XBH6" s="622"/>
      <c r="XBI6" s="622"/>
      <c r="XBJ6" s="622"/>
      <c r="XBK6" s="622"/>
      <c r="XBL6" s="622"/>
      <c r="XBM6" s="622"/>
      <c r="XBN6" s="622"/>
      <c r="XBO6" s="622"/>
      <c r="XBP6" s="622"/>
      <c r="XBQ6" s="622"/>
      <c r="XBR6" s="622"/>
      <c r="XBS6" s="622"/>
      <c r="XBT6" s="622"/>
      <c r="XBU6" s="622"/>
      <c r="XBV6" s="622"/>
      <c r="XBW6" s="622"/>
      <c r="XBX6" s="622"/>
      <c r="XBY6" s="622"/>
      <c r="XBZ6" s="622"/>
      <c r="XCA6" s="622"/>
      <c r="XCB6" s="622"/>
      <c r="XCC6" s="622"/>
      <c r="XCD6" s="622"/>
      <c r="XCE6" s="622"/>
      <c r="XCF6" s="622"/>
      <c r="XCG6" s="622"/>
      <c r="XCH6" s="622"/>
      <c r="XCI6" s="622"/>
      <c r="XCJ6" s="622"/>
      <c r="XCK6" s="622"/>
      <c r="XCL6" s="622"/>
      <c r="XCM6" s="622"/>
      <c r="XCN6" s="622"/>
      <c r="XCO6" s="622"/>
      <c r="XCP6" s="622"/>
      <c r="XCQ6" s="622"/>
      <c r="XCR6" s="622"/>
      <c r="XCS6" s="622"/>
      <c r="XCT6" s="622"/>
      <c r="XCU6" s="622"/>
      <c r="XCV6" s="622"/>
      <c r="XCW6" s="622"/>
      <c r="XCX6" s="622"/>
      <c r="XCY6" s="622"/>
      <c r="XCZ6" s="622"/>
      <c r="XDA6" s="622"/>
      <c r="XDB6" s="622"/>
      <c r="XDC6" s="622"/>
      <c r="XDD6" s="622"/>
      <c r="XDE6" s="622"/>
      <c r="XDF6" s="622"/>
      <c r="XDG6" s="622"/>
      <c r="XDH6" s="622"/>
      <c r="XDI6" s="622"/>
      <c r="XDJ6" s="622"/>
      <c r="XDK6" s="622"/>
      <c r="XDL6" s="622"/>
      <c r="XDM6" s="622"/>
      <c r="XDN6" s="622"/>
      <c r="XDO6" s="622"/>
      <c r="XDP6" s="622"/>
      <c r="XDQ6" s="622"/>
      <c r="XDR6" s="622"/>
      <c r="XDS6" s="622"/>
      <c r="XDT6" s="622"/>
      <c r="XDU6" s="622"/>
      <c r="XDV6" s="622"/>
      <c r="XDW6" s="622"/>
      <c r="XDX6" s="622"/>
      <c r="XDY6" s="622"/>
      <c r="XDZ6" s="622"/>
      <c r="XEA6" s="622"/>
      <c r="XEB6" s="622"/>
      <c r="XEC6" s="622"/>
      <c r="XED6" s="622"/>
      <c r="XEE6" s="622"/>
      <c r="XEF6" s="622"/>
      <c r="XEG6" s="622"/>
      <c r="XEH6" s="622"/>
      <c r="XEI6" s="622"/>
      <c r="XEJ6" s="622"/>
      <c r="XEK6" s="622"/>
      <c r="XEL6" s="622"/>
      <c r="XEM6" s="622"/>
      <c r="XEN6" s="622"/>
      <c r="XEO6" s="622"/>
      <c r="XEP6" s="622"/>
      <c r="XEQ6" s="622"/>
      <c r="XER6" s="622"/>
      <c r="XES6" s="622"/>
      <c r="XET6" s="622"/>
      <c r="XEU6" s="622"/>
      <c r="XEV6" s="622"/>
      <c r="XEW6" s="622"/>
      <c r="XEX6" s="622"/>
      <c r="XEY6" s="622"/>
      <c r="XEZ6" s="622"/>
      <c r="XFA6" s="622"/>
      <c r="XFB6" s="622"/>
      <c r="XFC6" s="622"/>
      <c r="XFD6" s="572"/>
    </row>
    <row r="7" spans="1:16384" s="83" customFormat="1" ht="12.75" customHeight="1" x14ac:dyDescent="0.2">
      <c r="A7" s="623" t="str">
        <f>Resumo!A11</f>
        <v>ESCOLA:  E.M.E.F. IZAURA DOMINGAS COSTA</v>
      </c>
      <c r="B7" s="623"/>
      <c r="C7" s="623"/>
      <c r="D7" s="84"/>
      <c r="E7" s="84"/>
    </row>
    <row r="8" spans="1:16384" x14ac:dyDescent="0.2">
      <c r="A8" s="415" t="str">
        <f>Resumo!A13</f>
        <v>PRAZO DE EXECUÇÃO:  120 DIAS</v>
      </c>
      <c r="B8" s="415"/>
      <c r="C8" s="415"/>
    </row>
    <row r="9" spans="1:16384" ht="13.5" thickBot="1" x14ac:dyDescent="0.25"/>
    <row r="10" spans="1:16384" ht="13.5" thickBot="1" x14ac:dyDescent="0.25">
      <c r="A10" s="666" t="s">
        <v>1595</v>
      </c>
      <c r="B10" s="667"/>
      <c r="C10" s="668"/>
    </row>
    <row r="11" spans="1:16384" ht="15" customHeight="1" thickBot="1" x14ac:dyDescent="0.25">
      <c r="A11" s="673" t="s">
        <v>1596</v>
      </c>
      <c r="B11" s="674"/>
      <c r="C11" s="675"/>
    </row>
    <row r="12" spans="1:16384" x14ac:dyDescent="0.2">
      <c r="A12" s="416" t="s">
        <v>325</v>
      </c>
      <c r="B12" s="417" t="s">
        <v>1597</v>
      </c>
      <c r="C12" s="418" t="s">
        <v>1598</v>
      </c>
    </row>
    <row r="13" spans="1:16384" x14ac:dyDescent="0.2">
      <c r="A13" s="419" t="s">
        <v>185</v>
      </c>
      <c r="B13" s="420" t="s">
        <v>1599</v>
      </c>
      <c r="C13" s="421">
        <v>3</v>
      </c>
    </row>
    <row r="14" spans="1:16384" x14ac:dyDescent="0.2">
      <c r="A14" s="419" t="s">
        <v>655</v>
      </c>
      <c r="B14" s="420" t="s">
        <v>1600</v>
      </c>
      <c r="C14" s="421">
        <v>1.35</v>
      </c>
    </row>
    <row r="15" spans="1:16384" x14ac:dyDescent="0.2">
      <c r="A15" s="419" t="s">
        <v>658</v>
      </c>
      <c r="B15" s="420" t="s">
        <v>1601</v>
      </c>
      <c r="C15" s="421">
        <v>1.0604880878992999</v>
      </c>
    </row>
    <row r="16" spans="1:16384" ht="13.5" thickBot="1" x14ac:dyDescent="0.25">
      <c r="A16" s="422" t="s">
        <v>186</v>
      </c>
      <c r="B16" s="423" t="s">
        <v>1602</v>
      </c>
      <c r="C16" s="424">
        <v>1.1000000000000001</v>
      </c>
    </row>
    <row r="17" spans="1:3" ht="15" customHeight="1" thickBot="1" x14ac:dyDescent="0.25">
      <c r="A17" s="671" t="s">
        <v>1603</v>
      </c>
      <c r="B17" s="672"/>
      <c r="C17" s="425">
        <f>SUM(C13:C16)</f>
        <v>6.510488087899299</v>
      </c>
    </row>
    <row r="18" spans="1:3" ht="13.5" thickBot="1" x14ac:dyDescent="0.25">
      <c r="A18" s="673" t="s">
        <v>1604</v>
      </c>
      <c r="B18" s="674"/>
      <c r="C18" s="675"/>
    </row>
    <row r="19" spans="1:3" x14ac:dyDescent="0.2">
      <c r="A19" s="416" t="s">
        <v>325</v>
      </c>
      <c r="B19" s="417" t="s">
        <v>1597</v>
      </c>
      <c r="C19" s="418" t="s">
        <v>1598</v>
      </c>
    </row>
    <row r="20" spans="1:3" x14ac:dyDescent="0.2">
      <c r="A20" s="419" t="s">
        <v>671</v>
      </c>
      <c r="B20" s="581" t="s">
        <v>680</v>
      </c>
      <c r="C20" s="421">
        <v>0</v>
      </c>
    </row>
    <row r="21" spans="1:3" x14ac:dyDescent="0.2">
      <c r="A21" s="419" t="s">
        <v>189</v>
      </c>
      <c r="B21" s="420" t="s">
        <v>1605</v>
      </c>
      <c r="C21" s="421">
        <v>2</v>
      </c>
    </row>
    <row r="22" spans="1:3" x14ac:dyDescent="0.2">
      <c r="A22" s="419" t="s">
        <v>190</v>
      </c>
      <c r="B22" s="420" t="s">
        <v>1606</v>
      </c>
      <c r="C22" s="421">
        <v>1.28</v>
      </c>
    </row>
    <row r="23" spans="1:3" x14ac:dyDescent="0.2">
      <c r="A23" s="419" t="s">
        <v>192</v>
      </c>
      <c r="B23" s="420" t="s">
        <v>1607</v>
      </c>
      <c r="C23" s="421">
        <v>0</v>
      </c>
    </row>
    <row r="24" spans="1:3" ht="13.5" thickBot="1" x14ac:dyDescent="0.25">
      <c r="A24" s="419" t="s">
        <v>193</v>
      </c>
      <c r="B24" s="420" t="s">
        <v>1608</v>
      </c>
      <c r="C24" s="421">
        <v>1.22</v>
      </c>
    </row>
    <row r="25" spans="1:3" ht="13.5" thickBot="1" x14ac:dyDescent="0.25">
      <c r="A25" s="671" t="s">
        <v>1609</v>
      </c>
      <c r="B25" s="672"/>
      <c r="C25" s="425">
        <f>SUM(C20:C24)</f>
        <v>4.5</v>
      </c>
    </row>
    <row r="26" spans="1:3" ht="13.5" thickBot="1" x14ac:dyDescent="0.25">
      <c r="A26" s="673" t="s">
        <v>1610</v>
      </c>
      <c r="B26" s="674"/>
      <c r="C26" s="675"/>
    </row>
    <row r="27" spans="1:3" x14ac:dyDescent="0.2">
      <c r="A27" s="416" t="s">
        <v>325</v>
      </c>
      <c r="B27" s="417" t="s">
        <v>1597</v>
      </c>
      <c r="C27" s="418" t="s">
        <v>1598</v>
      </c>
    </row>
    <row r="28" spans="1:3" x14ac:dyDescent="0.2">
      <c r="A28" s="419" t="s">
        <v>684</v>
      </c>
      <c r="B28" s="420" t="s">
        <v>1611</v>
      </c>
      <c r="C28" s="421">
        <v>7.8</v>
      </c>
    </row>
    <row r="29" spans="1:3" x14ac:dyDescent="0.2">
      <c r="A29" s="419" t="s">
        <v>198</v>
      </c>
      <c r="B29" s="420" t="s">
        <v>1612</v>
      </c>
      <c r="C29" s="421">
        <v>1.2</v>
      </c>
    </row>
    <row r="30" spans="1:3" x14ac:dyDescent="0.2">
      <c r="A30" s="419" t="s">
        <v>689</v>
      </c>
      <c r="B30" s="420" t="s">
        <v>1613</v>
      </c>
      <c r="C30" s="421">
        <v>0.51</v>
      </c>
    </row>
    <row r="31" spans="1:3" ht="13.5" thickBot="1" x14ac:dyDescent="0.25">
      <c r="A31" s="419" t="s">
        <v>692</v>
      </c>
      <c r="B31" s="420" t="s">
        <v>1614</v>
      </c>
      <c r="C31" s="421">
        <v>1</v>
      </c>
    </row>
    <row r="32" spans="1:3" ht="13.5" thickBot="1" x14ac:dyDescent="0.25">
      <c r="A32" s="671" t="s">
        <v>1615</v>
      </c>
      <c r="B32" s="672"/>
      <c r="C32" s="425">
        <f>SUM(C28:C31)</f>
        <v>10.51</v>
      </c>
    </row>
    <row r="33" spans="1:5" ht="13.5" thickBot="1" x14ac:dyDescent="0.25">
      <c r="A33" s="671" t="s">
        <v>1616</v>
      </c>
      <c r="B33" s="672"/>
      <c r="C33" s="426">
        <f>(((1+(C17%+C30%+C31%))*(1+C29%)*(1+C28%))/(1-C25%)) -1</f>
        <v>0.23396271405927238</v>
      </c>
      <c r="E33" s="427"/>
    </row>
    <row r="34" spans="1:5" x14ac:dyDescent="0.2">
      <c r="A34" s="669" t="s">
        <v>1617</v>
      </c>
      <c r="B34" s="428" t="s">
        <v>1618</v>
      </c>
      <c r="C34" s="429"/>
    </row>
    <row r="35" spans="1:5" ht="15.75" customHeight="1" thickBot="1" x14ac:dyDescent="0.25">
      <c r="A35" s="670"/>
      <c r="B35" s="430" t="s">
        <v>1619</v>
      </c>
      <c r="C35" s="431"/>
    </row>
    <row r="38" spans="1:5" x14ac:dyDescent="0.2">
      <c r="B38" s="432"/>
    </row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s="77" customFormat="1" ht="20.100000000000001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mergeCells count="5362">
    <mergeCell ref="A1:C4"/>
    <mergeCell ref="A7:C7"/>
    <mergeCell ref="A10:C10"/>
    <mergeCell ref="A5:C5"/>
    <mergeCell ref="MK6:MM6"/>
    <mergeCell ref="MN6:MP6"/>
    <mergeCell ref="MQ6:MS6"/>
    <mergeCell ref="MT6:MV6"/>
    <mergeCell ref="MW6:MY6"/>
    <mergeCell ref="LV6:LX6"/>
    <mergeCell ref="LY6:MA6"/>
    <mergeCell ref="MB6:MD6"/>
    <mergeCell ref="ME6:MG6"/>
    <mergeCell ref="MH6:MJ6"/>
    <mergeCell ref="A34:A35"/>
    <mergeCell ref="A17:B17"/>
    <mergeCell ref="A18:C18"/>
    <mergeCell ref="A25:B25"/>
    <mergeCell ref="A26:C26"/>
    <mergeCell ref="A32:B32"/>
    <mergeCell ref="A33:B33"/>
    <mergeCell ref="A11:C11"/>
    <mergeCell ref="OS6:OU6"/>
    <mergeCell ref="OV6:OX6"/>
    <mergeCell ref="OY6:PA6"/>
    <mergeCell ref="PB6:PD6"/>
    <mergeCell ref="PE6:PG6"/>
    <mergeCell ref="OD6:OF6"/>
    <mergeCell ref="OG6:OI6"/>
    <mergeCell ref="OJ6:OL6"/>
    <mergeCell ref="OM6:OO6"/>
    <mergeCell ref="OP6:OR6"/>
    <mergeCell ref="NO6:NQ6"/>
    <mergeCell ref="NR6:NT6"/>
    <mergeCell ref="NU6:NW6"/>
    <mergeCell ref="NX6:NZ6"/>
    <mergeCell ref="OA6:OC6"/>
    <mergeCell ref="MZ6:NB6"/>
    <mergeCell ref="NC6:NE6"/>
    <mergeCell ref="NF6:NH6"/>
    <mergeCell ref="NI6:NK6"/>
    <mergeCell ref="NL6:NN6"/>
    <mergeCell ref="RA6:RC6"/>
    <mergeCell ref="RD6:RF6"/>
    <mergeCell ref="RG6:RI6"/>
    <mergeCell ref="RJ6:RL6"/>
    <mergeCell ref="RM6:RO6"/>
    <mergeCell ref="QL6:QN6"/>
    <mergeCell ref="QO6:QQ6"/>
    <mergeCell ref="QR6:QT6"/>
    <mergeCell ref="QU6:QW6"/>
    <mergeCell ref="QX6:QZ6"/>
    <mergeCell ref="PW6:PY6"/>
    <mergeCell ref="PZ6:QB6"/>
    <mergeCell ref="QC6:QE6"/>
    <mergeCell ref="QF6:QH6"/>
    <mergeCell ref="QI6:QK6"/>
    <mergeCell ref="PH6:PJ6"/>
    <mergeCell ref="PK6:PM6"/>
    <mergeCell ref="PN6:PP6"/>
    <mergeCell ref="PQ6:PS6"/>
    <mergeCell ref="PT6:PV6"/>
    <mergeCell ref="TI6:TK6"/>
    <mergeCell ref="TL6:TN6"/>
    <mergeCell ref="TO6:TQ6"/>
    <mergeCell ref="TR6:TT6"/>
    <mergeCell ref="TU6:TW6"/>
    <mergeCell ref="ST6:SV6"/>
    <mergeCell ref="SW6:SY6"/>
    <mergeCell ref="SZ6:TB6"/>
    <mergeCell ref="TC6:TE6"/>
    <mergeCell ref="TF6:TH6"/>
    <mergeCell ref="SE6:SG6"/>
    <mergeCell ref="SH6:SJ6"/>
    <mergeCell ref="SK6:SM6"/>
    <mergeCell ref="SN6:SP6"/>
    <mergeCell ref="SQ6:SS6"/>
    <mergeCell ref="RP6:RR6"/>
    <mergeCell ref="RS6:RU6"/>
    <mergeCell ref="RV6:RX6"/>
    <mergeCell ref="RY6:SA6"/>
    <mergeCell ref="SB6:SD6"/>
    <mergeCell ref="VQ6:VS6"/>
    <mergeCell ref="VT6:VV6"/>
    <mergeCell ref="VW6:VY6"/>
    <mergeCell ref="VZ6:WB6"/>
    <mergeCell ref="WC6:WE6"/>
    <mergeCell ref="VB6:VD6"/>
    <mergeCell ref="VE6:VG6"/>
    <mergeCell ref="VH6:VJ6"/>
    <mergeCell ref="VK6:VM6"/>
    <mergeCell ref="VN6:VP6"/>
    <mergeCell ref="UM6:UO6"/>
    <mergeCell ref="UP6:UR6"/>
    <mergeCell ref="US6:UU6"/>
    <mergeCell ref="UV6:UX6"/>
    <mergeCell ref="UY6:VA6"/>
    <mergeCell ref="TX6:TZ6"/>
    <mergeCell ref="UA6:UC6"/>
    <mergeCell ref="UD6:UF6"/>
    <mergeCell ref="UG6:UI6"/>
    <mergeCell ref="UJ6:UL6"/>
    <mergeCell ref="XY6:YA6"/>
    <mergeCell ref="YB6:YD6"/>
    <mergeCell ref="YE6:YG6"/>
    <mergeCell ref="YH6:YJ6"/>
    <mergeCell ref="YK6:YM6"/>
    <mergeCell ref="XJ6:XL6"/>
    <mergeCell ref="XM6:XO6"/>
    <mergeCell ref="XP6:XR6"/>
    <mergeCell ref="XS6:XU6"/>
    <mergeCell ref="XV6:XX6"/>
    <mergeCell ref="WU6:WW6"/>
    <mergeCell ref="WX6:WZ6"/>
    <mergeCell ref="XA6:XC6"/>
    <mergeCell ref="XD6:XF6"/>
    <mergeCell ref="XG6:XI6"/>
    <mergeCell ref="WF6:WH6"/>
    <mergeCell ref="WI6:WK6"/>
    <mergeCell ref="WL6:WN6"/>
    <mergeCell ref="WO6:WQ6"/>
    <mergeCell ref="WR6:WT6"/>
    <mergeCell ref="AAG6:AAI6"/>
    <mergeCell ref="AAJ6:AAL6"/>
    <mergeCell ref="AAM6:AAO6"/>
    <mergeCell ref="AAP6:AAR6"/>
    <mergeCell ref="AAS6:AAU6"/>
    <mergeCell ref="ZR6:ZT6"/>
    <mergeCell ref="ZU6:ZW6"/>
    <mergeCell ref="ZX6:ZZ6"/>
    <mergeCell ref="AAA6:AAC6"/>
    <mergeCell ref="AAD6:AAF6"/>
    <mergeCell ref="ZC6:ZE6"/>
    <mergeCell ref="ZF6:ZH6"/>
    <mergeCell ref="ZI6:ZK6"/>
    <mergeCell ref="ZL6:ZN6"/>
    <mergeCell ref="ZO6:ZQ6"/>
    <mergeCell ref="YN6:YP6"/>
    <mergeCell ref="YQ6:YS6"/>
    <mergeCell ref="YT6:YV6"/>
    <mergeCell ref="YW6:YY6"/>
    <mergeCell ref="YZ6:ZB6"/>
    <mergeCell ref="ACO6:ACQ6"/>
    <mergeCell ref="ACR6:ACT6"/>
    <mergeCell ref="ACU6:ACW6"/>
    <mergeCell ref="ACX6:ACZ6"/>
    <mergeCell ref="ADA6:ADC6"/>
    <mergeCell ref="ABZ6:ACB6"/>
    <mergeCell ref="ACC6:ACE6"/>
    <mergeCell ref="ACF6:ACH6"/>
    <mergeCell ref="ACI6:ACK6"/>
    <mergeCell ref="ACL6:ACN6"/>
    <mergeCell ref="ABK6:ABM6"/>
    <mergeCell ref="ABN6:ABP6"/>
    <mergeCell ref="ABQ6:ABS6"/>
    <mergeCell ref="ABT6:ABV6"/>
    <mergeCell ref="ABW6:ABY6"/>
    <mergeCell ref="AAV6:AAX6"/>
    <mergeCell ref="AAY6:ABA6"/>
    <mergeCell ref="ABB6:ABD6"/>
    <mergeCell ref="ABE6:ABG6"/>
    <mergeCell ref="ABH6:ABJ6"/>
    <mergeCell ref="AEW6:AEY6"/>
    <mergeCell ref="AEZ6:AFB6"/>
    <mergeCell ref="AFC6:AFE6"/>
    <mergeCell ref="AFF6:AFH6"/>
    <mergeCell ref="AFI6:AFK6"/>
    <mergeCell ref="AEH6:AEJ6"/>
    <mergeCell ref="AEK6:AEM6"/>
    <mergeCell ref="AEN6:AEP6"/>
    <mergeCell ref="AEQ6:AES6"/>
    <mergeCell ref="AET6:AEV6"/>
    <mergeCell ref="ADS6:ADU6"/>
    <mergeCell ref="ADV6:ADX6"/>
    <mergeCell ref="ADY6:AEA6"/>
    <mergeCell ref="AEB6:AED6"/>
    <mergeCell ref="AEE6:AEG6"/>
    <mergeCell ref="ADD6:ADF6"/>
    <mergeCell ref="ADG6:ADI6"/>
    <mergeCell ref="ADJ6:ADL6"/>
    <mergeCell ref="ADM6:ADO6"/>
    <mergeCell ref="ADP6:ADR6"/>
    <mergeCell ref="AHE6:AHG6"/>
    <mergeCell ref="AHH6:AHJ6"/>
    <mergeCell ref="AHK6:AHM6"/>
    <mergeCell ref="AHN6:AHP6"/>
    <mergeCell ref="AHQ6:AHS6"/>
    <mergeCell ref="AGP6:AGR6"/>
    <mergeCell ref="AGS6:AGU6"/>
    <mergeCell ref="AGV6:AGX6"/>
    <mergeCell ref="AGY6:AHA6"/>
    <mergeCell ref="AHB6:AHD6"/>
    <mergeCell ref="AGA6:AGC6"/>
    <mergeCell ref="AGD6:AGF6"/>
    <mergeCell ref="AGG6:AGI6"/>
    <mergeCell ref="AGJ6:AGL6"/>
    <mergeCell ref="AGM6:AGO6"/>
    <mergeCell ref="AFL6:AFN6"/>
    <mergeCell ref="AFO6:AFQ6"/>
    <mergeCell ref="AFR6:AFT6"/>
    <mergeCell ref="AFU6:AFW6"/>
    <mergeCell ref="AFX6:AFZ6"/>
    <mergeCell ref="AJM6:AJO6"/>
    <mergeCell ref="AJP6:AJR6"/>
    <mergeCell ref="AJS6:AJU6"/>
    <mergeCell ref="AJV6:AJX6"/>
    <mergeCell ref="AJY6:AKA6"/>
    <mergeCell ref="AIX6:AIZ6"/>
    <mergeCell ref="AJA6:AJC6"/>
    <mergeCell ref="AJD6:AJF6"/>
    <mergeCell ref="AJG6:AJI6"/>
    <mergeCell ref="AJJ6:AJL6"/>
    <mergeCell ref="AII6:AIK6"/>
    <mergeCell ref="AIL6:AIN6"/>
    <mergeCell ref="AIO6:AIQ6"/>
    <mergeCell ref="AIR6:AIT6"/>
    <mergeCell ref="AIU6:AIW6"/>
    <mergeCell ref="AHT6:AHV6"/>
    <mergeCell ref="AHW6:AHY6"/>
    <mergeCell ref="AHZ6:AIB6"/>
    <mergeCell ref="AIC6:AIE6"/>
    <mergeCell ref="AIF6:AIH6"/>
    <mergeCell ref="ALU6:ALW6"/>
    <mergeCell ref="ALX6:ALZ6"/>
    <mergeCell ref="AMA6:AMC6"/>
    <mergeCell ref="AMD6:AMF6"/>
    <mergeCell ref="AMG6:AMI6"/>
    <mergeCell ref="ALF6:ALH6"/>
    <mergeCell ref="ALI6:ALK6"/>
    <mergeCell ref="ALL6:ALN6"/>
    <mergeCell ref="ALO6:ALQ6"/>
    <mergeCell ref="ALR6:ALT6"/>
    <mergeCell ref="AKQ6:AKS6"/>
    <mergeCell ref="AKT6:AKV6"/>
    <mergeCell ref="AKW6:AKY6"/>
    <mergeCell ref="AKZ6:ALB6"/>
    <mergeCell ref="ALC6:ALE6"/>
    <mergeCell ref="AKB6:AKD6"/>
    <mergeCell ref="AKE6:AKG6"/>
    <mergeCell ref="AKH6:AKJ6"/>
    <mergeCell ref="AKK6:AKM6"/>
    <mergeCell ref="AKN6:AKP6"/>
    <mergeCell ref="AOC6:AOE6"/>
    <mergeCell ref="AOF6:AOH6"/>
    <mergeCell ref="AOI6:AOK6"/>
    <mergeCell ref="AOL6:AON6"/>
    <mergeCell ref="AOO6:AOQ6"/>
    <mergeCell ref="ANN6:ANP6"/>
    <mergeCell ref="ANQ6:ANS6"/>
    <mergeCell ref="ANT6:ANV6"/>
    <mergeCell ref="ANW6:ANY6"/>
    <mergeCell ref="ANZ6:AOB6"/>
    <mergeCell ref="AMY6:ANA6"/>
    <mergeCell ref="ANB6:AND6"/>
    <mergeCell ref="ANE6:ANG6"/>
    <mergeCell ref="ANH6:ANJ6"/>
    <mergeCell ref="ANK6:ANM6"/>
    <mergeCell ref="AMJ6:AML6"/>
    <mergeCell ref="AMM6:AMO6"/>
    <mergeCell ref="AMP6:AMR6"/>
    <mergeCell ref="AMS6:AMU6"/>
    <mergeCell ref="AMV6:AMX6"/>
    <mergeCell ref="AQK6:AQM6"/>
    <mergeCell ref="AQN6:AQP6"/>
    <mergeCell ref="AQQ6:AQS6"/>
    <mergeCell ref="AQT6:AQV6"/>
    <mergeCell ref="AQW6:AQY6"/>
    <mergeCell ref="APV6:APX6"/>
    <mergeCell ref="APY6:AQA6"/>
    <mergeCell ref="AQB6:AQD6"/>
    <mergeCell ref="AQE6:AQG6"/>
    <mergeCell ref="AQH6:AQJ6"/>
    <mergeCell ref="APG6:API6"/>
    <mergeCell ref="APJ6:APL6"/>
    <mergeCell ref="APM6:APO6"/>
    <mergeCell ref="APP6:APR6"/>
    <mergeCell ref="APS6:APU6"/>
    <mergeCell ref="AOR6:AOT6"/>
    <mergeCell ref="AOU6:AOW6"/>
    <mergeCell ref="AOX6:AOZ6"/>
    <mergeCell ref="APA6:APC6"/>
    <mergeCell ref="APD6:APF6"/>
    <mergeCell ref="ASS6:ASU6"/>
    <mergeCell ref="ASV6:ASX6"/>
    <mergeCell ref="ASY6:ATA6"/>
    <mergeCell ref="ATB6:ATD6"/>
    <mergeCell ref="ATE6:ATG6"/>
    <mergeCell ref="ASD6:ASF6"/>
    <mergeCell ref="ASG6:ASI6"/>
    <mergeCell ref="ASJ6:ASL6"/>
    <mergeCell ref="ASM6:ASO6"/>
    <mergeCell ref="ASP6:ASR6"/>
    <mergeCell ref="ARO6:ARQ6"/>
    <mergeCell ref="ARR6:ART6"/>
    <mergeCell ref="ARU6:ARW6"/>
    <mergeCell ref="ARX6:ARZ6"/>
    <mergeCell ref="ASA6:ASC6"/>
    <mergeCell ref="AQZ6:ARB6"/>
    <mergeCell ref="ARC6:ARE6"/>
    <mergeCell ref="ARF6:ARH6"/>
    <mergeCell ref="ARI6:ARK6"/>
    <mergeCell ref="ARL6:ARN6"/>
    <mergeCell ref="AVA6:AVC6"/>
    <mergeCell ref="AVD6:AVF6"/>
    <mergeCell ref="AVG6:AVI6"/>
    <mergeCell ref="AVJ6:AVL6"/>
    <mergeCell ref="AVM6:AVO6"/>
    <mergeCell ref="AUL6:AUN6"/>
    <mergeCell ref="AUO6:AUQ6"/>
    <mergeCell ref="AUR6:AUT6"/>
    <mergeCell ref="AUU6:AUW6"/>
    <mergeCell ref="AUX6:AUZ6"/>
    <mergeCell ref="ATW6:ATY6"/>
    <mergeCell ref="ATZ6:AUB6"/>
    <mergeCell ref="AUC6:AUE6"/>
    <mergeCell ref="AUF6:AUH6"/>
    <mergeCell ref="AUI6:AUK6"/>
    <mergeCell ref="ATH6:ATJ6"/>
    <mergeCell ref="ATK6:ATM6"/>
    <mergeCell ref="ATN6:ATP6"/>
    <mergeCell ref="ATQ6:ATS6"/>
    <mergeCell ref="ATT6:ATV6"/>
    <mergeCell ref="AXI6:AXK6"/>
    <mergeCell ref="AXL6:AXN6"/>
    <mergeCell ref="AXO6:AXQ6"/>
    <mergeCell ref="AXR6:AXT6"/>
    <mergeCell ref="AXU6:AXW6"/>
    <mergeCell ref="AWT6:AWV6"/>
    <mergeCell ref="AWW6:AWY6"/>
    <mergeCell ref="AWZ6:AXB6"/>
    <mergeCell ref="AXC6:AXE6"/>
    <mergeCell ref="AXF6:AXH6"/>
    <mergeCell ref="AWE6:AWG6"/>
    <mergeCell ref="AWH6:AWJ6"/>
    <mergeCell ref="AWK6:AWM6"/>
    <mergeCell ref="AWN6:AWP6"/>
    <mergeCell ref="AWQ6:AWS6"/>
    <mergeCell ref="AVP6:AVR6"/>
    <mergeCell ref="AVS6:AVU6"/>
    <mergeCell ref="AVV6:AVX6"/>
    <mergeCell ref="AVY6:AWA6"/>
    <mergeCell ref="AWB6:AWD6"/>
    <mergeCell ref="AZQ6:AZS6"/>
    <mergeCell ref="AZT6:AZV6"/>
    <mergeCell ref="AZW6:AZY6"/>
    <mergeCell ref="AZZ6:BAB6"/>
    <mergeCell ref="BAC6:BAE6"/>
    <mergeCell ref="AZB6:AZD6"/>
    <mergeCell ref="AZE6:AZG6"/>
    <mergeCell ref="AZH6:AZJ6"/>
    <mergeCell ref="AZK6:AZM6"/>
    <mergeCell ref="AZN6:AZP6"/>
    <mergeCell ref="AYM6:AYO6"/>
    <mergeCell ref="AYP6:AYR6"/>
    <mergeCell ref="AYS6:AYU6"/>
    <mergeCell ref="AYV6:AYX6"/>
    <mergeCell ref="AYY6:AZA6"/>
    <mergeCell ref="AXX6:AXZ6"/>
    <mergeCell ref="AYA6:AYC6"/>
    <mergeCell ref="AYD6:AYF6"/>
    <mergeCell ref="AYG6:AYI6"/>
    <mergeCell ref="AYJ6:AYL6"/>
    <mergeCell ref="BBY6:BCA6"/>
    <mergeCell ref="BCB6:BCD6"/>
    <mergeCell ref="BCE6:BCG6"/>
    <mergeCell ref="BCH6:BCJ6"/>
    <mergeCell ref="BCK6:BCM6"/>
    <mergeCell ref="BBJ6:BBL6"/>
    <mergeCell ref="BBM6:BBO6"/>
    <mergeCell ref="BBP6:BBR6"/>
    <mergeCell ref="BBS6:BBU6"/>
    <mergeCell ref="BBV6:BBX6"/>
    <mergeCell ref="BAU6:BAW6"/>
    <mergeCell ref="BAX6:BAZ6"/>
    <mergeCell ref="BBA6:BBC6"/>
    <mergeCell ref="BBD6:BBF6"/>
    <mergeCell ref="BBG6:BBI6"/>
    <mergeCell ref="BAF6:BAH6"/>
    <mergeCell ref="BAI6:BAK6"/>
    <mergeCell ref="BAL6:BAN6"/>
    <mergeCell ref="BAO6:BAQ6"/>
    <mergeCell ref="BAR6:BAT6"/>
    <mergeCell ref="BEG6:BEI6"/>
    <mergeCell ref="BEJ6:BEL6"/>
    <mergeCell ref="BEM6:BEO6"/>
    <mergeCell ref="BEP6:BER6"/>
    <mergeCell ref="BES6:BEU6"/>
    <mergeCell ref="BDR6:BDT6"/>
    <mergeCell ref="BDU6:BDW6"/>
    <mergeCell ref="BDX6:BDZ6"/>
    <mergeCell ref="BEA6:BEC6"/>
    <mergeCell ref="BED6:BEF6"/>
    <mergeCell ref="BDC6:BDE6"/>
    <mergeCell ref="BDF6:BDH6"/>
    <mergeCell ref="BDI6:BDK6"/>
    <mergeCell ref="BDL6:BDN6"/>
    <mergeCell ref="BDO6:BDQ6"/>
    <mergeCell ref="BCN6:BCP6"/>
    <mergeCell ref="BCQ6:BCS6"/>
    <mergeCell ref="BCT6:BCV6"/>
    <mergeCell ref="BCW6:BCY6"/>
    <mergeCell ref="BCZ6:BDB6"/>
    <mergeCell ref="BGO6:BGQ6"/>
    <mergeCell ref="BGR6:BGT6"/>
    <mergeCell ref="BGU6:BGW6"/>
    <mergeCell ref="BGX6:BGZ6"/>
    <mergeCell ref="BHA6:BHC6"/>
    <mergeCell ref="BFZ6:BGB6"/>
    <mergeCell ref="BGC6:BGE6"/>
    <mergeCell ref="BGF6:BGH6"/>
    <mergeCell ref="BGI6:BGK6"/>
    <mergeCell ref="BGL6:BGN6"/>
    <mergeCell ref="BFK6:BFM6"/>
    <mergeCell ref="BFN6:BFP6"/>
    <mergeCell ref="BFQ6:BFS6"/>
    <mergeCell ref="BFT6:BFV6"/>
    <mergeCell ref="BFW6:BFY6"/>
    <mergeCell ref="BEV6:BEX6"/>
    <mergeCell ref="BEY6:BFA6"/>
    <mergeCell ref="BFB6:BFD6"/>
    <mergeCell ref="BFE6:BFG6"/>
    <mergeCell ref="BFH6:BFJ6"/>
    <mergeCell ref="BIW6:BIY6"/>
    <mergeCell ref="BIZ6:BJB6"/>
    <mergeCell ref="BJC6:BJE6"/>
    <mergeCell ref="BJF6:BJH6"/>
    <mergeCell ref="BJI6:BJK6"/>
    <mergeCell ref="BIH6:BIJ6"/>
    <mergeCell ref="BIK6:BIM6"/>
    <mergeCell ref="BIN6:BIP6"/>
    <mergeCell ref="BIQ6:BIS6"/>
    <mergeCell ref="BIT6:BIV6"/>
    <mergeCell ref="BHS6:BHU6"/>
    <mergeCell ref="BHV6:BHX6"/>
    <mergeCell ref="BHY6:BIA6"/>
    <mergeCell ref="BIB6:BID6"/>
    <mergeCell ref="BIE6:BIG6"/>
    <mergeCell ref="BHD6:BHF6"/>
    <mergeCell ref="BHG6:BHI6"/>
    <mergeCell ref="BHJ6:BHL6"/>
    <mergeCell ref="BHM6:BHO6"/>
    <mergeCell ref="BHP6:BHR6"/>
    <mergeCell ref="BLE6:BLG6"/>
    <mergeCell ref="BLH6:BLJ6"/>
    <mergeCell ref="BLK6:BLM6"/>
    <mergeCell ref="BLN6:BLP6"/>
    <mergeCell ref="BLQ6:BLS6"/>
    <mergeCell ref="BKP6:BKR6"/>
    <mergeCell ref="BKS6:BKU6"/>
    <mergeCell ref="BKV6:BKX6"/>
    <mergeCell ref="BKY6:BLA6"/>
    <mergeCell ref="BLB6:BLD6"/>
    <mergeCell ref="BKA6:BKC6"/>
    <mergeCell ref="BKD6:BKF6"/>
    <mergeCell ref="BKG6:BKI6"/>
    <mergeCell ref="BKJ6:BKL6"/>
    <mergeCell ref="BKM6:BKO6"/>
    <mergeCell ref="BJL6:BJN6"/>
    <mergeCell ref="BJO6:BJQ6"/>
    <mergeCell ref="BJR6:BJT6"/>
    <mergeCell ref="BJU6:BJW6"/>
    <mergeCell ref="BJX6:BJZ6"/>
    <mergeCell ref="BNM6:BNO6"/>
    <mergeCell ref="BNP6:BNR6"/>
    <mergeCell ref="BNS6:BNU6"/>
    <mergeCell ref="BNV6:BNX6"/>
    <mergeCell ref="BNY6:BOA6"/>
    <mergeCell ref="BMX6:BMZ6"/>
    <mergeCell ref="BNA6:BNC6"/>
    <mergeCell ref="BND6:BNF6"/>
    <mergeCell ref="BNG6:BNI6"/>
    <mergeCell ref="BNJ6:BNL6"/>
    <mergeCell ref="BMI6:BMK6"/>
    <mergeCell ref="BML6:BMN6"/>
    <mergeCell ref="BMO6:BMQ6"/>
    <mergeCell ref="BMR6:BMT6"/>
    <mergeCell ref="BMU6:BMW6"/>
    <mergeCell ref="BLT6:BLV6"/>
    <mergeCell ref="BLW6:BLY6"/>
    <mergeCell ref="BLZ6:BMB6"/>
    <mergeCell ref="BMC6:BME6"/>
    <mergeCell ref="BMF6:BMH6"/>
    <mergeCell ref="BPU6:BPW6"/>
    <mergeCell ref="BPX6:BPZ6"/>
    <mergeCell ref="BQA6:BQC6"/>
    <mergeCell ref="BQD6:BQF6"/>
    <mergeCell ref="BQG6:BQI6"/>
    <mergeCell ref="BPF6:BPH6"/>
    <mergeCell ref="BPI6:BPK6"/>
    <mergeCell ref="BPL6:BPN6"/>
    <mergeCell ref="BPO6:BPQ6"/>
    <mergeCell ref="BPR6:BPT6"/>
    <mergeCell ref="BOQ6:BOS6"/>
    <mergeCell ref="BOT6:BOV6"/>
    <mergeCell ref="BOW6:BOY6"/>
    <mergeCell ref="BOZ6:BPB6"/>
    <mergeCell ref="BPC6:BPE6"/>
    <mergeCell ref="BOB6:BOD6"/>
    <mergeCell ref="BOE6:BOG6"/>
    <mergeCell ref="BOH6:BOJ6"/>
    <mergeCell ref="BOK6:BOM6"/>
    <mergeCell ref="BON6:BOP6"/>
    <mergeCell ref="BSC6:BSE6"/>
    <mergeCell ref="BSF6:BSH6"/>
    <mergeCell ref="BSI6:BSK6"/>
    <mergeCell ref="BSL6:BSN6"/>
    <mergeCell ref="BSO6:BSQ6"/>
    <mergeCell ref="BRN6:BRP6"/>
    <mergeCell ref="BRQ6:BRS6"/>
    <mergeCell ref="BRT6:BRV6"/>
    <mergeCell ref="BRW6:BRY6"/>
    <mergeCell ref="BRZ6:BSB6"/>
    <mergeCell ref="BQY6:BRA6"/>
    <mergeCell ref="BRB6:BRD6"/>
    <mergeCell ref="BRE6:BRG6"/>
    <mergeCell ref="BRH6:BRJ6"/>
    <mergeCell ref="BRK6:BRM6"/>
    <mergeCell ref="BQJ6:BQL6"/>
    <mergeCell ref="BQM6:BQO6"/>
    <mergeCell ref="BQP6:BQR6"/>
    <mergeCell ref="BQS6:BQU6"/>
    <mergeCell ref="BQV6:BQX6"/>
    <mergeCell ref="BUK6:BUM6"/>
    <mergeCell ref="BUN6:BUP6"/>
    <mergeCell ref="BUQ6:BUS6"/>
    <mergeCell ref="BUT6:BUV6"/>
    <mergeCell ref="BUW6:BUY6"/>
    <mergeCell ref="BTV6:BTX6"/>
    <mergeCell ref="BTY6:BUA6"/>
    <mergeCell ref="BUB6:BUD6"/>
    <mergeCell ref="BUE6:BUG6"/>
    <mergeCell ref="BUH6:BUJ6"/>
    <mergeCell ref="BTG6:BTI6"/>
    <mergeCell ref="BTJ6:BTL6"/>
    <mergeCell ref="BTM6:BTO6"/>
    <mergeCell ref="BTP6:BTR6"/>
    <mergeCell ref="BTS6:BTU6"/>
    <mergeCell ref="BSR6:BST6"/>
    <mergeCell ref="BSU6:BSW6"/>
    <mergeCell ref="BSX6:BSZ6"/>
    <mergeCell ref="BTA6:BTC6"/>
    <mergeCell ref="BTD6:BTF6"/>
    <mergeCell ref="BWS6:BWU6"/>
    <mergeCell ref="BWV6:BWX6"/>
    <mergeCell ref="BWY6:BXA6"/>
    <mergeCell ref="BXB6:BXD6"/>
    <mergeCell ref="BXE6:BXG6"/>
    <mergeCell ref="BWD6:BWF6"/>
    <mergeCell ref="BWG6:BWI6"/>
    <mergeCell ref="BWJ6:BWL6"/>
    <mergeCell ref="BWM6:BWO6"/>
    <mergeCell ref="BWP6:BWR6"/>
    <mergeCell ref="BVO6:BVQ6"/>
    <mergeCell ref="BVR6:BVT6"/>
    <mergeCell ref="BVU6:BVW6"/>
    <mergeCell ref="BVX6:BVZ6"/>
    <mergeCell ref="BWA6:BWC6"/>
    <mergeCell ref="BUZ6:BVB6"/>
    <mergeCell ref="BVC6:BVE6"/>
    <mergeCell ref="BVF6:BVH6"/>
    <mergeCell ref="BVI6:BVK6"/>
    <mergeCell ref="BVL6:BVN6"/>
    <mergeCell ref="BZA6:BZC6"/>
    <mergeCell ref="BZD6:BZF6"/>
    <mergeCell ref="BZG6:BZI6"/>
    <mergeCell ref="BZJ6:BZL6"/>
    <mergeCell ref="BZM6:BZO6"/>
    <mergeCell ref="BYL6:BYN6"/>
    <mergeCell ref="BYO6:BYQ6"/>
    <mergeCell ref="BYR6:BYT6"/>
    <mergeCell ref="BYU6:BYW6"/>
    <mergeCell ref="BYX6:BYZ6"/>
    <mergeCell ref="BXW6:BXY6"/>
    <mergeCell ref="BXZ6:BYB6"/>
    <mergeCell ref="BYC6:BYE6"/>
    <mergeCell ref="BYF6:BYH6"/>
    <mergeCell ref="BYI6:BYK6"/>
    <mergeCell ref="BXH6:BXJ6"/>
    <mergeCell ref="BXK6:BXM6"/>
    <mergeCell ref="BXN6:BXP6"/>
    <mergeCell ref="BXQ6:BXS6"/>
    <mergeCell ref="BXT6:BXV6"/>
    <mergeCell ref="CBI6:CBK6"/>
    <mergeCell ref="CBL6:CBN6"/>
    <mergeCell ref="CBO6:CBQ6"/>
    <mergeCell ref="CBR6:CBT6"/>
    <mergeCell ref="CBU6:CBW6"/>
    <mergeCell ref="CAT6:CAV6"/>
    <mergeCell ref="CAW6:CAY6"/>
    <mergeCell ref="CAZ6:CBB6"/>
    <mergeCell ref="CBC6:CBE6"/>
    <mergeCell ref="CBF6:CBH6"/>
    <mergeCell ref="CAE6:CAG6"/>
    <mergeCell ref="CAH6:CAJ6"/>
    <mergeCell ref="CAK6:CAM6"/>
    <mergeCell ref="CAN6:CAP6"/>
    <mergeCell ref="CAQ6:CAS6"/>
    <mergeCell ref="BZP6:BZR6"/>
    <mergeCell ref="BZS6:BZU6"/>
    <mergeCell ref="BZV6:BZX6"/>
    <mergeCell ref="BZY6:CAA6"/>
    <mergeCell ref="CAB6:CAD6"/>
    <mergeCell ref="CDQ6:CDS6"/>
    <mergeCell ref="CDT6:CDV6"/>
    <mergeCell ref="CDW6:CDY6"/>
    <mergeCell ref="CDZ6:CEB6"/>
    <mergeCell ref="CEC6:CEE6"/>
    <mergeCell ref="CDB6:CDD6"/>
    <mergeCell ref="CDE6:CDG6"/>
    <mergeCell ref="CDH6:CDJ6"/>
    <mergeCell ref="CDK6:CDM6"/>
    <mergeCell ref="CDN6:CDP6"/>
    <mergeCell ref="CCM6:CCO6"/>
    <mergeCell ref="CCP6:CCR6"/>
    <mergeCell ref="CCS6:CCU6"/>
    <mergeCell ref="CCV6:CCX6"/>
    <mergeCell ref="CCY6:CDA6"/>
    <mergeCell ref="CBX6:CBZ6"/>
    <mergeCell ref="CCA6:CCC6"/>
    <mergeCell ref="CCD6:CCF6"/>
    <mergeCell ref="CCG6:CCI6"/>
    <mergeCell ref="CCJ6:CCL6"/>
    <mergeCell ref="CFY6:CGA6"/>
    <mergeCell ref="CGB6:CGD6"/>
    <mergeCell ref="CGE6:CGG6"/>
    <mergeCell ref="CGH6:CGJ6"/>
    <mergeCell ref="CGK6:CGM6"/>
    <mergeCell ref="CFJ6:CFL6"/>
    <mergeCell ref="CFM6:CFO6"/>
    <mergeCell ref="CFP6:CFR6"/>
    <mergeCell ref="CFS6:CFU6"/>
    <mergeCell ref="CFV6:CFX6"/>
    <mergeCell ref="CEU6:CEW6"/>
    <mergeCell ref="CEX6:CEZ6"/>
    <mergeCell ref="CFA6:CFC6"/>
    <mergeCell ref="CFD6:CFF6"/>
    <mergeCell ref="CFG6:CFI6"/>
    <mergeCell ref="CEF6:CEH6"/>
    <mergeCell ref="CEI6:CEK6"/>
    <mergeCell ref="CEL6:CEN6"/>
    <mergeCell ref="CEO6:CEQ6"/>
    <mergeCell ref="CER6:CET6"/>
    <mergeCell ref="CIG6:CII6"/>
    <mergeCell ref="CIJ6:CIL6"/>
    <mergeCell ref="CIM6:CIO6"/>
    <mergeCell ref="CIP6:CIR6"/>
    <mergeCell ref="CIS6:CIU6"/>
    <mergeCell ref="CHR6:CHT6"/>
    <mergeCell ref="CHU6:CHW6"/>
    <mergeCell ref="CHX6:CHZ6"/>
    <mergeCell ref="CIA6:CIC6"/>
    <mergeCell ref="CID6:CIF6"/>
    <mergeCell ref="CHC6:CHE6"/>
    <mergeCell ref="CHF6:CHH6"/>
    <mergeCell ref="CHI6:CHK6"/>
    <mergeCell ref="CHL6:CHN6"/>
    <mergeCell ref="CHO6:CHQ6"/>
    <mergeCell ref="CGN6:CGP6"/>
    <mergeCell ref="CGQ6:CGS6"/>
    <mergeCell ref="CGT6:CGV6"/>
    <mergeCell ref="CGW6:CGY6"/>
    <mergeCell ref="CGZ6:CHB6"/>
    <mergeCell ref="CKO6:CKQ6"/>
    <mergeCell ref="CKR6:CKT6"/>
    <mergeCell ref="CKU6:CKW6"/>
    <mergeCell ref="CKX6:CKZ6"/>
    <mergeCell ref="CLA6:CLC6"/>
    <mergeCell ref="CJZ6:CKB6"/>
    <mergeCell ref="CKC6:CKE6"/>
    <mergeCell ref="CKF6:CKH6"/>
    <mergeCell ref="CKI6:CKK6"/>
    <mergeCell ref="CKL6:CKN6"/>
    <mergeCell ref="CJK6:CJM6"/>
    <mergeCell ref="CJN6:CJP6"/>
    <mergeCell ref="CJQ6:CJS6"/>
    <mergeCell ref="CJT6:CJV6"/>
    <mergeCell ref="CJW6:CJY6"/>
    <mergeCell ref="CIV6:CIX6"/>
    <mergeCell ref="CIY6:CJA6"/>
    <mergeCell ref="CJB6:CJD6"/>
    <mergeCell ref="CJE6:CJG6"/>
    <mergeCell ref="CJH6:CJJ6"/>
    <mergeCell ref="CMW6:CMY6"/>
    <mergeCell ref="CMZ6:CNB6"/>
    <mergeCell ref="CNC6:CNE6"/>
    <mergeCell ref="CNF6:CNH6"/>
    <mergeCell ref="CNI6:CNK6"/>
    <mergeCell ref="CMH6:CMJ6"/>
    <mergeCell ref="CMK6:CMM6"/>
    <mergeCell ref="CMN6:CMP6"/>
    <mergeCell ref="CMQ6:CMS6"/>
    <mergeCell ref="CMT6:CMV6"/>
    <mergeCell ref="CLS6:CLU6"/>
    <mergeCell ref="CLV6:CLX6"/>
    <mergeCell ref="CLY6:CMA6"/>
    <mergeCell ref="CMB6:CMD6"/>
    <mergeCell ref="CME6:CMG6"/>
    <mergeCell ref="CLD6:CLF6"/>
    <mergeCell ref="CLG6:CLI6"/>
    <mergeCell ref="CLJ6:CLL6"/>
    <mergeCell ref="CLM6:CLO6"/>
    <mergeCell ref="CLP6:CLR6"/>
    <mergeCell ref="CPE6:CPG6"/>
    <mergeCell ref="CPH6:CPJ6"/>
    <mergeCell ref="CPK6:CPM6"/>
    <mergeCell ref="CPN6:CPP6"/>
    <mergeCell ref="CPQ6:CPS6"/>
    <mergeCell ref="COP6:COR6"/>
    <mergeCell ref="COS6:COU6"/>
    <mergeCell ref="COV6:COX6"/>
    <mergeCell ref="COY6:CPA6"/>
    <mergeCell ref="CPB6:CPD6"/>
    <mergeCell ref="COA6:COC6"/>
    <mergeCell ref="COD6:COF6"/>
    <mergeCell ref="COG6:COI6"/>
    <mergeCell ref="COJ6:COL6"/>
    <mergeCell ref="COM6:COO6"/>
    <mergeCell ref="CNL6:CNN6"/>
    <mergeCell ref="CNO6:CNQ6"/>
    <mergeCell ref="CNR6:CNT6"/>
    <mergeCell ref="CNU6:CNW6"/>
    <mergeCell ref="CNX6:CNZ6"/>
    <mergeCell ref="CRM6:CRO6"/>
    <mergeCell ref="CRP6:CRR6"/>
    <mergeCell ref="CRS6:CRU6"/>
    <mergeCell ref="CRV6:CRX6"/>
    <mergeCell ref="CRY6:CSA6"/>
    <mergeCell ref="CQX6:CQZ6"/>
    <mergeCell ref="CRA6:CRC6"/>
    <mergeCell ref="CRD6:CRF6"/>
    <mergeCell ref="CRG6:CRI6"/>
    <mergeCell ref="CRJ6:CRL6"/>
    <mergeCell ref="CQI6:CQK6"/>
    <mergeCell ref="CQL6:CQN6"/>
    <mergeCell ref="CQO6:CQQ6"/>
    <mergeCell ref="CQR6:CQT6"/>
    <mergeCell ref="CQU6:CQW6"/>
    <mergeCell ref="CPT6:CPV6"/>
    <mergeCell ref="CPW6:CPY6"/>
    <mergeCell ref="CPZ6:CQB6"/>
    <mergeCell ref="CQC6:CQE6"/>
    <mergeCell ref="CQF6:CQH6"/>
    <mergeCell ref="CTU6:CTW6"/>
    <mergeCell ref="CTX6:CTZ6"/>
    <mergeCell ref="CUA6:CUC6"/>
    <mergeCell ref="CUD6:CUF6"/>
    <mergeCell ref="CUG6:CUI6"/>
    <mergeCell ref="CTF6:CTH6"/>
    <mergeCell ref="CTI6:CTK6"/>
    <mergeCell ref="CTL6:CTN6"/>
    <mergeCell ref="CTO6:CTQ6"/>
    <mergeCell ref="CTR6:CTT6"/>
    <mergeCell ref="CSQ6:CSS6"/>
    <mergeCell ref="CST6:CSV6"/>
    <mergeCell ref="CSW6:CSY6"/>
    <mergeCell ref="CSZ6:CTB6"/>
    <mergeCell ref="CTC6:CTE6"/>
    <mergeCell ref="CSB6:CSD6"/>
    <mergeCell ref="CSE6:CSG6"/>
    <mergeCell ref="CSH6:CSJ6"/>
    <mergeCell ref="CSK6:CSM6"/>
    <mergeCell ref="CSN6:CSP6"/>
    <mergeCell ref="CWC6:CWE6"/>
    <mergeCell ref="CWF6:CWH6"/>
    <mergeCell ref="CWI6:CWK6"/>
    <mergeCell ref="CWL6:CWN6"/>
    <mergeCell ref="CWO6:CWQ6"/>
    <mergeCell ref="CVN6:CVP6"/>
    <mergeCell ref="CVQ6:CVS6"/>
    <mergeCell ref="CVT6:CVV6"/>
    <mergeCell ref="CVW6:CVY6"/>
    <mergeCell ref="CVZ6:CWB6"/>
    <mergeCell ref="CUY6:CVA6"/>
    <mergeCell ref="CVB6:CVD6"/>
    <mergeCell ref="CVE6:CVG6"/>
    <mergeCell ref="CVH6:CVJ6"/>
    <mergeCell ref="CVK6:CVM6"/>
    <mergeCell ref="CUJ6:CUL6"/>
    <mergeCell ref="CUM6:CUO6"/>
    <mergeCell ref="CUP6:CUR6"/>
    <mergeCell ref="CUS6:CUU6"/>
    <mergeCell ref="CUV6:CUX6"/>
    <mergeCell ref="CYK6:CYM6"/>
    <mergeCell ref="CYN6:CYP6"/>
    <mergeCell ref="CYQ6:CYS6"/>
    <mergeCell ref="CYT6:CYV6"/>
    <mergeCell ref="CYW6:CYY6"/>
    <mergeCell ref="CXV6:CXX6"/>
    <mergeCell ref="CXY6:CYA6"/>
    <mergeCell ref="CYB6:CYD6"/>
    <mergeCell ref="CYE6:CYG6"/>
    <mergeCell ref="CYH6:CYJ6"/>
    <mergeCell ref="CXG6:CXI6"/>
    <mergeCell ref="CXJ6:CXL6"/>
    <mergeCell ref="CXM6:CXO6"/>
    <mergeCell ref="CXP6:CXR6"/>
    <mergeCell ref="CXS6:CXU6"/>
    <mergeCell ref="CWR6:CWT6"/>
    <mergeCell ref="CWU6:CWW6"/>
    <mergeCell ref="CWX6:CWZ6"/>
    <mergeCell ref="CXA6:CXC6"/>
    <mergeCell ref="CXD6:CXF6"/>
    <mergeCell ref="DAS6:DAU6"/>
    <mergeCell ref="DAV6:DAX6"/>
    <mergeCell ref="DAY6:DBA6"/>
    <mergeCell ref="DBB6:DBD6"/>
    <mergeCell ref="DBE6:DBG6"/>
    <mergeCell ref="DAD6:DAF6"/>
    <mergeCell ref="DAG6:DAI6"/>
    <mergeCell ref="DAJ6:DAL6"/>
    <mergeCell ref="DAM6:DAO6"/>
    <mergeCell ref="DAP6:DAR6"/>
    <mergeCell ref="CZO6:CZQ6"/>
    <mergeCell ref="CZR6:CZT6"/>
    <mergeCell ref="CZU6:CZW6"/>
    <mergeCell ref="CZX6:CZZ6"/>
    <mergeCell ref="DAA6:DAC6"/>
    <mergeCell ref="CYZ6:CZB6"/>
    <mergeCell ref="CZC6:CZE6"/>
    <mergeCell ref="CZF6:CZH6"/>
    <mergeCell ref="CZI6:CZK6"/>
    <mergeCell ref="CZL6:CZN6"/>
    <mergeCell ref="DDA6:DDC6"/>
    <mergeCell ref="DDD6:DDF6"/>
    <mergeCell ref="DDG6:DDI6"/>
    <mergeCell ref="DDJ6:DDL6"/>
    <mergeCell ref="DDM6:DDO6"/>
    <mergeCell ref="DCL6:DCN6"/>
    <mergeCell ref="DCO6:DCQ6"/>
    <mergeCell ref="DCR6:DCT6"/>
    <mergeCell ref="DCU6:DCW6"/>
    <mergeCell ref="DCX6:DCZ6"/>
    <mergeCell ref="DBW6:DBY6"/>
    <mergeCell ref="DBZ6:DCB6"/>
    <mergeCell ref="DCC6:DCE6"/>
    <mergeCell ref="DCF6:DCH6"/>
    <mergeCell ref="DCI6:DCK6"/>
    <mergeCell ref="DBH6:DBJ6"/>
    <mergeCell ref="DBK6:DBM6"/>
    <mergeCell ref="DBN6:DBP6"/>
    <mergeCell ref="DBQ6:DBS6"/>
    <mergeCell ref="DBT6:DBV6"/>
    <mergeCell ref="DFI6:DFK6"/>
    <mergeCell ref="DFL6:DFN6"/>
    <mergeCell ref="DFO6:DFQ6"/>
    <mergeCell ref="DFR6:DFT6"/>
    <mergeCell ref="DFU6:DFW6"/>
    <mergeCell ref="DET6:DEV6"/>
    <mergeCell ref="DEW6:DEY6"/>
    <mergeCell ref="DEZ6:DFB6"/>
    <mergeCell ref="DFC6:DFE6"/>
    <mergeCell ref="DFF6:DFH6"/>
    <mergeCell ref="DEE6:DEG6"/>
    <mergeCell ref="DEH6:DEJ6"/>
    <mergeCell ref="DEK6:DEM6"/>
    <mergeCell ref="DEN6:DEP6"/>
    <mergeCell ref="DEQ6:DES6"/>
    <mergeCell ref="DDP6:DDR6"/>
    <mergeCell ref="DDS6:DDU6"/>
    <mergeCell ref="DDV6:DDX6"/>
    <mergeCell ref="DDY6:DEA6"/>
    <mergeCell ref="DEB6:DED6"/>
    <mergeCell ref="DHQ6:DHS6"/>
    <mergeCell ref="DHT6:DHV6"/>
    <mergeCell ref="DHW6:DHY6"/>
    <mergeCell ref="DHZ6:DIB6"/>
    <mergeCell ref="DIC6:DIE6"/>
    <mergeCell ref="DHB6:DHD6"/>
    <mergeCell ref="DHE6:DHG6"/>
    <mergeCell ref="DHH6:DHJ6"/>
    <mergeCell ref="DHK6:DHM6"/>
    <mergeCell ref="DHN6:DHP6"/>
    <mergeCell ref="DGM6:DGO6"/>
    <mergeCell ref="DGP6:DGR6"/>
    <mergeCell ref="DGS6:DGU6"/>
    <mergeCell ref="DGV6:DGX6"/>
    <mergeCell ref="DGY6:DHA6"/>
    <mergeCell ref="DFX6:DFZ6"/>
    <mergeCell ref="DGA6:DGC6"/>
    <mergeCell ref="DGD6:DGF6"/>
    <mergeCell ref="DGG6:DGI6"/>
    <mergeCell ref="DGJ6:DGL6"/>
    <mergeCell ref="DJY6:DKA6"/>
    <mergeCell ref="DKB6:DKD6"/>
    <mergeCell ref="DKE6:DKG6"/>
    <mergeCell ref="DKH6:DKJ6"/>
    <mergeCell ref="DKK6:DKM6"/>
    <mergeCell ref="DJJ6:DJL6"/>
    <mergeCell ref="DJM6:DJO6"/>
    <mergeCell ref="DJP6:DJR6"/>
    <mergeCell ref="DJS6:DJU6"/>
    <mergeCell ref="DJV6:DJX6"/>
    <mergeCell ref="DIU6:DIW6"/>
    <mergeCell ref="DIX6:DIZ6"/>
    <mergeCell ref="DJA6:DJC6"/>
    <mergeCell ref="DJD6:DJF6"/>
    <mergeCell ref="DJG6:DJI6"/>
    <mergeCell ref="DIF6:DIH6"/>
    <mergeCell ref="DII6:DIK6"/>
    <mergeCell ref="DIL6:DIN6"/>
    <mergeCell ref="DIO6:DIQ6"/>
    <mergeCell ref="DIR6:DIT6"/>
    <mergeCell ref="DMG6:DMI6"/>
    <mergeCell ref="DMJ6:DML6"/>
    <mergeCell ref="DMM6:DMO6"/>
    <mergeCell ref="DMP6:DMR6"/>
    <mergeCell ref="DMS6:DMU6"/>
    <mergeCell ref="DLR6:DLT6"/>
    <mergeCell ref="DLU6:DLW6"/>
    <mergeCell ref="DLX6:DLZ6"/>
    <mergeCell ref="DMA6:DMC6"/>
    <mergeCell ref="DMD6:DMF6"/>
    <mergeCell ref="DLC6:DLE6"/>
    <mergeCell ref="DLF6:DLH6"/>
    <mergeCell ref="DLI6:DLK6"/>
    <mergeCell ref="DLL6:DLN6"/>
    <mergeCell ref="DLO6:DLQ6"/>
    <mergeCell ref="DKN6:DKP6"/>
    <mergeCell ref="DKQ6:DKS6"/>
    <mergeCell ref="DKT6:DKV6"/>
    <mergeCell ref="DKW6:DKY6"/>
    <mergeCell ref="DKZ6:DLB6"/>
    <mergeCell ref="DOO6:DOQ6"/>
    <mergeCell ref="DOR6:DOT6"/>
    <mergeCell ref="DOU6:DOW6"/>
    <mergeCell ref="DOX6:DOZ6"/>
    <mergeCell ref="DPA6:DPC6"/>
    <mergeCell ref="DNZ6:DOB6"/>
    <mergeCell ref="DOC6:DOE6"/>
    <mergeCell ref="DOF6:DOH6"/>
    <mergeCell ref="DOI6:DOK6"/>
    <mergeCell ref="DOL6:DON6"/>
    <mergeCell ref="DNK6:DNM6"/>
    <mergeCell ref="DNN6:DNP6"/>
    <mergeCell ref="DNQ6:DNS6"/>
    <mergeCell ref="DNT6:DNV6"/>
    <mergeCell ref="DNW6:DNY6"/>
    <mergeCell ref="DMV6:DMX6"/>
    <mergeCell ref="DMY6:DNA6"/>
    <mergeCell ref="DNB6:DND6"/>
    <mergeCell ref="DNE6:DNG6"/>
    <mergeCell ref="DNH6:DNJ6"/>
    <mergeCell ref="DQW6:DQY6"/>
    <mergeCell ref="DQZ6:DRB6"/>
    <mergeCell ref="DRC6:DRE6"/>
    <mergeCell ref="DRF6:DRH6"/>
    <mergeCell ref="DRI6:DRK6"/>
    <mergeCell ref="DQH6:DQJ6"/>
    <mergeCell ref="DQK6:DQM6"/>
    <mergeCell ref="DQN6:DQP6"/>
    <mergeCell ref="DQQ6:DQS6"/>
    <mergeCell ref="DQT6:DQV6"/>
    <mergeCell ref="DPS6:DPU6"/>
    <mergeCell ref="DPV6:DPX6"/>
    <mergeCell ref="DPY6:DQA6"/>
    <mergeCell ref="DQB6:DQD6"/>
    <mergeCell ref="DQE6:DQG6"/>
    <mergeCell ref="DPD6:DPF6"/>
    <mergeCell ref="DPG6:DPI6"/>
    <mergeCell ref="DPJ6:DPL6"/>
    <mergeCell ref="DPM6:DPO6"/>
    <mergeCell ref="DPP6:DPR6"/>
    <mergeCell ref="DTE6:DTG6"/>
    <mergeCell ref="DTH6:DTJ6"/>
    <mergeCell ref="DTK6:DTM6"/>
    <mergeCell ref="DTN6:DTP6"/>
    <mergeCell ref="DTQ6:DTS6"/>
    <mergeCell ref="DSP6:DSR6"/>
    <mergeCell ref="DSS6:DSU6"/>
    <mergeCell ref="DSV6:DSX6"/>
    <mergeCell ref="DSY6:DTA6"/>
    <mergeCell ref="DTB6:DTD6"/>
    <mergeCell ref="DSA6:DSC6"/>
    <mergeCell ref="DSD6:DSF6"/>
    <mergeCell ref="DSG6:DSI6"/>
    <mergeCell ref="DSJ6:DSL6"/>
    <mergeCell ref="DSM6:DSO6"/>
    <mergeCell ref="DRL6:DRN6"/>
    <mergeCell ref="DRO6:DRQ6"/>
    <mergeCell ref="DRR6:DRT6"/>
    <mergeCell ref="DRU6:DRW6"/>
    <mergeCell ref="DRX6:DRZ6"/>
    <mergeCell ref="DVM6:DVO6"/>
    <mergeCell ref="DVP6:DVR6"/>
    <mergeCell ref="DVS6:DVU6"/>
    <mergeCell ref="DVV6:DVX6"/>
    <mergeCell ref="DVY6:DWA6"/>
    <mergeCell ref="DUX6:DUZ6"/>
    <mergeCell ref="DVA6:DVC6"/>
    <mergeCell ref="DVD6:DVF6"/>
    <mergeCell ref="DVG6:DVI6"/>
    <mergeCell ref="DVJ6:DVL6"/>
    <mergeCell ref="DUI6:DUK6"/>
    <mergeCell ref="DUL6:DUN6"/>
    <mergeCell ref="DUO6:DUQ6"/>
    <mergeCell ref="DUR6:DUT6"/>
    <mergeCell ref="DUU6:DUW6"/>
    <mergeCell ref="DTT6:DTV6"/>
    <mergeCell ref="DTW6:DTY6"/>
    <mergeCell ref="DTZ6:DUB6"/>
    <mergeCell ref="DUC6:DUE6"/>
    <mergeCell ref="DUF6:DUH6"/>
    <mergeCell ref="DXU6:DXW6"/>
    <mergeCell ref="DXX6:DXZ6"/>
    <mergeCell ref="DYA6:DYC6"/>
    <mergeCell ref="DYD6:DYF6"/>
    <mergeCell ref="DYG6:DYI6"/>
    <mergeCell ref="DXF6:DXH6"/>
    <mergeCell ref="DXI6:DXK6"/>
    <mergeCell ref="DXL6:DXN6"/>
    <mergeCell ref="DXO6:DXQ6"/>
    <mergeCell ref="DXR6:DXT6"/>
    <mergeCell ref="DWQ6:DWS6"/>
    <mergeCell ref="DWT6:DWV6"/>
    <mergeCell ref="DWW6:DWY6"/>
    <mergeCell ref="DWZ6:DXB6"/>
    <mergeCell ref="DXC6:DXE6"/>
    <mergeCell ref="DWB6:DWD6"/>
    <mergeCell ref="DWE6:DWG6"/>
    <mergeCell ref="DWH6:DWJ6"/>
    <mergeCell ref="DWK6:DWM6"/>
    <mergeCell ref="DWN6:DWP6"/>
    <mergeCell ref="EAC6:EAE6"/>
    <mergeCell ref="EAF6:EAH6"/>
    <mergeCell ref="EAI6:EAK6"/>
    <mergeCell ref="EAL6:EAN6"/>
    <mergeCell ref="EAO6:EAQ6"/>
    <mergeCell ref="DZN6:DZP6"/>
    <mergeCell ref="DZQ6:DZS6"/>
    <mergeCell ref="DZT6:DZV6"/>
    <mergeCell ref="DZW6:DZY6"/>
    <mergeCell ref="DZZ6:EAB6"/>
    <mergeCell ref="DYY6:DZA6"/>
    <mergeCell ref="DZB6:DZD6"/>
    <mergeCell ref="DZE6:DZG6"/>
    <mergeCell ref="DZH6:DZJ6"/>
    <mergeCell ref="DZK6:DZM6"/>
    <mergeCell ref="DYJ6:DYL6"/>
    <mergeCell ref="DYM6:DYO6"/>
    <mergeCell ref="DYP6:DYR6"/>
    <mergeCell ref="DYS6:DYU6"/>
    <mergeCell ref="DYV6:DYX6"/>
    <mergeCell ref="ECK6:ECM6"/>
    <mergeCell ref="ECN6:ECP6"/>
    <mergeCell ref="ECQ6:ECS6"/>
    <mergeCell ref="ECT6:ECV6"/>
    <mergeCell ref="ECW6:ECY6"/>
    <mergeCell ref="EBV6:EBX6"/>
    <mergeCell ref="EBY6:ECA6"/>
    <mergeCell ref="ECB6:ECD6"/>
    <mergeCell ref="ECE6:ECG6"/>
    <mergeCell ref="ECH6:ECJ6"/>
    <mergeCell ref="EBG6:EBI6"/>
    <mergeCell ref="EBJ6:EBL6"/>
    <mergeCell ref="EBM6:EBO6"/>
    <mergeCell ref="EBP6:EBR6"/>
    <mergeCell ref="EBS6:EBU6"/>
    <mergeCell ref="EAR6:EAT6"/>
    <mergeCell ref="EAU6:EAW6"/>
    <mergeCell ref="EAX6:EAZ6"/>
    <mergeCell ref="EBA6:EBC6"/>
    <mergeCell ref="EBD6:EBF6"/>
    <mergeCell ref="EES6:EEU6"/>
    <mergeCell ref="EEV6:EEX6"/>
    <mergeCell ref="EEY6:EFA6"/>
    <mergeCell ref="EFB6:EFD6"/>
    <mergeCell ref="EFE6:EFG6"/>
    <mergeCell ref="EED6:EEF6"/>
    <mergeCell ref="EEG6:EEI6"/>
    <mergeCell ref="EEJ6:EEL6"/>
    <mergeCell ref="EEM6:EEO6"/>
    <mergeCell ref="EEP6:EER6"/>
    <mergeCell ref="EDO6:EDQ6"/>
    <mergeCell ref="EDR6:EDT6"/>
    <mergeCell ref="EDU6:EDW6"/>
    <mergeCell ref="EDX6:EDZ6"/>
    <mergeCell ref="EEA6:EEC6"/>
    <mergeCell ref="ECZ6:EDB6"/>
    <mergeCell ref="EDC6:EDE6"/>
    <mergeCell ref="EDF6:EDH6"/>
    <mergeCell ref="EDI6:EDK6"/>
    <mergeCell ref="EDL6:EDN6"/>
    <mergeCell ref="EHA6:EHC6"/>
    <mergeCell ref="EHD6:EHF6"/>
    <mergeCell ref="EHG6:EHI6"/>
    <mergeCell ref="EHJ6:EHL6"/>
    <mergeCell ref="EHM6:EHO6"/>
    <mergeCell ref="EGL6:EGN6"/>
    <mergeCell ref="EGO6:EGQ6"/>
    <mergeCell ref="EGR6:EGT6"/>
    <mergeCell ref="EGU6:EGW6"/>
    <mergeCell ref="EGX6:EGZ6"/>
    <mergeCell ref="EFW6:EFY6"/>
    <mergeCell ref="EFZ6:EGB6"/>
    <mergeCell ref="EGC6:EGE6"/>
    <mergeCell ref="EGF6:EGH6"/>
    <mergeCell ref="EGI6:EGK6"/>
    <mergeCell ref="EFH6:EFJ6"/>
    <mergeCell ref="EFK6:EFM6"/>
    <mergeCell ref="EFN6:EFP6"/>
    <mergeCell ref="EFQ6:EFS6"/>
    <mergeCell ref="EFT6:EFV6"/>
    <mergeCell ref="EJI6:EJK6"/>
    <mergeCell ref="EJL6:EJN6"/>
    <mergeCell ref="EJO6:EJQ6"/>
    <mergeCell ref="EJR6:EJT6"/>
    <mergeCell ref="EJU6:EJW6"/>
    <mergeCell ref="EIT6:EIV6"/>
    <mergeCell ref="EIW6:EIY6"/>
    <mergeCell ref="EIZ6:EJB6"/>
    <mergeCell ref="EJC6:EJE6"/>
    <mergeCell ref="EJF6:EJH6"/>
    <mergeCell ref="EIE6:EIG6"/>
    <mergeCell ref="EIH6:EIJ6"/>
    <mergeCell ref="EIK6:EIM6"/>
    <mergeCell ref="EIN6:EIP6"/>
    <mergeCell ref="EIQ6:EIS6"/>
    <mergeCell ref="EHP6:EHR6"/>
    <mergeCell ref="EHS6:EHU6"/>
    <mergeCell ref="EHV6:EHX6"/>
    <mergeCell ref="EHY6:EIA6"/>
    <mergeCell ref="EIB6:EID6"/>
    <mergeCell ref="ELQ6:ELS6"/>
    <mergeCell ref="ELT6:ELV6"/>
    <mergeCell ref="ELW6:ELY6"/>
    <mergeCell ref="ELZ6:EMB6"/>
    <mergeCell ref="EMC6:EME6"/>
    <mergeCell ref="ELB6:ELD6"/>
    <mergeCell ref="ELE6:ELG6"/>
    <mergeCell ref="ELH6:ELJ6"/>
    <mergeCell ref="ELK6:ELM6"/>
    <mergeCell ref="ELN6:ELP6"/>
    <mergeCell ref="EKM6:EKO6"/>
    <mergeCell ref="EKP6:EKR6"/>
    <mergeCell ref="EKS6:EKU6"/>
    <mergeCell ref="EKV6:EKX6"/>
    <mergeCell ref="EKY6:ELA6"/>
    <mergeCell ref="EJX6:EJZ6"/>
    <mergeCell ref="EKA6:EKC6"/>
    <mergeCell ref="EKD6:EKF6"/>
    <mergeCell ref="EKG6:EKI6"/>
    <mergeCell ref="EKJ6:EKL6"/>
    <mergeCell ref="ENY6:EOA6"/>
    <mergeCell ref="EOB6:EOD6"/>
    <mergeCell ref="EOE6:EOG6"/>
    <mergeCell ref="EOH6:EOJ6"/>
    <mergeCell ref="EOK6:EOM6"/>
    <mergeCell ref="ENJ6:ENL6"/>
    <mergeCell ref="ENM6:ENO6"/>
    <mergeCell ref="ENP6:ENR6"/>
    <mergeCell ref="ENS6:ENU6"/>
    <mergeCell ref="ENV6:ENX6"/>
    <mergeCell ref="EMU6:EMW6"/>
    <mergeCell ref="EMX6:EMZ6"/>
    <mergeCell ref="ENA6:ENC6"/>
    <mergeCell ref="END6:ENF6"/>
    <mergeCell ref="ENG6:ENI6"/>
    <mergeCell ref="EMF6:EMH6"/>
    <mergeCell ref="EMI6:EMK6"/>
    <mergeCell ref="EML6:EMN6"/>
    <mergeCell ref="EMO6:EMQ6"/>
    <mergeCell ref="EMR6:EMT6"/>
    <mergeCell ref="EQG6:EQI6"/>
    <mergeCell ref="EQJ6:EQL6"/>
    <mergeCell ref="EQM6:EQO6"/>
    <mergeCell ref="EQP6:EQR6"/>
    <mergeCell ref="EQS6:EQU6"/>
    <mergeCell ref="EPR6:EPT6"/>
    <mergeCell ref="EPU6:EPW6"/>
    <mergeCell ref="EPX6:EPZ6"/>
    <mergeCell ref="EQA6:EQC6"/>
    <mergeCell ref="EQD6:EQF6"/>
    <mergeCell ref="EPC6:EPE6"/>
    <mergeCell ref="EPF6:EPH6"/>
    <mergeCell ref="EPI6:EPK6"/>
    <mergeCell ref="EPL6:EPN6"/>
    <mergeCell ref="EPO6:EPQ6"/>
    <mergeCell ref="EON6:EOP6"/>
    <mergeCell ref="EOQ6:EOS6"/>
    <mergeCell ref="EOT6:EOV6"/>
    <mergeCell ref="EOW6:EOY6"/>
    <mergeCell ref="EOZ6:EPB6"/>
    <mergeCell ref="ESO6:ESQ6"/>
    <mergeCell ref="ESR6:EST6"/>
    <mergeCell ref="ESU6:ESW6"/>
    <mergeCell ref="ESX6:ESZ6"/>
    <mergeCell ref="ETA6:ETC6"/>
    <mergeCell ref="ERZ6:ESB6"/>
    <mergeCell ref="ESC6:ESE6"/>
    <mergeCell ref="ESF6:ESH6"/>
    <mergeCell ref="ESI6:ESK6"/>
    <mergeCell ref="ESL6:ESN6"/>
    <mergeCell ref="ERK6:ERM6"/>
    <mergeCell ref="ERN6:ERP6"/>
    <mergeCell ref="ERQ6:ERS6"/>
    <mergeCell ref="ERT6:ERV6"/>
    <mergeCell ref="ERW6:ERY6"/>
    <mergeCell ref="EQV6:EQX6"/>
    <mergeCell ref="EQY6:ERA6"/>
    <mergeCell ref="ERB6:ERD6"/>
    <mergeCell ref="ERE6:ERG6"/>
    <mergeCell ref="ERH6:ERJ6"/>
    <mergeCell ref="EUW6:EUY6"/>
    <mergeCell ref="EUZ6:EVB6"/>
    <mergeCell ref="EVC6:EVE6"/>
    <mergeCell ref="EVF6:EVH6"/>
    <mergeCell ref="EVI6:EVK6"/>
    <mergeCell ref="EUH6:EUJ6"/>
    <mergeCell ref="EUK6:EUM6"/>
    <mergeCell ref="EUN6:EUP6"/>
    <mergeCell ref="EUQ6:EUS6"/>
    <mergeCell ref="EUT6:EUV6"/>
    <mergeCell ref="ETS6:ETU6"/>
    <mergeCell ref="ETV6:ETX6"/>
    <mergeCell ref="ETY6:EUA6"/>
    <mergeCell ref="EUB6:EUD6"/>
    <mergeCell ref="EUE6:EUG6"/>
    <mergeCell ref="ETD6:ETF6"/>
    <mergeCell ref="ETG6:ETI6"/>
    <mergeCell ref="ETJ6:ETL6"/>
    <mergeCell ref="ETM6:ETO6"/>
    <mergeCell ref="ETP6:ETR6"/>
    <mergeCell ref="EXE6:EXG6"/>
    <mergeCell ref="EXH6:EXJ6"/>
    <mergeCell ref="EXK6:EXM6"/>
    <mergeCell ref="EXN6:EXP6"/>
    <mergeCell ref="EXQ6:EXS6"/>
    <mergeCell ref="EWP6:EWR6"/>
    <mergeCell ref="EWS6:EWU6"/>
    <mergeCell ref="EWV6:EWX6"/>
    <mergeCell ref="EWY6:EXA6"/>
    <mergeCell ref="EXB6:EXD6"/>
    <mergeCell ref="EWA6:EWC6"/>
    <mergeCell ref="EWD6:EWF6"/>
    <mergeCell ref="EWG6:EWI6"/>
    <mergeCell ref="EWJ6:EWL6"/>
    <mergeCell ref="EWM6:EWO6"/>
    <mergeCell ref="EVL6:EVN6"/>
    <mergeCell ref="EVO6:EVQ6"/>
    <mergeCell ref="EVR6:EVT6"/>
    <mergeCell ref="EVU6:EVW6"/>
    <mergeCell ref="EVX6:EVZ6"/>
    <mergeCell ref="EZM6:EZO6"/>
    <mergeCell ref="EZP6:EZR6"/>
    <mergeCell ref="EZS6:EZU6"/>
    <mergeCell ref="EZV6:EZX6"/>
    <mergeCell ref="EZY6:FAA6"/>
    <mergeCell ref="EYX6:EYZ6"/>
    <mergeCell ref="EZA6:EZC6"/>
    <mergeCell ref="EZD6:EZF6"/>
    <mergeCell ref="EZG6:EZI6"/>
    <mergeCell ref="EZJ6:EZL6"/>
    <mergeCell ref="EYI6:EYK6"/>
    <mergeCell ref="EYL6:EYN6"/>
    <mergeCell ref="EYO6:EYQ6"/>
    <mergeCell ref="EYR6:EYT6"/>
    <mergeCell ref="EYU6:EYW6"/>
    <mergeCell ref="EXT6:EXV6"/>
    <mergeCell ref="EXW6:EXY6"/>
    <mergeCell ref="EXZ6:EYB6"/>
    <mergeCell ref="EYC6:EYE6"/>
    <mergeCell ref="EYF6:EYH6"/>
    <mergeCell ref="FBU6:FBW6"/>
    <mergeCell ref="FBX6:FBZ6"/>
    <mergeCell ref="FCA6:FCC6"/>
    <mergeCell ref="FCD6:FCF6"/>
    <mergeCell ref="FCG6:FCI6"/>
    <mergeCell ref="FBF6:FBH6"/>
    <mergeCell ref="FBI6:FBK6"/>
    <mergeCell ref="FBL6:FBN6"/>
    <mergeCell ref="FBO6:FBQ6"/>
    <mergeCell ref="FBR6:FBT6"/>
    <mergeCell ref="FAQ6:FAS6"/>
    <mergeCell ref="FAT6:FAV6"/>
    <mergeCell ref="FAW6:FAY6"/>
    <mergeCell ref="FAZ6:FBB6"/>
    <mergeCell ref="FBC6:FBE6"/>
    <mergeCell ref="FAB6:FAD6"/>
    <mergeCell ref="FAE6:FAG6"/>
    <mergeCell ref="FAH6:FAJ6"/>
    <mergeCell ref="FAK6:FAM6"/>
    <mergeCell ref="FAN6:FAP6"/>
    <mergeCell ref="FEC6:FEE6"/>
    <mergeCell ref="FEF6:FEH6"/>
    <mergeCell ref="FEI6:FEK6"/>
    <mergeCell ref="FEL6:FEN6"/>
    <mergeCell ref="FEO6:FEQ6"/>
    <mergeCell ref="FDN6:FDP6"/>
    <mergeCell ref="FDQ6:FDS6"/>
    <mergeCell ref="FDT6:FDV6"/>
    <mergeCell ref="FDW6:FDY6"/>
    <mergeCell ref="FDZ6:FEB6"/>
    <mergeCell ref="FCY6:FDA6"/>
    <mergeCell ref="FDB6:FDD6"/>
    <mergeCell ref="FDE6:FDG6"/>
    <mergeCell ref="FDH6:FDJ6"/>
    <mergeCell ref="FDK6:FDM6"/>
    <mergeCell ref="FCJ6:FCL6"/>
    <mergeCell ref="FCM6:FCO6"/>
    <mergeCell ref="FCP6:FCR6"/>
    <mergeCell ref="FCS6:FCU6"/>
    <mergeCell ref="FCV6:FCX6"/>
    <mergeCell ref="FGK6:FGM6"/>
    <mergeCell ref="FGN6:FGP6"/>
    <mergeCell ref="FGQ6:FGS6"/>
    <mergeCell ref="FGT6:FGV6"/>
    <mergeCell ref="FGW6:FGY6"/>
    <mergeCell ref="FFV6:FFX6"/>
    <mergeCell ref="FFY6:FGA6"/>
    <mergeCell ref="FGB6:FGD6"/>
    <mergeCell ref="FGE6:FGG6"/>
    <mergeCell ref="FGH6:FGJ6"/>
    <mergeCell ref="FFG6:FFI6"/>
    <mergeCell ref="FFJ6:FFL6"/>
    <mergeCell ref="FFM6:FFO6"/>
    <mergeCell ref="FFP6:FFR6"/>
    <mergeCell ref="FFS6:FFU6"/>
    <mergeCell ref="FER6:FET6"/>
    <mergeCell ref="FEU6:FEW6"/>
    <mergeCell ref="FEX6:FEZ6"/>
    <mergeCell ref="FFA6:FFC6"/>
    <mergeCell ref="FFD6:FFF6"/>
    <mergeCell ref="FIS6:FIU6"/>
    <mergeCell ref="FIV6:FIX6"/>
    <mergeCell ref="FIY6:FJA6"/>
    <mergeCell ref="FJB6:FJD6"/>
    <mergeCell ref="FJE6:FJG6"/>
    <mergeCell ref="FID6:FIF6"/>
    <mergeCell ref="FIG6:FII6"/>
    <mergeCell ref="FIJ6:FIL6"/>
    <mergeCell ref="FIM6:FIO6"/>
    <mergeCell ref="FIP6:FIR6"/>
    <mergeCell ref="FHO6:FHQ6"/>
    <mergeCell ref="FHR6:FHT6"/>
    <mergeCell ref="FHU6:FHW6"/>
    <mergeCell ref="FHX6:FHZ6"/>
    <mergeCell ref="FIA6:FIC6"/>
    <mergeCell ref="FGZ6:FHB6"/>
    <mergeCell ref="FHC6:FHE6"/>
    <mergeCell ref="FHF6:FHH6"/>
    <mergeCell ref="FHI6:FHK6"/>
    <mergeCell ref="FHL6:FHN6"/>
    <mergeCell ref="FLA6:FLC6"/>
    <mergeCell ref="FLD6:FLF6"/>
    <mergeCell ref="FLG6:FLI6"/>
    <mergeCell ref="FLJ6:FLL6"/>
    <mergeCell ref="FLM6:FLO6"/>
    <mergeCell ref="FKL6:FKN6"/>
    <mergeCell ref="FKO6:FKQ6"/>
    <mergeCell ref="FKR6:FKT6"/>
    <mergeCell ref="FKU6:FKW6"/>
    <mergeCell ref="FKX6:FKZ6"/>
    <mergeCell ref="FJW6:FJY6"/>
    <mergeCell ref="FJZ6:FKB6"/>
    <mergeCell ref="FKC6:FKE6"/>
    <mergeCell ref="FKF6:FKH6"/>
    <mergeCell ref="FKI6:FKK6"/>
    <mergeCell ref="FJH6:FJJ6"/>
    <mergeCell ref="FJK6:FJM6"/>
    <mergeCell ref="FJN6:FJP6"/>
    <mergeCell ref="FJQ6:FJS6"/>
    <mergeCell ref="FJT6:FJV6"/>
    <mergeCell ref="FNI6:FNK6"/>
    <mergeCell ref="FNL6:FNN6"/>
    <mergeCell ref="FNO6:FNQ6"/>
    <mergeCell ref="FNR6:FNT6"/>
    <mergeCell ref="FNU6:FNW6"/>
    <mergeCell ref="FMT6:FMV6"/>
    <mergeCell ref="FMW6:FMY6"/>
    <mergeCell ref="FMZ6:FNB6"/>
    <mergeCell ref="FNC6:FNE6"/>
    <mergeCell ref="FNF6:FNH6"/>
    <mergeCell ref="FME6:FMG6"/>
    <mergeCell ref="FMH6:FMJ6"/>
    <mergeCell ref="FMK6:FMM6"/>
    <mergeCell ref="FMN6:FMP6"/>
    <mergeCell ref="FMQ6:FMS6"/>
    <mergeCell ref="FLP6:FLR6"/>
    <mergeCell ref="FLS6:FLU6"/>
    <mergeCell ref="FLV6:FLX6"/>
    <mergeCell ref="FLY6:FMA6"/>
    <mergeCell ref="FMB6:FMD6"/>
    <mergeCell ref="FPQ6:FPS6"/>
    <mergeCell ref="FPT6:FPV6"/>
    <mergeCell ref="FPW6:FPY6"/>
    <mergeCell ref="FPZ6:FQB6"/>
    <mergeCell ref="FQC6:FQE6"/>
    <mergeCell ref="FPB6:FPD6"/>
    <mergeCell ref="FPE6:FPG6"/>
    <mergeCell ref="FPH6:FPJ6"/>
    <mergeCell ref="FPK6:FPM6"/>
    <mergeCell ref="FPN6:FPP6"/>
    <mergeCell ref="FOM6:FOO6"/>
    <mergeCell ref="FOP6:FOR6"/>
    <mergeCell ref="FOS6:FOU6"/>
    <mergeCell ref="FOV6:FOX6"/>
    <mergeCell ref="FOY6:FPA6"/>
    <mergeCell ref="FNX6:FNZ6"/>
    <mergeCell ref="FOA6:FOC6"/>
    <mergeCell ref="FOD6:FOF6"/>
    <mergeCell ref="FOG6:FOI6"/>
    <mergeCell ref="FOJ6:FOL6"/>
    <mergeCell ref="FRY6:FSA6"/>
    <mergeCell ref="FSB6:FSD6"/>
    <mergeCell ref="FSE6:FSG6"/>
    <mergeCell ref="FSH6:FSJ6"/>
    <mergeCell ref="FSK6:FSM6"/>
    <mergeCell ref="FRJ6:FRL6"/>
    <mergeCell ref="FRM6:FRO6"/>
    <mergeCell ref="FRP6:FRR6"/>
    <mergeCell ref="FRS6:FRU6"/>
    <mergeCell ref="FRV6:FRX6"/>
    <mergeCell ref="FQU6:FQW6"/>
    <mergeCell ref="FQX6:FQZ6"/>
    <mergeCell ref="FRA6:FRC6"/>
    <mergeCell ref="FRD6:FRF6"/>
    <mergeCell ref="FRG6:FRI6"/>
    <mergeCell ref="FQF6:FQH6"/>
    <mergeCell ref="FQI6:FQK6"/>
    <mergeCell ref="FQL6:FQN6"/>
    <mergeCell ref="FQO6:FQQ6"/>
    <mergeCell ref="FQR6:FQT6"/>
    <mergeCell ref="FUG6:FUI6"/>
    <mergeCell ref="FUJ6:FUL6"/>
    <mergeCell ref="FUM6:FUO6"/>
    <mergeCell ref="FUP6:FUR6"/>
    <mergeCell ref="FUS6:FUU6"/>
    <mergeCell ref="FTR6:FTT6"/>
    <mergeCell ref="FTU6:FTW6"/>
    <mergeCell ref="FTX6:FTZ6"/>
    <mergeCell ref="FUA6:FUC6"/>
    <mergeCell ref="FUD6:FUF6"/>
    <mergeCell ref="FTC6:FTE6"/>
    <mergeCell ref="FTF6:FTH6"/>
    <mergeCell ref="FTI6:FTK6"/>
    <mergeCell ref="FTL6:FTN6"/>
    <mergeCell ref="FTO6:FTQ6"/>
    <mergeCell ref="FSN6:FSP6"/>
    <mergeCell ref="FSQ6:FSS6"/>
    <mergeCell ref="FST6:FSV6"/>
    <mergeCell ref="FSW6:FSY6"/>
    <mergeCell ref="FSZ6:FTB6"/>
    <mergeCell ref="FWO6:FWQ6"/>
    <mergeCell ref="FWR6:FWT6"/>
    <mergeCell ref="FWU6:FWW6"/>
    <mergeCell ref="FWX6:FWZ6"/>
    <mergeCell ref="FXA6:FXC6"/>
    <mergeCell ref="FVZ6:FWB6"/>
    <mergeCell ref="FWC6:FWE6"/>
    <mergeCell ref="FWF6:FWH6"/>
    <mergeCell ref="FWI6:FWK6"/>
    <mergeCell ref="FWL6:FWN6"/>
    <mergeCell ref="FVK6:FVM6"/>
    <mergeCell ref="FVN6:FVP6"/>
    <mergeCell ref="FVQ6:FVS6"/>
    <mergeCell ref="FVT6:FVV6"/>
    <mergeCell ref="FVW6:FVY6"/>
    <mergeCell ref="FUV6:FUX6"/>
    <mergeCell ref="FUY6:FVA6"/>
    <mergeCell ref="FVB6:FVD6"/>
    <mergeCell ref="FVE6:FVG6"/>
    <mergeCell ref="FVH6:FVJ6"/>
    <mergeCell ref="FYW6:FYY6"/>
    <mergeCell ref="FYZ6:FZB6"/>
    <mergeCell ref="FZC6:FZE6"/>
    <mergeCell ref="FZF6:FZH6"/>
    <mergeCell ref="FZI6:FZK6"/>
    <mergeCell ref="FYH6:FYJ6"/>
    <mergeCell ref="FYK6:FYM6"/>
    <mergeCell ref="FYN6:FYP6"/>
    <mergeCell ref="FYQ6:FYS6"/>
    <mergeCell ref="FYT6:FYV6"/>
    <mergeCell ref="FXS6:FXU6"/>
    <mergeCell ref="FXV6:FXX6"/>
    <mergeCell ref="FXY6:FYA6"/>
    <mergeCell ref="FYB6:FYD6"/>
    <mergeCell ref="FYE6:FYG6"/>
    <mergeCell ref="FXD6:FXF6"/>
    <mergeCell ref="FXG6:FXI6"/>
    <mergeCell ref="FXJ6:FXL6"/>
    <mergeCell ref="FXM6:FXO6"/>
    <mergeCell ref="FXP6:FXR6"/>
    <mergeCell ref="GBE6:GBG6"/>
    <mergeCell ref="GBH6:GBJ6"/>
    <mergeCell ref="GBK6:GBM6"/>
    <mergeCell ref="GBN6:GBP6"/>
    <mergeCell ref="GBQ6:GBS6"/>
    <mergeCell ref="GAP6:GAR6"/>
    <mergeCell ref="GAS6:GAU6"/>
    <mergeCell ref="GAV6:GAX6"/>
    <mergeCell ref="GAY6:GBA6"/>
    <mergeCell ref="GBB6:GBD6"/>
    <mergeCell ref="GAA6:GAC6"/>
    <mergeCell ref="GAD6:GAF6"/>
    <mergeCell ref="GAG6:GAI6"/>
    <mergeCell ref="GAJ6:GAL6"/>
    <mergeCell ref="GAM6:GAO6"/>
    <mergeCell ref="FZL6:FZN6"/>
    <mergeCell ref="FZO6:FZQ6"/>
    <mergeCell ref="FZR6:FZT6"/>
    <mergeCell ref="FZU6:FZW6"/>
    <mergeCell ref="FZX6:FZZ6"/>
    <mergeCell ref="GDM6:GDO6"/>
    <mergeCell ref="GDP6:GDR6"/>
    <mergeCell ref="GDS6:GDU6"/>
    <mergeCell ref="GDV6:GDX6"/>
    <mergeCell ref="GDY6:GEA6"/>
    <mergeCell ref="GCX6:GCZ6"/>
    <mergeCell ref="GDA6:GDC6"/>
    <mergeCell ref="GDD6:GDF6"/>
    <mergeCell ref="GDG6:GDI6"/>
    <mergeCell ref="GDJ6:GDL6"/>
    <mergeCell ref="GCI6:GCK6"/>
    <mergeCell ref="GCL6:GCN6"/>
    <mergeCell ref="GCO6:GCQ6"/>
    <mergeCell ref="GCR6:GCT6"/>
    <mergeCell ref="GCU6:GCW6"/>
    <mergeCell ref="GBT6:GBV6"/>
    <mergeCell ref="GBW6:GBY6"/>
    <mergeCell ref="GBZ6:GCB6"/>
    <mergeCell ref="GCC6:GCE6"/>
    <mergeCell ref="GCF6:GCH6"/>
    <mergeCell ref="GFU6:GFW6"/>
    <mergeCell ref="GFX6:GFZ6"/>
    <mergeCell ref="GGA6:GGC6"/>
    <mergeCell ref="GGD6:GGF6"/>
    <mergeCell ref="GGG6:GGI6"/>
    <mergeCell ref="GFF6:GFH6"/>
    <mergeCell ref="GFI6:GFK6"/>
    <mergeCell ref="GFL6:GFN6"/>
    <mergeCell ref="GFO6:GFQ6"/>
    <mergeCell ref="GFR6:GFT6"/>
    <mergeCell ref="GEQ6:GES6"/>
    <mergeCell ref="GET6:GEV6"/>
    <mergeCell ref="GEW6:GEY6"/>
    <mergeCell ref="GEZ6:GFB6"/>
    <mergeCell ref="GFC6:GFE6"/>
    <mergeCell ref="GEB6:GED6"/>
    <mergeCell ref="GEE6:GEG6"/>
    <mergeCell ref="GEH6:GEJ6"/>
    <mergeCell ref="GEK6:GEM6"/>
    <mergeCell ref="GEN6:GEP6"/>
    <mergeCell ref="GIC6:GIE6"/>
    <mergeCell ref="GIF6:GIH6"/>
    <mergeCell ref="GII6:GIK6"/>
    <mergeCell ref="GIL6:GIN6"/>
    <mergeCell ref="GIO6:GIQ6"/>
    <mergeCell ref="GHN6:GHP6"/>
    <mergeCell ref="GHQ6:GHS6"/>
    <mergeCell ref="GHT6:GHV6"/>
    <mergeCell ref="GHW6:GHY6"/>
    <mergeCell ref="GHZ6:GIB6"/>
    <mergeCell ref="GGY6:GHA6"/>
    <mergeCell ref="GHB6:GHD6"/>
    <mergeCell ref="GHE6:GHG6"/>
    <mergeCell ref="GHH6:GHJ6"/>
    <mergeCell ref="GHK6:GHM6"/>
    <mergeCell ref="GGJ6:GGL6"/>
    <mergeCell ref="GGM6:GGO6"/>
    <mergeCell ref="GGP6:GGR6"/>
    <mergeCell ref="GGS6:GGU6"/>
    <mergeCell ref="GGV6:GGX6"/>
    <mergeCell ref="GKK6:GKM6"/>
    <mergeCell ref="GKN6:GKP6"/>
    <mergeCell ref="GKQ6:GKS6"/>
    <mergeCell ref="GKT6:GKV6"/>
    <mergeCell ref="GKW6:GKY6"/>
    <mergeCell ref="GJV6:GJX6"/>
    <mergeCell ref="GJY6:GKA6"/>
    <mergeCell ref="GKB6:GKD6"/>
    <mergeCell ref="GKE6:GKG6"/>
    <mergeCell ref="GKH6:GKJ6"/>
    <mergeCell ref="GJG6:GJI6"/>
    <mergeCell ref="GJJ6:GJL6"/>
    <mergeCell ref="GJM6:GJO6"/>
    <mergeCell ref="GJP6:GJR6"/>
    <mergeCell ref="GJS6:GJU6"/>
    <mergeCell ref="GIR6:GIT6"/>
    <mergeCell ref="GIU6:GIW6"/>
    <mergeCell ref="GIX6:GIZ6"/>
    <mergeCell ref="GJA6:GJC6"/>
    <mergeCell ref="GJD6:GJF6"/>
    <mergeCell ref="GMS6:GMU6"/>
    <mergeCell ref="GMV6:GMX6"/>
    <mergeCell ref="GMY6:GNA6"/>
    <mergeCell ref="GNB6:GND6"/>
    <mergeCell ref="GNE6:GNG6"/>
    <mergeCell ref="GMD6:GMF6"/>
    <mergeCell ref="GMG6:GMI6"/>
    <mergeCell ref="GMJ6:GML6"/>
    <mergeCell ref="GMM6:GMO6"/>
    <mergeCell ref="GMP6:GMR6"/>
    <mergeCell ref="GLO6:GLQ6"/>
    <mergeCell ref="GLR6:GLT6"/>
    <mergeCell ref="GLU6:GLW6"/>
    <mergeCell ref="GLX6:GLZ6"/>
    <mergeCell ref="GMA6:GMC6"/>
    <mergeCell ref="GKZ6:GLB6"/>
    <mergeCell ref="GLC6:GLE6"/>
    <mergeCell ref="GLF6:GLH6"/>
    <mergeCell ref="GLI6:GLK6"/>
    <mergeCell ref="GLL6:GLN6"/>
    <mergeCell ref="GPA6:GPC6"/>
    <mergeCell ref="GPD6:GPF6"/>
    <mergeCell ref="GPG6:GPI6"/>
    <mergeCell ref="GPJ6:GPL6"/>
    <mergeCell ref="GPM6:GPO6"/>
    <mergeCell ref="GOL6:GON6"/>
    <mergeCell ref="GOO6:GOQ6"/>
    <mergeCell ref="GOR6:GOT6"/>
    <mergeCell ref="GOU6:GOW6"/>
    <mergeCell ref="GOX6:GOZ6"/>
    <mergeCell ref="GNW6:GNY6"/>
    <mergeCell ref="GNZ6:GOB6"/>
    <mergeCell ref="GOC6:GOE6"/>
    <mergeCell ref="GOF6:GOH6"/>
    <mergeCell ref="GOI6:GOK6"/>
    <mergeCell ref="GNH6:GNJ6"/>
    <mergeCell ref="GNK6:GNM6"/>
    <mergeCell ref="GNN6:GNP6"/>
    <mergeCell ref="GNQ6:GNS6"/>
    <mergeCell ref="GNT6:GNV6"/>
    <mergeCell ref="GRI6:GRK6"/>
    <mergeCell ref="GRL6:GRN6"/>
    <mergeCell ref="GRO6:GRQ6"/>
    <mergeCell ref="GRR6:GRT6"/>
    <mergeCell ref="GRU6:GRW6"/>
    <mergeCell ref="GQT6:GQV6"/>
    <mergeCell ref="GQW6:GQY6"/>
    <mergeCell ref="GQZ6:GRB6"/>
    <mergeCell ref="GRC6:GRE6"/>
    <mergeCell ref="GRF6:GRH6"/>
    <mergeCell ref="GQE6:GQG6"/>
    <mergeCell ref="GQH6:GQJ6"/>
    <mergeCell ref="GQK6:GQM6"/>
    <mergeCell ref="GQN6:GQP6"/>
    <mergeCell ref="GQQ6:GQS6"/>
    <mergeCell ref="GPP6:GPR6"/>
    <mergeCell ref="GPS6:GPU6"/>
    <mergeCell ref="GPV6:GPX6"/>
    <mergeCell ref="GPY6:GQA6"/>
    <mergeCell ref="GQB6:GQD6"/>
    <mergeCell ref="GTQ6:GTS6"/>
    <mergeCell ref="GTT6:GTV6"/>
    <mergeCell ref="GTW6:GTY6"/>
    <mergeCell ref="GTZ6:GUB6"/>
    <mergeCell ref="GUC6:GUE6"/>
    <mergeCell ref="GTB6:GTD6"/>
    <mergeCell ref="GTE6:GTG6"/>
    <mergeCell ref="GTH6:GTJ6"/>
    <mergeCell ref="GTK6:GTM6"/>
    <mergeCell ref="GTN6:GTP6"/>
    <mergeCell ref="GSM6:GSO6"/>
    <mergeCell ref="GSP6:GSR6"/>
    <mergeCell ref="GSS6:GSU6"/>
    <mergeCell ref="GSV6:GSX6"/>
    <mergeCell ref="GSY6:GTA6"/>
    <mergeCell ref="GRX6:GRZ6"/>
    <mergeCell ref="GSA6:GSC6"/>
    <mergeCell ref="GSD6:GSF6"/>
    <mergeCell ref="GSG6:GSI6"/>
    <mergeCell ref="GSJ6:GSL6"/>
    <mergeCell ref="GVY6:GWA6"/>
    <mergeCell ref="GWB6:GWD6"/>
    <mergeCell ref="GWE6:GWG6"/>
    <mergeCell ref="GWH6:GWJ6"/>
    <mergeCell ref="GWK6:GWM6"/>
    <mergeCell ref="GVJ6:GVL6"/>
    <mergeCell ref="GVM6:GVO6"/>
    <mergeCell ref="GVP6:GVR6"/>
    <mergeCell ref="GVS6:GVU6"/>
    <mergeCell ref="GVV6:GVX6"/>
    <mergeCell ref="GUU6:GUW6"/>
    <mergeCell ref="GUX6:GUZ6"/>
    <mergeCell ref="GVA6:GVC6"/>
    <mergeCell ref="GVD6:GVF6"/>
    <mergeCell ref="GVG6:GVI6"/>
    <mergeCell ref="GUF6:GUH6"/>
    <mergeCell ref="GUI6:GUK6"/>
    <mergeCell ref="GUL6:GUN6"/>
    <mergeCell ref="GUO6:GUQ6"/>
    <mergeCell ref="GUR6:GUT6"/>
    <mergeCell ref="GYG6:GYI6"/>
    <mergeCell ref="GYJ6:GYL6"/>
    <mergeCell ref="GYM6:GYO6"/>
    <mergeCell ref="GYP6:GYR6"/>
    <mergeCell ref="GYS6:GYU6"/>
    <mergeCell ref="GXR6:GXT6"/>
    <mergeCell ref="GXU6:GXW6"/>
    <mergeCell ref="GXX6:GXZ6"/>
    <mergeCell ref="GYA6:GYC6"/>
    <mergeCell ref="GYD6:GYF6"/>
    <mergeCell ref="GXC6:GXE6"/>
    <mergeCell ref="GXF6:GXH6"/>
    <mergeCell ref="GXI6:GXK6"/>
    <mergeCell ref="GXL6:GXN6"/>
    <mergeCell ref="GXO6:GXQ6"/>
    <mergeCell ref="GWN6:GWP6"/>
    <mergeCell ref="GWQ6:GWS6"/>
    <mergeCell ref="GWT6:GWV6"/>
    <mergeCell ref="GWW6:GWY6"/>
    <mergeCell ref="GWZ6:GXB6"/>
    <mergeCell ref="HAO6:HAQ6"/>
    <mergeCell ref="HAR6:HAT6"/>
    <mergeCell ref="HAU6:HAW6"/>
    <mergeCell ref="HAX6:HAZ6"/>
    <mergeCell ref="HBA6:HBC6"/>
    <mergeCell ref="GZZ6:HAB6"/>
    <mergeCell ref="HAC6:HAE6"/>
    <mergeCell ref="HAF6:HAH6"/>
    <mergeCell ref="HAI6:HAK6"/>
    <mergeCell ref="HAL6:HAN6"/>
    <mergeCell ref="GZK6:GZM6"/>
    <mergeCell ref="GZN6:GZP6"/>
    <mergeCell ref="GZQ6:GZS6"/>
    <mergeCell ref="GZT6:GZV6"/>
    <mergeCell ref="GZW6:GZY6"/>
    <mergeCell ref="GYV6:GYX6"/>
    <mergeCell ref="GYY6:GZA6"/>
    <mergeCell ref="GZB6:GZD6"/>
    <mergeCell ref="GZE6:GZG6"/>
    <mergeCell ref="GZH6:GZJ6"/>
    <mergeCell ref="HCW6:HCY6"/>
    <mergeCell ref="HCZ6:HDB6"/>
    <mergeCell ref="HDC6:HDE6"/>
    <mergeCell ref="HDF6:HDH6"/>
    <mergeCell ref="HDI6:HDK6"/>
    <mergeCell ref="HCH6:HCJ6"/>
    <mergeCell ref="HCK6:HCM6"/>
    <mergeCell ref="HCN6:HCP6"/>
    <mergeCell ref="HCQ6:HCS6"/>
    <mergeCell ref="HCT6:HCV6"/>
    <mergeCell ref="HBS6:HBU6"/>
    <mergeCell ref="HBV6:HBX6"/>
    <mergeCell ref="HBY6:HCA6"/>
    <mergeCell ref="HCB6:HCD6"/>
    <mergeCell ref="HCE6:HCG6"/>
    <mergeCell ref="HBD6:HBF6"/>
    <mergeCell ref="HBG6:HBI6"/>
    <mergeCell ref="HBJ6:HBL6"/>
    <mergeCell ref="HBM6:HBO6"/>
    <mergeCell ref="HBP6:HBR6"/>
    <mergeCell ref="HFE6:HFG6"/>
    <mergeCell ref="HFH6:HFJ6"/>
    <mergeCell ref="HFK6:HFM6"/>
    <mergeCell ref="HFN6:HFP6"/>
    <mergeCell ref="HFQ6:HFS6"/>
    <mergeCell ref="HEP6:HER6"/>
    <mergeCell ref="HES6:HEU6"/>
    <mergeCell ref="HEV6:HEX6"/>
    <mergeCell ref="HEY6:HFA6"/>
    <mergeCell ref="HFB6:HFD6"/>
    <mergeCell ref="HEA6:HEC6"/>
    <mergeCell ref="HED6:HEF6"/>
    <mergeCell ref="HEG6:HEI6"/>
    <mergeCell ref="HEJ6:HEL6"/>
    <mergeCell ref="HEM6:HEO6"/>
    <mergeCell ref="HDL6:HDN6"/>
    <mergeCell ref="HDO6:HDQ6"/>
    <mergeCell ref="HDR6:HDT6"/>
    <mergeCell ref="HDU6:HDW6"/>
    <mergeCell ref="HDX6:HDZ6"/>
    <mergeCell ref="HHM6:HHO6"/>
    <mergeCell ref="HHP6:HHR6"/>
    <mergeCell ref="HHS6:HHU6"/>
    <mergeCell ref="HHV6:HHX6"/>
    <mergeCell ref="HHY6:HIA6"/>
    <mergeCell ref="HGX6:HGZ6"/>
    <mergeCell ref="HHA6:HHC6"/>
    <mergeCell ref="HHD6:HHF6"/>
    <mergeCell ref="HHG6:HHI6"/>
    <mergeCell ref="HHJ6:HHL6"/>
    <mergeCell ref="HGI6:HGK6"/>
    <mergeCell ref="HGL6:HGN6"/>
    <mergeCell ref="HGO6:HGQ6"/>
    <mergeCell ref="HGR6:HGT6"/>
    <mergeCell ref="HGU6:HGW6"/>
    <mergeCell ref="HFT6:HFV6"/>
    <mergeCell ref="HFW6:HFY6"/>
    <mergeCell ref="HFZ6:HGB6"/>
    <mergeCell ref="HGC6:HGE6"/>
    <mergeCell ref="HGF6:HGH6"/>
    <mergeCell ref="HJU6:HJW6"/>
    <mergeCell ref="HJX6:HJZ6"/>
    <mergeCell ref="HKA6:HKC6"/>
    <mergeCell ref="HKD6:HKF6"/>
    <mergeCell ref="HKG6:HKI6"/>
    <mergeCell ref="HJF6:HJH6"/>
    <mergeCell ref="HJI6:HJK6"/>
    <mergeCell ref="HJL6:HJN6"/>
    <mergeCell ref="HJO6:HJQ6"/>
    <mergeCell ref="HJR6:HJT6"/>
    <mergeCell ref="HIQ6:HIS6"/>
    <mergeCell ref="HIT6:HIV6"/>
    <mergeCell ref="HIW6:HIY6"/>
    <mergeCell ref="HIZ6:HJB6"/>
    <mergeCell ref="HJC6:HJE6"/>
    <mergeCell ref="HIB6:HID6"/>
    <mergeCell ref="HIE6:HIG6"/>
    <mergeCell ref="HIH6:HIJ6"/>
    <mergeCell ref="HIK6:HIM6"/>
    <mergeCell ref="HIN6:HIP6"/>
    <mergeCell ref="HMC6:HME6"/>
    <mergeCell ref="HMF6:HMH6"/>
    <mergeCell ref="HMI6:HMK6"/>
    <mergeCell ref="HML6:HMN6"/>
    <mergeCell ref="HMO6:HMQ6"/>
    <mergeCell ref="HLN6:HLP6"/>
    <mergeCell ref="HLQ6:HLS6"/>
    <mergeCell ref="HLT6:HLV6"/>
    <mergeCell ref="HLW6:HLY6"/>
    <mergeCell ref="HLZ6:HMB6"/>
    <mergeCell ref="HKY6:HLA6"/>
    <mergeCell ref="HLB6:HLD6"/>
    <mergeCell ref="HLE6:HLG6"/>
    <mergeCell ref="HLH6:HLJ6"/>
    <mergeCell ref="HLK6:HLM6"/>
    <mergeCell ref="HKJ6:HKL6"/>
    <mergeCell ref="HKM6:HKO6"/>
    <mergeCell ref="HKP6:HKR6"/>
    <mergeCell ref="HKS6:HKU6"/>
    <mergeCell ref="HKV6:HKX6"/>
    <mergeCell ref="HOK6:HOM6"/>
    <mergeCell ref="HON6:HOP6"/>
    <mergeCell ref="HOQ6:HOS6"/>
    <mergeCell ref="HOT6:HOV6"/>
    <mergeCell ref="HOW6:HOY6"/>
    <mergeCell ref="HNV6:HNX6"/>
    <mergeCell ref="HNY6:HOA6"/>
    <mergeCell ref="HOB6:HOD6"/>
    <mergeCell ref="HOE6:HOG6"/>
    <mergeCell ref="HOH6:HOJ6"/>
    <mergeCell ref="HNG6:HNI6"/>
    <mergeCell ref="HNJ6:HNL6"/>
    <mergeCell ref="HNM6:HNO6"/>
    <mergeCell ref="HNP6:HNR6"/>
    <mergeCell ref="HNS6:HNU6"/>
    <mergeCell ref="HMR6:HMT6"/>
    <mergeCell ref="HMU6:HMW6"/>
    <mergeCell ref="HMX6:HMZ6"/>
    <mergeCell ref="HNA6:HNC6"/>
    <mergeCell ref="HND6:HNF6"/>
    <mergeCell ref="HQS6:HQU6"/>
    <mergeCell ref="HQV6:HQX6"/>
    <mergeCell ref="HQY6:HRA6"/>
    <mergeCell ref="HRB6:HRD6"/>
    <mergeCell ref="HRE6:HRG6"/>
    <mergeCell ref="HQD6:HQF6"/>
    <mergeCell ref="HQG6:HQI6"/>
    <mergeCell ref="HQJ6:HQL6"/>
    <mergeCell ref="HQM6:HQO6"/>
    <mergeCell ref="HQP6:HQR6"/>
    <mergeCell ref="HPO6:HPQ6"/>
    <mergeCell ref="HPR6:HPT6"/>
    <mergeCell ref="HPU6:HPW6"/>
    <mergeCell ref="HPX6:HPZ6"/>
    <mergeCell ref="HQA6:HQC6"/>
    <mergeCell ref="HOZ6:HPB6"/>
    <mergeCell ref="HPC6:HPE6"/>
    <mergeCell ref="HPF6:HPH6"/>
    <mergeCell ref="HPI6:HPK6"/>
    <mergeCell ref="HPL6:HPN6"/>
    <mergeCell ref="HTA6:HTC6"/>
    <mergeCell ref="HTD6:HTF6"/>
    <mergeCell ref="HTG6:HTI6"/>
    <mergeCell ref="HTJ6:HTL6"/>
    <mergeCell ref="HTM6:HTO6"/>
    <mergeCell ref="HSL6:HSN6"/>
    <mergeCell ref="HSO6:HSQ6"/>
    <mergeCell ref="HSR6:HST6"/>
    <mergeCell ref="HSU6:HSW6"/>
    <mergeCell ref="HSX6:HSZ6"/>
    <mergeCell ref="HRW6:HRY6"/>
    <mergeCell ref="HRZ6:HSB6"/>
    <mergeCell ref="HSC6:HSE6"/>
    <mergeCell ref="HSF6:HSH6"/>
    <mergeCell ref="HSI6:HSK6"/>
    <mergeCell ref="HRH6:HRJ6"/>
    <mergeCell ref="HRK6:HRM6"/>
    <mergeCell ref="HRN6:HRP6"/>
    <mergeCell ref="HRQ6:HRS6"/>
    <mergeCell ref="HRT6:HRV6"/>
    <mergeCell ref="HVI6:HVK6"/>
    <mergeCell ref="HVL6:HVN6"/>
    <mergeCell ref="HVO6:HVQ6"/>
    <mergeCell ref="HVR6:HVT6"/>
    <mergeCell ref="HVU6:HVW6"/>
    <mergeCell ref="HUT6:HUV6"/>
    <mergeCell ref="HUW6:HUY6"/>
    <mergeCell ref="HUZ6:HVB6"/>
    <mergeCell ref="HVC6:HVE6"/>
    <mergeCell ref="HVF6:HVH6"/>
    <mergeCell ref="HUE6:HUG6"/>
    <mergeCell ref="HUH6:HUJ6"/>
    <mergeCell ref="HUK6:HUM6"/>
    <mergeCell ref="HUN6:HUP6"/>
    <mergeCell ref="HUQ6:HUS6"/>
    <mergeCell ref="HTP6:HTR6"/>
    <mergeCell ref="HTS6:HTU6"/>
    <mergeCell ref="HTV6:HTX6"/>
    <mergeCell ref="HTY6:HUA6"/>
    <mergeCell ref="HUB6:HUD6"/>
    <mergeCell ref="HXQ6:HXS6"/>
    <mergeCell ref="HXT6:HXV6"/>
    <mergeCell ref="HXW6:HXY6"/>
    <mergeCell ref="HXZ6:HYB6"/>
    <mergeCell ref="HYC6:HYE6"/>
    <mergeCell ref="HXB6:HXD6"/>
    <mergeCell ref="HXE6:HXG6"/>
    <mergeCell ref="HXH6:HXJ6"/>
    <mergeCell ref="HXK6:HXM6"/>
    <mergeCell ref="HXN6:HXP6"/>
    <mergeCell ref="HWM6:HWO6"/>
    <mergeCell ref="HWP6:HWR6"/>
    <mergeCell ref="HWS6:HWU6"/>
    <mergeCell ref="HWV6:HWX6"/>
    <mergeCell ref="HWY6:HXA6"/>
    <mergeCell ref="HVX6:HVZ6"/>
    <mergeCell ref="HWA6:HWC6"/>
    <mergeCell ref="HWD6:HWF6"/>
    <mergeCell ref="HWG6:HWI6"/>
    <mergeCell ref="HWJ6:HWL6"/>
    <mergeCell ref="HZY6:IAA6"/>
    <mergeCell ref="IAB6:IAD6"/>
    <mergeCell ref="IAE6:IAG6"/>
    <mergeCell ref="IAH6:IAJ6"/>
    <mergeCell ref="IAK6:IAM6"/>
    <mergeCell ref="HZJ6:HZL6"/>
    <mergeCell ref="HZM6:HZO6"/>
    <mergeCell ref="HZP6:HZR6"/>
    <mergeCell ref="HZS6:HZU6"/>
    <mergeCell ref="HZV6:HZX6"/>
    <mergeCell ref="HYU6:HYW6"/>
    <mergeCell ref="HYX6:HYZ6"/>
    <mergeCell ref="HZA6:HZC6"/>
    <mergeCell ref="HZD6:HZF6"/>
    <mergeCell ref="HZG6:HZI6"/>
    <mergeCell ref="HYF6:HYH6"/>
    <mergeCell ref="HYI6:HYK6"/>
    <mergeCell ref="HYL6:HYN6"/>
    <mergeCell ref="HYO6:HYQ6"/>
    <mergeCell ref="HYR6:HYT6"/>
    <mergeCell ref="ICG6:ICI6"/>
    <mergeCell ref="ICJ6:ICL6"/>
    <mergeCell ref="ICM6:ICO6"/>
    <mergeCell ref="ICP6:ICR6"/>
    <mergeCell ref="ICS6:ICU6"/>
    <mergeCell ref="IBR6:IBT6"/>
    <mergeCell ref="IBU6:IBW6"/>
    <mergeCell ref="IBX6:IBZ6"/>
    <mergeCell ref="ICA6:ICC6"/>
    <mergeCell ref="ICD6:ICF6"/>
    <mergeCell ref="IBC6:IBE6"/>
    <mergeCell ref="IBF6:IBH6"/>
    <mergeCell ref="IBI6:IBK6"/>
    <mergeCell ref="IBL6:IBN6"/>
    <mergeCell ref="IBO6:IBQ6"/>
    <mergeCell ref="IAN6:IAP6"/>
    <mergeCell ref="IAQ6:IAS6"/>
    <mergeCell ref="IAT6:IAV6"/>
    <mergeCell ref="IAW6:IAY6"/>
    <mergeCell ref="IAZ6:IBB6"/>
    <mergeCell ref="IEO6:IEQ6"/>
    <mergeCell ref="IER6:IET6"/>
    <mergeCell ref="IEU6:IEW6"/>
    <mergeCell ref="IEX6:IEZ6"/>
    <mergeCell ref="IFA6:IFC6"/>
    <mergeCell ref="IDZ6:IEB6"/>
    <mergeCell ref="IEC6:IEE6"/>
    <mergeCell ref="IEF6:IEH6"/>
    <mergeCell ref="IEI6:IEK6"/>
    <mergeCell ref="IEL6:IEN6"/>
    <mergeCell ref="IDK6:IDM6"/>
    <mergeCell ref="IDN6:IDP6"/>
    <mergeCell ref="IDQ6:IDS6"/>
    <mergeCell ref="IDT6:IDV6"/>
    <mergeCell ref="IDW6:IDY6"/>
    <mergeCell ref="ICV6:ICX6"/>
    <mergeCell ref="ICY6:IDA6"/>
    <mergeCell ref="IDB6:IDD6"/>
    <mergeCell ref="IDE6:IDG6"/>
    <mergeCell ref="IDH6:IDJ6"/>
    <mergeCell ref="IGW6:IGY6"/>
    <mergeCell ref="IGZ6:IHB6"/>
    <mergeCell ref="IHC6:IHE6"/>
    <mergeCell ref="IHF6:IHH6"/>
    <mergeCell ref="IHI6:IHK6"/>
    <mergeCell ref="IGH6:IGJ6"/>
    <mergeCell ref="IGK6:IGM6"/>
    <mergeCell ref="IGN6:IGP6"/>
    <mergeCell ref="IGQ6:IGS6"/>
    <mergeCell ref="IGT6:IGV6"/>
    <mergeCell ref="IFS6:IFU6"/>
    <mergeCell ref="IFV6:IFX6"/>
    <mergeCell ref="IFY6:IGA6"/>
    <mergeCell ref="IGB6:IGD6"/>
    <mergeCell ref="IGE6:IGG6"/>
    <mergeCell ref="IFD6:IFF6"/>
    <mergeCell ref="IFG6:IFI6"/>
    <mergeCell ref="IFJ6:IFL6"/>
    <mergeCell ref="IFM6:IFO6"/>
    <mergeCell ref="IFP6:IFR6"/>
    <mergeCell ref="IJE6:IJG6"/>
    <mergeCell ref="IJH6:IJJ6"/>
    <mergeCell ref="IJK6:IJM6"/>
    <mergeCell ref="IJN6:IJP6"/>
    <mergeCell ref="IJQ6:IJS6"/>
    <mergeCell ref="IIP6:IIR6"/>
    <mergeCell ref="IIS6:IIU6"/>
    <mergeCell ref="IIV6:IIX6"/>
    <mergeCell ref="IIY6:IJA6"/>
    <mergeCell ref="IJB6:IJD6"/>
    <mergeCell ref="IIA6:IIC6"/>
    <mergeCell ref="IID6:IIF6"/>
    <mergeCell ref="IIG6:III6"/>
    <mergeCell ref="IIJ6:IIL6"/>
    <mergeCell ref="IIM6:IIO6"/>
    <mergeCell ref="IHL6:IHN6"/>
    <mergeCell ref="IHO6:IHQ6"/>
    <mergeCell ref="IHR6:IHT6"/>
    <mergeCell ref="IHU6:IHW6"/>
    <mergeCell ref="IHX6:IHZ6"/>
    <mergeCell ref="ILM6:ILO6"/>
    <mergeCell ref="ILP6:ILR6"/>
    <mergeCell ref="ILS6:ILU6"/>
    <mergeCell ref="ILV6:ILX6"/>
    <mergeCell ref="ILY6:IMA6"/>
    <mergeCell ref="IKX6:IKZ6"/>
    <mergeCell ref="ILA6:ILC6"/>
    <mergeCell ref="ILD6:ILF6"/>
    <mergeCell ref="ILG6:ILI6"/>
    <mergeCell ref="ILJ6:ILL6"/>
    <mergeCell ref="IKI6:IKK6"/>
    <mergeCell ref="IKL6:IKN6"/>
    <mergeCell ref="IKO6:IKQ6"/>
    <mergeCell ref="IKR6:IKT6"/>
    <mergeCell ref="IKU6:IKW6"/>
    <mergeCell ref="IJT6:IJV6"/>
    <mergeCell ref="IJW6:IJY6"/>
    <mergeCell ref="IJZ6:IKB6"/>
    <mergeCell ref="IKC6:IKE6"/>
    <mergeCell ref="IKF6:IKH6"/>
    <mergeCell ref="INU6:INW6"/>
    <mergeCell ref="INX6:INZ6"/>
    <mergeCell ref="IOA6:IOC6"/>
    <mergeCell ref="IOD6:IOF6"/>
    <mergeCell ref="IOG6:IOI6"/>
    <mergeCell ref="INF6:INH6"/>
    <mergeCell ref="INI6:INK6"/>
    <mergeCell ref="INL6:INN6"/>
    <mergeCell ref="INO6:INQ6"/>
    <mergeCell ref="INR6:INT6"/>
    <mergeCell ref="IMQ6:IMS6"/>
    <mergeCell ref="IMT6:IMV6"/>
    <mergeCell ref="IMW6:IMY6"/>
    <mergeCell ref="IMZ6:INB6"/>
    <mergeCell ref="INC6:INE6"/>
    <mergeCell ref="IMB6:IMD6"/>
    <mergeCell ref="IME6:IMG6"/>
    <mergeCell ref="IMH6:IMJ6"/>
    <mergeCell ref="IMK6:IMM6"/>
    <mergeCell ref="IMN6:IMP6"/>
    <mergeCell ref="IQC6:IQE6"/>
    <mergeCell ref="IQF6:IQH6"/>
    <mergeCell ref="IQI6:IQK6"/>
    <mergeCell ref="IQL6:IQN6"/>
    <mergeCell ref="IQO6:IQQ6"/>
    <mergeCell ref="IPN6:IPP6"/>
    <mergeCell ref="IPQ6:IPS6"/>
    <mergeCell ref="IPT6:IPV6"/>
    <mergeCell ref="IPW6:IPY6"/>
    <mergeCell ref="IPZ6:IQB6"/>
    <mergeCell ref="IOY6:IPA6"/>
    <mergeCell ref="IPB6:IPD6"/>
    <mergeCell ref="IPE6:IPG6"/>
    <mergeCell ref="IPH6:IPJ6"/>
    <mergeCell ref="IPK6:IPM6"/>
    <mergeCell ref="IOJ6:IOL6"/>
    <mergeCell ref="IOM6:IOO6"/>
    <mergeCell ref="IOP6:IOR6"/>
    <mergeCell ref="IOS6:IOU6"/>
    <mergeCell ref="IOV6:IOX6"/>
    <mergeCell ref="ISK6:ISM6"/>
    <mergeCell ref="ISN6:ISP6"/>
    <mergeCell ref="ISQ6:ISS6"/>
    <mergeCell ref="IST6:ISV6"/>
    <mergeCell ref="ISW6:ISY6"/>
    <mergeCell ref="IRV6:IRX6"/>
    <mergeCell ref="IRY6:ISA6"/>
    <mergeCell ref="ISB6:ISD6"/>
    <mergeCell ref="ISE6:ISG6"/>
    <mergeCell ref="ISH6:ISJ6"/>
    <mergeCell ref="IRG6:IRI6"/>
    <mergeCell ref="IRJ6:IRL6"/>
    <mergeCell ref="IRM6:IRO6"/>
    <mergeCell ref="IRP6:IRR6"/>
    <mergeCell ref="IRS6:IRU6"/>
    <mergeCell ref="IQR6:IQT6"/>
    <mergeCell ref="IQU6:IQW6"/>
    <mergeCell ref="IQX6:IQZ6"/>
    <mergeCell ref="IRA6:IRC6"/>
    <mergeCell ref="IRD6:IRF6"/>
    <mergeCell ref="IUS6:IUU6"/>
    <mergeCell ref="IUV6:IUX6"/>
    <mergeCell ref="IUY6:IVA6"/>
    <mergeCell ref="IVB6:IVD6"/>
    <mergeCell ref="IVE6:IVG6"/>
    <mergeCell ref="IUD6:IUF6"/>
    <mergeCell ref="IUG6:IUI6"/>
    <mergeCell ref="IUJ6:IUL6"/>
    <mergeCell ref="IUM6:IUO6"/>
    <mergeCell ref="IUP6:IUR6"/>
    <mergeCell ref="ITO6:ITQ6"/>
    <mergeCell ref="ITR6:ITT6"/>
    <mergeCell ref="ITU6:ITW6"/>
    <mergeCell ref="ITX6:ITZ6"/>
    <mergeCell ref="IUA6:IUC6"/>
    <mergeCell ref="ISZ6:ITB6"/>
    <mergeCell ref="ITC6:ITE6"/>
    <mergeCell ref="ITF6:ITH6"/>
    <mergeCell ref="ITI6:ITK6"/>
    <mergeCell ref="ITL6:ITN6"/>
    <mergeCell ref="IXA6:IXC6"/>
    <mergeCell ref="IXD6:IXF6"/>
    <mergeCell ref="IXG6:IXI6"/>
    <mergeCell ref="IXJ6:IXL6"/>
    <mergeCell ref="IXM6:IXO6"/>
    <mergeCell ref="IWL6:IWN6"/>
    <mergeCell ref="IWO6:IWQ6"/>
    <mergeCell ref="IWR6:IWT6"/>
    <mergeCell ref="IWU6:IWW6"/>
    <mergeCell ref="IWX6:IWZ6"/>
    <mergeCell ref="IVW6:IVY6"/>
    <mergeCell ref="IVZ6:IWB6"/>
    <mergeCell ref="IWC6:IWE6"/>
    <mergeCell ref="IWF6:IWH6"/>
    <mergeCell ref="IWI6:IWK6"/>
    <mergeCell ref="IVH6:IVJ6"/>
    <mergeCell ref="IVK6:IVM6"/>
    <mergeCell ref="IVN6:IVP6"/>
    <mergeCell ref="IVQ6:IVS6"/>
    <mergeCell ref="IVT6:IVV6"/>
    <mergeCell ref="IZI6:IZK6"/>
    <mergeCell ref="IZL6:IZN6"/>
    <mergeCell ref="IZO6:IZQ6"/>
    <mergeCell ref="IZR6:IZT6"/>
    <mergeCell ref="IZU6:IZW6"/>
    <mergeCell ref="IYT6:IYV6"/>
    <mergeCell ref="IYW6:IYY6"/>
    <mergeCell ref="IYZ6:IZB6"/>
    <mergeCell ref="IZC6:IZE6"/>
    <mergeCell ref="IZF6:IZH6"/>
    <mergeCell ref="IYE6:IYG6"/>
    <mergeCell ref="IYH6:IYJ6"/>
    <mergeCell ref="IYK6:IYM6"/>
    <mergeCell ref="IYN6:IYP6"/>
    <mergeCell ref="IYQ6:IYS6"/>
    <mergeCell ref="IXP6:IXR6"/>
    <mergeCell ref="IXS6:IXU6"/>
    <mergeCell ref="IXV6:IXX6"/>
    <mergeCell ref="IXY6:IYA6"/>
    <mergeCell ref="IYB6:IYD6"/>
    <mergeCell ref="JBQ6:JBS6"/>
    <mergeCell ref="JBT6:JBV6"/>
    <mergeCell ref="JBW6:JBY6"/>
    <mergeCell ref="JBZ6:JCB6"/>
    <mergeCell ref="JCC6:JCE6"/>
    <mergeCell ref="JBB6:JBD6"/>
    <mergeCell ref="JBE6:JBG6"/>
    <mergeCell ref="JBH6:JBJ6"/>
    <mergeCell ref="JBK6:JBM6"/>
    <mergeCell ref="JBN6:JBP6"/>
    <mergeCell ref="JAM6:JAO6"/>
    <mergeCell ref="JAP6:JAR6"/>
    <mergeCell ref="JAS6:JAU6"/>
    <mergeCell ref="JAV6:JAX6"/>
    <mergeCell ref="JAY6:JBA6"/>
    <mergeCell ref="IZX6:IZZ6"/>
    <mergeCell ref="JAA6:JAC6"/>
    <mergeCell ref="JAD6:JAF6"/>
    <mergeCell ref="JAG6:JAI6"/>
    <mergeCell ref="JAJ6:JAL6"/>
    <mergeCell ref="JDY6:JEA6"/>
    <mergeCell ref="JEB6:JED6"/>
    <mergeCell ref="JEE6:JEG6"/>
    <mergeCell ref="JEH6:JEJ6"/>
    <mergeCell ref="JEK6:JEM6"/>
    <mergeCell ref="JDJ6:JDL6"/>
    <mergeCell ref="JDM6:JDO6"/>
    <mergeCell ref="JDP6:JDR6"/>
    <mergeCell ref="JDS6:JDU6"/>
    <mergeCell ref="JDV6:JDX6"/>
    <mergeCell ref="JCU6:JCW6"/>
    <mergeCell ref="JCX6:JCZ6"/>
    <mergeCell ref="JDA6:JDC6"/>
    <mergeCell ref="JDD6:JDF6"/>
    <mergeCell ref="JDG6:JDI6"/>
    <mergeCell ref="JCF6:JCH6"/>
    <mergeCell ref="JCI6:JCK6"/>
    <mergeCell ref="JCL6:JCN6"/>
    <mergeCell ref="JCO6:JCQ6"/>
    <mergeCell ref="JCR6:JCT6"/>
    <mergeCell ref="JGG6:JGI6"/>
    <mergeCell ref="JGJ6:JGL6"/>
    <mergeCell ref="JGM6:JGO6"/>
    <mergeCell ref="JGP6:JGR6"/>
    <mergeCell ref="JGS6:JGU6"/>
    <mergeCell ref="JFR6:JFT6"/>
    <mergeCell ref="JFU6:JFW6"/>
    <mergeCell ref="JFX6:JFZ6"/>
    <mergeCell ref="JGA6:JGC6"/>
    <mergeCell ref="JGD6:JGF6"/>
    <mergeCell ref="JFC6:JFE6"/>
    <mergeCell ref="JFF6:JFH6"/>
    <mergeCell ref="JFI6:JFK6"/>
    <mergeCell ref="JFL6:JFN6"/>
    <mergeCell ref="JFO6:JFQ6"/>
    <mergeCell ref="JEN6:JEP6"/>
    <mergeCell ref="JEQ6:JES6"/>
    <mergeCell ref="JET6:JEV6"/>
    <mergeCell ref="JEW6:JEY6"/>
    <mergeCell ref="JEZ6:JFB6"/>
    <mergeCell ref="JIO6:JIQ6"/>
    <mergeCell ref="JIR6:JIT6"/>
    <mergeCell ref="JIU6:JIW6"/>
    <mergeCell ref="JIX6:JIZ6"/>
    <mergeCell ref="JJA6:JJC6"/>
    <mergeCell ref="JHZ6:JIB6"/>
    <mergeCell ref="JIC6:JIE6"/>
    <mergeCell ref="JIF6:JIH6"/>
    <mergeCell ref="JII6:JIK6"/>
    <mergeCell ref="JIL6:JIN6"/>
    <mergeCell ref="JHK6:JHM6"/>
    <mergeCell ref="JHN6:JHP6"/>
    <mergeCell ref="JHQ6:JHS6"/>
    <mergeCell ref="JHT6:JHV6"/>
    <mergeCell ref="JHW6:JHY6"/>
    <mergeCell ref="JGV6:JGX6"/>
    <mergeCell ref="JGY6:JHA6"/>
    <mergeCell ref="JHB6:JHD6"/>
    <mergeCell ref="JHE6:JHG6"/>
    <mergeCell ref="JHH6:JHJ6"/>
    <mergeCell ref="JKW6:JKY6"/>
    <mergeCell ref="JKZ6:JLB6"/>
    <mergeCell ref="JLC6:JLE6"/>
    <mergeCell ref="JLF6:JLH6"/>
    <mergeCell ref="JLI6:JLK6"/>
    <mergeCell ref="JKH6:JKJ6"/>
    <mergeCell ref="JKK6:JKM6"/>
    <mergeCell ref="JKN6:JKP6"/>
    <mergeCell ref="JKQ6:JKS6"/>
    <mergeCell ref="JKT6:JKV6"/>
    <mergeCell ref="JJS6:JJU6"/>
    <mergeCell ref="JJV6:JJX6"/>
    <mergeCell ref="JJY6:JKA6"/>
    <mergeCell ref="JKB6:JKD6"/>
    <mergeCell ref="JKE6:JKG6"/>
    <mergeCell ref="JJD6:JJF6"/>
    <mergeCell ref="JJG6:JJI6"/>
    <mergeCell ref="JJJ6:JJL6"/>
    <mergeCell ref="JJM6:JJO6"/>
    <mergeCell ref="JJP6:JJR6"/>
    <mergeCell ref="JNE6:JNG6"/>
    <mergeCell ref="JNH6:JNJ6"/>
    <mergeCell ref="JNK6:JNM6"/>
    <mergeCell ref="JNN6:JNP6"/>
    <mergeCell ref="JNQ6:JNS6"/>
    <mergeCell ref="JMP6:JMR6"/>
    <mergeCell ref="JMS6:JMU6"/>
    <mergeCell ref="JMV6:JMX6"/>
    <mergeCell ref="JMY6:JNA6"/>
    <mergeCell ref="JNB6:JND6"/>
    <mergeCell ref="JMA6:JMC6"/>
    <mergeCell ref="JMD6:JMF6"/>
    <mergeCell ref="JMG6:JMI6"/>
    <mergeCell ref="JMJ6:JML6"/>
    <mergeCell ref="JMM6:JMO6"/>
    <mergeCell ref="JLL6:JLN6"/>
    <mergeCell ref="JLO6:JLQ6"/>
    <mergeCell ref="JLR6:JLT6"/>
    <mergeCell ref="JLU6:JLW6"/>
    <mergeCell ref="JLX6:JLZ6"/>
    <mergeCell ref="JPM6:JPO6"/>
    <mergeCell ref="JPP6:JPR6"/>
    <mergeCell ref="JPS6:JPU6"/>
    <mergeCell ref="JPV6:JPX6"/>
    <mergeCell ref="JPY6:JQA6"/>
    <mergeCell ref="JOX6:JOZ6"/>
    <mergeCell ref="JPA6:JPC6"/>
    <mergeCell ref="JPD6:JPF6"/>
    <mergeCell ref="JPG6:JPI6"/>
    <mergeCell ref="JPJ6:JPL6"/>
    <mergeCell ref="JOI6:JOK6"/>
    <mergeCell ref="JOL6:JON6"/>
    <mergeCell ref="JOO6:JOQ6"/>
    <mergeCell ref="JOR6:JOT6"/>
    <mergeCell ref="JOU6:JOW6"/>
    <mergeCell ref="JNT6:JNV6"/>
    <mergeCell ref="JNW6:JNY6"/>
    <mergeCell ref="JNZ6:JOB6"/>
    <mergeCell ref="JOC6:JOE6"/>
    <mergeCell ref="JOF6:JOH6"/>
    <mergeCell ref="JRU6:JRW6"/>
    <mergeCell ref="JRX6:JRZ6"/>
    <mergeCell ref="JSA6:JSC6"/>
    <mergeCell ref="JSD6:JSF6"/>
    <mergeCell ref="JSG6:JSI6"/>
    <mergeCell ref="JRF6:JRH6"/>
    <mergeCell ref="JRI6:JRK6"/>
    <mergeCell ref="JRL6:JRN6"/>
    <mergeCell ref="JRO6:JRQ6"/>
    <mergeCell ref="JRR6:JRT6"/>
    <mergeCell ref="JQQ6:JQS6"/>
    <mergeCell ref="JQT6:JQV6"/>
    <mergeCell ref="JQW6:JQY6"/>
    <mergeCell ref="JQZ6:JRB6"/>
    <mergeCell ref="JRC6:JRE6"/>
    <mergeCell ref="JQB6:JQD6"/>
    <mergeCell ref="JQE6:JQG6"/>
    <mergeCell ref="JQH6:JQJ6"/>
    <mergeCell ref="JQK6:JQM6"/>
    <mergeCell ref="JQN6:JQP6"/>
    <mergeCell ref="JUC6:JUE6"/>
    <mergeCell ref="JUF6:JUH6"/>
    <mergeCell ref="JUI6:JUK6"/>
    <mergeCell ref="JUL6:JUN6"/>
    <mergeCell ref="JUO6:JUQ6"/>
    <mergeCell ref="JTN6:JTP6"/>
    <mergeCell ref="JTQ6:JTS6"/>
    <mergeCell ref="JTT6:JTV6"/>
    <mergeCell ref="JTW6:JTY6"/>
    <mergeCell ref="JTZ6:JUB6"/>
    <mergeCell ref="JSY6:JTA6"/>
    <mergeCell ref="JTB6:JTD6"/>
    <mergeCell ref="JTE6:JTG6"/>
    <mergeCell ref="JTH6:JTJ6"/>
    <mergeCell ref="JTK6:JTM6"/>
    <mergeCell ref="JSJ6:JSL6"/>
    <mergeCell ref="JSM6:JSO6"/>
    <mergeCell ref="JSP6:JSR6"/>
    <mergeCell ref="JSS6:JSU6"/>
    <mergeCell ref="JSV6:JSX6"/>
    <mergeCell ref="JWK6:JWM6"/>
    <mergeCell ref="JWN6:JWP6"/>
    <mergeCell ref="JWQ6:JWS6"/>
    <mergeCell ref="JWT6:JWV6"/>
    <mergeCell ref="JWW6:JWY6"/>
    <mergeCell ref="JVV6:JVX6"/>
    <mergeCell ref="JVY6:JWA6"/>
    <mergeCell ref="JWB6:JWD6"/>
    <mergeCell ref="JWE6:JWG6"/>
    <mergeCell ref="JWH6:JWJ6"/>
    <mergeCell ref="JVG6:JVI6"/>
    <mergeCell ref="JVJ6:JVL6"/>
    <mergeCell ref="JVM6:JVO6"/>
    <mergeCell ref="JVP6:JVR6"/>
    <mergeCell ref="JVS6:JVU6"/>
    <mergeCell ref="JUR6:JUT6"/>
    <mergeCell ref="JUU6:JUW6"/>
    <mergeCell ref="JUX6:JUZ6"/>
    <mergeCell ref="JVA6:JVC6"/>
    <mergeCell ref="JVD6:JVF6"/>
    <mergeCell ref="JYS6:JYU6"/>
    <mergeCell ref="JYV6:JYX6"/>
    <mergeCell ref="JYY6:JZA6"/>
    <mergeCell ref="JZB6:JZD6"/>
    <mergeCell ref="JZE6:JZG6"/>
    <mergeCell ref="JYD6:JYF6"/>
    <mergeCell ref="JYG6:JYI6"/>
    <mergeCell ref="JYJ6:JYL6"/>
    <mergeCell ref="JYM6:JYO6"/>
    <mergeCell ref="JYP6:JYR6"/>
    <mergeCell ref="JXO6:JXQ6"/>
    <mergeCell ref="JXR6:JXT6"/>
    <mergeCell ref="JXU6:JXW6"/>
    <mergeCell ref="JXX6:JXZ6"/>
    <mergeCell ref="JYA6:JYC6"/>
    <mergeCell ref="JWZ6:JXB6"/>
    <mergeCell ref="JXC6:JXE6"/>
    <mergeCell ref="JXF6:JXH6"/>
    <mergeCell ref="JXI6:JXK6"/>
    <mergeCell ref="JXL6:JXN6"/>
    <mergeCell ref="KBA6:KBC6"/>
    <mergeCell ref="KBD6:KBF6"/>
    <mergeCell ref="KBG6:KBI6"/>
    <mergeCell ref="KBJ6:KBL6"/>
    <mergeCell ref="KBM6:KBO6"/>
    <mergeCell ref="KAL6:KAN6"/>
    <mergeCell ref="KAO6:KAQ6"/>
    <mergeCell ref="KAR6:KAT6"/>
    <mergeCell ref="KAU6:KAW6"/>
    <mergeCell ref="KAX6:KAZ6"/>
    <mergeCell ref="JZW6:JZY6"/>
    <mergeCell ref="JZZ6:KAB6"/>
    <mergeCell ref="KAC6:KAE6"/>
    <mergeCell ref="KAF6:KAH6"/>
    <mergeCell ref="KAI6:KAK6"/>
    <mergeCell ref="JZH6:JZJ6"/>
    <mergeCell ref="JZK6:JZM6"/>
    <mergeCell ref="JZN6:JZP6"/>
    <mergeCell ref="JZQ6:JZS6"/>
    <mergeCell ref="JZT6:JZV6"/>
    <mergeCell ref="KDI6:KDK6"/>
    <mergeCell ref="KDL6:KDN6"/>
    <mergeCell ref="KDO6:KDQ6"/>
    <mergeCell ref="KDR6:KDT6"/>
    <mergeCell ref="KDU6:KDW6"/>
    <mergeCell ref="KCT6:KCV6"/>
    <mergeCell ref="KCW6:KCY6"/>
    <mergeCell ref="KCZ6:KDB6"/>
    <mergeCell ref="KDC6:KDE6"/>
    <mergeCell ref="KDF6:KDH6"/>
    <mergeCell ref="KCE6:KCG6"/>
    <mergeCell ref="KCH6:KCJ6"/>
    <mergeCell ref="KCK6:KCM6"/>
    <mergeCell ref="KCN6:KCP6"/>
    <mergeCell ref="KCQ6:KCS6"/>
    <mergeCell ref="KBP6:KBR6"/>
    <mergeCell ref="KBS6:KBU6"/>
    <mergeCell ref="KBV6:KBX6"/>
    <mergeCell ref="KBY6:KCA6"/>
    <mergeCell ref="KCB6:KCD6"/>
    <mergeCell ref="KFQ6:KFS6"/>
    <mergeCell ref="KFT6:KFV6"/>
    <mergeCell ref="KFW6:KFY6"/>
    <mergeCell ref="KFZ6:KGB6"/>
    <mergeCell ref="KGC6:KGE6"/>
    <mergeCell ref="KFB6:KFD6"/>
    <mergeCell ref="KFE6:KFG6"/>
    <mergeCell ref="KFH6:KFJ6"/>
    <mergeCell ref="KFK6:KFM6"/>
    <mergeCell ref="KFN6:KFP6"/>
    <mergeCell ref="KEM6:KEO6"/>
    <mergeCell ref="KEP6:KER6"/>
    <mergeCell ref="KES6:KEU6"/>
    <mergeCell ref="KEV6:KEX6"/>
    <mergeCell ref="KEY6:KFA6"/>
    <mergeCell ref="KDX6:KDZ6"/>
    <mergeCell ref="KEA6:KEC6"/>
    <mergeCell ref="KED6:KEF6"/>
    <mergeCell ref="KEG6:KEI6"/>
    <mergeCell ref="KEJ6:KEL6"/>
    <mergeCell ref="KHY6:KIA6"/>
    <mergeCell ref="KIB6:KID6"/>
    <mergeCell ref="KIE6:KIG6"/>
    <mergeCell ref="KIH6:KIJ6"/>
    <mergeCell ref="KIK6:KIM6"/>
    <mergeCell ref="KHJ6:KHL6"/>
    <mergeCell ref="KHM6:KHO6"/>
    <mergeCell ref="KHP6:KHR6"/>
    <mergeCell ref="KHS6:KHU6"/>
    <mergeCell ref="KHV6:KHX6"/>
    <mergeCell ref="KGU6:KGW6"/>
    <mergeCell ref="KGX6:KGZ6"/>
    <mergeCell ref="KHA6:KHC6"/>
    <mergeCell ref="KHD6:KHF6"/>
    <mergeCell ref="KHG6:KHI6"/>
    <mergeCell ref="KGF6:KGH6"/>
    <mergeCell ref="KGI6:KGK6"/>
    <mergeCell ref="KGL6:KGN6"/>
    <mergeCell ref="KGO6:KGQ6"/>
    <mergeCell ref="KGR6:KGT6"/>
    <mergeCell ref="KKG6:KKI6"/>
    <mergeCell ref="KKJ6:KKL6"/>
    <mergeCell ref="KKM6:KKO6"/>
    <mergeCell ref="KKP6:KKR6"/>
    <mergeCell ref="KKS6:KKU6"/>
    <mergeCell ref="KJR6:KJT6"/>
    <mergeCell ref="KJU6:KJW6"/>
    <mergeCell ref="KJX6:KJZ6"/>
    <mergeCell ref="KKA6:KKC6"/>
    <mergeCell ref="KKD6:KKF6"/>
    <mergeCell ref="KJC6:KJE6"/>
    <mergeCell ref="KJF6:KJH6"/>
    <mergeCell ref="KJI6:KJK6"/>
    <mergeCell ref="KJL6:KJN6"/>
    <mergeCell ref="KJO6:KJQ6"/>
    <mergeCell ref="KIN6:KIP6"/>
    <mergeCell ref="KIQ6:KIS6"/>
    <mergeCell ref="KIT6:KIV6"/>
    <mergeCell ref="KIW6:KIY6"/>
    <mergeCell ref="KIZ6:KJB6"/>
    <mergeCell ref="KMO6:KMQ6"/>
    <mergeCell ref="KMR6:KMT6"/>
    <mergeCell ref="KMU6:KMW6"/>
    <mergeCell ref="KMX6:KMZ6"/>
    <mergeCell ref="KNA6:KNC6"/>
    <mergeCell ref="KLZ6:KMB6"/>
    <mergeCell ref="KMC6:KME6"/>
    <mergeCell ref="KMF6:KMH6"/>
    <mergeCell ref="KMI6:KMK6"/>
    <mergeCell ref="KML6:KMN6"/>
    <mergeCell ref="KLK6:KLM6"/>
    <mergeCell ref="KLN6:KLP6"/>
    <mergeCell ref="KLQ6:KLS6"/>
    <mergeCell ref="KLT6:KLV6"/>
    <mergeCell ref="KLW6:KLY6"/>
    <mergeCell ref="KKV6:KKX6"/>
    <mergeCell ref="KKY6:KLA6"/>
    <mergeCell ref="KLB6:KLD6"/>
    <mergeCell ref="KLE6:KLG6"/>
    <mergeCell ref="KLH6:KLJ6"/>
    <mergeCell ref="KOW6:KOY6"/>
    <mergeCell ref="KOZ6:KPB6"/>
    <mergeCell ref="KPC6:KPE6"/>
    <mergeCell ref="KPF6:KPH6"/>
    <mergeCell ref="KPI6:KPK6"/>
    <mergeCell ref="KOH6:KOJ6"/>
    <mergeCell ref="KOK6:KOM6"/>
    <mergeCell ref="KON6:KOP6"/>
    <mergeCell ref="KOQ6:KOS6"/>
    <mergeCell ref="KOT6:KOV6"/>
    <mergeCell ref="KNS6:KNU6"/>
    <mergeCell ref="KNV6:KNX6"/>
    <mergeCell ref="KNY6:KOA6"/>
    <mergeCell ref="KOB6:KOD6"/>
    <mergeCell ref="KOE6:KOG6"/>
    <mergeCell ref="KND6:KNF6"/>
    <mergeCell ref="KNG6:KNI6"/>
    <mergeCell ref="KNJ6:KNL6"/>
    <mergeCell ref="KNM6:KNO6"/>
    <mergeCell ref="KNP6:KNR6"/>
    <mergeCell ref="KRE6:KRG6"/>
    <mergeCell ref="KRH6:KRJ6"/>
    <mergeCell ref="KRK6:KRM6"/>
    <mergeCell ref="KRN6:KRP6"/>
    <mergeCell ref="KRQ6:KRS6"/>
    <mergeCell ref="KQP6:KQR6"/>
    <mergeCell ref="KQS6:KQU6"/>
    <mergeCell ref="KQV6:KQX6"/>
    <mergeCell ref="KQY6:KRA6"/>
    <mergeCell ref="KRB6:KRD6"/>
    <mergeCell ref="KQA6:KQC6"/>
    <mergeCell ref="KQD6:KQF6"/>
    <mergeCell ref="KQG6:KQI6"/>
    <mergeCell ref="KQJ6:KQL6"/>
    <mergeCell ref="KQM6:KQO6"/>
    <mergeCell ref="KPL6:KPN6"/>
    <mergeCell ref="KPO6:KPQ6"/>
    <mergeCell ref="KPR6:KPT6"/>
    <mergeCell ref="KPU6:KPW6"/>
    <mergeCell ref="KPX6:KPZ6"/>
    <mergeCell ref="KTM6:KTO6"/>
    <mergeCell ref="KTP6:KTR6"/>
    <mergeCell ref="KTS6:KTU6"/>
    <mergeCell ref="KTV6:KTX6"/>
    <mergeCell ref="KTY6:KUA6"/>
    <mergeCell ref="KSX6:KSZ6"/>
    <mergeCell ref="KTA6:KTC6"/>
    <mergeCell ref="KTD6:KTF6"/>
    <mergeCell ref="KTG6:KTI6"/>
    <mergeCell ref="KTJ6:KTL6"/>
    <mergeCell ref="KSI6:KSK6"/>
    <mergeCell ref="KSL6:KSN6"/>
    <mergeCell ref="KSO6:KSQ6"/>
    <mergeCell ref="KSR6:KST6"/>
    <mergeCell ref="KSU6:KSW6"/>
    <mergeCell ref="KRT6:KRV6"/>
    <mergeCell ref="KRW6:KRY6"/>
    <mergeCell ref="KRZ6:KSB6"/>
    <mergeCell ref="KSC6:KSE6"/>
    <mergeCell ref="KSF6:KSH6"/>
    <mergeCell ref="KVU6:KVW6"/>
    <mergeCell ref="KVX6:KVZ6"/>
    <mergeCell ref="KWA6:KWC6"/>
    <mergeCell ref="KWD6:KWF6"/>
    <mergeCell ref="KWG6:KWI6"/>
    <mergeCell ref="KVF6:KVH6"/>
    <mergeCell ref="KVI6:KVK6"/>
    <mergeCell ref="KVL6:KVN6"/>
    <mergeCell ref="KVO6:KVQ6"/>
    <mergeCell ref="KVR6:KVT6"/>
    <mergeCell ref="KUQ6:KUS6"/>
    <mergeCell ref="KUT6:KUV6"/>
    <mergeCell ref="KUW6:KUY6"/>
    <mergeCell ref="KUZ6:KVB6"/>
    <mergeCell ref="KVC6:KVE6"/>
    <mergeCell ref="KUB6:KUD6"/>
    <mergeCell ref="KUE6:KUG6"/>
    <mergeCell ref="KUH6:KUJ6"/>
    <mergeCell ref="KUK6:KUM6"/>
    <mergeCell ref="KUN6:KUP6"/>
    <mergeCell ref="KYC6:KYE6"/>
    <mergeCell ref="KYF6:KYH6"/>
    <mergeCell ref="KYI6:KYK6"/>
    <mergeCell ref="KYL6:KYN6"/>
    <mergeCell ref="KYO6:KYQ6"/>
    <mergeCell ref="KXN6:KXP6"/>
    <mergeCell ref="KXQ6:KXS6"/>
    <mergeCell ref="KXT6:KXV6"/>
    <mergeCell ref="KXW6:KXY6"/>
    <mergeCell ref="KXZ6:KYB6"/>
    <mergeCell ref="KWY6:KXA6"/>
    <mergeCell ref="KXB6:KXD6"/>
    <mergeCell ref="KXE6:KXG6"/>
    <mergeCell ref="KXH6:KXJ6"/>
    <mergeCell ref="KXK6:KXM6"/>
    <mergeCell ref="KWJ6:KWL6"/>
    <mergeCell ref="KWM6:KWO6"/>
    <mergeCell ref="KWP6:KWR6"/>
    <mergeCell ref="KWS6:KWU6"/>
    <mergeCell ref="KWV6:KWX6"/>
    <mergeCell ref="LAK6:LAM6"/>
    <mergeCell ref="LAN6:LAP6"/>
    <mergeCell ref="LAQ6:LAS6"/>
    <mergeCell ref="LAT6:LAV6"/>
    <mergeCell ref="LAW6:LAY6"/>
    <mergeCell ref="KZV6:KZX6"/>
    <mergeCell ref="KZY6:LAA6"/>
    <mergeCell ref="LAB6:LAD6"/>
    <mergeCell ref="LAE6:LAG6"/>
    <mergeCell ref="LAH6:LAJ6"/>
    <mergeCell ref="KZG6:KZI6"/>
    <mergeCell ref="KZJ6:KZL6"/>
    <mergeCell ref="KZM6:KZO6"/>
    <mergeCell ref="KZP6:KZR6"/>
    <mergeCell ref="KZS6:KZU6"/>
    <mergeCell ref="KYR6:KYT6"/>
    <mergeCell ref="KYU6:KYW6"/>
    <mergeCell ref="KYX6:KYZ6"/>
    <mergeCell ref="KZA6:KZC6"/>
    <mergeCell ref="KZD6:KZF6"/>
    <mergeCell ref="LCS6:LCU6"/>
    <mergeCell ref="LCV6:LCX6"/>
    <mergeCell ref="LCY6:LDA6"/>
    <mergeCell ref="LDB6:LDD6"/>
    <mergeCell ref="LDE6:LDG6"/>
    <mergeCell ref="LCD6:LCF6"/>
    <mergeCell ref="LCG6:LCI6"/>
    <mergeCell ref="LCJ6:LCL6"/>
    <mergeCell ref="LCM6:LCO6"/>
    <mergeCell ref="LCP6:LCR6"/>
    <mergeCell ref="LBO6:LBQ6"/>
    <mergeCell ref="LBR6:LBT6"/>
    <mergeCell ref="LBU6:LBW6"/>
    <mergeCell ref="LBX6:LBZ6"/>
    <mergeCell ref="LCA6:LCC6"/>
    <mergeCell ref="LAZ6:LBB6"/>
    <mergeCell ref="LBC6:LBE6"/>
    <mergeCell ref="LBF6:LBH6"/>
    <mergeCell ref="LBI6:LBK6"/>
    <mergeCell ref="LBL6:LBN6"/>
    <mergeCell ref="LFA6:LFC6"/>
    <mergeCell ref="LFD6:LFF6"/>
    <mergeCell ref="LFG6:LFI6"/>
    <mergeCell ref="LFJ6:LFL6"/>
    <mergeCell ref="LFM6:LFO6"/>
    <mergeCell ref="LEL6:LEN6"/>
    <mergeCell ref="LEO6:LEQ6"/>
    <mergeCell ref="LER6:LET6"/>
    <mergeCell ref="LEU6:LEW6"/>
    <mergeCell ref="LEX6:LEZ6"/>
    <mergeCell ref="LDW6:LDY6"/>
    <mergeCell ref="LDZ6:LEB6"/>
    <mergeCell ref="LEC6:LEE6"/>
    <mergeCell ref="LEF6:LEH6"/>
    <mergeCell ref="LEI6:LEK6"/>
    <mergeCell ref="LDH6:LDJ6"/>
    <mergeCell ref="LDK6:LDM6"/>
    <mergeCell ref="LDN6:LDP6"/>
    <mergeCell ref="LDQ6:LDS6"/>
    <mergeCell ref="LDT6:LDV6"/>
    <mergeCell ref="LHI6:LHK6"/>
    <mergeCell ref="LHL6:LHN6"/>
    <mergeCell ref="LHO6:LHQ6"/>
    <mergeCell ref="LHR6:LHT6"/>
    <mergeCell ref="LHU6:LHW6"/>
    <mergeCell ref="LGT6:LGV6"/>
    <mergeCell ref="LGW6:LGY6"/>
    <mergeCell ref="LGZ6:LHB6"/>
    <mergeCell ref="LHC6:LHE6"/>
    <mergeCell ref="LHF6:LHH6"/>
    <mergeCell ref="LGE6:LGG6"/>
    <mergeCell ref="LGH6:LGJ6"/>
    <mergeCell ref="LGK6:LGM6"/>
    <mergeCell ref="LGN6:LGP6"/>
    <mergeCell ref="LGQ6:LGS6"/>
    <mergeCell ref="LFP6:LFR6"/>
    <mergeCell ref="LFS6:LFU6"/>
    <mergeCell ref="LFV6:LFX6"/>
    <mergeCell ref="LFY6:LGA6"/>
    <mergeCell ref="LGB6:LGD6"/>
    <mergeCell ref="LJQ6:LJS6"/>
    <mergeCell ref="LJT6:LJV6"/>
    <mergeCell ref="LJW6:LJY6"/>
    <mergeCell ref="LJZ6:LKB6"/>
    <mergeCell ref="LKC6:LKE6"/>
    <mergeCell ref="LJB6:LJD6"/>
    <mergeCell ref="LJE6:LJG6"/>
    <mergeCell ref="LJH6:LJJ6"/>
    <mergeCell ref="LJK6:LJM6"/>
    <mergeCell ref="LJN6:LJP6"/>
    <mergeCell ref="LIM6:LIO6"/>
    <mergeCell ref="LIP6:LIR6"/>
    <mergeCell ref="LIS6:LIU6"/>
    <mergeCell ref="LIV6:LIX6"/>
    <mergeCell ref="LIY6:LJA6"/>
    <mergeCell ref="LHX6:LHZ6"/>
    <mergeCell ref="LIA6:LIC6"/>
    <mergeCell ref="LID6:LIF6"/>
    <mergeCell ref="LIG6:LII6"/>
    <mergeCell ref="LIJ6:LIL6"/>
    <mergeCell ref="LLY6:LMA6"/>
    <mergeCell ref="LMB6:LMD6"/>
    <mergeCell ref="LME6:LMG6"/>
    <mergeCell ref="LMH6:LMJ6"/>
    <mergeCell ref="LMK6:LMM6"/>
    <mergeCell ref="LLJ6:LLL6"/>
    <mergeCell ref="LLM6:LLO6"/>
    <mergeCell ref="LLP6:LLR6"/>
    <mergeCell ref="LLS6:LLU6"/>
    <mergeCell ref="LLV6:LLX6"/>
    <mergeCell ref="LKU6:LKW6"/>
    <mergeCell ref="LKX6:LKZ6"/>
    <mergeCell ref="LLA6:LLC6"/>
    <mergeCell ref="LLD6:LLF6"/>
    <mergeCell ref="LLG6:LLI6"/>
    <mergeCell ref="LKF6:LKH6"/>
    <mergeCell ref="LKI6:LKK6"/>
    <mergeCell ref="LKL6:LKN6"/>
    <mergeCell ref="LKO6:LKQ6"/>
    <mergeCell ref="LKR6:LKT6"/>
    <mergeCell ref="LOG6:LOI6"/>
    <mergeCell ref="LOJ6:LOL6"/>
    <mergeCell ref="LOM6:LOO6"/>
    <mergeCell ref="LOP6:LOR6"/>
    <mergeCell ref="LOS6:LOU6"/>
    <mergeCell ref="LNR6:LNT6"/>
    <mergeCell ref="LNU6:LNW6"/>
    <mergeCell ref="LNX6:LNZ6"/>
    <mergeCell ref="LOA6:LOC6"/>
    <mergeCell ref="LOD6:LOF6"/>
    <mergeCell ref="LNC6:LNE6"/>
    <mergeCell ref="LNF6:LNH6"/>
    <mergeCell ref="LNI6:LNK6"/>
    <mergeCell ref="LNL6:LNN6"/>
    <mergeCell ref="LNO6:LNQ6"/>
    <mergeCell ref="LMN6:LMP6"/>
    <mergeCell ref="LMQ6:LMS6"/>
    <mergeCell ref="LMT6:LMV6"/>
    <mergeCell ref="LMW6:LMY6"/>
    <mergeCell ref="LMZ6:LNB6"/>
    <mergeCell ref="LQO6:LQQ6"/>
    <mergeCell ref="LQR6:LQT6"/>
    <mergeCell ref="LQU6:LQW6"/>
    <mergeCell ref="LQX6:LQZ6"/>
    <mergeCell ref="LRA6:LRC6"/>
    <mergeCell ref="LPZ6:LQB6"/>
    <mergeCell ref="LQC6:LQE6"/>
    <mergeCell ref="LQF6:LQH6"/>
    <mergeCell ref="LQI6:LQK6"/>
    <mergeCell ref="LQL6:LQN6"/>
    <mergeCell ref="LPK6:LPM6"/>
    <mergeCell ref="LPN6:LPP6"/>
    <mergeCell ref="LPQ6:LPS6"/>
    <mergeCell ref="LPT6:LPV6"/>
    <mergeCell ref="LPW6:LPY6"/>
    <mergeCell ref="LOV6:LOX6"/>
    <mergeCell ref="LOY6:LPA6"/>
    <mergeCell ref="LPB6:LPD6"/>
    <mergeCell ref="LPE6:LPG6"/>
    <mergeCell ref="LPH6:LPJ6"/>
    <mergeCell ref="LSW6:LSY6"/>
    <mergeCell ref="LSZ6:LTB6"/>
    <mergeCell ref="LTC6:LTE6"/>
    <mergeCell ref="LTF6:LTH6"/>
    <mergeCell ref="LTI6:LTK6"/>
    <mergeCell ref="LSH6:LSJ6"/>
    <mergeCell ref="LSK6:LSM6"/>
    <mergeCell ref="LSN6:LSP6"/>
    <mergeCell ref="LSQ6:LSS6"/>
    <mergeCell ref="LST6:LSV6"/>
    <mergeCell ref="LRS6:LRU6"/>
    <mergeCell ref="LRV6:LRX6"/>
    <mergeCell ref="LRY6:LSA6"/>
    <mergeCell ref="LSB6:LSD6"/>
    <mergeCell ref="LSE6:LSG6"/>
    <mergeCell ref="LRD6:LRF6"/>
    <mergeCell ref="LRG6:LRI6"/>
    <mergeCell ref="LRJ6:LRL6"/>
    <mergeCell ref="LRM6:LRO6"/>
    <mergeCell ref="LRP6:LRR6"/>
    <mergeCell ref="LVE6:LVG6"/>
    <mergeCell ref="LVH6:LVJ6"/>
    <mergeCell ref="LVK6:LVM6"/>
    <mergeCell ref="LVN6:LVP6"/>
    <mergeCell ref="LVQ6:LVS6"/>
    <mergeCell ref="LUP6:LUR6"/>
    <mergeCell ref="LUS6:LUU6"/>
    <mergeCell ref="LUV6:LUX6"/>
    <mergeCell ref="LUY6:LVA6"/>
    <mergeCell ref="LVB6:LVD6"/>
    <mergeCell ref="LUA6:LUC6"/>
    <mergeCell ref="LUD6:LUF6"/>
    <mergeCell ref="LUG6:LUI6"/>
    <mergeCell ref="LUJ6:LUL6"/>
    <mergeCell ref="LUM6:LUO6"/>
    <mergeCell ref="LTL6:LTN6"/>
    <mergeCell ref="LTO6:LTQ6"/>
    <mergeCell ref="LTR6:LTT6"/>
    <mergeCell ref="LTU6:LTW6"/>
    <mergeCell ref="LTX6:LTZ6"/>
    <mergeCell ref="LXM6:LXO6"/>
    <mergeCell ref="LXP6:LXR6"/>
    <mergeCell ref="LXS6:LXU6"/>
    <mergeCell ref="LXV6:LXX6"/>
    <mergeCell ref="LXY6:LYA6"/>
    <mergeCell ref="LWX6:LWZ6"/>
    <mergeCell ref="LXA6:LXC6"/>
    <mergeCell ref="LXD6:LXF6"/>
    <mergeCell ref="LXG6:LXI6"/>
    <mergeCell ref="LXJ6:LXL6"/>
    <mergeCell ref="LWI6:LWK6"/>
    <mergeCell ref="LWL6:LWN6"/>
    <mergeCell ref="LWO6:LWQ6"/>
    <mergeCell ref="LWR6:LWT6"/>
    <mergeCell ref="LWU6:LWW6"/>
    <mergeCell ref="LVT6:LVV6"/>
    <mergeCell ref="LVW6:LVY6"/>
    <mergeCell ref="LVZ6:LWB6"/>
    <mergeCell ref="LWC6:LWE6"/>
    <mergeCell ref="LWF6:LWH6"/>
    <mergeCell ref="LZU6:LZW6"/>
    <mergeCell ref="LZX6:LZZ6"/>
    <mergeCell ref="MAA6:MAC6"/>
    <mergeCell ref="MAD6:MAF6"/>
    <mergeCell ref="MAG6:MAI6"/>
    <mergeCell ref="LZF6:LZH6"/>
    <mergeCell ref="LZI6:LZK6"/>
    <mergeCell ref="LZL6:LZN6"/>
    <mergeCell ref="LZO6:LZQ6"/>
    <mergeCell ref="LZR6:LZT6"/>
    <mergeCell ref="LYQ6:LYS6"/>
    <mergeCell ref="LYT6:LYV6"/>
    <mergeCell ref="LYW6:LYY6"/>
    <mergeCell ref="LYZ6:LZB6"/>
    <mergeCell ref="LZC6:LZE6"/>
    <mergeCell ref="LYB6:LYD6"/>
    <mergeCell ref="LYE6:LYG6"/>
    <mergeCell ref="LYH6:LYJ6"/>
    <mergeCell ref="LYK6:LYM6"/>
    <mergeCell ref="LYN6:LYP6"/>
    <mergeCell ref="MCC6:MCE6"/>
    <mergeCell ref="MCF6:MCH6"/>
    <mergeCell ref="MCI6:MCK6"/>
    <mergeCell ref="MCL6:MCN6"/>
    <mergeCell ref="MCO6:MCQ6"/>
    <mergeCell ref="MBN6:MBP6"/>
    <mergeCell ref="MBQ6:MBS6"/>
    <mergeCell ref="MBT6:MBV6"/>
    <mergeCell ref="MBW6:MBY6"/>
    <mergeCell ref="MBZ6:MCB6"/>
    <mergeCell ref="MAY6:MBA6"/>
    <mergeCell ref="MBB6:MBD6"/>
    <mergeCell ref="MBE6:MBG6"/>
    <mergeCell ref="MBH6:MBJ6"/>
    <mergeCell ref="MBK6:MBM6"/>
    <mergeCell ref="MAJ6:MAL6"/>
    <mergeCell ref="MAM6:MAO6"/>
    <mergeCell ref="MAP6:MAR6"/>
    <mergeCell ref="MAS6:MAU6"/>
    <mergeCell ref="MAV6:MAX6"/>
    <mergeCell ref="MEK6:MEM6"/>
    <mergeCell ref="MEN6:MEP6"/>
    <mergeCell ref="MEQ6:MES6"/>
    <mergeCell ref="MET6:MEV6"/>
    <mergeCell ref="MEW6:MEY6"/>
    <mergeCell ref="MDV6:MDX6"/>
    <mergeCell ref="MDY6:MEA6"/>
    <mergeCell ref="MEB6:MED6"/>
    <mergeCell ref="MEE6:MEG6"/>
    <mergeCell ref="MEH6:MEJ6"/>
    <mergeCell ref="MDG6:MDI6"/>
    <mergeCell ref="MDJ6:MDL6"/>
    <mergeCell ref="MDM6:MDO6"/>
    <mergeCell ref="MDP6:MDR6"/>
    <mergeCell ref="MDS6:MDU6"/>
    <mergeCell ref="MCR6:MCT6"/>
    <mergeCell ref="MCU6:MCW6"/>
    <mergeCell ref="MCX6:MCZ6"/>
    <mergeCell ref="MDA6:MDC6"/>
    <mergeCell ref="MDD6:MDF6"/>
    <mergeCell ref="MGS6:MGU6"/>
    <mergeCell ref="MGV6:MGX6"/>
    <mergeCell ref="MGY6:MHA6"/>
    <mergeCell ref="MHB6:MHD6"/>
    <mergeCell ref="MHE6:MHG6"/>
    <mergeCell ref="MGD6:MGF6"/>
    <mergeCell ref="MGG6:MGI6"/>
    <mergeCell ref="MGJ6:MGL6"/>
    <mergeCell ref="MGM6:MGO6"/>
    <mergeCell ref="MGP6:MGR6"/>
    <mergeCell ref="MFO6:MFQ6"/>
    <mergeCell ref="MFR6:MFT6"/>
    <mergeCell ref="MFU6:MFW6"/>
    <mergeCell ref="MFX6:MFZ6"/>
    <mergeCell ref="MGA6:MGC6"/>
    <mergeCell ref="MEZ6:MFB6"/>
    <mergeCell ref="MFC6:MFE6"/>
    <mergeCell ref="MFF6:MFH6"/>
    <mergeCell ref="MFI6:MFK6"/>
    <mergeCell ref="MFL6:MFN6"/>
    <mergeCell ref="MJA6:MJC6"/>
    <mergeCell ref="MJD6:MJF6"/>
    <mergeCell ref="MJG6:MJI6"/>
    <mergeCell ref="MJJ6:MJL6"/>
    <mergeCell ref="MJM6:MJO6"/>
    <mergeCell ref="MIL6:MIN6"/>
    <mergeCell ref="MIO6:MIQ6"/>
    <mergeCell ref="MIR6:MIT6"/>
    <mergeCell ref="MIU6:MIW6"/>
    <mergeCell ref="MIX6:MIZ6"/>
    <mergeCell ref="MHW6:MHY6"/>
    <mergeCell ref="MHZ6:MIB6"/>
    <mergeCell ref="MIC6:MIE6"/>
    <mergeCell ref="MIF6:MIH6"/>
    <mergeCell ref="MII6:MIK6"/>
    <mergeCell ref="MHH6:MHJ6"/>
    <mergeCell ref="MHK6:MHM6"/>
    <mergeCell ref="MHN6:MHP6"/>
    <mergeCell ref="MHQ6:MHS6"/>
    <mergeCell ref="MHT6:MHV6"/>
    <mergeCell ref="MLI6:MLK6"/>
    <mergeCell ref="MLL6:MLN6"/>
    <mergeCell ref="MLO6:MLQ6"/>
    <mergeCell ref="MLR6:MLT6"/>
    <mergeCell ref="MLU6:MLW6"/>
    <mergeCell ref="MKT6:MKV6"/>
    <mergeCell ref="MKW6:MKY6"/>
    <mergeCell ref="MKZ6:MLB6"/>
    <mergeCell ref="MLC6:MLE6"/>
    <mergeCell ref="MLF6:MLH6"/>
    <mergeCell ref="MKE6:MKG6"/>
    <mergeCell ref="MKH6:MKJ6"/>
    <mergeCell ref="MKK6:MKM6"/>
    <mergeCell ref="MKN6:MKP6"/>
    <mergeCell ref="MKQ6:MKS6"/>
    <mergeCell ref="MJP6:MJR6"/>
    <mergeCell ref="MJS6:MJU6"/>
    <mergeCell ref="MJV6:MJX6"/>
    <mergeCell ref="MJY6:MKA6"/>
    <mergeCell ref="MKB6:MKD6"/>
    <mergeCell ref="MNQ6:MNS6"/>
    <mergeCell ref="MNT6:MNV6"/>
    <mergeCell ref="MNW6:MNY6"/>
    <mergeCell ref="MNZ6:MOB6"/>
    <mergeCell ref="MOC6:MOE6"/>
    <mergeCell ref="MNB6:MND6"/>
    <mergeCell ref="MNE6:MNG6"/>
    <mergeCell ref="MNH6:MNJ6"/>
    <mergeCell ref="MNK6:MNM6"/>
    <mergeCell ref="MNN6:MNP6"/>
    <mergeCell ref="MMM6:MMO6"/>
    <mergeCell ref="MMP6:MMR6"/>
    <mergeCell ref="MMS6:MMU6"/>
    <mergeCell ref="MMV6:MMX6"/>
    <mergeCell ref="MMY6:MNA6"/>
    <mergeCell ref="MLX6:MLZ6"/>
    <mergeCell ref="MMA6:MMC6"/>
    <mergeCell ref="MMD6:MMF6"/>
    <mergeCell ref="MMG6:MMI6"/>
    <mergeCell ref="MMJ6:MML6"/>
    <mergeCell ref="MPY6:MQA6"/>
    <mergeCell ref="MQB6:MQD6"/>
    <mergeCell ref="MQE6:MQG6"/>
    <mergeCell ref="MQH6:MQJ6"/>
    <mergeCell ref="MQK6:MQM6"/>
    <mergeCell ref="MPJ6:MPL6"/>
    <mergeCell ref="MPM6:MPO6"/>
    <mergeCell ref="MPP6:MPR6"/>
    <mergeCell ref="MPS6:MPU6"/>
    <mergeCell ref="MPV6:MPX6"/>
    <mergeCell ref="MOU6:MOW6"/>
    <mergeCell ref="MOX6:MOZ6"/>
    <mergeCell ref="MPA6:MPC6"/>
    <mergeCell ref="MPD6:MPF6"/>
    <mergeCell ref="MPG6:MPI6"/>
    <mergeCell ref="MOF6:MOH6"/>
    <mergeCell ref="MOI6:MOK6"/>
    <mergeCell ref="MOL6:MON6"/>
    <mergeCell ref="MOO6:MOQ6"/>
    <mergeCell ref="MOR6:MOT6"/>
    <mergeCell ref="MSG6:MSI6"/>
    <mergeCell ref="MSJ6:MSL6"/>
    <mergeCell ref="MSM6:MSO6"/>
    <mergeCell ref="MSP6:MSR6"/>
    <mergeCell ref="MSS6:MSU6"/>
    <mergeCell ref="MRR6:MRT6"/>
    <mergeCell ref="MRU6:MRW6"/>
    <mergeCell ref="MRX6:MRZ6"/>
    <mergeCell ref="MSA6:MSC6"/>
    <mergeCell ref="MSD6:MSF6"/>
    <mergeCell ref="MRC6:MRE6"/>
    <mergeCell ref="MRF6:MRH6"/>
    <mergeCell ref="MRI6:MRK6"/>
    <mergeCell ref="MRL6:MRN6"/>
    <mergeCell ref="MRO6:MRQ6"/>
    <mergeCell ref="MQN6:MQP6"/>
    <mergeCell ref="MQQ6:MQS6"/>
    <mergeCell ref="MQT6:MQV6"/>
    <mergeCell ref="MQW6:MQY6"/>
    <mergeCell ref="MQZ6:MRB6"/>
    <mergeCell ref="MUO6:MUQ6"/>
    <mergeCell ref="MUR6:MUT6"/>
    <mergeCell ref="MUU6:MUW6"/>
    <mergeCell ref="MUX6:MUZ6"/>
    <mergeCell ref="MVA6:MVC6"/>
    <mergeCell ref="MTZ6:MUB6"/>
    <mergeCell ref="MUC6:MUE6"/>
    <mergeCell ref="MUF6:MUH6"/>
    <mergeCell ref="MUI6:MUK6"/>
    <mergeCell ref="MUL6:MUN6"/>
    <mergeCell ref="MTK6:MTM6"/>
    <mergeCell ref="MTN6:MTP6"/>
    <mergeCell ref="MTQ6:MTS6"/>
    <mergeCell ref="MTT6:MTV6"/>
    <mergeCell ref="MTW6:MTY6"/>
    <mergeCell ref="MSV6:MSX6"/>
    <mergeCell ref="MSY6:MTA6"/>
    <mergeCell ref="MTB6:MTD6"/>
    <mergeCell ref="MTE6:MTG6"/>
    <mergeCell ref="MTH6:MTJ6"/>
    <mergeCell ref="MWW6:MWY6"/>
    <mergeCell ref="MWZ6:MXB6"/>
    <mergeCell ref="MXC6:MXE6"/>
    <mergeCell ref="MXF6:MXH6"/>
    <mergeCell ref="MXI6:MXK6"/>
    <mergeCell ref="MWH6:MWJ6"/>
    <mergeCell ref="MWK6:MWM6"/>
    <mergeCell ref="MWN6:MWP6"/>
    <mergeCell ref="MWQ6:MWS6"/>
    <mergeCell ref="MWT6:MWV6"/>
    <mergeCell ref="MVS6:MVU6"/>
    <mergeCell ref="MVV6:MVX6"/>
    <mergeCell ref="MVY6:MWA6"/>
    <mergeCell ref="MWB6:MWD6"/>
    <mergeCell ref="MWE6:MWG6"/>
    <mergeCell ref="MVD6:MVF6"/>
    <mergeCell ref="MVG6:MVI6"/>
    <mergeCell ref="MVJ6:MVL6"/>
    <mergeCell ref="MVM6:MVO6"/>
    <mergeCell ref="MVP6:MVR6"/>
    <mergeCell ref="MZE6:MZG6"/>
    <mergeCell ref="MZH6:MZJ6"/>
    <mergeCell ref="MZK6:MZM6"/>
    <mergeCell ref="MZN6:MZP6"/>
    <mergeCell ref="MZQ6:MZS6"/>
    <mergeCell ref="MYP6:MYR6"/>
    <mergeCell ref="MYS6:MYU6"/>
    <mergeCell ref="MYV6:MYX6"/>
    <mergeCell ref="MYY6:MZA6"/>
    <mergeCell ref="MZB6:MZD6"/>
    <mergeCell ref="MYA6:MYC6"/>
    <mergeCell ref="MYD6:MYF6"/>
    <mergeCell ref="MYG6:MYI6"/>
    <mergeCell ref="MYJ6:MYL6"/>
    <mergeCell ref="MYM6:MYO6"/>
    <mergeCell ref="MXL6:MXN6"/>
    <mergeCell ref="MXO6:MXQ6"/>
    <mergeCell ref="MXR6:MXT6"/>
    <mergeCell ref="MXU6:MXW6"/>
    <mergeCell ref="MXX6:MXZ6"/>
    <mergeCell ref="NBM6:NBO6"/>
    <mergeCell ref="NBP6:NBR6"/>
    <mergeCell ref="NBS6:NBU6"/>
    <mergeCell ref="NBV6:NBX6"/>
    <mergeCell ref="NBY6:NCA6"/>
    <mergeCell ref="NAX6:NAZ6"/>
    <mergeCell ref="NBA6:NBC6"/>
    <mergeCell ref="NBD6:NBF6"/>
    <mergeCell ref="NBG6:NBI6"/>
    <mergeCell ref="NBJ6:NBL6"/>
    <mergeCell ref="NAI6:NAK6"/>
    <mergeCell ref="NAL6:NAN6"/>
    <mergeCell ref="NAO6:NAQ6"/>
    <mergeCell ref="NAR6:NAT6"/>
    <mergeCell ref="NAU6:NAW6"/>
    <mergeCell ref="MZT6:MZV6"/>
    <mergeCell ref="MZW6:MZY6"/>
    <mergeCell ref="MZZ6:NAB6"/>
    <mergeCell ref="NAC6:NAE6"/>
    <mergeCell ref="NAF6:NAH6"/>
    <mergeCell ref="NDU6:NDW6"/>
    <mergeCell ref="NDX6:NDZ6"/>
    <mergeCell ref="NEA6:NEC6"/>
    <mergeCell ref="NED6:NEF6"/>
    <mergeCell ref="NEG6:NEI6"/>
    <mergeCell ref="NDF6:NDH6"/>
    <mergeCell ref="NDI6:NDK6"/>
    <mergeCell ref="NDL6:NDN6"/>
    <mergeCell ref="NDO6:NDQ6"/>
    <mergeCell ref="NDR6:NDT6"/>
    <mergeCell ref="NCQ6:NCS6"/>
    <mergeCell ref="NCT6:NCV6"/>
    <mergeCell ref="NCW6:NCY6"/>
    <mergeCell ref="NCZ6:NDB6"/>
    <mergeCell ref="NDC6:NDE6"/>
    <mergeCell ref="NCB6:NCD6"/>
    <mergeCell ref="NCE6:NCG6"/>
    <mergeCell ref="NCH6:NCJ6"/>
    <mergeCell ref="NCK6:NCM6"/>
    <mergeCell ref="NCN6:NCP6"/>
    <mergeCell ref="NGC6:NGE6"/>
    <mergeCell ref="NGF6:NGH6"/>
    <mergeCell ref="NGI6:NGK6"/>
    <mergeCell ref="NGL6:NGN6"/>
    <mergeCell ref="NGO6:NGQ6"/>
    <mergeCell ref="NFN6:NFP6"/>
    <mergeCell ref="NFQ6:NFS6"/>
    <mergeCell ref="NFT6:NFV6"/>
    <mergeCell ref="NFW6:NFY6"/>
    <mergeCell ref="NFZ6:NGB6"/>
    <mergeCell ref="NEY6:NFA6"/>
    <mergeCell ref="NFB6:NFD6"/>
    <mergeCell ref="NFE6:NFG6"/>
    <mergeCell ref="NFH6:NFJ6"/>
    <mergeCell ref="NFK6:NFM6"/>
    <mergeCell ref="NEJ6:NEL6"/>
    <mergeCell ref="NEM6:NEO6"/>
    <mergeCell ref="NEP6:NER6"/>
    <mergeCell ref="NES6:NEU6"/>
    <mergeCell ref="NEV6:NEX6"/>
    <mergeCell ref="NIK6:NIM6"/>
    <mergeCell ref="NIN6:NIP6"/>
    <mergeCell ref="NIQ6:NIS6"/>
    <mergeCell ref="NIT6:NIV6"/>
    <mergeCell ref="NIW6:NIY6"/>
    <mergeCell ref="NHV6:NHX6"/>
    <mergeCell ref="NHY6:NIA6"/>
    <mergeCell ref="NIB6:NID6"/>
    <mergeCell ref="NIE6:NIG6"/>
    <mergeCell ref="NIH6:NIJ6"/>
    <mergeCell ref="NHG6:NHI6"/>
    <mergeCell ref="NHJ6:NHL6"/>
    <mergeCell ref="NHM6:NHO6"/>
    <mergeCell ref="NHP6:NHR6"/>
    <mergeCell ref="NHS6:NHU6"/>
    <mergeCell ref="NGR6:NGT6"/>
    <mergeCell ref="NGU6:NGW6"/>
    <mergeCell ref="NGX6:NGZ6"/>
    <mergeCell ref="NHA6:NHC6"/>
    <mergeCell ref="NHD6:NHF6"/>
    <mergeCell ref="NKS6:NKU6"/>
    <mergeCell ref="NKV6:NKX6"/>
    <mergeCell ref="NKY6:NLA6"/>
    <mergeCell ref="NLB6:NLD6"/>
    <mergeCell ref="NLE6:NLG6"/>
    <mergeCell ref="NKD6:NKF6"/>
    <mergeCell ref="NKG6:NKI6"/>
    <mergeCell ref="NKJ6:NKL6"/>
    <mergeCell ref="NKM6:NKO6"/>
    <mergeCell ref="NKP6:NKR6"/>
    <mergeCell ref="NJO6:NJQ6"/>
    <mergeCell ref="NJR6:NJT6"/>
    <mergeCell ref="NJU6:NJW6"/>
    <mergeCell ref="NJX6:NJZ6"/>
    <mergeCell ref="NKA6:NKC6"/>
    <mergeCell ref="NIZ6:NJB6"/>
    <mergeCell ref="NJC6:NJE6"/>
    <mergeCell ref="NJF6:NJH6"/>
    <mergeCell ref="NJI6:NJK6"/>
    <mergeCell ref="NJL6:NJN6"/>
    <mergeCell ref="NNA6:NNC6"/>
    <mergeCell ref="NND6:NNF6"/>
    <mergeCell ref="NNG6:NNI6"/>
    <mergeCell ref="NNJ6:NNL6"/>
    <mergeCell ref="NNM6:NNO6"/>
    <mergeCell ref="NML6:NMN6"/>
    <mergeCell ref="NMO6:NMQ6"/>
    <mergeCell ref="NMR6:NMT6"/>
    <mergeCell ref="NMU6:NMW6"/>
    <mergeCell ref="NMX6:NMZ6"/>
    <mergeCell ref="NLW6:NLY6"/>
    <mergeCell ref="NLZ6:NMB6"/>
    <mergeCell ref="NMC6:NME6"/>
    <mergeCell ref="NMF6:NMH6"/>
    <mergeCell ref="NMI6:NMK6"/>
    <mergeCell ref="NLH6:NLJ6"/>
    <mergeCell ref="NLK6:NLM6"/>
    <mergeCell ref="NLN6:NLP6"/>
    <mergeCell ref="NLQ6:NLS6"/>
    <mergeCell ref="NLT6:NLV6"/>
    <mergeCell ref="NPI6:NPK6"/>
    <mergeCell ref="NPL6:NPN6"/>
    <mergeCell ref="NPO6:NPQ6"/>
    <mergeCell ref="NPR6:NPT6"/>
    <mergeCell ref="NPU6:NPW6"/>
    <mergeCell ref="NOT6:NOV6"/>
    <mergeCell ref="NOW6:NOY6"/>
    <mergeCell ref="NOZ6:NPB6"/>
    <mergeCell ref="NPC6:NPE6"/>
    <mergeCell ref="NPF6:NPH6"/>
    <mergeCell ref="NOE6:NOG6"/>
    <mergeCell ref="NOH6:NOJ6"/>
    <mergeCell ref="NOK6:NOM6"/>
    <mergeCell ref="NON6:NOP6"/>
    <mergeCell ref="NOQ6:NOS6"/>
    <mergeCell ref="NNP6:NNR6"/>
    <mergeCell ref="NNS6:NNU6"/>
    <mergeCell ref="NNV6:NNX6"/>
    <mergeCell ref="NNY6:NOA6"/>
    <mergeCell ref="NOB6:NOD6"/>
    <mergeCell ref="NRQ6:NRS6"/>
    <mergeCell ref="NRT6:NRV6"/>
    <mergeCell ref="NRW6:NRY6"/>
    <mergeCell ref="NRZ6:NSB6"/>
    <mergeCell ref="NSC6:NSE6"/>
    <mergeCell ref="NRB6:NRD6"/>
    <mergeCell ref="NRE6:NRG6"/>
    <mergeCell ref="NRH6:NRJ6"/>
    <mergeCell ref="NRK6:NRM6"/>
    <mergeCell ref="NRN6:NRP6"/>
    <mergeCell ref="NQM6:NQO6"/>
    <mergeCell ref="NQP6:NQR6"/>
    <mergeCell ref="NQS6:NQU6"/>
    <mergeCell ref="NQV6:NQX6"/>
    <mergeCell ref="NQY6:NRA6"/>
    <mergeCell ref="NPX6:NPZ6"/>
    <mergeCell ref="NQA6:NQC6"/>
    <mergeCell ref="NQD6:NQF6"/>
    <mergeCell ref="NQG6:NQI6"/>
    <mergeCell ref="NQJ6:NQL6"/>
    <mergeCell ref="NTY6:NUA6"/>
    <mergeCell ref="NUB6:NUD6"/>
    <mergeCell ref="NUE6:NUG6"/>
    <mergeCell ref="NUH6:NUJ6"/>
    <mergeCell ref="NUK6:NUM6"/>
    <mergeCell ref="NTJ6:NTL6"/>
    <mergeCell ref="NTM6:NTO6"/>
    <mergeCell ref="NTP6:NTR6"/>
    <mergeCell ref="NTS6:NTU6"/>
    <mergeCell ref="NTV6:NTX6"/>
    <mergeCell ref="NSU6:NSW6"/>
    <mergeCell ref="NSX6:NSZ6"/>
    <mergeCell ref="NTA6:NTC6"/>
    <mergeCell ref="NTD6:NTF6"/>
    <mergeCell ref="NTG6:NTI6"/>
    <mergeCell ref="NSF6:NSH6"/>
    <mergeCell ref="NSI6:NSK6"/>
    <mergeCell ref="NSL6:NSN6"/>
    <mergeCell ref="NSO6:NSQ6"/>
    <mergeCell ref="NSR6:NST6"/>
    <mergeCell ref="NWG6:NWI6"/>
    <mergeCell ref="NWJ6:NWL6"/>
    <mergeCell ref="NWM6:NWO6"/>
    <mergeCell ref="NWP6:NWR6"/>
    <mergeCell ref="NWS6:NWU6"/>
    <mergeCell ref="NVR6:NVT6"/>
    <mergeCell ref="NVU6:NVW6"/>
    <mergeCell ref="NVX6:NVZ6"/>
    <mergeCell ref="NWA6:NWC6"/>
    <mergeCell ref="NWD6:NWF6"/>
    <mergeCell ref="NVC6:NVE6"/>
    <mergeCell ref="NVF6:NVH6"/>
    <mergeCell ref="NVI6:NVK6"/>
    <mergeCell ref="NVL6:NVN6"/>
    <mergeCell ref="NVO6:NVQ6"/>
    <mergeCell ref="NUN6:NUP6"/>
    <mergeCell ref="NUQ6:NUS6"/>
    <mergeCell ref="NUT6:NUV6"/>
    <mergeCell ref="NUW6:NUY6"/>
    <mergeCell ref="NUZ6:NVB6"/>
    <mergeCell ref="NYO6:NYQ6"/>
    <mergeCell ref="NYR6:NYT6"/>
    <mergeCell ref="NYU6:NYW6"/>
    <mergeCell ref="NYX6:NYZ6"/>
    <mergeCell ref="NZA6:NZC6"/>
    <mergeCell ref="NXZ6:NYB6"/>
    <mergeCell ref="NYC6:NYE6"/>
    <mergeCell ref="NYF6:NYH6"/>
    <mergeCell ref="NYI6:NYK6"/>
    <mergeCell ref="NYL6:NYN6"/>
    <mergeCell ref="NXK6:NXM6"/>
    <mergeCell ref="NXN6:NXP6"/>
    <mergeCell ref="NXQ6:NXS6"/>
    <mergeCell ref="NXT6:NXV6"/>
    <mergeCell ref="NXW6:NXY6"/>
    <mergeCell ref="NWV6:NWX6"/>
    <mergeCell ref="NWY6:NXA6"/>
    <mergeCell ref="NXB6:NXD6"/>
    <mergeCell ref="NXE6:NXG6"/>
    <mergeCell ref="NXH6:NXJ6"/>
    <mergeCell ref="OAW6:OAY6"/>
    <mergeCell ref="OAZ6:OBB6"/>
    <mergeCell ref="OBC6:OBE6"/>
    <mergeCell ref="OBF6:OBH6"/>
    <mergeCell ref="OBI6:OBK6"/>
    <mergeCell ref="OAH6:OAJ6"/>
    <mergeCell ref="OAK6:OAM6"/>
    <mergeCell ref="OAN6:OAP6"/>
    <mergeCell ref="OAQ6:OAS6"/>
    <mergeCell ref="OAT6:OAV6"/>
    <mergeCell ref="NZS6:NZU6"/>
    <mergeCell ref="NZV6:NZX6"/>
    <mergeCell ref="NZY6:OAA6"/>
    <mergeCell ref="OAB6:OAD6"/>
    <mergeCell ref="OAE6:OAG6"/>
    <mergeCell ref="NZD6:NZF6"/>
    <mergeCell ref="NZG6:NZI6"/>
    <mergeCell ref="NZJ6:NZL6"/>
    <mergeCell ref="NZM6:NZO6"/>
    <mergeCell ref="NZP6:NZR6"/>
    <mergeCell ref="ODE6:ODG6"/>
    <mergeCell ref="ODH6:ODJ6"/>
    <mergeCell ref="ODK6:ODM6"/>
    <mergeCell ref="ODN6:ODP6"/>
    <mergeCell ref="ODQ6:ODS6"/>
    <mergeCell ref="OCP6:OCR6"/>
    <mergeCell ref="OCS6:OCU6"/>
    <mergeCell ref="OCV6:OCX6"/>
    <mergeCell ref="OCY6:ODA6"/>
    <mergeCell ref="ODB6:ODD6"/>
    <mergeCell ref="OCA6:OCC6"/>
    <mergeCell ref="OCD6:OCF6"/>
    <mergeCell ref="OCG6:OCI6"/>
    <mergeCell ref="OCJ6:OCL6"/>
    <mergeCell ref="OCM6:OCO6"/>
    <mergeCell ref="OBL6:OBN6"/>
    <mergeCell ref="OBO6:OBQ6"/>
    <mergeCell ref="OBR6:OBT6"/>
    <mergeCell ref="OBU6:OBW6"/>
    <mergeCell ref="OBX6:OBZ6"/>
    <mergeCell ref="OFM6:OFO6"/>
    <mergeCell ref="OFP6:OFR6"/>
    <mergeCell ref="OFS6:OFU6"/>
    <mergeCell ref="OFV6:OFX6"/>
    <mergeCell ref="OFY6:OGA6"/>
    <mergeCell ref="OEX6:OEZ6"/>
    <mergeCell ref="OFA6:OFC6"/>
    <mergeCell ref="OFD6:OFF6"/>
    <mergeCell ref="OFG6:OFI6"/>
    <mergeCell ref="OFJ6:OFL6"/>
    <mergeCell ref="OEI6:OEK6"/>
    <mergeCell ref="OEL6:OEN6"/>
    <mergeCell ref="OEO6:OEQ6"/>
    <mergeCell ref="OER6:OET6"/>
    <mergeCell ref="OEU6:OEW6"/>
    <mergeCell ref="ODT6:ODV6"/>
    <mergeCell ref="ODW6:ODY6"/>
    <mergeCell ref="ODZ6:OEB6"/>
    <mergeCell ref="OEC6:OEE6"/>
    <mergeCell ref="OEF6:OEH6"/>
    <mergeCell ref="OHU6:OHW6"/>
    <mergeCell ref="OHX6:OHZ6"/>
    <mergeCell ref="OIA6:OIC6"/>
    <mergeCell ref="OID6:OIF6"/>
    <mergeCell ref="OIG6:OII6"/>
    <mergeCell ref="OHF6:OHH6"/>
    <mergeCell ref="OHI6:OHK6"/>
    <mergeCell ref="OHL6:OHN6"/>
    <mergeCell ref="OHO6:OHQ6"/>
    <mergeCell ref="OHR6:OHT6"/>
    <mergeCell ref="OGQ6:OGS6"/>
    <mergeCell ref="OGT6:OGV6"/>
    <mergeCell ref="OGW6:OGY6"/>
    <mergeCell ref="OGZ6:OHB6"/>
    <mergeCell ref="OHC6:OHE6"/>
    <mergeCell ref="OGB6:OGD6"/>
    <mergeCell ref="OGE6:OGG6"/>
    <mergeCell ref="OGH6:OGJ6"/>
    <mergeCell ref="OGK6:OGM6"/>
    <mergeCell ref="OGN6:OGP6"/>
    <mergeCell ref="OKC6:OKE6"/>
    <mergeCell ref="OKF6:OKH6"/>
    <mergeCell ref="OKI6:OKK6"/>
    <mergeCell ref="OKL6:OKN6"/>
    <mergeCell ref="OKO6:OKQ6"/>
    <mergeCell ref="OJN6:OJP6"/>
    <mergeCell ref="OJQ6:OJS6"/>
    <mergeCell ref="OJT6:OJV6"/>
    <mergeCell ref="OJW6:OJY6"/>
    <mergeCell ref="OJZ6:OKB6"/>
    <mergeCell ref="OIY6:OJA6"/>
    <mergeCell ref="OJB6:OJD6"/>
    <mergeCell ref="OJE6:OJG6"/>
    <mergeCell ref="OJH6:OJJ6"/>
    <mergeCell ref="OJK6:OJM6"/>
    <mergeCell ref="OIJ6:OIL6"/>
    <mergeCell ref="OIM6:OIO6"/>
    <mergeCell ref="OIP6:OIR6"/>
    <mergeCell ref="OIS6:OIU6"/>
    <mergeCell ref="OIV6:OIX6"/>
    <mergeCell ref="OMK6:OMM6"/>
    <mergeCell ref="OMN6:OMP6"/>
    <mergeCell ref="OMQ6:OMS6"/>
    <mergeCell ref="OMT6:OMV6"/>
    <mergeCell ref="OMW6:OMY6"/>
    <mergeCell ref="OLV6:OLX6"/>
    <mergeCell ref="OLY6:OMA6"/>
    <mergeCell ref="OMB6:OMD6"/>
    <mergeCell ref="OME6:OMG6"/>
    <mergeCell ref="OMH6:OMJ6"/>
    <mergeCell ref="OLG6:OLI6"/>
    <mergeCell ref="OLJ6:OLL6"/>
    <mergeCell ref="OLM6:OLO6"/>
    <mergeCell ref="OLP6:OLR6"/>
    <mergeCell ref="OLS6:OLU6"/>
    <mergeCell ref="OKR6:OKT6"/>
    <mergeCell ref="OKU6:OKW6"/>
    <mergeCell ref="OKX6:OKZ6"/>
    <mergeCell ref="OLA6:OLC6"/>
    <mergeCell ref="OLD6:OLF6"/>
    <mergeCell ref="OOS6:OOU6"/>
    <mergeCell ref="OOV6:OOX6"/>
    <mergeCell ref="OOY6:OPA6"/>
    <mergeCell ref="OPB6:OPD6"/>
    <mergeCell ref="OPE6:OPG6"/>
    <mergeCell ref="OOD6:OOF6"/>
    <mergeCell ref="OOG6:OOI6"/>
    <mergeCell ref="OOJ6:OOL6"/>
    <mergeCell ref="OOM6:OOO6"/>
    <mergeCell ref="OOP6:OOR6"/>
    <mergeCell ref="ONO6:ONQ6"/>
    <mergeCell ref="ONR6:ONT6"/>
    <mergeCell ref="ONU6:ONW6"/>
    <mergeCell ref="ONX6:ONZ6"/>
    <mergeCell ref="OOA6:OOC6"/>
    <mergeCell ref="OMZ6:ONB6"/>
    <mergeCell ref="ONC6:ONE6"/>
    <mergeCell ref="ONF6:ONH6"/>
    <mergeCell ref="ONI6:ONK6"/>
    <mergeCell ref="ONL6:ONN6"/>
    <mergeCell ref="ORA6:ORC6"/>
    <mergeCell ref="ORD6:ORF6"/>
    <mergeCell ref="ORG6:ORI6"/>
    <mergeCell ref="ORJ6:ORL6"/>
    <mergeCell ref="ORM6:ORO6"/>
    <mergeCell ref="OQL6:OQN6"/>
    <mergeCell ref="OQO6:OQQ6"/>
    <mergeCell ref="OQR6:OQT6"/>
    <mergeCell ref="OQU6:OQW6"/>
    <mergeCell ref="OQX6:OQZ6"/>
    <mergeCell ref="OPW6:OPY6"/>
    <mergeCell ref="OPZ6:OQB6"/>
    <mergeCell ref="OQC6:OQE6"/>
    <mergeCell ref="OQF6:OQH6"/>
    <mergeCell ref="OQI6:OQK6"/>
    <mergeCell ref="OPH6:OPJ6"/>
    <mergeCell ref="OPK6:OPM6"/>
    <mergeCell ref="OPN6:OPP6"/>
    <mergeCell ref="OPQ6:OPS6"/>
    <mergeCell ref="OPT6:OPV6"/>
    <mergeCell ref="OTI6:OTK6"/>
    <mergeCell ref="OTL6:OTN6"/>
    <mergeCell ref="OTO6:OTQ6"/>
    <mergeCell ref="OTR6:OTT6"/>
    <mergeCell ref="OTU6:OTW6"/>
    <mergeCell ref="OST6:OSV6"/>
    <mergeCell ref="OSW6:OSY6"/>
    <mergeCell ref="OSZ6:OTB6"/>
    <mergeCell ref="OTC6:OTE6"/>
    <mergeCell ref="OTF6:OTH6"/>
    <mergeCell ref="OSE6:OSG6"/>
    <mergeCell ref="OSH6:OSJ6"/>
    <mergeCell ref="OSK6:OSM6"/>
    <mergeCell ref="OSN6:OSP6"/>
    <mergeCell ref="OSQ6:OSS6"/>
    <mergeCell ref="ORP6:ORR6"/>
    <mergeCell ref="ORS6:ORU6"/>
    <mergeCell ref="ORV6:ORX6"/>
    <mergeCell ref="ORY6:OSA6"/>
    <mergeCell ref="OSB6:OSD6"/>
    <mergeCell ref="OVQ6:OVS6"/>
    <mergeCell ref="OVT6:OVV6"/>
    <mergeCell ref="OVW6:OVY6"/>
    <mergeCell ref="OVZ6:OWB6"/>
    <mergeCell ref="OWC6:OWE6"/>
    <mergeCell ref="OVB6:OVD6"/>
    <mergeCell ref="OVE6:OVG6"/>
    <mergeCell ref="OVH6:OVJ6"/>
    <mergeCell ref="OVK6:OVM6"/>
    <mergeCell ref="OVN6:OVP6"/>
    <mergeCell ref="OUM6:OUO6"/>
    <mergeCell ref="OUP6:OUR6"/>
    <mergeCell ref="OUS6:OUU6"/>
    <mergeCell ref="OUV6:OUX6"/>
    <mergeCell ref="OUY6:OVA6"/>
    <mergeCell ref="OTX6:OTZ6"/>
    <mergeCell ref="OUA6:OUC6"/>
    <mergeCell ref="OUD6:OUF6"/>
    <mergeCell ref="OUG6:OUI6"/>
    <mergeCell ref="OUJ6:OUL6"/>
    <mergeCell ref="OXY6:OYA6"/>
    <mergeCell ref="OYB6:OYD6"/>
    <mergeCell ref="OYE6:OYG6"/>
    <mergeCell ref="OYH6:OYJ6"/>
    <mergeCell ref="OYK6:OYM6"/>
    <mergeCell ref="OXJ6:OXL6"/>
    <mergeCell ref="OXM6:OXO6"/>
    <mergeCell ref="OXP6:OXR6"/>
    <mergeCell ref="OXS6:OXU6"/>
    <mergeCell ref="OXV6:OXX6"/>
    <mergeCell ref="OWU6:OWW6"/>
    <mergeCell ref="OWX6:OWZ6"/>
    <mergeCell ref="OXA6:OXC6"/>
    <mergeCell ref="OXD6:OXF6"/>
    <mergeCell ref="OXG6:OXI6"/>
    <mergeCell ref="OWF6:OWH6"/>
    <mergeCell ref="OWI6:OWK6"/>
    <mergeCell ref="OWL6:OWN6"/>
    <mergeCell ref="OWO6:OWQ6"/>
    <mergeCell ref="OWR6:OWT6"/>
    <mergeCell ref="PAG6:PAI6"/>
    <mergeCell ref="PAJ6:PAL6"/>
    <mergeCell ref="PAM6:PAO6"/>
    <mergeCell ref="PAP6:PAR6"/>
    <mergeCell ref="PAS6:PAU6"/>
    <mergeCell ref="OZR6:OZT6"/>
    <mergeCell ref="OZU6:OZW6"/>
    <mergeCell ref="OZX6:OZZ6"/>
    <mergeCell ref="PAA6:PAC6"/>
    <mergeCell ref="PAD6:PAF6"/>
    <mergeCell ref="OZC6:OZE6"/>
    <mergeCell ref="OZF6:OZH6"/>
    <mergeCell ref="OZI6:OZK6"/>
    <mergeCell ref="OZL6:OZN6"/>
    <mergeCell ref="OZO6:OZQ6"/>
    <mergeCell ref="OYN6:OYP6"/>
    <mergeCell ref="OYQ6:OYS6"/>
    <mergeCell ref="OYT6:OYV6"/>
    <mergeCell ref="OYW6:OYY6"/>
    <mergeCell ref="OYZ6:OZB6"/>
    <mergeCell ref="PCO6:PCQ6"/>
    <mergeCell ref="PCR6:PCT6"/>
    <mergeCell ref="PCU6:PCW6"/>
    <mergeCell ref="PCX6:PCZ6"/>
    <mergeCell ref="PDA6:PDC6"/>
    <mergeCell ref="PBZ6:PCB6"/>
    <mergeCell ref="PCC6:PCE6"/>
    <mergeCell ref="PCF6:PCH6"/>
    <mergeCell ref="PCI6:PCK6"/>
    <mergeCell ref="PCL6:PCN6"/>
    <mergeCell ref="PBK6:PBM6"/>
    <mergeCell ref="PBN6:PBP6"/>
    <mergeCell ref="PBQ6:PBS6"/>
    <mergeCell ref="PBT6:PBV6"/>
    <mergeCell ref="PBW6:PBY6"/>
    <mergeCell ref="PAV6:PAX6"/>
    <mergeCell ref="PAY6:PBA6"/>
    <mergeCell ref="PBB6:PBD6"/>
    <mergeCell ref="PBE6:PBG6"/>
    <mergeCell ref="PBH6:PBJ6"/>
    <mergeCell ref="PEW6:PEY6"/>
    <mergeCell ref="PEZ6:PFB6"/>
    <mergeCell ref="PFC6:PFE6"/>
    <mergeCell ref="PFF6:PFH6"/>
    <mergeCell ref="PFI6:PFK6"/>
    <mergeCell ref="PEH6:PEJ6"/>
    <mergeCell ref="PEK6:PEM6"/>
    <mergeCell ref="PEN6:PEP6"/>
    <mergeCell ref="PEQ6:PES6"/>
    <mergeCell ref="PET6:PEV6"/>
    <mergeCell ref="PDS6:PDU6"/>
    <mergeCell ref="PDV6:PDX6"/>
    <mergeCell ref="PDY6:PEA6"/>
    <mergeCell ref="PEB6:PED6"/>
    <mergeCell ref="PEE6:PEG6"/>
    <mergeCell ref="PDD6:PDF6"/>
    <mergeCell ref="PDG6:PDI6"/>
    <mergeCell ref="PDJ6:PDL6"/>
    <mergeCell ref="PDM6:PDO6"/>
    <mergeCell ref="PDP6:PDR6"/>
    <mergeCell ref="PHE6:PHG6"/>
    <mergeCell ref="PHH6:PHJ6"/>
    <mergeCell ref="PHK6:PHM6"/>
    <mergeCell ref="PHN6:PHP6"/>
    <mergeCell ref="PHQ6:PHS6"/>
    <mergeCell ref="PGP6:PGR6"/>
    <mergeCell ref="PGS6:PGU6"/>
    <mergeCell ref="PGV6:PGX6"/>
    <mergeCell ref="PGY6:PHA6"/>
    <mergeCell ref="PHB6:PHD6"/>
    <mergeCell ref="PGA6:PGC6"/>
    <mergeCell ref="PGD6:PGF6"/>
    <mergeCell ref="PGG6:PGI6"/>
    <mergeCell ref="PGJ6:PGL6"/>
    <mergeCell ref="PGM6:PGO6"/>
    <mergeCell ref="PFL6:PFN6"/>
    <mergeCell ref="PFO6:PFQ6"/>
    <mergeCell ref="PFR6:PFT6"/>
    <mergeCell ref="PFU6:PFW6"/>
    <mergeCell ref="PFX6:PFZ6"/>
    <mergeCell ref="PJM6:PJO6"/>
    <mergeCell ref="PJP6:PJR6"/>
    <mergeCell ref="PJS6:PJU6"/>
    <mergeCell ref="PJV6:PJX6"/>
    <mergeCell ref="PJY6:PKA6"/>
    <mergeCell ref="PIX6:PIZ6"/>
    <mergeCell ref="PJA6:PJC6"/>
    <mergeCell ref="PJD6:PJF6"/>
    <mergeCell ref="PJG6:PJI6"/>
    <mergeCell ref="PJJ6:PJL6"/>
    <mergeCell ref="PII6:PIK6"/>
    <mergeCell ref="PIL6:PIN6"/>
    <mergeCell ref="PIO6:PIQ6"/>
    <mergeCell ref="PIR6:PIT6"/>
    <mergeCell ref="PIU6:PIW6"/>
    <mergeCell ref="PHT6:PHV6"/>
    <mergeCell ref="PHW6:PHY6"/>
    <mergeCell ref="PHZ6:PIB6"/>
    <mergeCell ref="PIC6:PIE6"/>
    <mergeCell ref="PIF6:PIH6"/>
    <mergeCell ref="PLU6:PLW6"/>
    <mergeCell ref="PLX6:PLZ6"/>
    <mergeCell ref="PMA6:PMC6"/>
    <mergeCell ref="PMD6:PMF6"/>
    <mergeCell ref="PMG6:PMI6"/>
    <mergeCell ref="PLF6:PLH6"/>
    <mergeCell ref="PLI6:PLK6"/>
    <mergeCell ref="PLL6:PLN6"/>
    <mergeCell ref="PLO6:PLQ6"/>
    <mergeCell ref="PLR6:PLT6"/>
    <mergeCell ref="PKQ6:PKS6"/>
    <mergeCell ref="PKT6:PKV6"/>
    <mergeCell ref="PKW6:PKY6"/>
    <mergeCell ref="PKZ6:PLB6"/>
    <mergeCell ref="PLC6:PLE6"/>
    <mergeCell ref="PKB6:PKD6"/>
    <mergeCell ref="PKE6:PKG6"/>
    <mergeCell ref="PKH6:PKJ6"/>
    <mergeCell ref="PKK6:PKM6"/>
    <mergeCell ref="PKN6:PKP6"/>
    <mergeCell ref="POC6:POE6"/>
    <mergeCell ref="POF6:POH6"/>
    <mergeCell ref="POI6:POK6"/>
    <mergeCell ref="POL6:PON6"/>
    <mergeCell ref="POO6:POQ6"/>
    <mergeCell ref="PNN6:PNP6"/>
    <mergeCell ref="PNQ6:PNS6"/>
    <mergeCell ref="PNT6:PNV6"/>
    <mergeCell ref="PNW6:PNY6"/>
    <mergeCell ref="PNZ6:POB6"/>
    <mergeCell ref="PMY6:PNA6"/>
    <mergeCell ref="PNB6:PND6"/>
    <mergeCell ref="PNE6:PNG6"/>
    <mergeCell ref="PNH6:PNJ6"/>
    <mergeCell ref="PNK6:PNM6"/>
    <mergeCell ref="PMJ6:PML6"/>
    <mergeCell ref="PMM6:PMO6"/>
    <mergeCell ref="PMP6:PMR6"/>
    <mergeCell ref="PMS6:PMU6"/>
    <mergeCell ref="PMV6:PMX6"/>
    <mergeCell ref="PQK6:PQM6"/>
    <mergeCell ref="PQN6:PQP6"/>
    <mergeCell ref="PQQ6:PQS6"/>
    <mergeCell ref="PQT6:PQV6"/>
    <mergeCell ref="PQW6:PQY6"/>
    <mergeCell ref="PPV6:PPX6"/>
    <mergeCell ref="PPY6:PQA6"/>
    <mergeCell ref="PQB6:PQD6"/>
    <mergeCell ref="PQE6:PQG6"/>
    <mergeCell ref="PQH6:PQJ6"/>
    <mergeCell ref="PPG6:PPI6"/>
    <mergeCell ref="PPJ6:PPL6"/>
    <mergeCell ref="PPM6:PPO6"/>
    <mergeCell ref="PPP6:PPR6"/>
    <mergeCell ref="PPS6:PPU6"/>
    <mergeCell ref="POR6:POT6"/>
    <mergeCell ref="POU6:POW6"/>
    <mergeCell ref="POX6:POZ6"/>
    <mergeCell ref="PPA6:PPC6"/>
    <mergeCell ref="PPD6:PPF6"/>
    <mergeCell ref="PSS6:PSU6"/>
    <mergeCell ref="PSV6:PSX6"/>
    <mergeCell ref="PSY6:PTA6"/>
    <mergeCell ref="PTB6:PTD6"/>
    <mergeCell ref="PTE6:PTG6"/>
    <mergeCell ref="PSD6:PSF6"/>
    <mergeCell ref="PSG6:PSI6"/>
    <mergeCell ref="PSJ6:PSL6"/>
    <mergeCell ref="PSM6:PSO6"/>
    <mergeCell ref="PSP6:PSR6"/>
    <mergeCell ref="PRO6:PRQ6"/>
    <mergeCell ref="PRR6:PRT6"/>
    <mergeCell ref="PRU6:PRW6"/>
    <mergeCell ref="PRX6:PRZ6"/>
    <mergeCell ref="PSA6:PSC6"/>
    <mergeCell ref="PQZ6:PRB6"/>
    <mergeCell ref="PRC6:PRE6"/>
    <mergeCell ref="PRF6:PRH6"/>
    <mergeCell ref="PRI6:PRK6"/>
    <mergeCell ref="PRL6:PRN6"/>
    <mergeCell ref="PVA6:PVC6"/>
    <mergeCell ref="PVD6:PVF6"/>
    <mergeCell ref="PVG6:PVI6"/>
    <mergeCell ref="PVJ6:PVL6"/>
    <mergeCell ref="PVM6:PVO6"/>
    <mergeCell ref="PUL6:PUN6"/>
    <mergeCell ref="PUO6:PUQ6"/>
    <mergeCell ref="PUR6:PUT6"/>
    <mergeCell ref="PUU6:PUW6"/>
    <mergeCell ref="PUX6:PUZ6"/>
    <mergeCell ref="PTW6:PTY6"/>
    <mergeCell ref="PTZ6:PUB6"/>
    <mergeCell ref="PUC6:PUE6"/>
    <mergeCell ref="PUF6:PUH6"/>
    <mergeCell ref="PUI6:PUK6"/>
    <mergeCell ref="PTH6:PTJ6"/>
    <mergeCell ref="PTK6:PTM6"/>
    <mergeCell ref="PTN6:PTP6"/>
    <mergeCell ref="PTQ6:PTS6"/>
    <mergeCell ref="PTT6:PTV6"/>
    <mergeCell ref="PXI6:PXK6"/>
    <mergeCell ref="PXL6:PXN6"/>
    <mergeCell ref="PXO6:PXQ6"/>
    <mergeCell ref="PXR6:PXT6"/>
    <mergeCell ref="PXU6:PXW6"/>
    <mergeCell ref="PWT6:PWV6"/>
    <mergeCell ref="PWW6:PWY6"/>
    <mergeCell ref="PWZ6:PXB6"/>
    <mergeCell ref="PXC6:PXE6"/>
    <mergeCell ref="PXF6:PXH6"/>
    <mergeCell ref="PWE6:PWG6"/>
    <mergeCell ref="PWH6:PWJ6"/>
    <mergeCell ref="PWK6:PWM6"/>
    <mergeCell ref="PWN6:PWP6"/>
    <mergeCell ref="PWQ6:PWS6"/>
    <mergeCell ref="PVP6:PVR6"/>
    <mergeCell ref="PVS6:PVU6"/>
    <mergeCell ref="PVV6:PVX6"/>
    <mergeCell ref="PVY6:PWA6"/>
    <mergeCell ref="PWB6:PWD6"/>
    <mergeCell ref="PZQ6:PZS6"/>
    <mergeCell ref="PZT6:PZV6"/>
    <mergeCell ref="PZW6:PZY6"/>
    <mergeCell ref="PZZ6:QAB6"/>
    <mergeCell ref="QAC6:QAE6"/>
    <mergeCell ref="PZB6:PZD6"/>
    <mergeCell ref="PZE6:PZG6"/>
    <mergeCell ref="PZH6:PZJ6"/>
    <mergeCell ref="PZK6:PZM6"/>
    <mergeCell ref="PZN6:PZP6"/>
    <mergeCell ref="PYM6:PYO6"/>
    <mergeCell ref="PYP6:PYR6"/>
    <mergeCell ref="PYS6:PYU6"/>
    <mergeCell ref="PYV6:PYX6"/>
    <mergeCell ref="PYY6:PZA6"/>
    <mergeCell ref="PXX6:PXZ6"/>
    <mergeCell ref="PYA6:PYC6"/>
    <mergeCell ref="PYD6:PYF6"/>
    <mergeCell ref="PYG6:PYI6"/>
    <mergeCell ref="PYJ6:PYL6"/>
    <mergeCell ref="QBY6:QCA6"/>
    <mergeCell ref="QCB6:QCD6"/>
    <mergeCell ref="QCE6:QCG6"/>
    <mergeCell ref="QCH6:QCJ6"/>
    <mergeCell ref="QCK6:QCM6"/>
    <mergeCell ref="QBJ6:QBL6"/>
    <mergeCell ref="QBM6:QBO6"/>
    <mergeCell ref="QBP6:QBR6"/>
    <mergeCell ref="QBS6:QBU6"/>
    <mergeCell ref="QBV6:QBX6"/>
    <mergeCell ref="QAU6:QAW6"/>
    <mergeCell ref="QAX6:QAZ6"/>
    <mergeCell ref="QBA6:QBC6"/>
    <mergeCell ref="QBD6:QBF6"/>
    <mergeCell ref="QBG6:QBI6"/>
    <mergeCell ref="QAF6:QAH6"/>
    <mergeCell ref="QAI6:QAK6"/>
    <mergeCell ref="QAL6:QAN6"/>
    <mergeCell ref="QAO6:QAQ6"/>
    <mergeCell ref="QAR6:QAT6"/>
    <mergeCell ref="QEG6:QEI6"/>
    <mergeCell ref="QEJ6:QEL6"/>
    <mergeCell ref="QEM6:QEO6"/>
    <mergeCell ref="QEP6:QER6"/>
    <mergeCell ref="QES6:QEU6"/>
    <mergeCell ref="QDR6:QDT6"/>
    <mergeCell ref="QDU6:QDW6"/>
    <mergeCell ref="QDX6:QDZ6"/>
    <mergeCell ref="QEA6:QEC6"/>
    <mergeCell ref="QED6:QEF6"/>
    <mergeCell ref="QDC6:QDE6"/>
    <mergeCell ref="QDF6:QDH6"/>
    <mergeCell ref="QDI6:QDK6"/>
    <mergeCell ref="QDL6:QDN6"/>
    <mergeCell ref="QDO6:QDQ6"/>
    <mergeCell ref="QCN6:QCP6"/>
    <mergeCell ref="QCQ6:QCS6"/>
    <mergeCell ref="QCT6:QCV6"/>
    <mergeCell ref="QCW6:QCY6"/>
    <mergeCell ref="QCZ6:QDB6"/>
    <mergeCell ref="QGO6:QGQ6"/>
    <mergeCell ref="QGR6:QGT6"/>
    <mergeCell ref="QGU6:QGW6"/>
    <mergeCell ref="QGX6:QGZ6"/>
    <mergeCell ref="QHA6:QHC6"/>
    <mergeCell ref="QFZ6:QGB6"/>
    <mergeCell ref="QGC6:QGE6"/>
    <mergeCell ref="QGF6:QGH6"/>
    <mergeCell ref="QGI6:QGK6"/>
    <mergeCell ref="QGL6:QGN6"/>
    <mergeCell ref="QFK6:QFM6"/>
    <mergeCell ref="QFN6:QFP6"/>
    <mergeCell ref="QFQ6:QFS6"/>
    <mergeCell ref="QFT6:QFV6"/>
    <mergeCell ref="QFW6:QFY6"/>
    <mergeCell ref="QEV6:QEX6"/>
    <mergeCell ref="QEY6:QFA6"/>
    <mergeCell ref="QFB6:QFD6"/>
    <mergeCell ref="QFE6:QFG6"/>
    <mergeCell ref="QFH6:QFJ6"/>
    <mergeCell ref="QIW6:QIY6"/>
    <mergeCell ref="QIZ6:QJB6"/>
    <mergeCell ref="QJC6:QJE6"/>
    <mergeCell ref="QJF6:QJH6"/>
    <mergeCell ref="QJI6:QJK6"/>
    <mergeCell ref="QIH6:QIJ6"/>
    <mergeCell ref="QIK6:QIM6"/>
    <mergeCell ref="QIN6:QIP6"/>
    <mergeCell ref="QIQ6:QIS6"/>
    <mergeCell ref="QIT6:QIV6"/>
    <mergeCell ref="QHS6:QHU6"/>
    <mergeCell ref="QHV6:QHX6"/>
    <mergeCell ref="QHY6:QIA6"/>
    <mergeCell ref="QIB6:QID6"/>
    <mergeCell ref="QIE6:QIG6"/>
    <mergeCell ref="QHD6:QHF6"/>
    <mergeCell ref="QHG6:QHI6"/>
    <mergeCell ref="QHJ6:QHL6"/>
    <mergeCell ref="QHM6:QHO6"/>
    <mergeCell ref="QHP6:QHR6"/>
    <mergeCell ref="QLE6:QLG6"/>
    <mergeCell ref="QLH6:QLJ6"/>
    <mergeCell ref="QLK6:QLM6"/>
    <mergeCell ref="QLN6:QLP6"/>
    <mergeCell ref="QLQ6:QLS6"/>
    <mergeCell ref="QKP6:QKR6"/>
    <mergeCell ref="QKS6:QKU6"/>
    <mergeCell ref="QKV6:QKX6"/>
    <mergeCell ref="QKY6:QLA6"/>
    <mergeCell ref="QLB6:QLD6"/>
    <mergeCell ref="QKA6:QKC6"/>
    <mergeCell ref="QKD6:QKF6"/>
    <mergeCell ref="QKG6:QKI6"/>
    <mergeCell ref="QKJ6:QKL6"/>
    <mergeCell ref="QKM6:QKO6"/>
    <mergeCell ref="QJL6:QJN6"/>
    <mergeCell ref="QJO6:QJQ6"/>
    <mergeCell ref="QJR6:QJT6"/>
    <mergeCell ref="QJU6:QJW6"/>
    <mergeCell ref="QJX6:QJZ6"/>
    <mergeCell ref="QNM6:QNO6"/>
    <mergeCell ref="QNP6:QNR6"/>
    <mergeCell ref="QNS6:QNU6"/>
    <mergeCell ref="QNV6:QNX6"/>
    <mergeCell ref="QNY6:QOA6"/>
    <mergeCell ref="QMX6:QMZ6"/>
    <mergeCell ref="QNA6:QNC6"/>
    <mergeCell ref="QND6:QNF6"/>
    <mergeCell ref="QNG6:QNI6"/>
    <mergeCell ref="QNJ6:QNL6"/>
    <mergeCell ref="QMI6:QMK6"/>
    <mergeCell ref="QML6:QMN6"/>
    <mergeCell ref="QMO6:QMQ6"/>
    <mergeCell ref="QMR6:QMT6"/>
    <mergeCell ref="QMU6:QMW6"/>
    <mergeCell ref="QLT6:QLV6"/>
    <mergeCell ref="QLW6:QLY6"/>
    <mergeCell ref="QLZ6:QMB6"/>
    <mergeCell ref="QMC6:QME6"/>
    <mergeCell ref="QMF6:QMH6"/>
    <mergeCell ref="QPU6:QPW6"/>
    <mergeCell ref="QPX6:QPZ6"/>
    <mergeCell ref="QQA6:QQC6"/>
    <mergeCell ref="QQD6:QQF6"/>
    <mergeCell ref="QQG6:QQI6"/>
    <mergeCell ref="QPF6:QPH6"/>
    <mergeCell ref="QPI6:QPK6"/>
    <mergeCell ref="QPL6:QPN6"/>
    <mergeCell ref="QPO6:QPQ6"/>
    <mergeCell ref="QPR6:QPT6"/>
    <mergeCell ref="QOQ6:QOS6"/>
    <mergeCell ref="QOT6:QOV6"/>
    <mergeCell ref="QOW6:QOY6"/>
    <mergeCell ref="QOZ6:QPB6"/>
    <mergeCell ref="QPC6:QPE6"/>
    <mergeCell ref="QOB6:QOD6"/>
    <mergeCell ref="QOE6:QOG6"/>
    <mergeCell ref="QOH6:QOJ6"/>
    <mergeCell ref="QOK6:QOM6"/>
    <mergeCell ref="QON6:QOP6"/>
    <mergeCell ref="QSC6:QSE6"/>
    <mergeCell ref="QSF6:QSH6"/>
    <mergeCell ref="QSI6:QSK6"/>
    <mergeCell ref="QSL6:QSN6"/>
    <mergeCell ref="QSO6:QSQ6"/>
    <mergeCell ref="QRN6:QRP6"/>
    <mergeCell ref="QRQ6:QRS6"/>
    <mergeCell ref="QRT6:QRV6"/>
    <mergeCell ref="QRW6:QRY6"/>
    <mergeCell ref="QRZ6:QSB6"/>
    <mergeCell ref="QQY6:QRA6"/>
    <mergeCell ref="QRB6:QRD6"/>
    <mergeCell ref="QRE6:QRG6"/>
    <mergeCell ref="QRH6:QRJ6"/>
    <mergeCell ref="QRK6:QRM6"/>
    <mergeCell ref="QQJ6:QQL6"/>
    <mergeCell ref="QQM6:QQO6"/>
    <mergeCell ref="QQP6:QQR6"/>
    <mergeCell ref="QQS6:QQU6"/>
    <mergeCell ref="QQV6:QQX6"/>
    <mergeCell ref="QUK6:QUM6"/>
    <mergeCell ref="QUN6:QUP6"/>
    <mergeCell ref="QUQ6:QUS6"/>
    <mergeCell ref="QUT6:QUV6"/>
    <mergeCell ref="QUW6:QUY6"/>
    <mergeCell ref="QTV6:QTX6"/>
    <mergeCell ref="QTY6:QUA6"/>
    <mergeCell ref="QUB6:QUD6"/>
    <mergeCell ref="QUE6:QUG6"/>
    <mergeCell ref="QUH6:QUJ6"/>
    <mergeCell ref="QTG6:QTI6"/>
    <mergeCell ref="QTJ6:QTL6"/>
    <mergeCell ref="QTM6:QTO6"/>
    <mergeCell ref="QTP6:QTR6"/>
    <mergeCell ref="QTS6:QTU6"/>
    <mergeCell ref="QSR6:QST6"/>
    <mergeCell ref="QSU6:QSW6"/>
    <mergeCell ref="QSX6:QSZ6"/>
    <mergeCell ref="QTA6:QTC6"/>
    <mergeCell ref="QTD6:QTF6"/>
    <mergeCell ref="QWS6:QWU6"/>
    <mergeCell ref="QWV6:QWX6"/>
    <mergeCell ref="QWY6:QXA6"/>
    <mergeCell ref="QXB6:QXD6"/>
    <mergeCell ref="QXE6:QXG6"/>
    <mergeCell ref="QWD6:QWF6"/>
    <mergeCell ref="QWG6:QWI6"/>
    <mergeCell ref="QWJ6:QWL6"/>
    <mergeCell ref="QWM6:QWO6"/>
    <mergeCell ref="QWP6:QWR6"/>
    <mergeCell ref="QVO6:QVQ6"/>
    <mergeCell ref="QVR6:QVT6"/>
    <mergeCell ref="QVU6:QVW6"/>
    <mergeCell ref="QVX6:QVZ6"/>
    <mergeCell ref="QWA6:QWC6"/>
    <mergeCell ref="QUZ6:QVB6"/>
    <mergeCell ref="QVC6:QVE6"/>
    <mergeCell ref="QVF6:QVH6"/>
    <mergeCell ref="QVI6:QVK6"/>
    <mergeCell ref="QVL6:QVN6"/>
    <mergeCell ref="QZA6:QZC6"/>
    <mergeCell ref="QZD6:QZF6"/>
    <mergeCell ref="QZG6:QZI6"/>
    <mergeCell ref="QZJ6:QZL6"/>
    <mergeCell ref="QZM6:QZO6"/>
    <mergeCell ref="QYL6:QYN6"/>
    <mergeCell ref="QYO6:QYQ6"/>
    <mergeCell ref="QYR6:QYT6"/>
    <mergeCell ref="QYU6:QYW6"/>
    <mergeCell ref="QYX6:QYZ6"/>
    <mergeCell ref="QXW6:QXY6"/>
    <mergeCell ref="QXZ6:QYB6"/>
    <mergeCell ref="QYC6:QYE6"/>
    <mergeCell ref="QYF6:QYH6"/>
    <mergeCell ref="QYI6:QYK6"/>
    <mergeCell ref="QXH6:QXJ6"/>
    <mergeCell ref="QXK6:QXM6"/>
    <mergeCell ref="QXN6:QXP6"/>
    <mergeCell ref="QXQ6:QXS6"/>
    <mergeCell ref="QXT6:QXV6"/>
    <mergeCell ref="RBI6:RBK6"/>
    <mergeCell ref="RBL6:RBN6"/>
    <mergeCell ref="RBO6:RBQ6"/>
    <mergeCell ref="RBR6:RBT6"/>
    <mergeCell ref="RBU6:RBW6"/>
    <mergeCell ref="RAT6:RAV6"/>
    <mergeCell ref="RAW6:RAY6"/>
    <mergeCell ref="RAZ6:RBB6"/>
    <mergeCell ref="RBC6:RBE6"/>
    <mergeCell ref="RBF6:RBH6"/>
    <mergeCell ref="RAE6:RAG6"/>
    <mergeCell ref="RAH6:RAJ6"/>
    <mergeCell ref="RAK6:RAM6"/>
    <mergeCell ref="RAN6:RAP6"/>
    <mergeCell ref="RAQ6:RAS6"/>
    <mergeCell ref="QZP6:QZR6"/>
    <mergeCell ref="QZS6:QZU6"/>
    <mergeCell ref="QZV6:QZX6"/>
    <mergeCell ref="QZY6:RAA6"/>
    <mergeCell ref="RAB6:RAD6"/>
    <mergeCell ref="RDQ6:RDS6"/>
    <mergeCell ref="RDT6:RDV6"/>
    <mergeCell ref="RDW6:RDY6"/>
    <mergeCell ref="RDZ6:REB6"/>
    <mergeCell ref="REC6:REE6"/>
    <mergeCell ref="RDB6:RDD6"/>
    <mergeCell ref="RDE6:RDG6"/>
    <mergeCell ref="RDH6:RDJ6"/>
    <mergeCell ref="RDK6:RDM6"/>
    <mergeCell ref="RDN6:RDP6"/>
    <mergeCell ref="RCM6:RCO6"/>
    <mergeCell ref="RCP6:RCR6"/>
    <mergeCell ref="RCS6:RCU6"/>
    <mergeCell ref="RCV6:RCX6"/>
    <mergeCell ref="RCY6:RDA6"/>
    <mergeCell ref="RBX6:RBZ6"/>
    <mergeCell ref="RCA6:RCC6"/>
    <mergeCell ref="RCD6:RCF6"/>
    <mergeCell ref="RCG6:RCI6"/>
    <mergeCell ref="RCJ6:RCL6"/>
    <mergeCell ref="RFY6:RGA6"/>
    <mergeCell ref="RGB6:RGD6"/>
    <mergeCell ref="RGE6:RGG6"/>
    <mergeCell ref="RGH6:RGJ6"/>
    <mergeCell ref="RGK6:RGM6"/>
    <mergeCell ref="RFJ6:RFL6"/>
    <mergeCell ref="RFM6:RFO6"/>
    <mergeCell ref="RFP6:RFR6"/>
    <mergeCell ref="RFS6:RFU6"/>
    <mergeCell ref="RFV6:RFX6"/>
    <mergeCell ref="REU6:REW6"/>
    <mergeCell ref="REX6:REZ6"/>
    <mergeCell ref="RFA6:RFC6"/>
    <mergeCell ref="RFD6:RFF6"/>
    <mergeCell ref="RFG6:RFI6"/>
    <mergeCell ref="REF6:REH6"/>
    <mergeCell ref="REI6:REK6"/>
    <mergeCell ref="REL6:REN6"/>
    <mergeCell ref="REO6:REQ6"/>
    <mergeCell ref="RER6:RET6"/>
    <mergeCell ref="RIG6:RII6"/>
    <mergeCell ref="RIJ6:RIL6"/>
    <mergeCell ref="RIM6:RIO6"/>
    <mergeCell ref="RIP6:RIR6"/>
    <mergeCell ref="RIS6:RIU6"/>
    <mergeCell ref="RHR6:RHT6"/>
    <mergeCell ref="RHU6:RHW6"/>
    <mergeCell ref="RHX6:RHZ6"/>
    <mergeCell ref="RIA6:RIC6"/>
    <mergeCell ref="RID6:RIF6"/>
    <mergeCell ref="RHC6:RHE6"/>
    <mergeCell ref="RHF6:RHH6"/>
    <mergeCell ref="RHI6:RHK6"/>
    <mergeCell ref="RHL6:RHN6"/>
    <mergeCell ref="RHO6:RHQ6"/>
    <mergeCell ref="RGN6:RGP6"/>
    <mergeCell ref="RGQ6:RGS6"/>
    <mergeCell ref="RGT6:RGV6"/>
    <mergeCell ref="RGW6:RGY6"/>
    <mergeCell ref="RGZ6:RHB6"/>
    <mergeCell ref="RKO6:RKQ6"/>
    <mergeCell ref="RKR6:RKT6"/>
    <mergeCell ref="RKU6:RKW6"/>
    <mergeCell ref="RKX6:RKZ6"/>
    <mergeCell ref="RLA6:RLC6"/>
    <mergeCell ref="RJZ6:RKB6"/>
    <mergeCell ref="RKC6:RKE6"/>
    <mergeCell ref="RKF6:RKH6"/>
    <mergeCell ref="RKI6:RKK6"/>
    <mergeCell ref="RKL6:RKN6"/>
    <mergeCell ref="RJK6:RJM6"/>
    <mergeCell ref="RJN6:RJP6"/>
    <mergeCell ref="RJQ6:RJS6"/>
    <mergeCell ref="RJT6:RJV6"/>
    <mergeCell ref="RJW6:RJY6"/>
    <mergeCell ref="RIV6:RIX6"/>
    <mergeCell ref="RIY6:RJA6"/>
    <mergeCell ref="RJB6:RJD6"/>
    <mergeCell ref="RJE6:RJG6"/>
    <mergeCell ref="RJH6:RJJ6"/>
    <mergeCell ref="RMW6:RMY6"/>
    <mergeCell ref="RMZ6:RNB6"/>
    <mergeCell ref="RNC6:RNE6"/>
    <mergeCell ref="RNF6:RNH6"/>
    <mergeCell ref="RNI6:RNK6"/>
    <mergeCell ref="RMH6:RMJ6"/>
    <mergeCell ref="RMK6:RMM6"/>
    <mergeCell ref="RMN6:RMP6"/>
    <mergeCell ref="RMQ6:RMS6"/>
    <mergeCell ref="RMT6:RMV6"/>
    <mergeCell ref="RLS6:RLU6"/>
    <mergeCell ref="RLV6:RLX6"/>
    <mergeCell ref="RLY6:RMA6"/>
    <mergeCell ref="RMB6:RMD6"/>
    <mergeCell ref="RME6:RMG6"/>
    <mergeCell ref="RLD6:RLF6"/>
    <mergeCell ref="RLG6:RLI6"/>
    <mergeCell ref="RLJ6:RLL6"/>
    <mergeCell ref="RLM6:RLO6"/>
    <mergeCell ref="RLP6:RLR6"/>
    <mergeCell ref="RPE6:RPG6"/>
    <mergeCell ref="RPH6:RPJ6"/>
    <mergeCell ref="RPK6:RPM6"/>
    <mergeCell ref="RPN6:RPP6"/>
    <mergeCell ref="RPQ6:RPS6"/>
    <mergeCell ref="ROP6:ROR6"/>
    <mergeCell ref="ROS6:ROU6"/>
    <mergeCell ref="ROV6:ROX6"/>
    <mergeCell ref="ROY6:RPA6"/>
    <mergeCell ref="RPB6:RPD6"/>
    <mergeCell ref="ROA6:ROC6"/>
    <mergeCell ref="ROD6:ROF6"/>
    <mergeCell ref="ROG6:ROI6"/>
    <mergeCell ref="ROJ6:ROL6"/>
    <mergeCell ref="ROM6:ROO6"/>
    <mergeCell ref="RNL6:RNN6"/>
    <mergeCell ref="RNO6:RNQ6"/>
    <mergeCell ref="RNR6:RNT6"/>
    <mergeCell ref="RNU6:RNW6"/>
    <mergeCell ref="RNX6:RNZ6"/>
    <mergeCell ref="RRM6:RRO6"/>
    <mergeCell ref="RRP6:RRR6"/>
    <mergeCell ref="RRS6:RRU6"/>
    <mergeCell ref="RRV6:RRX6"/>
    <mergeCell ref="RRY6:RSA6"/>
    <mergeCell ref="RQX6:RQZ6"/>
    <mergeCell ref="RRA6:RRC6"/>
    <mergeCell ref="RRD6:RRF6"/>
    <mergeCell ref="RRG6:RRI6"/>
    <mergeCell ref="RRJ6:RRL6"/>
    <mergeCell ref="RQI6:RQK6"/>
    <mergeCell ref="RQL6:RQN6"/>
    <mergeCell ref="RQO6:RQQ6"/>
    <mergeCell ref="RQR6:RQT6"/>
    <mergeCell ref="RQU6:RQW6"/>
    <mergeCell ref="RPT6:RPV6"/>
    <mergeCell ref="RPW6:RPY6"/>
    <mergeCell ref="RPZ6:RQB6"/>
    <mergeCell ref="RQC6:RQE6"/>
    <mergeCell ref="RQF6:RQH6"/>
    <mergeCell ref="RTU6:RTW6"/>
    <mergeCell ref="RTX6:RTZ6"/>
    <mergeCell ref="RUA6:RUC6"/>
    <mergeCell ref="RUD6:RUF6"/>
    <mergeCell ref="RUG6:RUI6"/>
    <mergeCell ref="RTF6:RTH6"/>
    <mergeCell ref="RTI6:RTK6"/>
    <mergeCell ref="RTL6:RTN6"/>
    <mergeCell ref="RTO6:RTQ6"/>
    <mergeCell ref="RTR6:RTT6"/>
    <mergeCell ref="RSQ6:RSS6"/>
    <mergeCell ref="RST6:RSV6"/>
    <mergeCell ref="RSW6:RSY6"/>
    <mergeCell ref="RSZ6:RTB6"/>
    <mergeCell ref="RTC6:RTE6"/>
    <mergeCell ref="RSB6:RSD6"/>
    <mergeCell ref="RSE6:RSG6"/>
    <mergeCell ref="RSH6:RSJ6"/>
    <mergeCell ref="RSK6:RSM6"/>
    <mergeCell ref="RSN6:RSP6"/>
    <mergeCell ref="RWC6:RWE6"/>
    <mergeCell ref="RWF6:RWH6"/>
    <mergeCell ref="RWI6:RWK6"/>
    <mergeCell ref="RWL6:RWN6"/>
    <mergeCell ref="RWO6:RWQ6"/>
    <mergeCell ref="RVN6:RVP6"/>
    <mergeCell ref="RVQ6:RVS6"/>
    <mergeCell ref="RVT6:RVV6"/>
    <mergeCell ref="RVW6:RVY6"/>
    <mergeCell ref="RVZ6:RWB6"/>
    <mergeCell ref="RUY6:RVA6"/>
    <mergeCell ref="RVB6:RVD6"/>
    <mergeCell ref="RVE6:RVG6"/>
    <mergeCell ref="RVH6:RVJ6"/>
    <mergeCell ref="RVK6:RVM6"/>
    <mergeCell ref="RUJ6:RUL6"/>
    <mergeCell ref="RUM6:RUO6"/>
    <mergeCell ref="RUP6:RUR6"/>
    <mergeCell ref="RUS6:RUU6"/>
    <mergeCell ref="RUV6:RUX6"/>
    <mergeCell ref="RYK6:RYM6"/>
    <mergeCell ref="RYN6:RYP6"/>
    <mergeCell ref="RYQ6:RYS6"/>
    <mergeCell ref="RYT6:RYV6"/>
    <mergeCell ref="RYW6:RYY6"/>
    <mergeCell ref="RXV6:RXX6"/>
    <mergeCell ref="RXY6:RYA6"/>
    <mergeCell ref="RYB6:RYD6"/>
    <mergeCell ref="RYE6:RYG6"/>
    <mergeCell ref="RYH6:RYJ6"/>
    <mergeCell ref="RXG6:RXI6"/>
    <mergeCell ref="RXJ6:RXL6"/>
    <mergeCell ref="RXM6:RXO6"/>
    <mergeCell ref="RXP6:RXR6"/>
    <mergeCell ref="RXS6:RXU6"/>
    <mergeCell ref="RWR6:RWT6"/>
    <mergeCell ref="RWU6:RWW6"/>
    <mergeCell ref="RWX6:RWZ6"/>
    <mergeCell ref="RXA6:RXC6"/>
    <mergeCell ref="RXD6:RXF6"/>
    <mergeCell ref="SAS6:SAU6"/>
    <mergeCell ref="SAV6:SAX6"/>
    <mergeCell ref="SAY6:SBA6"/>
    <mergeCell ref="SBB6:SBD6"/>
    <mergeCell ref="SBE6:SBG6"/>
    <mergeCell ref="SAD6:SAF6"/>
    <mergeCell ref="SAG6:SAI6"/>
    <mergeCell ref="SAJ6:SAL6"/>
    <mergeCell ref="SAM6:SAO6"/>
    <mergeCell ref="SAP6:SAR6"/>
    <mergeCell ref="RZO6:RZQ6"/>
    <mergeCell ref="RZR6:RZT6"/>
    <mergeCell ref="RZU6:RZW6"/>
    <mergeCell ref="RZX6:RZZ6"/>
    <mergeCell ref="SAA6:SAC6"/>
    <mergeCell ref="RYZ6:RZB6"/>
    <mergeCell ref="RZC6:RZE6"/>
    <mergeCell ref="RZF6:RZH6"/>
    <mergeCell ref="RZI6:RZK6"/>
    <mergeCell ref="RZL6:RZN6"/>
    <mergeCell ref="SDA6:SDC6"/>
    <mergeCell ref="SDD6:SDF6"/>
    <mergeCell ref="SDG6:SDI6"/>
    <mergeCell ref="SDJ6:SDL6"/>
    <mergeCell ref="SDM6:SDO6"/>
    <mergeCell ref="SCL6:SCN6"/>
    <mergeCell ref="SCO6:SCQ6"/>
    <mergeCell ref="SCR6:SCT6"/>
    <mergeCell ref="SCU6:SCW6"/>
    <mergeCell ref="SCX6:SCZ6"/>
    <mergeCell ref="SBW6:SBY6"/>
    <mergeCell ref="SBZ6:SCB6"/>
    <mergeCell ref="SCC6:SCE6"/>
    <mergeCell ref="SCF6:SCH6"/>
    <mergeCell ref="SCI6:SCK6"/>
    <mergeCell ref="SBH6:SBJ6"/>
    <mergeCell ref="SBK6:SBM6"/>
    <mergeCell ref="SBN6:SBP6"/>
    <mergeCell ref="SBQ6:SBS6"/>
    <mergeCell ref="SBT6:SBV6"/>
    <mergeCell ref="SFI6:SFK6"/>
    <mergeCell ref="SFL6:SFN6"/>
    <mergeCell ref="SFO6:SFQ6"/>
    <mergeCell ref="SFR6:SFT6"/>
    <mergeCell ref="SFU6:SFW6"/>
    <mergeCell ref="SET6:SEV6"/>
    <mergeCell ref="SEW6:SEY6"/>
    <mergeCell ref="SEZ6:SFB6"/>
    <mergeCell ref="SFC6:SFE6"/>
    <mergeCell ref="SFF6:SFH6"/>
    <mergeCell ref="SEE6:SEG6"/>
    <mergeCell ref="SEH6:SEJ6"/>
    <mergeCell ref="SEK6:SEM6"/>
    <mergeCell ref="SEN6:SEP6"/>
    <mergeCell ref="SEQ6:SES6"/>
    <mergeCell ref="SDP6:SDR6"/>
    <mergeCell ref="SDS6:SDU6"/>
    <mergeCell ref="SDV6:SDX6"/>
    <mergeCell ref="SDY6:SEA6"/>
    <mergeCell ref="SEB6:SED6"/>
    <mergeCell ref="SHQ6:SHS6"/>
    <mergeCell ref="SHT6:SHV6"/>
    <mergeCell ref="SHW6:SHY6"/>
    <mergeCell ref="SHZ6:SIB6"/>
    <mergeCell ref="SIC6:SIE6"/>
    <mergeCell ref="SHB6:SHD6"/>
    <mergeCell ref="SHE6:SHG6"/>
    <mergeCell ref="SHH6:SHJ6"/>
    <mergeCell ref="SHK6:SHM6"/>
    <mergeCell ref="SHN6:SHP6"/>
    <mergeCell ref="SGM6:SGO6"/>
    <mergeCell ref="SGP6:SGR6"/>
    <mergeCell ref="SGS6:SGU6"/>
    <mergeCell ref="SGV6:SGX6"/>
    <mergeCell ref="SGY6:SHA6"/>
    <mergeCell ref="SFX6:SFZ6"/>
    <mergeCell ref="SGA6:SGC6"/>
    <mergeCell ref="SGD6:SGF6"/>
    <mergeCell ref="SGG6:SGI6"/>
    <mergeCell ref="SGJ6:SGL6"/>
    <mergeCell ref="SJY6:SKA6"/>
    <mergeCell ref="SKB6:SKD6"/>
    <mergeCell ref="SKE6:SKG6"/>
    <mergeCell ref="SKH6:SKJ6"/>
    <mergeCell ref="SKK6:SKM6"/>
    <mergeCell ref="SJJ6:SJL6"/>
    <mergeCell ref="SJM6:SJO6"/>
    <mergeCell ref="SJP6:SJR6"/>
    <mergeCell ref="SJS6:SJU6"/>
    <mergeCell ref="SJV6:SJX6"/>
    <mergeCell ref="SIU6:SIW6"/>
    <mergeCell ref="SIX6:SIZ6"/>
    <mergeCell ref="SJA6:SJC6"/>
    <mergeCell ref="SJD6:SJF6"/>
    <mergeCell ref="SJG6:SJI6"/>
    <mergeCell ref="SIF6:SIH6"/>
    <mergeCell ref="SII6:SIK6"/>
    <mergeCell ref="SIL6:SIN6"/>
    <mergeCell ref="SIO6:SIQ6"/>
    <mergeCell ref="SIR6:SIT6"/>
    <mergeCell ref="SMG6:SMI6"/>
    <mergeCell ref="SMJ6:SML6"/>
    <mergeCell ref="SMM6:SMO6"/>
    <mergeCell ref="SMP6:SMR6"/>
    <mergeCell ref="SMS6:SMU6"/>
    <mergeCell ref="SLR6:SLT6"/>
    <mergeCell ref="SLU6:SLW6"/>
    <mergeCell ref="SLX6:SLZ6"/>
    <mergeCell ref="SMA6:SMC6"/>
    <mergeCell ref="SMD6:SMF6"/>
    <mergeCell ref="SLC6:SLE6"/>
    <mergeCell ref="SLF6:SLH6"/>
    <mergeCell ref="SLI6:SLK6"/>
    <mergeCell ref="SLL6:SLN6"/>
    <mergeCell ref="SLO6:SLQ6"/>
    <mergeCell ref="SKN6:SKP6"/>
    <mergeCell ref="SKQ6:SKS6"/>
    <mergeCell ref="SKT6:SKV6"/>
    <mergeCell ref="SKW6:SKY6"/>
    <mergeCell ref="SKZ6:SLB6"/>
    <mergeCell ref="SOO6:SOQ6"/>
    <mergeCell ref="SOR6:SOT6"/>
    <mergeCell ref="SOU6:SOW6"/>
    <mergeCell ref="SOX6:SOZ6"/>
    <mergeCell ref="SPA6:SPC6"/>
    <mergeCell ref="SNZ6:SOB6"/>
    <mergeCell ref="SOC6:SOE6"/>
    <mergeCell ref="SOF6:SOH6"/>
    <mergeCell ref="SOI6:SOK6"/>
    <mergeCell ref="SOL6:SON6"/>
    <mergeCell ref="SNK6:SNM6"/>
    <mergeCell ref="SNN6:SNP6"/>
    <mergeCell ref="SNQ6:SNS6"/>
    <mergeCell ref="SNT6:SNV6"/>
    <mergeCell ref="SNW6:SNY6"/>
    <mergeCell ref="SMV6:SMX6"/>
    <mergeCell ref="SMY6:SNA6"/>
    <mergeCell ref="SNB6:SND6"/>
    <mergeCell ref="SNE6:SNG6"/>
    <mergeCell ref="SNH6:SNJ6"/>
    <mergeCell ref="SQW6:SQY6"/>
    <mergeCell ref="SQZ6:SRB6"/>
    <mergeCell ref="SRC6:SRE6"/>
    <mergeCell ref="SRF6:SRH6"/>
    <mergeCell ref="SRI6:SRK6"/>
    <mergeCell ref="SQH6:SQJ6"/>
    <mergeCell ref="SQK6:SQM6"/>
    <mergeCell ref="SQN6:SQP6"/>
    <mergeCell ref="SQQ6:SQS6"/>
    <mergeCell ref="SQT6:SQV6"/>
    <mergeCell ref="SPS6:SPU6"/>
    <mergeCell ref="SPV6:SPX6"/>
    <mergeCell ref="SPY6:SQA6"/>
    <mergeCell ref="SQB6:SQD6"/>
    <mergeCell ref="SQE6:SQG6"/>
    <mergeCell ref="SPD6:SPF6"/>
    <mergeCell ref="SPG6:SPI6"/>
    <mergeCell ref="SPJ6:SPL6"/>
    <mergeCell ref="SPM6:SPO6"/>
    <mergeCell ref="SPP6:SPR6"/>
    <mergeCell ref="STE6:STG6"/>
    <mergeCell ref="STH6:STJ6"/>
    <mergeCell ref="STK6:STM6"/>
    <mergeCell ref="STN6:STP6"/>
    <mergeCell ref="STQ6:STS6"/>
    <mergeCell ref="SSP6:SSR6"/>
    <mergeCell ref="SSS6:SSU6"/>
    <mergeCell ref="SSV6:SSX6"/>
    <mergeCell ref="SSY6:STA6"/>
    <mergeCell ref="STB6:STD6"/>
    <mergeCell ref="SSA6:SSC6"/>
    <mergeCell ref="SSD6:SSF6"/>
    <mergeCell ref="SSG6:SSI6"/>
    <mergeCell ref="SSJ6:SSL6"/>
    <mergeCell ref="SSM6:SSO6"/>
    <mergeCell ref="SRL6:SRN6"/>
    <mergeCell ref="SRO6:SRQ6"/>
    <mergeCell ref="SRR6:SRT6"/>
    <mergeCell ref="SRU6:SRW6"/>
    <mergeCell ref="SRX6:SRZ6"/>
    <mergeCell ref="SVM6:SVO6"/>
    <mergeCell ref="SVP6:SVR6"/>
    <mergeCell ref="SVS6:SVU6"/>
    <mergeCell ref="SVV6:SVX6"/>
    <mergeCell ref="SVY6:SWA6"/>
    <mergeCell ref="SUX6:SUZ6"/>
    <mergeCell ref="SVA6:SVC6"/>
    <mergeCell ref="SVD6:SVF6"/>
    <mergeCell ref="SVG6:SVI6"/>
    <mergeCell ref="SVJ6:SVL6"/>
    <mergeCell ref="SUI6:SUK6"/>
    <mergeCell ref="SUL6:SUN6"/>
    <mergeCell ref="SUO6:SUQ6"/>
    <mergeCell ref="SUR6:SUT6"/>
    <mergeCell ref="SUU6:SUW6"/>
    <mergeCell ref="STT6:STV6"/>
    <mergeCell ref="STW6:STY6"/>
    <mergeCell ref="STZ6:SUB6"/>
    <mergeCell ref="SUC6:SUE6"/>
    <mergeCell ref="SUF6:SUH6"/>
    <mergeCell ref="SXU6:SXW6"/>
    <mergeCell ref="SXX6:SXZ6"/>
    <mergeCell ref="SYA6:SYC6"/>
    <mergeCell ref="SYD6:SYF6"/>
    <mergeCell ref="SYG6:SYI6"/>
    <mergeCell ref="SXF6:SXH6"/>
    <mergeCell ref="SXI6:SXK6"/>
    <mergeCell ref="SXL6:SXN6"/>
    <mergeCell ref="SXO6:SXQ6"/>
    <mergeCell ref="SXR6:SXT6"/>
    <mergeCell ref="SWQ6:SWS6"/>
    <mergeCell ref="SWT6:SWV6"/>
    <mergeCell ref="SWW6:SWY6"/>
    <mergeCell ref="SWZ6:SXB6"/>
    <mergeCell ref="SXC6:SXE6"/>
    <mergeCell ref="SWB6:SWD6"/>
    <mergeCell ref="SWE6:SWG6"/>
    <mergeCell ref="SWH6:SWJ6"/>
    <mergeCell ref="SWK6:SWM6"/>
    <mergeCell ref="SWN6:SWP6"/>
    <mergeCell ref="TAC6:TAE6"/>
    <mergeCell ref="TAF6:TAH6"/>
    <mergeCell ref="TAI6:TAK6"/>
    <mergeCell ref="TAL6:TAN6"/>
    <mergeCell ref="TAO6:TAQ6"/>
    <mergeCell ref="SZN6:SZP6"/>
    <mergeCell ref="SZQ6:SZS6"/>
    <mergeCell ref="SZT6:SZV6"/>
    <mergeCell ref="SZW6:SZY6"/>
    <mergeCell ref="SZZ6:TAB6"/>
    <mergeCell ref="SYY6:SZA6"/>
    <mergeCell ref="SZB6:SZD6"/>
    <mergeCell ref="SZE6:SZG6"/>
    <mergeCell ref="SZH6:SZJ6"/>
    <mergeCell ref="SZK6:SZM6"/>
    <mergeCell ref="SYJ6:SYL6"/>
    <mergeCell ref="SYM6:SYO6"/>
    <mergeCell ref="SYP6:SYR6"/>
    <mergeCell ref="SYS6:SYU6"/>
    <mergeCell ref="SYV6:SYX6"/>
    <mergeCell ref="TCK6:TCM6"/>
    <mergeCell ref="TCN6:TCP6"/>
    <mergeCell ref="TCQ6:TCS6"/>
    <mergeCell ref="TCT6:TCV6"/>
    <mergeCell ref="TCW6:TCY6"/>
    <mergeCell ref="TBV6:TBX6"/>
    <mergeCell ref="TBY6:TCA6"/>
    <mergeCell ref="TCB6:TCD6"/>
    <mergeCell ref="TCE6:TCG6"/>
    <mergeCell ref="TCH6:TCJ6"/>
    <mergeCell ref="TBG6:TBI6"/>
    <mergeCell ref="TBJ6:TBL6"/>
    <mergeCell ref="TBM6:TBO6"/>
    <mergeCell ref="TBP6:TBR6"/>
    <mergeCell ref="TBS6:TBU6"/>
    <mergeCell ref="TAR6:TAT6"/>
    <mergeCell ref="TAU6:TAW6"/>
    <mergeCell ref="TAX6:TAZ6"/>
    <mergeCell ref="TBA6:TBC6"/>
    <mergeCell ref="TBD6:TBF6"/>
    <mergeCell ref="TES6:TEU6"/>
    <mergeCell ref="TEV6:TEX6"/>
    <mergeCell ref="TEY6:TFA6"/>
    <mergeCell ref="TFB6:TFD6"/>
    <mergeCell ref="TFE6:TFG6"/>
    <mergeCell ref="TED6:TEF6"/>
    <mergeCell ref="TEG6:TEI6"/>
    <mergeCell ref="TEJ6:TEL6"/>
    <mergeCell ref="TEM6:TEO6"/>
    <mergeCell ref="TEP6:TER6"/>
    <mergeCell ref="TDO6:TDQ6"/>
    <mergeCell ref="TDR6:TDT6"/>
    <mergeCell ref="TDU6:TDW6"/>
    <mergeCell ref="TDX6:TDZ6"/>
    <mergeCell ref="TEA6:TEC6"/>
    <mergeCell ref="TCZ6:TDB6"/>
    <mergeCell ref="TDC6:TDE6"/>
    <mergeCell ref="TDF6:TDH6"/>
    <mergeCell ref="TDI6:TDK6"/>
    <mergeCell ref="TDL6:TDN6"/>
    <mergeCell ref="THA6:THC6"/>
    <mergeCell ref="THD6:THF6"/>
    <mergeCell ref="THG6:THI6"/>
    <mergeCell ref="THJ6:THL6"/>
    <mergeCell ref="THM6:THO6"/>
    <mergeCell ref="TGL6:TGN6"/>
    <mergeCell ref="TGO6:TGQ6"/>
    <mergeCell ref="TGR6:TGT6"/>
    <mergeCell ref="TGU6:TGW6"/>
    <mergeCell ref="TGX6:TGZ6"/>
    <mergeCell ref="TFW6:TFY6"/>
    <mergeCell ref="TFZ6:TGB6"/>
    <mergeCell ref="TGC6:TGE6"/>
    <mergeCell ref="TGF6:TGH6"/>
    <mergeCell ref="TGI6:TGK6"/>
    <mergeCell ref="TFH6:TFJ6"/>
    <mergeCell ref="TFK6:TFM6"/>
    <mergeCell ref="TFN6:TFP6"/>
    <mergeCell ref="TFQ6:TFS6"/>
    <mergeCell ref="TFT6:TFV6"/>
    <mergeCell ref="TJI6:TJK6"/>
    <mergeCell ref="TJL6:TJN6"/>
    <mergeCell ref="TJO6:TJQ6"/>
    <mergeCell ref="TJR6:TJT6"/>
    <mergeCell ref="TJU6:TJW6"/>
    <mergeCell ref="TIT6:TIV6"/>
    <mergeCell ref="TIW6:TIY6"/>
    <mergeCell ref="TIZ6:TJB6"/>
    <mergeCell ref="TJC6:TJE6"/>
    <mergeCell ref="TJF6:TJH6"/>
    <mergeCell ref="TIE6:TIG6"/>
    <mergeCell ref="TIH6:TIJ6"/>
    <mergeCell ref="TIK6:TIM6"/>
    <mergeCell ref="TIN6:TIP6"/>
    <mergeCell ref="TIQ6:TIS6"/>
    <mergeCell ref="THP6:THR6"/>
    <mergeCell ref="THS6:THU6"/>
    <mergeCell ref="THV6:THX6"/>
    <mergeCell ref="THY6:TIA6"/>
    <mergeCell ref="TIB6:TID6"/>
    <mergeCell ref="TLQ6:TLS6"/>
    <mergeCell ref="TLT6:TLV6"/>
    <mergeCell ref="TLW6:TLY6"/>
    <mergeCell ref="TLZ6:TMB6"/>
    <mergeCell ref="TMC6:TME6"/>
    <mergeCell ref="TLB6:TLD6"/>
    <mergeCell ref="TLE6:TLG6"/>
    <mergeCell ref="TLH6:TLJ6"/>
    <mergeCell ref="TLK6:TLM6"/>
    <mergeCell ref="TLN6:TLP6"/>
    <mergeCell ref="TKM6:TKO6"/>
    <mergeCell ref="TKP6:TKR6"/>
    <mergeCell ref="TKS6:TKU6"/>
    <mergeCell ref="TKV6:TKX6"/>
    <mergeCell ref="TKY6:TLA6"/>
    <mergeCell ref="TJX6:TJZ6"/>
    <mergeCell ref="TKA6:TKC6"/>
    <mergeCell ref="TKD6:TKF6"/>
    <mergeCell ref="TKG6:TKI6"/>
    <mergeCell ref="TKJ6:TKL6"/>
    <mergeCell ref="TNY6:TOA6"/>
    <mergeCell ref="TOB6:TOD6"/>
    <mergeCell ref="TOE6:TOG6"/>
    <mergeCell ref="TOH6:TOJ6"/>
    <mergeCell ref="TOK6:TOM6"/>
    <mergeCell ref="TNJ6:TNL6"/>
    <mergeCell ref="TNM6:TNO6"/>
    <mergeCell ref="TNP6:TNR6"/>
    <mergeCell ref="TNS6:TNU6"/>
    <mergeCell ref="TNV6:TNX6"/>
    <mergeCell ref="TMU6:TMW6"/>
    <mergeCell ref="TMX6:TMZ6"/>
    <mergeCell ref="TNA6:TNC6"/>
    <mergeCell ref="TND6:TNF6"/>
    <mergeCell ref="TNG6:TNI6"/>
    <mergeCell ref="TMF6:TMH6"/>
    <mergeCell ref="TMI6:TMK6"/>
    <mergeCell ref="TML6:TMN6"/>
    <mergeCell ref="TMO6:TMQ6"/>
    <mergeCell ref="TMR6:TMT6"/>
    <mergeCell ref="TQG6:TQI6"/>
    <mergeCell ref="TQJ6:TQL6"/>
    <mergeCell ref="TQM6:TQO6"/>
    <mergeCell ref="TQP6:TQR6"/>
    <mergeCell ref="TQS6:TQU6"/>
    <mergeCell ref="TPR6:TPT6"/>
    <mergeCell ref="TPU6:TPW6"/>
    <mergeCell ref="TPX6:TPZ6"/>
    <mergeCell ref="TQA6:TQC6"/>
    <mergeCell ref="TQD6:TQF6"/>
    <mergeCell ref="TPC6:TPE6"/>
    <mergeCell ref="TPF6:TPH6"/>
    <mergeCell ref="TPI6:TPK6"/>
    <mergeCell ref="TPL6:TPN6"/>
    <mergeCell ref="TPO6:TPQ6"/>
    <mergeCell ref="TON6:TOP6"/>
    <mergeCell ref="TOQ6:TOS6"/>
    <mergeCell ref="TOT6:TOV6"/>
    <mergeCell ref="TOW6:TOY6"/>
    <mergeCell ref="TOZ6:TPB6"/>
    <mergeCell ref="TSO6:TSQ6"/>
    <mergeCell ref="TSR6:TST6"/>
    <mergeCell ref="TSU6:TSW6"/>
    <mergeCell ref="TSX6:TSZ6"/>
    <mergeCell ref="TTA6:TTC6"/>
    <mergeCell ref="TRZ6:TSB6"/>
    <mergeCell ref="TSC6:TSE6"/>
    <mergeCell ref="TSF6:TSH6"/>
    <mergeCell ref="TSI6:TSK6"/>
    <mergeCell ref="TSL6:TSN6"/>
    <mergeCell ref="TRK6:TRM6"/>
    <mergeCell ref="TRN6:TRP6"/>
    <mergeCell ref="TRQ6:TRS6"/>
    <mergeCell ref="TRT6:TRV6"/>
    <mergeCell ref="TRW6:TRY6"/>
    <mergeCell ref="TQV6:TQX6"/>
    <mergeCell ref="TQY6:TRA6"/>
    <mergeCell ref="TRB6:TRD6"/>
    <mergeCell ref="TRE6:TRG6"/>
    <mergeCell ref="TRH6:TRJ6"/>
    <mergeCell ref="TUW6:TUY6"/>
    <mergeCell ref="TUZ6:TVB6"/>
    <mergeCell ref="TVC6:TVE6"/>
    <mergeCell ref="TVF6:TVH6"/>
    <mergeCell ref="TVI6:TVK6"/>
    <mergeCell ref="TUH6:TUJ6"/>
    <mergeCell ref="TUK6:TUM6"/>
    <mergeCell ref="TUN6:TUP6"/>
    <mergeCell ref="TUQ6:TUS6"/>
    <mergeCell ref="TUT6:TUV6"/>
    <mergeCell ref="TTS6:TTU6"/>
    <mergeCell ref="TTV6:TTX6"/>
    <mergeCell ref="TTY6:TUA6"/>
    <mergeCell ref="TUB6:TUD6"/>
    <mergeCell ref="TUE6:TUG6"/>
    <mergeCell ref="TTD6:TTF6"/>
    <mergeCell ref="TTG6:TTI6"/>
    <mergeCell ref="TTJ6:TTL6"/>
    <mergeCell ref="TTM6:TTO6"/>
    <mergeCell ref="TTP6:TTR6"/>
    <mergeCell ref="TXE6:TXG6"/>
    <mergeCell ref="TXH6:TXJ6"/>
    <mergeCell ref="TXK6:TXM6"/>
    <mergeCell ref="TXN6:TXP6"/>
    <mergeCell ref="TXQ6:TXS6"/>
    <mergeCell ref="TWP6:TWR6"/>
    <mergeCell ref="TWS6:TWU6"/>
    <mergeCell ref="TWV6:TWX6"/>
    <mergeCell ref="TWY6:TXA6"/>
    <mergeCell ref="TXB6:TXD6"/>
    <mergeCell ref="TWA6:TWC6"/>
    <mergeCell ref="TWD6:TWF6"/>
    <mergeCell ref="TWG6:TWI6"/>
    <mergeCell ref="TWJ6:TWL6"/>
    <mergeCell ref="TWM6:TWO6"/>
    <mergeCell ref="TVL6:TVN6"/>
    <mergeCell ref="TVO6:TVQ6"/>
    <mergeCell ref="TVR6:TVT6"/>
    <mergeCell ref="TVU6:TVW6"/>
    <mergeCell ref="TVX6:TVZ6"/>
    <mergeCell ref="TZM6:TZO6"/>
    <mergeCell ref="TZP6:TZR6"/>
    <mergeCell ref="TZS6:TZU6"/>
    <mergeCell ref="TZV6:TZX6"/>
    <mergeCell ref="TZY6:UAA6"/>
    <mergeCell ref="TYX6:TYZ6"/>
    <mergeCell ref="TZA6:TZC6"/>
    <mergeCell ref="TZD6:TZF6"/>
    <mergeCell ref="TZG6:TZI6"/>
    <mergeCell ref="TZJ6:TZL6"/>
    <mergeCell ref="TYI6:TYK6"/>
    <mergeCell ref="TYL6:TYN6"/>
    <mergeCell ref="TYO6:TYQ6"/>
    <mergeCell ref="TYR6:TYT6"/>
    <mergeCell ref="TYU6:TYW6"/>
    <mergeCell ref="TXT6:TXV6"/>
    <mergeCell ref="TXW6:TXY6"/>
    <mergeCell ref="TXZ6:TYB6"/>
    <mergeCell ref="TYC6:TYE6"/>
    <mergeCell ref="TYF6:TYH6"/>
    <mergeCell ref="UBU6:UBW6"/>
    <mergeCell ref="UBX6:UBZ6"/>
    <mergeCell ref="UCA6:UCC6"/>
    <mergeCell ref="UCD6:UCF6"/>
    <mergeCell ref="UCG6:UCI6"/>
    <mergeCell ref="UBF6:UBH6"/>
    <mergeCell ref="UBI6:UBK6"/>
    <mergeCell ref="UBL6:UBN6"/>
    <mergeCell ref="UBO6:UBQ6"/>
    <mergeCell ref="UBR6:UBT6"/>
    <mergeCell ref="UAQ6:UAS6"/>
    <mergeCell ref="UAT6:UAV6"/>
    <mergeCell ref="UAW6:UAY6"/>
    <mergeCell ref="UAZ6:UBB6"/>
    <mergeCell ref="UBC6:UBE6"/>
    <mergeCell ref="UAB6:UAD6"/>
    <mergeCell ref="UAE6:UAG6"/>
    <mergeCell ref="UAH6:UAJ6"/>
    <mergeCell ref="UAK6:UAM6"/>
    <mergeCell ref="UAN6:UAP6"/>
    <mergeCell ref="UEC6:UEE6"/>
    <mergeCell ref="UEF6:UEH6"/>
    <mergeCell ref="UEI6:UEK6"/>
    <mergeCell ref="UEL6:UEN6"/>
    <mergeCell ref="UEO6:UEQ6"/>
    <mergeCell ref="UDN6:UDP6"/>
    <mergeCell ref="UDQ6:UDS6"/>
    <mergeCell ref="UDT6:UDV6"/>
    <mergeCell ref="UDW6:UDY6"/>
    <mergeCell ref="UDZ6:UEB6"/>
    <mergeCell ref="UCY6:UDA6"/>
    <mergeCell ref="UDB6:UDD6"/>
    <mergeCell ref="UDE6:UDG6"/>
    <mergeCell ref="UDH6:UDJ6"/>
    <mergeCell ref="UDK6:UDM6"/>
    <mergeCell ref="UCJ6:UCL6"/>
    <mergeCell ref="UCM6:UCO6"/>
    <mergeCell ref="UCP6:UCR6"/>
    <mergeCell ref="UCS6:UCU6"/>
    <mergeCell ref="UCV6:UCX6"/>
    <mergeCell ref="UGK6:UGM6"/>
    <mergeCell ref="UGN6:UGP6"/>
    <mergeCell ref="UGQ6:UGS6"/>
    <mergeCell ref="UGT6:UGV6"/>
    <mergeCell ref="UGW6:UGY6"/>
    <mergeCell ref="UFV6:UFX6"/>
    <mergeCell ref="UFY6:UGA6"/>
    <mergeCell ref="UGB6:UGD6"/>
    <mergeCell ref="UGE6:UGG6"/>
    <mergeCell ref="UGH6:UGJ6"/>
    <mergeCell ref="UFG6:UFI6"/>
    <mergeCell ref="UFJ6:UFL6"/>
    <mergeCell ref="UFM6:UFO6"/>
    <mergeCell ref="UFP6:UFR6"/>
    <mergeCell ref="UFS6:UFU6"/>
    <mergeCell ref="UER6:UET6"/>
    <mergeCell ref="UEU6:UEW6"/>
    <mergeCell ref="UEX6:UEZ6"/>
    <mergeCell ref="UFA6:UFC6"/>
    <mergeCell ref="UFD6:UFF6"/>
    <mergeCell ref="UIS6:UIU6"/>
    <mergeCell ref="UIV6:UIX6"/>
    <mergeCell ref="UIY6:UJA6"/>
    <mergeCell ref="UJB6:UJD6"/>
    <mergeCell ref="UJE6:UJG6"/>
    <mergeCell ref="UID6:UIF6"/>
    <mergeCell ref="UIG6:UII6"/>
    <mergeCell ref="UIJ6:UIL6"/>
    <mergeCell ref="UIM6:UIO6"/>
    <mergeCell ref="UIP6:UIR6"/>
    <mergeCell ref="UHO6:UHQ6"/>
    <mergeCell ref="UHR6:UHT6"/>
    <mergeCell ref="UHU6:UHW6"/>
    <mergeCell ref="UHX6:UHZ6"/>
    <mergeCell ref="UIA6:UIC6"/>
    <mergeCell ref="UGZ6:UHB6"/>
    <mergeCell ref="UHC6:UHE6"/>
    <mergeCell ref="UHF6:UHH6"/>
    <mergeCell ref="UHI6:UHK6"/>
    <mergeCell ref="UHL6:UHN6"/>
    <mergeCell ref="ULA6:ULC6"/>
    <mergeCell ref="ULD6:ULF6"/>
    <mergeCell ref="ULG6:ULI6"/>
    <mergeCell ref="ULJ6:ULL6"/>
    <mergeCell ref="ULM6:ULO6"/>
    <mergeCell ref="UKL6:UKN6"/>
    <mergeCell ref="UKO6:UKQ6"/>
    <mergeCell ref="UKR6:UKT6"/>
    <mergeCell ref="UKU6:UKW6"/>
    <mergeCell ref="UKX6:UKZ6"/>
    <mergeCell ref="UJW6:UJY6"/>
    <mergeCell ref="UJZ6:UKB6"/>
    <mergeCell ref="UKC6:UKE6"/>
    <mergeCell ref="UKF6:UKH6"/>
    <mergeCell ref="UKI6:UKK6"/>
    <mergeCell ref="UJH6:UJJ6"/>
    <mergeCell ref="UJK6:UJM6"/>
    <mergeCell ref="UJN6:UJP6"/>
    <mergeCell ref="UJQ6:UJS6"/>
    <mergeCell ref="UJT6:UJV6"/>
    <mergeCell ref="UNI6:UNK6"/>
    <mergeCell ref="UNL6:UNN6"/>
    <mergeCell ref="UNO6:UNQ6"/>
    <mergeCell ref="UNR6:UNT6"/>
    <mergeCell ref="UNU6:UNW6"/>
    <mergeCell ref="UMT6:UMV6"/>
    <mergeCell ref="UMW6:UMY6"/>
    <mergeCell ref="UMZ6:UNB6"/>
    <mergeCell ref="UNC6:UNE6"/>
    <mergeCell ref="UNF6:UNH6"/>
    <mergeCell ref="UME6:UMG6"/>
    <mergeCell ref="UMH6:UMJ6"/>
    <mergeCell ref="UMK6:UMM6"/>
    <mergeCell ref="UMN6:UMP6"/>
    <mergeCell ref="UMQ6:UMS6"/>
    <mergeCell ref="ULP6:ULR6"/>
    <mergeCell ref="ULS6:ULU6"/>
    <mergeCell ref="ULV6:ULX6"/>
    <mergeCell ref="ULY6:UMA6"/>
    <mergeCell ref="UMB6:UMD6"/>
    <mergeCell ref="UPQ6:UPS6"/>
    <mergeCell ref="UPT6:UPV6"/>
    <mergeCell ref="UPW6:UPY6"/>
    <mergeCell ref="UPZ6:UQB6"/>
    <mergeCell ref="UQC6:UQE6"/>
    <mergeCell ref="UPB6:UPD6"/>
    <mergeCell ref="UPE6:UPG6"/>
    <mergeCell ref="UPH6:UPJ6"/>
    <mergeCell ref="UPK6:UPM6"/>
    <mergeCell ref="UPN6:UPP6"/>
    <mergeCell ref="UOM6:UOO6"/>
    <mergeCell ref="UOP6:UOR6"/>
    <mergeCell ref="UOS6:UOU6"/>
    <mergeCell ref="UOV6:UOX6"/>
    <mergeCell ref="UOY6:UPA6"/>
    <mergeCell ref="UNX6:UNZ6"/>
    <mergeCell ref="UOA6:UOC6"/>
    <mergeCell ref="UOD6:UOF6"/>
    <mergeCell ref="UOG6:UOI6"/>
    <mergeCell ref="UOJ6:UOL6"/>
    <mergeCell ref="URY6:USA6"/>
    <mergeCell ref="USB6:USD6"/>
    <mergeCell ref="USE6:USG6"/>
    <mergeCell ref="USH6:USJ6"/>
    <mergeCell ref="USK6:USM6"/>
    <mergeCell ref="URJ6:URL6"/>
    <mergeCell ref="URM6:URO6"/>
    <mergeCell ref="URP6:URR6"/>
    <mergeCell ref="URS6:URU6"/>
    <mergeCell ref="URV6:URX6"/>
    <mergeCell ref="UQU6:UQW6"/>
    <mergeCell ref="UQX6:UQZ6"/>
    <mergeCell ref="URA6:URC6"/>
    <mergeCell ref="URD6:URF6"/>
    <mergeCell ref="URG6:URI6"/>
    <mergeCell ref="UQF6:UQH6"/>
    <mergeCell ref="UQI6:UQK6"/>
    <mergeCell ref="UQL6:UQN6"/>
    <mergeCell ref="UQO6:UQQ6"/>
    <mergeCell ref="UQR6:UQT6"/>
    <mergeCell ref="UUG6:UUI6"/>
    <mergeCell ref="UUJ6:UUL6"/>
    <mergeCell ref="UUM6:UUO6"/>
    <mergeCell ref="UUP6:UUR6"/>
    <mergeCell ref="UUS6:UUU6"/>
    <mergeCell ref="UTR6:UTT6"/>
    <mergeCell ref="UTU6:UTW6"/>
    <mergeCell ref="UTX6:UTZ6"/>
    <mergeCell ref="UUA6:UUC6"/>
    <mergeCell ref="UUD6:UUF6"/>
    <mergeCell ref="UTC6:UTE6"/>
    <mergeCell ref="UTF6:UTH6"/>
    <mergeCell ref="UTI6:UTK6"/>
    <mergeCell ref="UTL6:UTN6"/>
    <mergeCell ref="UTO6:UTQ6"/>
    <mergeCell ref="USN6:USP6"/>
    <mergeCell ref="USQ6:USS6"/>
    <mergeCell ref="UST6:USV6"/>
    <mergeCell ref="USW6:USY6"/>
    <mergeCell ref="USZ6:UTB6"/>
    <mergeCell ref="UWO6:UWQ6"/>
    <mergeCell ref="UWR6:UWT6"/>
    <mergeCell ref="UWU6:UWW6"/>
    <mergeCell ref="UWX6:UWZ6"/>
    <mergeCell ref="UXA6:UXC6"/>
    <mergeCell ref="UVZ6:UWB6"/>
    <mergeCell ref="UWC6:UWE6"/>
    <mergeCell ref="UWF6:UWH6"/>
    <mergeCell ref="UWI6:UWK6"/>
    <mergeCell ref="UWL6:UWN6"/>
    <mergeCell ref="UVK6:UVM6"/>
    <mergeCell ref="UVN6:UVP6"/>
    <mergeCell ref="UVQ6:UVS6"/>
    <mergeCell ref="UVT6:UVV6"/>
    <mergeCell ref="UVW6:UVY6"/>
    <mergeCell ref="UUV6:UUX6"/>
    <mergeCell ref="UUY6:UVA6"/>
    <mergeCell ref="UVB6:UVD6"/>
    <mergeCell ref="UVE6:UVG6"/>
    <mergeCell ref="UVH6:UVJ6"/>
    <mergeCell ref="UYW6:UYY6"/>
    <mergeCell ref="UYZ6:UZB6"/>
    <mergeCell ref="UZC6:UZE6"/>
    <mergeCell ref="UZF6:UZH6"/>
    <mergeCell ref="UZI6:UZK6"/>
    <mergeCell ref="UYH6:UYJ6"/>
    <mergeCell ref="UYK6:UYM6"/>
    <mergeCell ref="UYN6:UYP6"/>
    <mergeCell ref="UYQ6:UYS6"/>
    <mergeCell ref="UYT6:UYV6"/>
    <mergeCell ref="UXS6:UXU6"/>
    <mergeCell ref="UXV6:UXX6"/>
    <mergeCell ref="UXY6:UYA6"/>
    <mergeCell ref="UYB6:UYD6"/>
    <mergeCell ref="UYE6:UYG6"/>
    <mergeCell ref="UXD6:UXF6"/>
    <mergeCell ref="UXG6:UXI6"/>
    <mergeCell ref="UXJ6:UXL6"/>
    <mergeCell ref="UXM6:UXO6"/>
    <mergeCell ref="UXP6:UXR6"/>
    <mergeCell ref="VBE6:VBG6"/>
    <mergeCell ref="VBH6:VBJ6"/>
    <mergeCell ref="VBK6:VBM6"/>
    <mergeCell ref="VBN6:VBP6"/>
    <mergeCell ref="VBQ6:VBS6"/>
    <mergeCell ref="VAP6:VAR6"/>
    <mergeCell ref="VAS6:VAU6"/>
    <mergeCell ref="VAV6:VAX6"/>
    <mergeCell ref="VAY6:VBA6"/>
    <mergeCell ref="VBB6:VBD6"/>
    <mergeCell ref="VAA6:VAC6"/>
    <mergeCell ref="VAD6:VAF6"/>
    <mergeCell ref="VAG6:VAI6"/>
    <mergeCell ref="VAJ6:VAL6"/>
    <mergeCell ref="VAM6:VAO6"/>
    <mergeCell ref="UZL6:UZN6"/>
    <mergeCell ref="UZO6:UZQ6"/>
    <mergeCell ref="UZR6:UZT6"/>
    <mergeCell ref="UZU6:UZW6"/>
    <mergeCell ref="UZX6:UZZ6"/>
    <mergeCell ref="VDM6:VDO6"/>
    <mergeCell ref="VDP6:VDR6"/>
    <mergeCell ref="VDS6:VDU6"/>
    <mergeCell ref="VDV6:VDX6"/>
    <mergeCell ref="VDY6:VEA6"/>
    <mergeCell ref="VCX6:VCZ6"/>
    <mergeCell ref="VDA6:VDC6"/>
    <mergeCell ref="VDD6:VDF6"/>
    <mergeCell ref="VDG6:VDI6"/>
    <mergeCell ref="VDJ6:VDL6"/>
    <mergeCell ref="VCI6:VCK6"/>
    <mergeCell ref="VCL6:VCN6"/>
    <mergeCell ref="VCO6:VCQ6"/>
    <mergeCell ref="VCR6:VCT6"/>
    <mergeCell ref="VCU6:VCW6"/>
    <mergeCell ref="VBT6:VBV6"/>
    <mergeCell ref="VBW6:VBY6"/>
    <mergeCell ref="VBZ6:VCB6"/>
    <mergeCell ref="VCC6:VCE6"/>
    <mergeCell ref="VCF6:VCH6"/>
    <mergeCell ref="VFU6:VFW6"/>
    <mergeCell ref="VFX6:VFZ6"/>
    <mergeCell ref="VGA6:VGC6"/>
    <mergeCell ref="VGD6:VGF6"/>
    <mergeCell ref="VGG6:VGI6"/>
    <mergeCell ref="VFF6:VFH6"/>
    <mergeCell ref="VFI6:VFK6"/>
    <mergeCell ref="VFL6:VFN6"/>
    <mergeCell ref="VFO6:VFQ6"/>
    <mergeCell ref="VFR6:VFT6"/>
    <mergeCell ref="VEQ6:VES6"/>
    <mergeCell ref="VET6:VEV6"/>
    <mergeCell ref="VEW6:VEY6"/>
    <mergeCell ref="VEZ6:VFB6"/>
    <mergeCell ref="VFC6:VFE6"/>
    <mergeCell ref="VEB6:VED6"/>
    <mergeCell ref="VEE6:VEG6"/>
    <mergeCell ref="VEH6:VEJ6"/>
    <mergeCell ref="VEK6:VEM6"/>
    <mergeCell ref="VEN6:VEP6"/>
    <mergeCell ref="VIC6:VIE6"/>
    <mergeCell ref="VIF6:VIH6"/>
    <mergeCell ref="VII6:VIK6"/>
    <mergeCell ref="VIL6:VIN6"/>
    <mergeCell ref="VIO6:VIQ6"/>
    <mergeCell ref="VHN6:VHP6"/>
    <mergeCell ref="VHQ6:VHS6"/>
    <mergeCell ref="VHT6:VHV6"/>
    <mergeCell ref="VHW6:VHY6"/>
    <mergeCell ref="VHZ6:VIB6"/>
    <mergeCell ref="VGY6:VHA6"/>
    <mergeCell ref="VHB6:VHD6"/>
    <mergeCell ref="VHE6:VHG6"/>
    <mergeCell ref="VHH6:VHJ6"/>
    <mergeCell ref="VHK6:VHM6"/>
    <mergeCell ref="VGJ6:VGL6"/>
    <mergeCell ref="VGM6:VGO6"/>
    <mergeCell ref="VGP6:VGR6"/>
    <mergeCell ref="VGS6:VGU6"/>
    <mergeCell ref="VGV6:VGX6"/>
    <mergeCell ref="VKK6:VKM6"/>
    <mergeCell ref="VKN6:VKP6"/>
    <mergeCell ref="VKQ6:VKS6"/>
    <mergeCell ref="VKT6:VKV6"/>
    <mergeCell ref="VKW6:VKY6"/>
    <mergeCell ref="VJV6:VJX6"/>
    <mergeCell ref="VJY6:VKA6"/>
    <mergeCell ref="VKB6:VKD6"/>
    <mergeCell ref="VKE6:VKG6"/>
    <mergeCell ref="VKH6:VKJ6"/>
    <mergeCell ref="VJG6:VJI6"/>
    <mergeCell ref="VJJ6:VJL6"/>
    <mergeCell ref="VJM6:VJO6"/>
    <mergeCell ref="VJP6:VJR6"/>
    <mergeCell ref="VJS6:VJU6"/>
    <mergeCell ref="VIR6:VIT6"/>
    <mergeCell ref="VIU6:VIW6"/>
    <mergeCell ref="VIX6:VIZ6"/>
    <mergeCell ref="VJA6:VJC6"/>
    <mergeCell ref="VJD6:VJF6"/>
    <mergeCell ref="VMS6:VMU6"/>
    <mergeCell ref="VMV6:VMX6"/>
    <mergeCell ref="VMY6:VNA6"/>
    <mergeCell ref="VNB6:VND6"/>
    <mergeCell ref="VNE6:VNG6"/>
    <mergeCell ref="VMD6:VMF6"/>
    <mergeCell ref="VMG6:VMI6"/>
    <mergeCell ref="VMJ6:VML6"/>
    <mergeCell ref="VMM6:VMO6"/>
    <mergeCell ref="VMP6:VMR6"/>
    <mergeCell ref="VLO6:VLQ6"/>
    <mergeCell ref="VLR6:VLT6"/>
    <mergeCell ref="VLU6:VLW6"/>
    <mergeCell ref="VLX6:VLZ6"/>
    <mergeCell ref="VMA6:VMC6"/>
    <mergeCell ref="VKZ6:VLB6"/>
    <mergeCell ref="VLC6:VLE6"/>
    <mergeCell ref="VLF6:VLH6"/>
    <mergeCell ref="VLI6:VLK6"/>
    <mergeCell ref="VLL6:VLN6"/>
    <mergeCell ref="VPA6:VPC6"/>
    <mergeCell ref="VPD6:VPF6"/>
    <mergeCell ref="VPG6:VPI6"/>
    <mergeCell ref="VPJ6:VPL6"/>
    <mergeCell ref="VPM6:VPO6"/>
    <mergeCell ref="VOL6:VON6"/>
    <mergeCell ref="VOO6:VOQ6"/>
    <mergeCell ref="VOR6:VOT6"/>
    <mergeCell ref="VOU6:VOW6"/>
    <mergeCell ref="VOX6:VOZ6"/>
    <mergeCell ref="VNW6:VNY6"/>
    <mergeCell ref="VNZ6:VOB6"/>
    <mergeCell ref="VOC6:VOE6"/>
    <mergeCell ref="VOF6:VOH6"/>
    <mergeCell ref="VOI6:VOK6"/>
    <mergeCell ref="VNH6:VNJ6"/>
    <mergeCell ref="VNK6:VNM6"/>
    <mergeCell ref="VNN6:VNP6"/>
    <mergeCell ref="VNQ6:VNS6"/>
    <mergeCell ref="VNT6:VNV6"/>
    <mergeCell ref="VRI6:VRK6"/>
    <mergeCell ref="VRL6:VRN6"/>
    <mergeCell ref="VRO6:VRQ6"/>
    <mergeCell ref="VRR6:VRT6"/>
    <mergeCell ref="VRU6:VRW6"/>
    <mergeCell ref="VQT6:VQV6"/>
    <mergeCell ref="VQW6:VQY6"/>
    <mergeCell ref="VQZ6:VRB6"/>
    <mergeCell ref="VRC6:VRE6"/>
    <mergeCell ref="VRF6:VRH6"/>
    <mergeCell ref="VQE6:VQG6"/>
    <mergeCell ref="VQH6:VQJ6"/>
    <mergeCell ref="VQK6:VQM6"/>
    <mergeCell ref="VQN6:VQP6"/>
    <mergeCell ref="VQQ6:VQS6"/>
    <mergeCell ref="VPP6:VPR6"/>
    <mergeCell ref="VPS6:VPU6"/>
    <mergeCell ref="VPV6:VPX6"/>
    <mergeCell ref="VPY6:VQA6"/>
    <mergeCell ref="VQB6:VQD6"/>
    <mergeCell ref="VTQ6:VTS6"/>
    <mergeCell ref="VTT6:VTV6"/>
    <mergeCell ref="VTW6:VTY6"/>
    <mergeCell ref="VTZ6:VUB6"/>
    <mergeCell ref="VUC6:VUE6"/>
    <mergeCell ref="VTB6:VTD6"/>
    <mergeCell ref="VTE6:VTG6"/>
    <mergeCell ref="VTH6:VTJ6"/>
    <mergeCell ref="VTK6:VTM6"/>
    <mergeCell ref="VTN6:VTP6"/>
    <mergeCell ref="VSM6:VSO6"/>
    <mergeCell ref="VSP6:VSR6"/>
    <mergeCell ref="VSS6:VSU6"/>
    <mergeCell ref="VSV6:VSX6"/>
    <mergeCell ref="VSY6:VTA6"/>
    <mergeCell ref="VRX6:VRZ6"/>
    <mergeCell ref="VSA6:VSC6"/>
    <mergeCell ref="VSD6:VSF6"/>
    <mergeCell ref="VSG6:VSI6"/>
    <mergeCell ref="VSJ6:VSL6"/>
    <mergeCell ref="VVY6:VWA6"/>
    <mergeCell ref="VWB6:VWD6"/>
    <mergeCell ref="VWE6:VWG6"/>
    <mergeCell ref="VWH6:VWJ6"/>
    <mergeCell ref="VWK6:VWM6"/>
    <mergeCell ref="VVJ6:VVL6"/>
    <mergeCell ref="VVM6:VVO6"/>
    <mergeCell ref="VVP6:VVR6"/>
    <mergeCell ref="VVS6:VVU6"/>
    <mergeCell ref="VVV6:VVX6"/>
    <mergeCell ref="VUU6:VUW6"/>
    <mergeCell ref="VUX6:VUZ6"/>
    <mergeCell ref="VVA6:VVC6"/>
    <mergeCell ref="VVD6:VVF6"/>
    <mergeCell ref="VVG6:VVI6"/>
    <mergeCell ref="VUF6:VUH6"/>
    <mergeCell ref="VUI6:VUK6"/>
    <mergeCell ref="VUL6:VUN6"/>
    <mergeCell ref="VUO6:VUQ6"/>
    <mergeCell ref="VUR6:VUT6"/>
    <mergeCell ref="VYG6:VYI6"/>
    <mergeCell ref="VYJ6:VYL6"/>
    <mergeCell ref="VYM6:VYO6"/>
    <mergeCell ref="VYP6:VYR6"/>
    <mergeCell ref="VYS6:VYU6"/>
    <mergeCell ref="VXR6:VXT6"/>
    <mergeCell ref="VXU6:VXW6"/>
    <mergeCell ref="VXX6:VXZ6"/>
    <mergeCell ref="VYA6:VYC6"/>
    <mergeCell ref="VYD6:VYF6"/>
    <mergeCell ref="VXC6:VXE6"/>
    <mergeCell ref="VXF6:VXH6"/>
    <mergeCell ref="VXI6:VXK6"/>
    <mergeCell ref="VXL6:VXN6"/>
    <mergeCell ref="VXO6:VXQ6"/>
    <mergeCell ref="VWN6:VWP6"/>
    <mergeCell ref="VWQ6:VWS6"/>
    <mergeCell ref="VWT6:VWV6"/>
    <mergeCell ref="VWW6:VWY6"/>
    <mergeCell ref="VWZ6:VXB6"/>
    <mergeCell ref="WAO6:WAQ6"/>
    <mergeCell ref="WAR6:WAT6"/>
    <mergeCell ref="WAU6:WAW6"/>
    <mergeCell ref="WAX6:WAZ6"/>
    <mergeCell ref="WBA6:WBC6"/>
    <mergeCell ref="VZZ6:WAB6"/>
    <mergeCell ref="WAC6:WAE6"/>
    <mergeCell ref="WAF6:WAH6"/>
    <mergeCell ref="WAI6:WAK6"/>
    <mergeCell ref="WAL6:WAN6"/>
    <mergeCell ref="VZK6:VZM6"/>
    <mergeCell ref="VZN6:VZP6"/>
    <mergeCell ref="VZQ6:VZS6"/>
    <mergeCell ref="VZT6:VZV6"/>
    <mergeCell ref="VZW6:VZY6"/>
    <mergeCell ref="VYV6:VYX6"/>
    <mergeCell ref="VYY6:VZA6"/>
    <mergeCell ref="VZB6:VZD6"/>
    <mergeCell ref="VZE6:VZG6"/>
    <mergeCell ref="VZH6:VZJ6"/>
    <mergeCell ref="WCW6:WCY6"/>
    <mergeCell ref="WCZ6:WDB6"/>
    <mergeCell ref="WDC6:WDE6"/>
    <mergeCell ref="WDF6:WDH6"/>
    <mergeCell ref="WDI6:WDK6"/>
    <mergeCell ref="WCH6:WCJ6"/>
    <mergeCell ref="WCK6:WCM6"/>
    <mergeCell ref="WCN6:WCP6"/>
    <mergeCell ref="WCQ6:WCS6"/>
    <mergeCell ref="WCT6:WCV6"/>
    <mergeCell ref="WBS6:WBU6"/>
    <mergeCell ref="WBV6:WBX6"/>
    <mergeCell ref="WBY6:WCA6"/>
    <mergeCell ref="WCB6:WCD6"/>
    <mergeCell ref="WCE6:WCG6"/>
    <mergeCell ref="WBD6:WBF6"/>
    <mergeCell ref="WBG6:WBI6"/>
    <mergeCell ref="WBJ6:WBL6"/>
    <mergeCell ref="WBM6:WBO6"/>
    <mergeCell ref="WBP6:WBR6"/>
    <mergeCell ref="WFE6:WFG6"/>
    <mergeCell ref="WFH6:WFJ6"/>
    <mergeCell ref="WFK6:WFM6"/>
    <mergeCell ref="WFN6:WFP6"/>
    <mergeCell ref="WFQ6:WFS6"/>
    <mergeCell ref="WEP6:WER6"/>
    <mergeCell ref="WES6:WEU6"/>
    <mergeCell ref="WEV6:WEX6"/>
    <mergeCell ref="WEY6:WFA6"/>
    <mergeCell ref="WFB6:WFD6"/>
    <mergeCell ref="WEA6:WEC6"/>
    <mergeCell ref="WED6:WEF6"/>
    <mergeCell ref="WEG6:WEI6"/>
    <mergeCell ref="WEJ6:WEL6"/>
    <mergeCell ref="WEM6:WEO6"/>
    <mergeCell ref="WDL6:WDN6"/>
    <mergeCell ref="WDO6:WDQ6"/>
    <mergeCell ref="WDR6:WDT6"/>
    <mergeCell ref="WDU6:WDW6"/>
    <mergeCell ref="WDX6:WDZ6"/>
    <mergeCell ref="WHM6:WHO6"/>
    <mergeCell ref="WHP6:WHR6"/>
    <mergeCell ref="WHS6:WHU6"/>
    <mergeCell ref="WHV6:WHX6"/>
    <mergeCell ref="WHY6:WIA6"/>
    <mergeCell ref="WGX6:WGZ6"/>
    <mergeCell ref="WHA6:WHC6"/>
    <mergeCell ref="WHD6:WHF6"/>
    <mergeCell ref="WHG6:WHI6"/>
    <mergeCell ref="WHJ6:WHL6"/>
    <mergeCell ref="WGI6:WGK6"/>
    <mergeCell ref="WGL6:WGN6"/>
    <mergeCell ref="WGO6:WGQ6"/>
    <mergeCell ref="WGR6:WGT6"/>
    <mergeCell ref="WGU6:WGW6"/>
    <mergeCell ref="WFT6:WFV6"/>
    <mergeCell ref="WFW6:WFY6"/>
    <mergeCell ref="WFZ6:WGB6"/>
    <mergeCell ref="WGC6:WGE6"/>
    <mergeCell ref="WGF6:WGH6"/>
    <mergeCell ref="WJU6:WJW6"/>
    <mergeCell ref="WJX6:WJZ6"/>
    <mergeCell ref="WKA6:WKC6"/>
    <mergeCell ref="WKD6:WKF6"/>
    <mergeCell ref="WKG6:WKI6"/>
    <mergeCell ref="WJF6:WJH6"/>
    <mergeCell ref="WJI6:WJK6"/>
    <mergeCell ref="WJL6:WJN6"/>
    <mergeCell ref="WJO6:WJQ6"/>
    <mergeCell ref="WJR6:WJT6"/>
    <mergeCell ref="WIQ6:WIS6"/>
    <mergeCell ref="WIT6:WIV6"/>
    <mergeCell ref="WIW6:WIY6"/>
    <mergeCell ref="WIZ6:WJB6"/>
    <mergeCell ref="WJC6:WJE6"/>
    <mergeCell ref="WIB6:WID6"/>
    <mergeCell ref="WIE6:WIG6"/>
    <mergeCell ref="WIH6:WIJ6"/>
    <mergeCell ref="WIK6:WIM6"/>
    <mergeCell ref="WIN6:WIP6"/>
    <mergeCell ref="WMC6:WME6"/>
    <mergeCell ref="WMF6:WMH6"/>
    <mergeCell ref="WMI6:WMK6"/>
    <mergeCell ref="WML6:WMN6"/>
    <mergeCell ref="WMO6:WMQ6"/>
    <mergeCell ref="WLN6:WLP6"/>
    <mergeCell ref="WLQ6:WLS6"/>
    <mergeCell ref="WLT6:WLV6"/>
    <mergeCell ref="WLW6:WLY6"/>
    <mergeCell ref="WLZ6:WMB6"/>
    <mergeCell ref="WKY6:WLA6"/>
    <mergeCell ref="WLB6:WLD6"/>
    <mergeCell ref="WLE6:WLG6"/>
    <mergeCell ref="WLH6:WLJ6"/>
    <mergeCell ref="WLK6:WLM6"/>
    <mergeCell ref="WKJ6:WKL6"/>
    <mergeCell ref="WKM6:WKO6"/>
    <mergeCell ref="WKP6:WKR6"/>
    <mergeCell ref="WKS6:WKU6"/>
    <mergeCell ref="WKV6:WKX6"/>
    <mergeCell ref="WOK6:WOM6"/>
    <mergeCell ref="WON6:WOP6"/>
    <mergeCell ref="WOQ6:WOS6"/>
    <mergeCell ref="WOT6:WOV6"/>
    <mergeCell ref="WOW6:WOY6"/>
    <mergeCell ref="WNV6:WNX6"/>
    <mergeCell ref="WNY6:WOA6"/>
    <mergeCell ref="WOB6:WOD6"/>
    <mergeCell ref="WOE6:WOG6"/>
    <mergeCell ref="WOH6:WOJ6"/>
    <mergeCell ref="WNG6:WNI6"/>
    <mergeCell ref="WNJ6:WNL6"/>
    <mergeCell ref="WNM6:WNO6"/>
    <mergeCell ref="WNP6:WNR6"/>
    <mergeCell ref="WNS6:WNU6"/>
    <mergeCell ref="WMR6:WMT6"/>
    <mergeCell ref="WMU6:WMW6"/>
    <mergeCell ref="WMX6:WMZ6"/>
    <mergeCell ref="WNA6:WNC6"/>
    <mergeCell ref="WND6:WNF6"/>
    <mergeCell ref="WQS6:WQU6"/>
    <mergeCell ref="WQV6:WQX6"/>
    <mergeCell ref="WQY6:WRA6"/>
    <mergeCell ref="WRB6:WRD6"/>
    <mergeCell ref="WRE6:WRG6"/>
    <mergeCell ref="WQD6:WQF6"/>
    <mergeCell ref="WQG6:WQI6"/>
    <mergeCell ref="WQJ6:WQL6"/>
    <mergeCell ref="WQM6:WQO6"/>
    <mergeCell ref="WQP6:WQR6"/>
    <mergeCell ref="WPO6:WPQ6"/>
    <mergeCell ref="WPR6:WPT6"/>
    <mergeCell ref="WPU6:WPW6"/>
    <mergeCell ref="WPX6:WPZ6"/>
    <mergeCell ref="WQA6:WQC6"/>
    <mergeCell ref="WOZ6:WPB6"/>
    <mergeCell ref="WPC6:WPE6"/>
    <mergeCell ref="WPF6:WPH6"/>
    <mergeCell ref="WPI6:WPK6"/>
    <mergeCell ref="WPL6:WPN6"/>
    <mergeCell ref="WTA6:WTC6"/>
    <mergeCell ref="WTD6:WTF6"/>
    <mergeCell ref="WTG6:WTI6"/>
    <mergeCell ref="WTJ6:WTL6"/>
    <mergeCell ref="WTM6:WTO6"/>
    <mergeCell ref="WSL6:WSN6"/>
    <mergeCell ref="WSO6:WSQ6"/>
    <mergeCell ref="WSR6:WST6"/>
    <mergeCell ref="WSU6:WSW6"/>
    <mergeCell ref="WSX6:WSZ6"/>
    <mergeCell ref="WRW6:WRY6"/>
    <mergeCell ref="WRZ6:WSB6"/>
    <mergeCell ref="WSC6:WSE6"/>
    <mergeCell ref="WSF6:WSH6"/>
    <mergeCell ref="WSI6:WSK6"/>
    <mergeCell ref="WRH6:WRJ6"/>
    <mergeCell ref="WRK6:WRM6"/>
    <mergeCell ref="WRN6:WRP6"/>
    <mergeCell ref="WRQ6:WRS6"/>
    <mergeCell ref="WRT6:WRV6"/>
    <mergeCell ref="WVI6:WVK6"/>
    <mergeCell ref="WVL6:WVN6"/>
    <mergeCell ref="WVO6:WVQ6"/>
    <mergeCell ref="WVR6:WVT6"/>
    <mergeCell ref="WVU6:WVW6"/>
    <mergeCell ref="WUT6:WUV6"/>
    <mergeCell ref="WUW6:WUY6"/>
    <mergeCell ref="WUZ6:WVB6"/>
    <mergeCell ref="WVC6:WVE6"/>
    <mergeCell ref="WVF6:WVH6"/>
    <mergeCell ref="WUE6:WUG6"/>
    <mergeCell ref="WUH6:WUJ6"/>
    <mergeCell ref="WUK6:WUM6"/>
    <mergeCell ref="WUN6:WUP6"/>
    <mergeCell ref="WUQ6:WUS6"/>
    <mergeCell ref="WTP6:WTR6"/>
    <mergeCell ref="WTS6:WTU6"/>
    <mergeCell ref="WTV6:WTX6"/>
    <mergeCell ref="WTY6:WUA6"/>
    <mergeCell ref="WUB6:WUD6"/>
    <mergeCell ref="WXQ6:WXS6"/>
    <mergeCell ref="WXT6:WXV6"/>
    <mergeCell ref="WXW6:WXY6"/>
    <mergeCell ref="WXZ6:WYB6"/>
    <mergeCell ref="WYC6:WYE6"/>
    <mergeCell ref="WXB6:WXD6"/>
    <mergeCell ref="WXE6:WXG6"/>
    <mergeCell ref="WXH6:WXJ6"/>
    <mergeCell ref="WXK6:WXM6"/>
    <mergeCell ref="WXN6:WXP6"/>
    <mergeCell ref="WWM6:WWO6"/>
    <mergeCell ref="WWP6:WWR6"/>
    <mergeCell ref="WWS6:WWU6"/>
    <mergeCell ref="WWV6:WWX6"/>
    <mergeCell ref="WWY6:WXA6"/>
    <mergeCell ref="WVX6:WVZ6"/>
    <mergeCell ref="WWA6:WWC6"/>
    <mergeCell ref="WWD6:WWF6"/>
    <mergeCell ref="WWG6:WWI6"/>
    <mergeCell ref="WWJ6:WWL6"/>
    <mergeCell ref="WZY6:XAA6"/>
    <mergeCell ref="XAB6:XAD6"/>
    <mergeCell ref="XAE6:XAG6"/>
    <mergeCell ref="XAH6:XAJ6"/>
    <mergeCell ref="XAK6:XAM6"/>
    <mergeCell ref="WZJ6:WZL6"/>
    <mergeCell ref="WZM6:WZO6"/>
    <mergeCell ref="WZP6:WZR6"/>
    <mergeCell ref="WZS6:WZU6"/>
    <mergeCell ref="WZV6:WZX6"/>
    <mergeCell ref="WYU6:WYW6"/>
    <mergeCell ref="WYX6:WYZ6"/>
    <mergeCell ref="WZA6:WZC6"/>
    <mergeCell ref="WZD6:WZF6"/>
    <mergeCell ref="WZG6:WZI6"/>
    <mergeCell ref="WYF6:WYH6"/>
    <mergeCell ref="WYI6:WYK6"/>
    <mergeCell ref="WYL6:WYN6"/>
    <mergeCell ref="WYO6:WYQ6"/>
    <mergeCell ref="WYR6:WYT6"/>
    <mergeCell ref="XCG6:XCI6"/>
    <mergeCell ref="XCJ6:XCL6"/>
    <mergeCell ref="XCM6:XCO6"/>
    <mergeCell ref="XCP6:XCR6"/>
    <mergeCell ref="XCS6:XCU6"/>
    <mergeCell ref="XBR6:XBT6"/>
    <mergeCell ref="XBU6:XBW6"/>
    <mergeCell ref="XBX6:XBZ6"/>
    <mergeCell ref="XCA6:XCC6"/>
    <mergeCell ref="XCD6:XCF6"/>
    <mergeCell ref="XBC6:XBE6"/>
    <mergeCell ref="XBF6:XBH6"/>
    <mergeCell ref="XBI6:XBK6"/>
    <mergeCell ref="XBL6:XBN6"/>
    <mergeCell ref="XBO6:XBQ6"/>
    <mergeCell ref="XAN6:XAP6"/>
    <mergeCell ref="XAQ6:XAS6"/>
    <mergeCell ref="XAT6:XAV6"/>
    <mergeCell ref="XAW6:XAY6"/>
    <mergeCell ref="XAZ6:XBB6"/>
    <mergeCell ref="XEO6:XEQ6"/>
    <mergeCell ref="XER6:XET6"/>
    <mergeCell ref="XEU6:XEW6"/>
    <mergeCell ref="XEX6:XEZ6"/>
    <mergeCell ref="XFA6:XFC6"/>
    <mergeCell ref="XDZ6:XEB6"/>
    <mergeCell ref="XEC6:XEE6"/>
    <mergeCell ref="XEF6:XEH6"/>
    <mergeCell ref="XEI6:XEK6"/>
    <mergeCell ref="XEL6:XEN6"/>
    <mergeCell ref="XDK6:XDM6"/>
    <mergeCell ref="XDN6:XDP6"/>
    <mergeCell ref="XDQ6:XDS6"/>
    <mergeCell ref="XDT6:XDV6"/>
    <mergeCell ref="XDW6:XDY6"/>
    <mergeCell ref="XCV6:XCX6"/>
    <mergeCell ref="XCY6:XDA6"/>
    <mergeCell ref="XDB6:XDD6"/>
    <mergeCell ref="XDE6:XDG6"/>
    <mergeCell ref="XDH6:XDJ6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12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view="pageBreakPreview" topLeftCell="A46" zoomScaleNormal="100" zoomScaleSheetLayoutView="100" workbookViewId="0">
      <selection activeCell="B58" sqref="B58"/>
    </sheetView>
  </sheetViews>
  <sheetFormatPr defaultRowHeight="12.75" x14ac:dyDescent="0.2"/>
  <cols>
    <col min="1" max="1" width="9.5" style="436" customWidth="1"/>
    <col min="2" max="2" width="73.83203125" style="436" customWidth="1"/>
    <col min="3" max="3" width="17.6640625" style="436" customWidth="1"/>
    <col min="4" max="4" width="8.1640625" style="436" hidden="1" customWidth="1"/>
    <col min="5" max="5" width="55" style="436" hidden="1" customWidth="1"/>
    <col min="6" max="6" width="12" style="436" hidden="1" customWidth="1"/>
    <col min="7" max="7" width="10" style="436" hidden="1" customWidth="1"/>
    <col min="8" max="8" width="17.6640625" style="436" hidden="1" customWidth="1"/>
    <col min="9" max="10" width="10.6640625" style="86" customWidth="1"/>
    <col min="11" max="256" width="9.33203125" style="86"/>
    <col min="257" max="257" width="9.5" style="86" customWidth="1"/>
    <col min="258" max="258" width="73.83203125" style="86" customWidth="1"/>
    <col min="259" max="259" width="17.6640625" style="86" customWidth="1"/>
    <col min="260" max="264" width="0" style="86" hidden="1" customWidth="1"/>
    <col min="265" max="266" width="10.6640625" style="86" customWidth="1"/>
    <col min="267" max="512" width="9.33203125" style="86"/>
    <col min="513" max="513" width="9.5" style="86" customWidth="1"/>
    <col min="514" max="514" width="73.83203125" style="86" customWidth="1"/>
    <col min="515" max="515" width="17.6640625" style="86" customWidth="1"/>
    <col min="516" max="520" width="0" style="86" hidden="1" customWidth="1"/>
    <col min="521" max="522" width="10.6640625" style="86" customWidth="1"/>
    <col min="523" max="768" width="9.33203125" style="86"/>
    <col min="769" max="769" width="9.5" style="86" customWidth="1"/>
    <col min="770" max="770" width="73.83203125" style="86" customWidth="1"/>
    <col min="771" max="771" width="17.6640625" style="86" customWidth="1"/>
    <col min="772" max="776" width="0" style="86" hidden="1" customWidth="1"/>
    <col min="777" max="778" width="10.6640625" style="86" customWidth="1"/>
    <col min="779" max="1024" width="9.33203125" style="86"/>
    <col min="1025" max="1025" width="9.5" style="86" customWidth="1"/>
    <col min="1026" max="1026" width="73.83203125" style="86" customWidth="1"/>
    <col min="1027" max="1027" width="17.6640625" style="86" customWidth="1"/>
    <col min="1028" max="1032" width="0" style="86" hidden="1" customWidth="1"/>
    <col min="1033" max="1034" width="10.6640625" style="86" customWidth="1"/>
    <col min="1035" max="1280" width="9.33203125" style="86"/>
    <col min="1281" max="1281" width="9.5" style="86" customWidth="1"/>
    <col min="1282" max="1282" width="73.83203125" style="86" customWidth="1"/>
    <col min="1283" max="1283" width="17.6640625" style="86" customWidth="1"/>
    <col min="1284" max="1288" width="0" style="86" hidden="1" customWidth="1"/>
    <col min="1289" max="1290" width="10.6640625" style="86" customWidth="1"/>
    <col min="1291" max="1536" width="9.33203125" style="86"/>
    <col min="1537" max="1537" width="9.5" style="86" customWidth="1"/>
    <col min="1538" max="1538" width="73.83203125" style="86" customWidth="1"/>
    <col min="1539" max="1539" width="17.6640625" style="86" customWidth="1"/>
    <col min="1540" max="1544" width="0" style="86" hidden="1" customWidth="1"/>
    <col min="1545" max="1546" width="10.6640625" style="86" customWidth="1"/>
    <col min="1547" max="1792" width="9.33203125" style="86"/>
    <col min="1793" max="1793" width="9.5" style="86" customWidth="1"/>
    <col min="1794" max="1794" width="73.83203125" style="86" customWidth="1"/>
    <col min="1795" max="1795" width="17.6640625" style="86" customWidth="1"/>
    <col min="1796" max="1800" width="0" style="86" hidden="1" customWidth="1"/>
    <col min="1801" max="1802" width="10.6640625" style="86" customWidth="1"/>
    <col min="1803" max="2048" width="9.33203125" style="86"/>
    <col min="2049" max="2049" width="9.5" style="86" customWidth="1"/>
    <col min="2050" max="2050" width="73.83203125" style="86" customWidth="1"/>
    <col min="2051" max="2051" width="17.6640625" style="86" customWidth="1"/>
    <col min="2052" max="2056" width="0" style="86" hidden="1" customWidth="1"/>
    <col min="2057" max="2058" width="10.6640625" style="86" customWidth="1"/>
    <col min="2059" max="2304" width="9.33203125" style="86"/>
    <col min="2305" max="2305" width="9.5" style="86" customWidth="1"/>
    <col min="2306" max="2306" width="73.83203125" style="86" customWidth="1"/>
    <col min="2307" max="2307" width="17.6640625" style="86" customWidth="1"/>
    <col min="2308" max="2312" width="0" style="86" hidden="1" customWidth="1"/>
    <col min="2313" max="2314" width="10.6640625" style="86" customWidth="1"/>
    <col min="2315" max="2560" width="9.33203125" style="86"/>
    <col min="2561" max="2561" width="9.5" style="86" customWidth="1"/>
    <col min="2562" max="2562" width="73.83203125" style="86" customWidth="1"/>
    <col min="2563" max="2563" width="17.6640625" style="86" customWidth="1"/>
    <col min="2564" max="2568" width="0" style="86" hidden="1" customWidth="1"/>
    <col min="2569" max="2570" width="10.6640625" style="86" customWidth="1"/>
    <col min="2571" max="2816" width="9.33203125" style="86"/>
    <col min="2817" max="2817" width="9.5" style="86" customWidth="1"/>
    <col min="2818" max="2818" width="73.83203125" style="86" customWidth="1"/>
    <col min="2819" max="2819" width="17.6640625" style="86" customWidth="1"/>
    <col min="2820" max="2824" width="0" style="86" hidden="1" customWidth="1"/>
    <col min="2825" max="2826" width="10.6640625" style="86" customWidth="1"/>
    <col min="2827" max="3072" width="9.33203125" style="86"/>
    <col min="3073" max="3073" width="9.5" style="86" customWidth="1"/>
    <col min="3074" max="3074" width="73.83203125" style="86" customWidth="1"/>
    <col min="3075" max="3075" width="17.6640625" style="86" customWidth="1"/>
    <col min="3076" max="3080" width="0" style="86" hidden="1" customWidth="1"/>
    <col min="3081" max="3082" width="10.6640625" style="86" customWidth="1"/>
    <col min="3083" max="3328" width="9.33203125" style="86"/>
    <col min="3329" max="3329" width="9.5" style="86" customWidth="1"/>
    <col min="3330" max="3330" width="73.83203125" style="86" customWidth="1"/>
    <col min="3331" max="3331" width="17.6640625" style="86" customWidth="1"/>
    <col min="3332" max="3336" width="0" style="86" hidden="1" customWidth="1"/>
    <col min="3337" max="3338" width="10.6640625" style="86" customWidth="1"/>
    <col min="3339" max="3584" width="9.33203125" style="86"/>
    <col min="3585" max="3585" width="9.5" style="86" customWidth="1"/>
    <col min="3586" max="3586" width="73.83203125" style="86" customWidth="1"/>
    <col min="3587" max="3587" width="17.6640625" style="86" customWidth="1"/>
    <col min="3588" max="3592" width="0" style="86" hidden="1" customWidth="1"/>
    <col min="3593" max="3594" width="10.6640625" style="86" customWidth="1"/>
    <col min="3595" max="3840" width="9.33203125" style="86"/>
    <col min="3841" max="3841" width="9.5" style="86" customWidth="1"/>
    <col min="3842" max="3842" width="73.83203125" style="86" customWidth="1"/>
    <col min="3843" max="3843" width="17.6640625" style="86" customWidth="1"/>
    <col min="3844" max="3848" width="0" style="86" hidden="1" customWidth="1"/>
    <col min="3849" max="3850" width="10.6640625" style="86" customWidth="1"/>
    <col min="3851" max="4096" width="9.33203125" style="86"/>
    <col min="4097" max="4097" width="9.5" style="86" customWidth="1"/>
    <col min="4098" max="4098" width="73.83203125" style="86" customWidth="1"/>
    <col min="4099" max="4099" width="17.6640625" style="86" customWidth="1"/>
    <col min="4100" max="4104" width="0" style="86" hidden="1" customWidth="1"/>
    <col min="4105" max="4106" width="10.6640625" style="86" customWidth="1"/>
    <col min="4107" max="4352" width="9.33203125" style="86"/>
    <col min="4353" max="4353" width="9.5" style="86" customWidth="1"/>
    <col min="4354" max="4354" width="73.83203125" style="86" customWidth="1"/>
    <col min="4355" max="4355" width="17.6640625" style="86" customWidth="1"/>
    <col min="4356" max="4360" width="0" style="86" hidden="1" customWidth="1"/>
    <col min="4361" max="4362" width="10.6640625" style="86" customWidth="1"/>
    <col min="4363" max="4608" width="9.33203125" style="86"/>
    <col min="4609" max="4609" width="9.5" style="86" customWidth="1"/>
    <col min="4610" max="4610" width="73.83203125" style="86" customWidth="1"/>
    <col min="4611" max="4611" width="17.6640625" style="86" customWidth="1"/>
    <col min="4612" max="4616" width="0" style="86" hidden="1" customWidth="1"/>
    <col min="4617" max="4618" width="10.6640625" style="86" customWidth="1"/>
    <col min="4619" max="4864" width="9.33203125" style="86"/>
    <col min="4865" max="4865" width="9.5" style="86" customWidth="1"/>
    <col min="4866" max="4866" width="73.83203125" style="86" customWidth="1"/>
    <col min="4867" max="4867" width="17.6640625" style="86" customWidth="1"/>
    <col min="4868" max="4872" width="0" style="86" hidden="1" customWidth="1"/>
    <col min="4873" max="4874" width="10.6640625" style="86" customWidth="1"/>
    <col min="4875" max="5120" width="9.33203125" style="86"/>
    <col min="5121" max="5121" width="9.5" style="86" customWidth="1"/>
    <col min="5122" max="5122" width="73.83203125" style="86" customWidth="1"/>
    <col min="5123" max="5123" width="17.6640625" style="86" customWidth="1"/>
    <col min="5124" max="5128" width="0" style="86" hidden="1" customWidth="1"/>
    <col min="5129" max="5130" width="10.6640625" style="86" customWidth="1"/>
    <col min="5131" max="5376" width="9.33203125" style="86"/>
    <col min="5377" max="5377" width="9.5" style="86" customWidth="1"/>
    <col min="5378" max="5378" width="73.83203125" style="86" customWidth="1"/>
    <col min="5379" max="5379" width="17.6640625" style="86" customWidth="1"/>
    <col min="5380" max="5384" width="0" style="86" hidden="1" customWidth="1"/>
    <col min="5385" max="5386" width="10.6640625" style="86" customWidth="1"/>
    <col min="5387" max="5632" width="9.33203125" style="86"/>
    <col min="5633" max="5633" width="9.5" style="86" customWidth="1"/>
    <col min="5634" max="5634" width="73.83203125" style="86" customWidth="1"/>
    <col min="5635" max="5635" width="17.6640625" style="86" customWidth="1"/>
    <col min="5636" max="5640" width="0" style="86" hidden="1" customWidth="1"/>
    <col min="5641" max="5642" width="10.6640625" style="86" customWidth="1"/>
    <col min="5643" max="5888" width="9.33203125" style="86"/>
    <col min="5889" max="5889" width="9.5" style="86" customWidth="1"/>
    <col min="5890" max="5890" width="73.83203125" style="86" customWidth="1"/>
    <col min="5891" max="5891" width="17.6640625" style="86" customWidth="1"/>
    <col min="5892" max="5896" width="0" style="86" hidden="1" customWidth="1"/>
    <col min="5897" max="5898" width="10.6640625" style="86" customWidth="1"/>
    <col min="5899" max="6144" width="9.33203125" style="86"/>
    <col min="6145" max="6145" width="9.5" style="86" customWidth="1"/>
    <col min="6146" max="6146" width="73.83203125" style="86" customWidth="1"/>
    <col min="6147" max="6147" width="17.6640625" style="86" customWidth="1"/>
    <col min="6148" max="6152" width="0" style="86" hidden="1" customWidth="1"/>
    <col min="6153" max="6154" width="10.6640625" style="86" customWidth="1"/>
    <col min="6155" max="6400" width="9.33203125" style="86"/>
    <col min="6401" max="6401" width="9.5" style="86" customWidth="1"/>
    <col min="6402" max="6402" width="73.83203125" style="86" customWidth="1"/>
    <col min="6403" max="6403" width="17.6640625" style="86" customWidth="1"/>
    <col min="6404" max="6408" width="0" style="86" hidden="1" customWidth="1"/>
    <col min="6409" max="6410" width="10.6640625" style="86" customWidth="1"/>
    <col min="6411" max="6656" width="9.33203125" style="86"/>
    <col min="6657" max="6657" width="9.5" style="86" customWidth="1"/>
    <col min="6658" max="6658" width="73.83203125" style="86" customWidth="1"/>
    <col min="6659" max="6659" width="17.6640625" style="86" customWidth="1"/>
    <col min="6660" max="6664" width="0" style="86" hidden="1" customWidth="1"/>
    <col min="6665" max="6666" width="10.6640625" style="86" customWidth="1"/>
    <col min="6667" max="6912" width="9.33203125" style="86"/>
    <col min="6913" max="6913" width="9.5" style="86" customWidth="1"/>
    <col min="6914" max="6914" width="73.83203125" style="86" customWidth="1"/>
    <col min="6915" max="6915" width="17.6640625" style="86" customWidth="1"/>
    <col min="6916" max="6920" width="0" style="86" hidden="1" customWidth="1"/>
    <col min="6921" max="6922" width="10.6640625" style="86" customWidth="1"/>
    <col min="6923" max="7168" width="9.33203125" style="86"/>
    <col min="7169" max="7169" width="9.5" style="86" customWidth="1"/>
    <col min="7170" max="7170" width="73.83203125" style="86" customWidth="1"/>
    <col min="7171" max="7171" width="17.6640625" style="86" customWidth="1"/>
    <col min="7172" max="7176" width="0" style="86" hidden="1" customWidth="1"/>
    <col min="7177" max="7178" width="10.6640625" style="86" customWidth="1"/>
    <col min="7179" max="7424" width="9.33203125" style="86"/>
    <col min="7425" max="7425" width="9.5" style="86" customWidth="1"/>
    <col min="7426" max="7426" width="73.83203125" style="86" customWidth="1"/>
    <col min="7427" max="7427" width="17.6640625" style="86" customWidth="1"/>
    <col min="7428" max="7432" width="0" style="86" hidden="1" customWidth="1"/>
    <col min="7433" max="7434" width="10.6640625" style="86" customWidth="1"/>
    <col min="7435" max="7680" width="9.33203125" style="86"/>
    <col min="7681" max="7681" width="9.5" style="86" customWidth="1"/>
    <col min="7682" max="7682" width="73.83203125" style="86" customWidth="1"/>
    <col min="7683" max="7683" width="17.6640625" style="86" customWidth="1"/>
    <col min="7684" max="7688" width="0" style="86" hidden="1" customWidth="1"/>
    <col min="7689" max="7690" width="10.6640625" style="86" customWidth="1"/>
    <col min="7691" max="7936" width="9.33203125" style="86"/>
    <col min="7937" max="7937" width="9.5" style="86" customWidth="1"/>
    <col min="7938" max="7938" width="73.83203125" style="86" customWidth="1"/>
    <col min="7939" max="7939" width="17.6640625" style="86" customWidth="1"/>
    <col min="7940" max="7944" width="0" style="86" hidden="1" customWidth="1"/>
    <col min="7945" max="7946" width="10.6640625" style="86" customWidth="1"/>
    <col min="7947" max="8192" width="9.33203125" style="86"/>
    <col min="8193" max="8193" width="9.5" style="86" customWidth="1"/>
    <col min="8194" max="8194" width="73.83203125" style="86" customWidth="1"/>
    <col min="8195" max="8195" width="17.6640625" style="86" customWidth="1"/>
    <col min="8196" max="8200" width="0" style="86" hidden="1" customWidth="1"/>
    <col min="8201" max="8202" width="10.6640625" style="86" customWidth="1"/>
    <col min="8203" max="8448" width="9.33203125" style="86"/>
    <col min="8449" max="8449" width="9.5" style="86" customWidth="1"/>
    <col min="8450" max="8450" width="73.83203125" style="86" customWidth="1"/>
    <col min="8451" max="8451" width="17.6640625" style="86" customWidth="1"/>
    <col min="8452" max="8456" width="0" style="86" hidden="1" customWidth="1"/>
    <col min="8457" max="8458" width="10.6640625" style="86" customWidth="1"/>
    <col min="8459" max="8704" width="9.33203125" style="86"/>
    <col min="8705" max="8705" width="9.5" style="86" customWidth="1"/>
    <col min="8706" max="8706" width="73.83203125" style="86" customWidth="1"/>
    <col min="8707" max="8707" width="17.6640625" style="86" customWidth="1"/>
    <col min="8708" max="8712" width="0" style="86" hidden="1" customWidth="1"/>
    <col min="8713" max="8714" width="10.6640625" style="86" customWidth="1"/>
    <col min="8715" max="8960" width="9.33203125" style="86"/>
    <col min="8961" max="8961" width="9.5" style="86" customWidth="1"/>
    <col min="8962" max="8962" width="73.83203125" style="86" customWidth="1"/>
    <col min="8963" max="8963" width="17.6640625" style="86" customWidth="1"/>
    <col min="8964" max="8968" width="0" style="86" hidden="1" customWidth="1"/>
    <col min="8969" max="8970" width="10.6640625" style="86" customWidth="1"/>
    <col min="8971" max="9216" width="9.33203125" style="86"/>
    <col min="9217" max="9217" width="9.5" style="86" customWidth="1"/>
    <col min="9218" max="9218" width="73.83203125" style="86" customWidth="1"/>
    <col min="9219" max="9219" width="17.6640625" style="86" customWidth="1"/>
    <col min="9220" max="9224" width="0" style="86" hidden="1" customWidth="1"/>
    <col min="9225" max="9226" width="10.6640625" style="86" customWidth="1"/>
    <col min="9227" max="9472" width="9.33203125" style="86"/>
    <col min="9473" max="9473" width="9.5" style="86" customWidth="1"/>
    <col min="9474" max="9474" width="73.83203125" style="86" customWidth="1"/>
    <col min="9475" max="9475" width="17.6640625" style="86" customWidth="1"/>
    <col min="9476" max="9480" width="0" style="86" hidden="1" customWidth="1"/>
    <col min="9481" max="9482" width="10.6640625" style="86" customWidth="1"/>
    <col min="9483" max="9728" width="9.33203125" style="86"/>
    <col min="9729" max="9729" width="9.5" style="86" customWidth="1"/>
    <col min="9730" max="9730" width="73.83203125" style="86" customWidth="1"/>
    <col min="9731" max="9731" width="17.6640625" style="86" customWidth="1"/>
    <col min="9732" max="9736" width="0" style="86" hidden="1" customWidth="1"/>
    <col min="9737" max="9738" width="10.6640625" style="86" customWidth="1"/>
    <col min="9739" max="9984" width="9.33203125" style="86"/>
    <col min="9985" max="9985" width="9.5" style="86" customWidth="1"/>
    <col min="9986" max="9986" width="73.83203125" style="86" customWidth="1"/>
    <col min="9987" max="9987" width="17.6640625" style="86" customWidth="1"/>
    <col min="9988" max="9992" width="0" style="86" hidden="1" customWidth="1"/>
    <col min="9993" max="9994" width="10.6640625" style="86" customWidth="1"/>
    <col min="9995" max="10240" width="9.33203125" style="86"/>
    <col min="10241" max="10241" width="9.5" style="86" customWidth="1"/>
    <col min="10242" max="10242" width="73.83203125" style="86" customWidth="1"/>
    <col min="10243" max="10243" width="17.6640625" style="86" customWidth="1"/>
    <col min="10244" max="10248" width="0" style="86" hidden="1" customWidth="1"/>
    <col min="10249" max="10250" width="10.6640625" style="86" customWidth="1"/>
    <col min="10251" max="10496" width="9.33203125" style="86"/>
    <col min="10497" max="10497" width="9.5" style="86" customWidth="1"/>
    <col min="10498" max="10498" width="73.83203125" style="86" customWidth="1"/>
    <col min="10499" max="10499" width="17.6640625" style="86" customWidth="1"/>
    <col min="10500" max="10504" width="0" style="86" hidden="1" customWidth="1"/>
    <col min="10505" max="10506" width="10.6640625" style="86" customWidth="1"/>
    <col min="10507" max="10752" width="9.33203125" style="86"/>
    <col min="10753" max="10753" width="9.5" style="86" customWidth="1"/>
    <col min="10754" max="10754" width="73.83203125" style="86" customWidth="1"/>
    <col min="10755" max="10755" width="17.6640625" style="86" customWidth="1"/>
    <col min="10756" max="10760" width="0" style="86" hidden="1" customWidth="1"/>
    <col min="10761" max="10762" width="10.6640625" style="86" customWidth="1"/>
    <col min="10763" max="11008" width="9.33203125" style="86"/>
    <col min="11009" max="11009" width="9.5" style="86" customWidth="1"/>
    <col min="11010" max="11010" width="73.83203125" style="86" customWidth="1"/>
    <col min="11011" max="11011" width="17.6640625" style="86" customWidth="1"/>
    <col min="11012" max="11016" width="0" style="86" hidden="1" customWidth="1"/>
    <col min="11017" max="11018" width="10.6640625" style="86" customWidth="1"/>
    <col min="11019" max="11264" width="9.33203125" style="86"/>
    <col min="11265" max="11265" width="9.5" style="86" customWidth="1"/>
    <col min="11266" max="11266" width="73.83203125" style="86" customWidth="1"/>
    <col min="11267" max="11267" width="17.6640625" style="86" customWidth="1"/>
    <col min="11268" max="11272" width="0" style="86" hidden="1" customWidth="1"/>
    <col min="11273" max="11274" width="10.6640625" style="86" customWidth="1"/>
    <col min="11275" max="11520" width="9.33203125" style="86"/>
    <col min="11521" max="11521" width="9.5" style="86" customWidth="1"/>
    <col min="11522" max="11522" width="73.83203125" style="86" customWidth="1"/>
    <col min="11523" max="11523" width="17.6640625" style="86" customWidth="1"/>
    <col min="11524" max="11528" width="0" style="86" hidden="1" customWidth="1"/>
    <col min="11529" max="11530" width="10.6640625" style="86" customWidth="1"/>
    <col min="11531" max="11776" width="9.33203125" style="86"/>
    <col min="11777" max="11777" width="9.5" style="86" customWidth="1"/>
    <col min="11778" max="11778" width="73.83203125" style="86" customWidth="1"/>
    <col min="11779" max="11779" width="17.6640625" style="86" customWidth="1"/>
    <col min="11780" max="11784" width="0" style="86" hidden="1" customWidth="1"/>
    <col min="11785" max="11786" width="10.6640625" style="86" customWidth="1"/>
    <col min="11787" max="12032" width="9.33203125" style="86"/>
    <col min="12033" max="12033" width="9.5" style="86" customWidth="1"/>
    <col min="12034" max="12034" width="73.83203125" style="86" customWidth="1"/>
    <col min="12035" max="12035" width="17.6640625" style="86" customWidth="1"/>
    <col min="12036" max="12040" width="0" style="86" hidden="1" customWidth="1"/>
    <col min="12041" max="12042" width="10.6640625" style="86" customWidth="1"/>
    <col min="12043" max="12288" width="9.33203125" style="86"/>
    <col min="12289" max="12289" width="9.5" style="86" customWidth="1"/>
    <col min="12290" max="12290" width="73.83203125" style="86" customWidth="1"/>
    <col min="12291" max="12291" width="17.6640625" style="86" customWidth="1"/>
    <col min="12292" max="12296" width="0" style="86" hidden="1" customWidth="1"/>
    <col min="12297" max="12298" width="10.6640625" style="86" customWidth="1"/>
    <col min="12299" max="12544" width="9.33203125" style="86"/>
    <col min="12545" max="12545" width="9.5" style="86" customWidth="1"/>
    <col min="12546" max="12546" width="73.83203125" style="86" customWidth="1"/>
    <col min="12547" max="12547" width="17.6640625" style="86" customWidth="1"/>
    <col min="12548" max="12552" width="0" style="86" hidden="1" customWidth="1"/>
    <col min="12553" max="12554" width="10.6640625" style="86" customWidth="1"/>
    <col min="12555" max="12800" width="9.33203125" style="86"/>
    <col min="12801" max="12801" width="9.5" style="86" customWidth="1"/>
    <col min="12802" max="12802" width="73.83203125" style="86" customWidth="1"/>
    <col min="12803" max="12803" width="17.6640625" style="86" customWidth="1"/>
    <col min="12804" max="12808" width="0" style="86" hidden="1" customWidth="1"/>
    <col min="12809" max="12810" width="10.6640625" style="86" customWidth="1"/>
    <col min="12811" max="13056" width="9.33203125" style="86"/>
    <col min="13057" max="13057" width="9.5" style="86" customWidth="1"/>
    <col min="13058" max="13058" width="73.83203125" style="86" customWidth="1"/>
    <col min="13059" max="13059" width="17.6640625" style="86" customWidth="1"/>
    <col min="13060" max="13064" width="0" style="86" hidden="1" customWidth="1"/>
    <col min="13065" max="13066" width="10.6640625" style="86" customWidth="1"/>
    <col min="13067" max="13312" width="9.33203125" style="86"/>
    <col min="13313" max="13313" width="9.5" style="86" customWidth="1"/>
    <col min="13314" max="13314" width="73.83203125" style="86" customWidth="1"/>
    <col min="13315" max="13315" width="17.6640625" style="86" customWidth="1"/>
    <col min="13316" max="13320" width="0" style="86" hidden="1" customWidth="1"/>
    <col min="13321" max="13322" width="10.6640625" style="86" customWidth="1"/>
    <col min="13323" max="13568" width="9.33203125" style="86"/>
    <col min="13569" max="13569" width="9.5" style="86" customWidth="1"/>
    <col min="13570" max="13570" width="73.83203125" style="86" customWidth="1"/>
    <col min="13571" max="13571" width="17.6640625" style="86" customWidth="1"/>
    <col min="13572" max="13576" width="0" style="86" hidden="1" customWidth="1"/>
    <col min="13577" max="13578" width="10.6640625" style="86" customWidth="1"/>
    <col min="13579" max="13824" width="9.33203125" style="86"/>
    <col min="13825" max="13825" width="9.5" style="86" customWidth="1"/>
    <col min="13826" max="13826" width="73.83203125" style="86" customWidth="1"/>
    <col min="13827" max="13827" width="17.6640625" style="86" customWidth="1"/>
    <col min="13828" max="13832" width="0" style="86" hidden="1" customWidth="1"/>
    <col min="13833" max="13834" width="10.6640625" style="86" customWidth="1"/>
    <col min="13835" max="14080" width="9.33203125" style="86"/>
    <col min="14081" max="14081" width="9.5" style="86" customWidth="1"/>
    <col min="14082" max="14082" width="73.83203125" style="86" customWidth="1"/>
    <col min="14083" max="14083" width="17.6640625" style="86" customWidth="1"/>
    <col min="14084" max="14088" width="0" style="86" hidden="1" customWidth="1"/>
    <col min="14089" max="14090" width="10.6640625" style="86" customWidth="1"/>
    <col min="14091" max="14336" width="9.33203125" style="86"/>
    <col min="14337" max="14337" width="9.5" style="86" customWidth="1"/>
    <col min="14338" max="14338" width="73.83203125" style="86" customWidth="1"/>
    <col min="14339" max="14339" width="17.6640625" style="86" customWidth="1"/>
    <col min="14340" max="14344" width="0" style="86" hidden="1" customWidth="1"/>
    <col min="14345" max="14346" width="10.6640625" style="86" customWidth="1"/>
    <col min="14347" max="14592" width="9.33203125" style="86"/>
    <col min="14593" max="14593" width="9.5" style="86" customWidth="1"/>
    <col min="14594" max="14594" width="73.83203125" style="86" customWidth="1"/>
    <col min="14595" max="14595" width="17.6640625" style="86" customWidth="1"/>
    <col min="14596" max="14600" width="0" style="86" hidden="1" customWidth="1"/>
    <col min="14601" max="14602" width="10.6640625" style="86" customWidth="1"/>
    <col min="14603" max="14848" width="9.33203125" style="86"/>
    <col min="14849" max="14849" width="9.5" style="86" customWidth="1"/>
    <col min="14850" max="14850" width="73.83203125" style="86" customWidth="1"/>
    <col min="14851" max="14851" width="17.6640625" style="86" customWidth="1"/>
    <col min="14852" max="14856" width="0" style="86" hidden="1" customWidth="1"/>
    <col min="14857" max="14858" width="10.6640625" style="86" customWidth="1"/>
    <col min="14859" max="15104" width="9.33203125" style="86"/>
    <col min="15105" max="15105" width="9.5" style="86" customWidth="1"/>
    <col min="15106" max="15106" width="73.83203125" style="86" customWidth="1"/>
    <col min="15107" max="15107" width="17.6640625" style="86" customWidth="1"/>
    <col min="15108" max="15112" width="0" style="86" hidden="1" customWidth="1"/>
    <col min="15113" max="15114" width="10.6640625" style="86" customWidth="1"/>
    <col min="15115" max="15360" width="9.33203125" style="86"/>
    <col min="15361" max="15361" width="9.5" style="86" customWidth="1"/>
    <col min="15362" max="15362" width="73.83203125" style="86" customWidth="1"/>
    <col min="15363" max="15363" width="17.6640625" style="86" customWidth="1"/>
    <col min="15364" max="15368" width="0" style="86" hidden="1" customWidth="1"/>
    <col min="15369" max="15370" width="10.6640625" style="86" customWidth="1"/>
    <col min="15371" max="15616" width="9.33203125" style="86"/>
    <col min="15617" max="15617" width="9.5" style="86" customWidth="1"/>
    <col min="15618" max="15618" width="73.83203125" style="86" customWidth="1"/>
    <col min="15619" max="15619" width="17.6640625" style="86" customWidth="1"/>
    <col min="15620" max="15624" width="0" style="86" hidden="1" customWidth="1"/>
    <col min="15625" max="15626" width="10.6640625" style="86" customWidth="1"/>
    <col min="15627" max="15872" width="9.33203125" style="86"/>
    <col min="15873" max="15873" width="9.5" style="86" customWidth="1"/>
    <col min="15874" max="15874" width="73.83203125" style="86" customWidth="1"/>
    <col min="15875" max="15875" width="17.6640625" style="86" customWidth="1"/>
    <col min="15876" max="15880" width="0" style="86" hidden="1" customWidth="1"/>
    <col min="15881" max="15882" width="10.6640625" style="86" customWidth="1"/>
    <col min="15883" max="16128" width="9.33203125" style="86"/>
    <col min="16129" max="16129" width="9.5" style="86" customWidth="1"/>
    <col min="16130" max="16130" width="73.83203125" style="86" customWidth="1"/>
    <col min="16131" max="16131" width="17.6640625" style="86" customWidth="1"/>
    <col min="16132" max="16136" width="0" style="86" hidden="1" customWidth="1"/>
    <col min="16137" max="16138" width="10.6640625" style="86" customWidth="1"/>
    <col min="16139" max="16384" width="9.33203125" style="86"/>
  </cols>
  <sheetData>
    <row r="1" spans="1:8" s="77" customFormat="1" ht="12.75" customHeight="1" x14ac:dyDescent="0.2">
      <c r="A1" s="635" t="str">
        <f>Resumo!A1</f>
        <v>TERPLANC - TERRAPLENAGEM  PLANEJAMENTO CONSTRUÇÃO E SEVIÇOS  EIRELE - EPP</v>
      </c>
      <c r="B1" s="635"/>
      <c r="C1" s="635"/>
      <c r="D1" s="635"/>
    </row>
    <row r="2" spans="1:8" s="77" customFormat="1" ht="12.75" customHeight="1" x14ac:dyDescent="0.2">
      <c r="A2" s="635"/>
      <c r="B2" s="635"/>
      <c r="C2" s="635"/>
      <c r="D2" s="635"/>
    </row>
    <row r="3" spans="1:8" s="77" customFormat="1" ht="12.75" customHeight="1" x14ac:dyDescent="0.2">
      <c r="A3" s="635"/>
      <c r="B3" s="635"/>
      <c r="C3" s="635"/>
      <c r="D3" s="635"/>
    </row>
    <row r="4" spans="1:8" s="77" customFormat="1" ht="12.75" customHeight="1" x14ac:dyDescent="0.2">
      <c r="A4" s="635"/>
      <c r="B4" s="635"/>
      <c r="C4" s="635"/>
      <c r="D4" s="635"/>
    </row>
    <row r="5" spans="1:8" s="77" customFormat="1" ht="12.75" customHeight="1" x14ac:dyDescent="0.2">
      <c r="A5" s="682" t="str">
        <f>Resumo!A9</f>
        <v>PREFEITURA MUNICIPAL DE SÃO MIGUEL DO GUAMÁ</v>
      </c>
      <c r="B5" s="682"/>
      <c r="C5" s="682"/>
    </row>
    <row r="6" spans="1:8" s="77" customFormat="1" ht="12.75" hidden="1" customHeight="1" x14ac:dyDescent="0.2"/>
    <row r="7" spans="1:8" s="573" customFormat="1" ht="12.75" customHeight="1" x14ac:dyDescent="0.2">
      <c r="A7" s="682" t="str">
        <f>Resumo!A10</f>
        <v>OBRA: REFORMA E AMPLIAÇÃO</v>
      </c>
      <c r="B7" s="682"/>
      <c r="C7" s="682"/>
    </row>
    <row r="8" spans="1:8" s="573" customFormat="1" ht="12.75" customHeight="1" x14ac:dyDescent="0.2">
      <c r="A8" s="682" t="str">
        <f>Resumo!A12</f>
        <v>LOCAL: BELA VISTA</v>
      </c>
      <c r="B8" s="682"/>
      <c r="C8" s="682"/>
    </row>
    <row r="9" spans="1:8" ht="15.75" x14ac:dyDescent="0.2">
      <c r="A9" s="681" t="str">
        <f>Resumo!A13</f>
        <v>PRAZO DE EXECUÇÃO:  120 DIAS</v>
      </c>
      <c r="B9" s="681"/>
      <c r="C9" s="681"/>
      <c r="D9" s="433"/>
      <c r="E9" s="434" t="s">
        <v>1621</v>
      </c>
      <c r="F9" s="86"/>
      <c r="G9" s="86"/>
      <c r="H9" s="86"/>
    </row>
    <row r="10" spans="1:8" s="573" customFormat="1" ht="12.75" customHeight="1" x14ac:dyDescent="0.2">
      <c r="A10" s="682"/>
      <c r="B10" s="682"/>
      <c r="C10" s="682"/>
      <c r="E10" s="573" t="s">
        <v>1622</v>
      </c>
      <c r="F10" s="573">
        <f>220</f>
        <v>220</v>
      </c>
      <c r="H10" s="573" t="s">
        <v>1623</v>
      </c>
    </row>
    <row r="11" spans="1:8" hidden="1" x14ac:dyDescent="0.2">
      <c r="E11" s="436" t="s">
        <v>1624</v>
      </c>
      <c r="F11" s="437">
        <v>30</v>
      </c>
      <c r="G11" s="438">
        <f>F10/F11</f>
        <v>7.333333333333333</v>
      </c>
      <c r="H11" s="436" t="s">
        <v>1625</v>
      </c>
    </row>
    <row r="12" spans="1:8" x14ac:dyDescent="0.2">
      <c r="E12" s="439" t="s">
        <v>1626</v>
      </c>
    </row>
    <row r="13" spans="1:8" ht="15.75" x14ac:dyDescent="0.2">
      <c r="A13" s="683" t="s">
        <v>1627</v>
      </c>
      <c r="B13" s="683"/>
      <c r="C13" s="683"/>
      <c r="D13" s="440"/>
      <c r="E13" s="441" t="s">
        <v>1628</v>
      </c>
      <c r="F13" s="442">
        <v>52</v>
      </c>
      <c r="G13" s="443">
        <f>((((F69/F23)*F22)-F11)/7)*(F23/F69)*G11</f>
        <v>361.98956022878372</v>
      </c>
      <c r="H13" s="436" t="s">
        <v>1629</v>
      </c>
    </row>
    <row r="14" spans="1:8" x14ac:dyDescent="0.2">
      <c r="A14" s="684" t="s">
        <v>1630</v>
      </c>
      <c r="B14" s="684"/>
      <c r="C14" s="444" t="s">
        <v>403</v>
      </c>
      <c r="D14" s="445"/>
      <c r="E14" s="446" t="s">
        <v>1631</v>
      </c>
      <c r="F14" s="447" t="s">
        <v>1632</v>
      </c>
      <c r="G14" s="448">
        <f>(((F69/F23)*F14)*((F69-1)/F69)*(F23/F69))*G11</f>
        <v>86.646768111162686</v>
      </c>
      <c r="H14" s="436" t="s">
        <v>1629</v>
      </c>
    </row>
    <row r="15" spans="1:8" x14ac:dyDescent="0.2">
      <c r="A15" s="449" t="s">
        <v>1633</v>
      </c>
      <c r="B15" s="450" t="s">
        <v>1634</v>
      </c>
      <c r="C15" s="451">
        <v>20</v>
      </c>
      <c r="D15" s="452"/>
      <c r="E15" s="446" t="s">
        <v>1635</v>
      </c>
      <c r="F15" s="453">
        <v>15</v>
      </c>
      <c r="G15" s="448">
        <f>((F15*3.4%)+2)*G11</f>
        <v>18.406666666666663</v>
      </c>
      <c r="H15" s="436" t="s">
        <v>1629</v>
      </c>
    </row>
    <row r="16" spans="1:8" x14ac:dyDescent="0.2">
      <c r="A16" s="449" t="s">
        <v>1636</v>
      </c>
      <c r="B16" s="450" t="s">
        <v>1637</v>
      </c>
      <c r="C16" s="451">
        <v>8</v>
      </c>
      <c r="D16" s="452"/>
      <c r="E16" s="446" t="s">
        <v>1638</v>
      </c>
      <c r="F16" s="453">
        <v>5</v>
      </c>
      <c r="G16" s="448">
        <f>F16*(92.36%*85.64%*5.93%)*G11</f>
        <v>1.7198346979733334</v>
      </c>
      <c r="H16" s="436" t="s">
        <v>1629</v>
      </c>
    </row>
    <row r="17" spans="1:8" x14ac:dyDescent="0.2">
      <c r="A17" s="449" t="s">
        <v>1639</v>
      </c>
      <c r="B17" s="450" t="s">
        <v>1640</v>
      </c>
      <c r="C17" s="451">
        <v>2.5</v>
      </c>
      <c r="D17" s="452"/>
      <c r="E17" s="454" t="s">
        <v>1641</v>
      </c>
      <c r="F17" s="436">
        <v>120</v>
      </c>
      <c r="G17" s="438">
        <f>(4.33%*7.64%*82.4%*(F17/F22)*(F11+F21))*G11</f>
        <v>0.45972588147296367</v>
      </c>
      <c r="H17" s="436" t="s">
        <v>1629</v>
      </c>
    </row>
    <row r="18" spans="1:8" x14ac:dyDescent="0.2">
      <c r="A18" s="449" t="s">
        <v>1642</v>
      </c>
      <c r="B18" s="450" t="s">
        <v>1643</v>
      </c>
      <c r="C18" s="451">
        <v>1.5</v>
      </c>
      <c r="D18" s="452"/>
      <c r="E18" s="455" t="s">
        <v>1644</v>
      </c>
      <c r="F18" s="442">
        <v>2</v>
      </c>
      <c r="G18" s="456">
        <f>F18*G11</f>
        <v>14.666666666666666</v>
      </c>
      <c r="H18" s="436" t="s">
        <v>1629</v>
      </c>
    </row>
    <row r="19" spans="1:8" x14ac:dyDescent="0.2">
      <c r="A19" s="449" t="s">
        <v>1645</v>
      </c>
      <c r="B19" s="450" t="s">
        <v>1646</v>
      </c>
      <c r="C19" s="451">
        <v>1</v>
      </c>
      <c r="D19" s="452"/>
      <c r="E19" s="457" t="s">
        <v>1647</v>
      </c>
      <c r="F19" s="442">
        <v>190</v>
      </c>
      <c r="G19" s="456">
        <f>(F19*((F22-107.42)/F22)*20%*20%)*G11</f>
        <v>39.342163814738754</v>
      </c>
      <c r="H19" s="436" t="s">
        <v>1629</v>
      </c>
    </row>
    <row r="20" spans="1:8" x14ac:dyDescent="0.2">
      <c r="A20" s="449" t="s">
        <v>1648</v>
      </c>
      <c r="B20" s="580" t="s">
        <v>680</v>
      </c>
      <c r="C20" s="451">
        <v>0.6</v>
      </c>
      <c r="D20" s="452"/>
      <c r="E20" s="457" t="s">
        <v>1650</v>
      </c>
      <c r="F20" s="442">
        <v>15</v>
      </c>
      <c r="G20" s="456">
        <f>(F20*3.5%)*G11</f>
        <v>3.85</v>
      </c>
      <c r="H20" s="436" t="s">
        <v>1629</v>
      </c>
    </row>
    <row r="21" spans="1:8" x14ac:dyDescent="0.2">
      <c r="A21" s="449" t="s">
        <v>1651</v>
      </c>
      <c r="B21" s="450" t="s">
        <v>1652</v>
      </c>
      <c r="C21" s="451">
        <v>0.2</v>
      </c>
      <c r="D21" s="458"/>
      <c r="E21" s="455" t="s">
        <v>1653</v>
      </c>
      <c r="F21" s="459">
        <v>40</v>
      </c>
      <c r="G21" s="460">
        <f>F21*(F23/F69)*G11</f>
        <v>192.76410453135199</v>
      </c>
      <c r="H21" s="454" t="s">
        <v>1629</v>
      </c>
    </row>
    <row r="22" spans="1:8" x14ac:dyDescent="0.2">
      <c r="A22" s="449" t="s">
        <v>1654</v>
      </c>
      <c r="B22" s="450" t="s">
        <v>1655</v>
      </c>
      <c r="C22" s="451">
        <v>3</v>
      </c>
      <c r="D22" s="452"/>
      <c r="E22" s="439" t="s">
        <v>1656</v>
      </c>
      <c r="F22" s="461">
        <f>365.25</f>
        <v>365.25</v>
      </c>
      <c r="G22" s="462">
        <f>F22*G11</f>
        <v>2678.5</v>
      </c>
      <c r="H22" s="454" t="s">
        <v>1629</v>
      </c>
    </row>
    <row r="23" spans="1:8" x14ac:dyDescent="0.2">
      <c r="A23" s="449" t="s">
        <v>1657</v>
      </c>
      <c r="B23" s="450" t="s">
        <v>1658</v>
      </c>
      <c r="C23" s="463">
        <v>0</v>
      </c>
      <c r="D23" s="452"/>
      <c r="E23" s="439" t="s">
        <v>1659</v>
      </c>
      <c r="F23" s="447" t="s">
        <v>1660</v>
      </c>
      <c r="G23" s="462">
        <f>G22-SUM(G13:G21)</f>
        <v>1958.6545094011831</v>
      </c>
      <c r="H23" s="454" t="s">
        <v>1629</v>
      </c>
    </row>
    <row r="24" spans="1:8" x14ac:dyDescent="0.2">
      <c r="A24" s="678" t="s">
        <v>1661</v>
      </c>
      <c r="B24" s="678"/>
      <c r="C24" s="464">
        <f>SUM(C15:C23)</f>
        <v>36.800000000000004</v>
      </c>
      <c r="D24" s="465"/>
      <c r="E24" s="455" t="s">
        <v>1662</v>
      </c>
      <c r="F24" s="459">
        <v>30</v>
      </c>
      <c r="G24" s="460">
        <f>F24*G11</f>
        <v>220</v>
      </c>
      <c r="H24" s="454" t="s">
        <v>1629</v>
      </c>
    </row>
    <row r="25" spans="1:8" x14ac:dyDescent="0.2">
      <c r="A25" s="677" t="s">
        <v>1663</v>
      </c>
      <c r="B25" s="677"/>
      <c r="C25" s="677"/>
      <c r="D25" s="466"/>
      <c r="E25" s="467" t="s">
        <v>1664</v>
      </c>
      <c r="F25" s="468">
        <v>33</v>
      </c>
      <c r="G25" s="469">
        <f>(F25*F66*F70*90%)*G11</f>
        <v>121.76466312665308</v>
      </c>
      <c r="H25" s="454" t="s">
        <v>1629</v>
      </c>
    </row>
    <row r="26" spans="1:8" x14ac:dyDescent="0.2">
      <c r="A26" s="449" t="s">
        <v>1665</v>
      </c>
      <c r="B26" s="470" t="s">
        <v>1666</v>
      </c>
      <c r="C26" s="463">
        <f>(SUM(G13:G14)/G23)*100</f>
        <v>22.905332522227589</v>
      </c>
      <c r="D26" s="466"/>
      <c r="E26" s="467" t="s">
        <v>1667</v>
      </c>
      <c r="F26" s="468">
        <v>7</v>
      </c>
      <c r="G26" s="471">
        <f>((F26*F66*F70*10%)+(F26*F67*20%*50%))*G11</f>
        <v>6.6346537718642953</v>
      </c>
      <c r="H26" s="454" t="s">
        <v>1629</v>
      </c>
    </row>
    <row r="27" spans="1:8" x14ac:dyDescent="0.2">
      <c r="A27" s="449" t="s">
        <v>1668</v>
      </c>
      <c r="B27" s="470" t="s">
        <v>1669</v>
      </c>
      <c r="C27" s="463">
        <f>(G15/G23)*100</f>
        <v>0.93976076833959388</v>
      </c>
      <c r="D27" s="466"/>
      <c r="E27" s="472" t="s">
        <v>1670</v>
      </c>
      <c r="F27" s="468">
        <v>6</v>
      </c>
      <c r="G27" s="471">
        <f>(F21*(F27/F69)*F70)*G11</f>
        <v>81.996406145894326</v>
      </c>
      <c r="H27" s="454" t="s">
        <v>1629</v>
      </c>
    </row>
    <row r="28" spans="1:8" x14ac:dyDescent="0.2">
      <c r="A28" s="449" t="s">
        <v>1671</v>
      </c>
      <c r="B28" s="470" t="s">
        <v>1672</v>
      </c>
      <c r="C28" s="463">
        <f>(G17/G23)*100</f>
        <v>2.3471514719230147E-2</v>
      </c>
      <c r="D28" s="466"/>
      <c r="E28" s="472" t="s">
        <v>1673</v>
      </c>
      <c r="F28" s="468"/>
      <c r="G28" s="471">
        <f>((F22+F21)*(F69/F23)*(F66*C16%*50%*F70))*G11</f>
        <v>101.13071770922944</v>
      </c>
      <c r="H28" s="454" t="s">
        <v>1629</v>
      </c>
    </row>
    <row r="29" spans="1:8" x14ac:dyDescent="0.2">
      <c r="A29" s="449" t="s">
        <v>1674</v>
      </c>
      <c r="B29" s="470" t="s">
        <v>1675</v>
      </c>
      <c r="C29" s="463">
        <f>(G24/G23)*100</f>
        <v>11.232200418401524</v>
      </c>
      <c r="D29" s="466"/>
      <c r="E29" s="472" t="s">
        <v>1676</v>
      </c>
      <c r="F29" s="469">
        <v>8.3333333333333304</v>
      </c>
      <c r="G29" s="471">
        <f>(F29%*F11*F66*F70)*G11</f>
        <v>10.249550768236785</v>
      </c>
      <c r="H29" s="454" t="s">
        <v>1629</v>
      </c>
    </row>
    <row r="30" spans="1:8" ht="38.25" x14ac:dyDescent="0.2">
      <c r="A30" s="449" t="s">
        <v>1677</v>
      </c>
      <c r="B30" s="473" t="s">
        <v>1678</v>
      </c>
      <c r="C30" s="474">
        <f>SUM(G18:G20)/G23</f>
        <v>2.954008999733931E-2</v>
      </c>
      <c r="D30" s="466"/>
      <c r="E30" s="472"/>
      <c r="F30" s="468"/>
      <c r="G30" s="475"/>
      <c r="H30" s="466"/>
    </row>
    <row r="31" spans="1:8" x14ac:dyDescent="0.2">
      <c r="A31" s="678" t="s">
        <v>1679</v>
      </c>
      <c r="B31" s="678"/>
      <c r="C31" s="464">
        <f>SUM(C26:C30)</f>
        <v>35.130305313685277</v>
      </c>
      <c r="D31" s="466"/>
      <c r="E31" s="679" t="s">
        <v>1680</v>
      </c>
      <c r="F31" s="679"/>
      <c r="G31" s="475"/>
      <c r="H31" s="466"/>
    </row>
    <row r="32" spans="1:8" x14ac:dyDescent="0.2">
      <c r="A32" s="677" t="s">
        <v>1681</v>
      </c>
      <c r="B32" s="677"/>
      <c r="C32" s="677"/>
      <c r="D32" s="466"/>
      <c r="E32" s="454"/>
      <c r="F32" s="454"/>
      <c r="G32" s="475"/>
      <c r="H32" s="466"/>
    </row>
    <row r="33" spans="1:10" ht="25.5" x14ac:dyDescent="0.2">
      <c r="A33" s="449" t="s">
        <v>1682</v>
      </c>
      <c r="B33" s="476" t="s">
        <v>1683</v>
      </c>
      <c r="C33" s="463">
        <f>50%*(C16+(C16*C31%))</f>
        <v>5.4052122125474114</v>
      </c>
      <c r="D33" s="466"/>
      <c r="E33" s="477" t="s">
        <v>1684</v>
      </c>
      <c r="F33" s="477" t="s">
        <v>1685</v>
      </c>
      <c r="G33" s="478"/>
      <c r="H33" s="466"/>
    </row>
    <row r="34" spans="1:10" x14ac:dyDescent="0.2">
      <c r="A34" s="449" t="s">
        <v>1686</v>
      </c>
      <c r="B34" s="479" t="s">
        <v>1687</v>
      </c>
      <c r="C34" s="463">
        <f>(G27/G23)*100</f>
        <v>4.1863639428151611</v>
      </c>
      <c r="D34" s="466"/>
      <c r="E34" s="477" t="s">
        <v>1688</v>
      </c>
      <c r="F34" s="480">
        <v>6.25</v>
      </c>
      <c r="G34" s="466"/>
      <c r="H34" s="466"/>
    </row>
    <row r="35" spans="1:10" x14ac:dyDescent="0.2">
      <c r="A35" s="449" t="s">
        <v>1689</v>
      </c>
      <c r="B35" s="450" t="s">
        <v>1690</v>
      </c>
      <c r="C35" s="463">
        <f>(G25/G23)*100</f>
        <v>6.2167504550805148</v>
      </c>
      <c r="D35" s="466"/>
      <c r="E35" s="477" t="s">
        <v>1691</v>
      </c>
      <c r="F35" s="481">
        <v>96</v>
      </c>
      <c r="G35" s="466"/>
      <c r="H35" s="466"/>
    </row>
    <row r="36" spans="1:10" x14ac:dyDescent="0.2">
      <c r="A36" s="678" t="s">
        <v>1692</v>
      </c>
      <c r="B36" s="678"/>
      <c r="C36" s="463">
        <f>SUM(C33:C35)</f>
        <v>15.808326610443087</v>
      </c>
      <c r="D36" s="466"/>
      <c r="E36" s="477" t="s">
        <v>1693</v>
      </c>
      <c r="F36" s="480">
        <v>1.502</v>
      </c>
      <c r="G36" s="466"/>
      <c r="H36" s="466"/>
    </row>
    <row r="37" spans="1:10" x14ac:dyDescent="0.2">
      <c r="A37" s="677" t="s">
        <v>1694</v>
      </c>
      <c r="B37" s="677"/>
      <c r="C37" s="677"/>
      <c r="D37" s="466"/>
      <c r="E37" s="477" t="s">
        <v>1695</v>
      </c>
      <c r="F37" s="480">
        <v>7.5</v>
      </c>
      <c r="G37" s="466"/>
      <c r="H37" s="466"/>
    </row>
    <row r="38" spans="1:10" x14ac:dyDescent="0.2">
      <c r="A38" s="449" t="s">
        <v>1696</v>
      </c>
      <c r="B38" s="479" t="s">
        <v>1697</v>
      </c>
      <c r="C38" s="463">
        <f>C24*C31%</f>
        <v>12.927952355436183</v>
      </c>
      <c r="D38" s="466"/>
      <c r="E38" s="477" t="s">
        <v>1698</v>
      </c>
      <c r="F38" s="482">
        <v>24</v>
      </c>
      <c r="G38" s="466"/>
      <c r="H38" s="466"/>
    </row>
    <row r="39" spans="1:10" hidden="1" x14ac:dyDescent="0.2">
      <c r="A39" s="449" t="s">
        <v>1699</v>
      </c>
      <c r="B39" s="479" t="s">
        <v>1700</v>
      </c>
      <c r="C39" s="463">
        <f>C16*0%</f>
        <v>0</v>
      </c>
      <c r="D39" s="466"/>
      <c r="E39" s="477"/>
      <c r="F39" s="480"/>
      <c r="G39" s="466"/>
      <c r="H39" s="466"/>
    </row>
    <row r="40" spans="1:10" x14ac:dyDescent="0.2">
      <c r="A40" s="678" t="s">
        <v>1701</v>
      </c>
      <c r="B40" s="678"/>
      <c r="C40" s="463">
        <f>SUM(C38:C39)</f>
        <v>12.927952355436183</v>
      </c>
      <c r="D40" s="466"/>
      <c r="E40" s="477" t="s">
        <v>1702</v>
      </c>
      <c r="F40" s="480">
        <v>19.5</v>
      </c>
      <c r="G40" s="452"/>
      <c r="H40" s="452"/>
    </row>
    <row r="41" spans="1:10" x14ac:dyDescent="0.2">
      <c r="A41" s="677" t="s">
        <v>1703</v>
      </c>
      <c r="B41" s="677"/>
      <c r="C41" s="463">
        <f>(C24+C36+C31+C40)</f>
        <v>100.66658427956455</v>
      </c>
      <c r="D41" s="452"/>
      <c r="E41" s="477" t="s">
        <v>1704</v>
      </c>
      <c r="F41" s="480">
        <v>28.8</v>
      </c>
      <c r="G41" s="466"/>
      <c r="H41" s="466"/>
    </row>
    <row r="42" spans="1:10" x14ac:dyDescent="0.2">
      <c r="A42" s="680" t="s">
        <v>1705</v>
      </c>
      <c r="B42" s="680"/>
      <c r="C42" s="680"/>
      <c r="E42" s="477" t="s">
        <v>1706</v>
      </c>
      <c r="F42" s="480">
        <v>600</v>
      </c>
      <c r="G42" s="452"/>
      <c r="H42" s="452"/>
    </row>
    <row r="43" spans="1:10" x14ac:dyDescent="0.2">
      <c r="A43" s="483" t="s">
        <v>1707</v>
      </c>
      <c r="B43" s="484" t="s">
        <v>1708</v>
      </c>
      <c r="C43" s="474">
        <f>((F34*F35*6%)/F42)*100</f>
        <v>6</v>
      </c>
      <c r="E43" s="482" t="s">
        <v>1709</v>
      </c>
      <c r="F43" s="482">
        <v>12</v>
      </c>
      <c r="G43" s="452"/>
      <c r="H43" s="452"/>
    </row>
    <row r="44" spans="1:10" x14ac:dyDescent="0.2">
      <c r="A44" s="483" t="s">
        <v>1710</v>
      </c>
      <c r="B44" s="484" t="s">
        <v>1711</v>
      </c>
      <c r="C44" s="474">
        <f>((F36*F38-F42/30*F38*1%)/F42)*100</f>
        <v>5.2080000000000002</v>
      </c>
      <c r="G44" s="485"/>
      <c r="H44" s="485"/>
    </row>
    <row r="45" spans="1:10" x14ac:dyDescent="0.2">
      <c r="A45" s="449" t="s">
        <v>1712</v>
      </c>
      <c r="B45" s="470" t="s">
        <v>1713</v>
      </c>
      <c r="C45" s="474">
        <f>((F37*F38*0.95)/F42)*100</f>
        <v>28.499999999999996</v>
      </c>
    </row>
    <row r="46" spans="1:10" x14ac:dyDescent="0.2">
      <c r="A46" s="449" t="s">
        <v>1714</v>
      </c>
      <c r="B46" s="470" t="s">
        <v>1715</v>
      </c>
      <c r="C46" s="474">
        <f>(F40/F42)*100</f>
        <v>3.25</v>
      </c>
    </row>
    <row r="47" spans="1:10" ht="12.75" customHeight="1" x14ac:dyDescent="0.2">
      <c r="A47" s="449" t="s">
        <v>1716</v>
      </c>
      <c r="B47" s="470" t="s">
        <v>1717</v>
      </c>
      <c r="C47" s="474">
        <f>(F41/F42)*100</f>
        <v>4.8</v>
      </c>
    </row>
    <row r="48" spans="1:10" s="436" customFormat="1" ht="12.75" customHeight="1" x14ac:dyDescent="0.2">
      <c r="A48" s="449" t="s">
        <v>1718</v>
      </c>
      <c r="B48" s="470" t="s">
        <v>1709</v>
      </c>
      <c r="C48" s="474">
        <f>(F43/F42)*100</f>
        <v>2</v>
      </c>
      <c r="E48" s="486" t="s">
        <v>1719</v>
      </c>
      <c r="F48" s="486"/>
      <c r="I48" s="86"/>
      <c r="J48" s="86"/>
    </row>
    <row r="49" spans="1:6" x14ac:dyDescent="0.2">
      <c r="A49" s="677" t="s">
        <v>1720</v>
      </c>
      <c r="B49" s="677"/>
      <c r="C49" s="474">
        <f>SUM(C43:C47)</f>
        <v>47.757999999999996</v>
      </c>
      <c r="E49" s="487"/>
      <c r="F49" s="487"/>
    </row>
    <row r="50" spans="1:6" x14ac:dyDescent="0.2">
      <c r="A50" s="677" t="s">
        <v>1721</v>
      </c>
      <c r="B50" s="677"/>
      <c r="C50" s="464">
        <f>C49+C41</f>
        <v>148.42458427956456</v>
      </c>
      <c r="E50" s="470" t="s">
        <v>1722</v>
      </c>
      <c r="F50" s="488">
        <f>SUM(F51:F58)</f>
        <v>72807</v>
      </c>
    </row>
    <row r="51" spans="1:6" x14ac:dyDescent="0.2">
      <c r="A51" s="676"/>
      <c r="B51" s="676"/>
      <c r="C51" s="676"/>
      <c r="E51" s="470" t="s">
        <v>1723</v>
      </c>
      <c r="F51" s="488">
        <v>882</v>
      </c>
    </row>
    <row r="52" spans="1:6" x14ac:dyDescent="0.2">
      <c r="E52" s="470" t="s">
        <v>1724</v>
      </c>
      <c r="F52" s="488">
        <v>55380</v>
      </c>
    </row>
    <row r="53" spans="1:6" x14ac:dyDescent="0.2">
      <c r="E53" s="470" t="s">
        <v>1725</v>
      </c>
      <c r="F53" s="488">
        <v>7553</v>
      </c>
    </row>
    <row r="54" spans="1:6" ht="12.75" customHeight="1" x14ac:dyDescent="0.2">
      <c r="D54" s="489"/>
      <c r="E54" s="470" t="s">
        <v>1726</v>
      </c>
      <c r="F54" s="488">
        <v>2241</v>
      </c>
    </row>
    <row r="55" spans="1:6" x14ac:dyDescent="0.2">
      <c r="D55" s="489"/>
      <c r="E55" s="470" t="s">
        <v>1727</v>
      </c>
      <c r="F55" s="488">
        <v>6593</v>
      </c>
    </row>
    <row r="56" spans="1:6" x14ac:dyDescent="0.2">
      <c r="E56" s="470" t="s">
        <v>1728</v>
      </c>
      <c r="F56" s="488">
        <v>10</v>
      </c>
    </row>
    <row r="57" spans="1:6" x14ac:dyDescent="0.2">
      <c r="E57" s="470" t="s">
        <v>1729</v>
      </c>
      <c r="F57" s="488">
        <v>148</v>
      </c>
    </row>
    <row r="58" spans="1:6" x14ac:dyDescent="0.2">
      <c r="E58" s="470" t="s">
        <v>1730</v>
      </c>
      <c r="F58" s="488">
        <v>0</v>
      </c>
    </row>
    <row r="59" spans="1:6" x14ac:dyDescent="0.2">
      <c r="E59" s="470" t="s">
        <v>1731</v>
      </c>
      <c r="F59" s="488"/>
    </row>
    <row r="60" spans="1:6" x14ac:dyDescent="0.2">
      <c r="E60" s="470" t="s">
        <v>1732</v>
      </c>
      <c r="F60" s="488">
        <v>95230</v>
      </c>
    </row>
    <row r="61" spans="1:6" x14ac:dyDescent="0.2">
      <c r="E61" s="470" t="s">
        <v>1733</v>
      </c>
      <c r="F61" s="488">
        <v>102886</v>
      </c>
    </row>
    <row r="62" spans="1:6" x14ac:dyDescent="0.2">
      <c r="E62" s="470" t="s">
        <v>1734</v>
      </c>
      <c r="F62" s="488">
        <f>SUM(F60:F61)/COUNT(F60:F61)</f>
        <v>99058</v>
      </c>
    </row>
    <row r="63" spans="1:6" ht="38.25" x14ac:dyDescent="0.2">
      <c r="E63" s="473" t="s">
        <v>1735</v>
      </c>
      <c r="F63" s="488">
        <f>F50-(F53+F56+F57+F58)</f>
        <v>65096</v>
      </c>
    </row>
    <row r="64" spans="1:6" ht="25.5" x14ac:dyDescent="0.2">
      <c r="E64" s="473" t="s">
        <v>1736</v>
      </c>
      <c r="F64" s="488">
        <f>F50-(F56+F57+F58)</f>
        <v>72649</v>
      </c>
    </row>
    <row r="66" spans="5:6" ht="25.5" x14ac:dyDescent="0.2">
      <c r="E66" s="473" t="s">
        <v>1737</v>
      </c>
      <c r="F66" s="490">
        <f>(F63/F62)*1</f>
        <v>0.65715035635688179</v>
      </c>
    </row>
    <row r="67" spans="5:6" x14ac:dyDescent="0.2">
      <c r="E67" s="473" t="s">
        <v>1738</v>
      </c>
      <c r="F67" s="490">
        <f>(F64/F62)*1</f>
        <v>0.73339861495285585</v>
      </c>
    </row>
    <row r="68" spans="5:6" x14ac:dyDescent="0.2">
      <c r="E68" s="473" t="s">
        <v>1739</v>
      </c>
      <c r="F68" s="490">
        <f>(F53/F50)*1</f>
        <v>0.10374002499759638</v>
      </c>
    </row>
    <row r="69" spans="5:6" x14ac:dyDescent="0.2">
      <c r="E69" s="473" t="s">
        <v>1740</v>
      </c>
      <c r="F69" s="491">
        <f>12/F66</f>
        <v>18.260661177338086</v>
      </c>
    </row>
    <row r="70" spans="5:6" x14ac:dyDescent="0.2">
      <c r="E70" s="470" t="s">
        <v>1741</v>
      </c>
      <c r="F70" s="490">
        <f>(F52/F63)*1</f>
        <v>0.85074351726680597</v>
      </c>
    </row>
    <row r="71" spans="5:6" x14ac:dyDescent="0.2">
      <c r="E71" s="492"/>
      <c r="F71" s="492"/>
    </row>
  </sheetData>
  <mergeCells count="21">
    <mergeCell ref="A24:B24"/>
    <mergeCell ref="A1:D4"/>
    <mergeCell ref="A9:C9"/>
    <mergeCell ref="A10:C10"/>
    <mergeCell ref="A13:C13"/>
    <mergeCell ref="A14:B14"/>
    <mergeCell ref="A5:C5"/>
    <mergeCell ref="A7:C7"/>
    <mergeCell ref="A8:C8"/>
    <mergeCell ref="A51:C51"/>
    <mergeCell ref="A25:C25"/>
    <mergeCell ref="A31:B31"/>
    <mergeCell ref="E31:F31"/>
    <mergeCell ref="A32:C32"/>
    <mergeCell ref="A36:B36"/>
    <mergeCell ref="A37:C37"/>
    <mergeCell ref="A40:B40"/>
    <mergeCell ref="A41:B41"/>
    <mergeCell ref="A42:C42"/>
    <mergeCell ref="A49:B49"/>
    <mergeCell ref="A50:B50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N29" sqref="N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view="pageBreakPreview" topLeftCell="A255" zoomScale="70" zoomScaleNormal="85" zoomScaleSheetLayoutView="70" workbookViewId="0">
      <selection activeCell="A258" sqref="A258:D258"/>
    </sheetView>
  </sheetViews>
  <sheetFormatPr defaultRowHeight="12.75" x14ac:dyDescent="0.2"/>
  <cols>
    <col min="1" max="1" width="45.33203125" customWidth="1"/>
    <col min="2" max="2" width="12" customWidth="1"/>
    <col min="3" max="3" width="14" customWidth="1"/>
    <col min="4" max="4" width="11.33203125" customWidth="1"/>
    <col min="5" max="5" width="14.5" customWidth="1"/>
    <col min="6" max="6" width="21.83203125" customWidth="1"/>
    <col min="15" max="15" width="8.1640625" customWidth="1"/>
  </cols>
  <sheetData>
    <row r="1" spans="1:6" x14ac:dyDescent="0.2">
      <c r="A1" s="2"/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ht="15" x14ac:dyDescent="0.25">
      <c r="A9" s="2"/>
      <c r="B9" s="2"/>
      <c r="C9" s="2"/>
      <c r="D9" s="3"/>
      <c r="E9" s="2"/>
      <c r="F9" s="2"/>
    </row>
    <row r="10" spans="1:6" x14ac:dyDescent="0.2">
      <c r="A10" s="4" t="str">
        <f>'Planilha Orçamentaria'!A10</f>
        <v>ESCOLA:  E.M.E.F. IZAURA DOMINGAS COSTA</v>
      </c>
      <c r="B10" s="2"/>
      <c r="C10" s="2"/>
      <c r="D10" s="2"/>
      <c r="E10" s="2"/>
      <c r="F10" s="2"/>
    </row>
    <row r="11" spans="1:6" x14ac:dyDescent="0.2">
      <c r="A11" s="4" t="str">
        <f>'Planilha Orçamentaria'!A12</f>
        <v>PRAZO DE EXECUÇÃO:  120 DIAS</v>
      </c>
      <c r="B11" s="2"/>
      <c r="C11" s="2"/>
      <c r="D11" s="2"/>
      <c r="E11" s="2"/>
      <c r="F11" s="2"/>
    </row>
    <row r="12" spans="1:6" x14ac:dyDescent="0.2">
      <c r="A12" s="4"/>
      <c r="B12" s="2"/>
      <c r="C12" s="2"/>
      <c r="D12" s="2"/>
      <c r="E12" s="2"/>
      <c r="F12" s="2"/>
    </row>
    <row r="13" spans="1:6" ht="23.25" x14ac:dyDescent="0.2">
      <c r="A13" s="702" t="s">
        <v>98</v>
      </c>
      <c r="B13" s="702"/>
      <c r="C13" s="702"/>
      <c r="D13" s="702"/>
      <c r="E13" s="702"/>
      <c r="F13" s="702"/>
    </row>
    <row r="14" spans="1:6" x14ac:dyDescent="0.2">
      <c r="A14" s="2"/>
      <c r="B14" s="2"/>
      <c r="C14" s="2"/>
      <c r="D14" s="2"/>
      <c r="E14" s="2"/>
      <c r="F14" s="2"/>
    </row>
    <row r="15" spans="1:6" ht="15" x14ac:dyDescent="0.25">
      <c r="A15" s="5" t="s">
        <v>99</v>
      </c>
      <c r="B15" s="2"/>
      <c r="C15" s="2"/>
      <c r="D15" s="2"/>
      <c r="E15" s="2"/>
      <c r="F15" s="2"/>
    </row>
    <row r="16" spans="1:6" ht="15" x14ac:dyDescent="0.25">
      <c r="A16" s="6" t="s">
        <v>100</v>
      </c>
      <c r="B16" s="2"/>
      <c r="C16" s="2"/>
      <c r="D16" s="2"/>
      <c r="E16" s="2"/>
      <c r="F16" s="2"/>
    </row>
    <row r="17" spans="1:6" x14ac:dyDescent="0.2">
      <c r="A17" s="7" t="s">
        <v>101</v>
      </c>
      <c r="B17" s="690" t="s">
        <v>102</v>
      </c>
      <c r="C17" s="690"/>
      <c r="D17" s="690" t="s">
        <v>103</v>
      </c>
      <c r="E17" s="690"/>
      <c r="F17" s="46" t="s">
        <v>104</v>
      </c>
    </row>
    <row r="18" spans="1:6" x14ac:dyDescent="0.2">
      <c r="A18" s="7" t="s">
        <v>164</v>
      </c>
      <c r="B18" s="688">
        <v>19.95</v>
      </c>
      <c r="C18" s="688"/>
      <c r="D18" s="688">
        <v>4.72</v>
      </c>
      <c r="E18" s="688"/>
      <c r="F18" s="8">
        <f>D18*B18</f>
        <v>94.163999999999987</v>
      </c>
    </row>
    <row r="19" spans="1:6" x14ac:dyDescent="0.2">
      <c r="A19" s="7" t="s">
        <v>132</v>
      </c>
      <c r="B19" s="688">
        <v>15.72</v>
      </c>
      <c r="C19" s="688"/>
      <c r="D19" s="688">
        <v>5.35</v>
      </c>
      <c r="E19" s="688"/>
      <c r="F19" s="8">
        <f>D19*B19</f>
        <v>84.102000000000004</v>
      </c>
    </row>
    <row r="20" spans="1:6" x14ac:dyDescent="0.2">
      <c r="A20" s="7" t="s">
        <v>105</v>
      </c>
      <c r="B20" s="703">
        <v>18.48</v>
      </c>
      <c r="C20" s="704"/>
      <c r="D20" s="688">
        <v>8</v>
      </c>
      <c r="E20" s="688"/>
      <c r="F20" s="8">
        <f>D20*B20</f>
        <v>147.84</v>
      </c>
    </row>
    <row r="21" spans="1:6" ht="15.75" x14ac:dyDescent="0.25">
      <c r="A21" s="699" t="s">
        <v>106</v>
      </c>
      <c r="B21" s="699"/>
      <c r="C21" s="699"/>
      <c r="D21" s="9"/>
      <c r="E21" s="10"/>
      <c r="F21" s="11">
        <f>SUM(F18:F20)</f>
        <v>326.10599999999999</v>
      </c>
    </row>
    <row r="22" spans="1:6" ht="15" x14ac:dyDescent="0.25">
      <c r="A22" s="6" t="s">
        <v>107</v>
      </c>
      <c r="B22" s="12"/>
      <c r="C22" s="12"/>
      <c r="D22" s="12"/>
      <c r="E22" s="12"/>
      <c r="F22" s="13"/>
    </row>
    <row r="23" spans="1:6" x14ac:dyDescent="0.2">
      <c r="A23" s="7" t="s">
        <v>101</v>
      </c>
      <c r="B23" s="690" t="s">
        <v>102</v>
      </c>
      <c r="C23" s="690"/>
      <c r="D23" s="690" t="s">
        <v>108</v>
      </c>
      <c r="E23" s="690"/>
      <c r="F23" s="46" t="s">
        <v>104</v>
      </c>
    </row>
    <row r="24" spans="1:6" x14ac:dyDescent="0.2">
      <c r="A24" s="7"/>
      <c r="B24" s="688">
        <v>3</v>
      </c>
      <c r="C24" s="688"/>
      <c r="D24" s="688">
        <v>2</v>
      </c>
      <c r="E24" s="688"/>
      <c r="F24" s="8">
        <f>D24*B24</f>
        <v>6</v>
      </c>
    </row>
    <row r="25" spans="1:6" ht="15.75" x14ac:dyDescent="0.25">
      <c r="A25" s="699" t="s">
        <v>106</v>
      </c>
      <c r="B25" s="699"/>
      <c r="C25" s="699"/>
      <c r="D25" s="9"/>
      <c r="E25" s="10"/>
      <c r="F25" s="11">
        <f>SUM(F24)</f>
        <v>6</v>
      </c>
    </row>
    <row r="26" spans="1:6" ht="15" x14ac:dyDescent="0.25">
      <c r="A26" s="5" t="s">
        <v>109</v>
      </c>
      <c r="B26" s="2"/>
      <c r="C26" s="2"/>
      <c r="D26" s="2"/>
      <c r="E26" s="2"/>
      <c r="F26" s="2"/>
    </row>
    <row r="27" spans="1:6" ht="15" x14ac:dyDescent="0.2">
      <c r="A27" s="14" t="s">
        <v>177</v>
      </c>
      <c r="B27" s="692"/>
      <c r="C27" s="692"/>
      <c r="D27" s="692"/>
      <c r="E27" s="692"/>
      <c r="F27" s="2"/>
    </row>
    <row r="28" spans="1:6" x14ac:dyDescent="0.2">
      <c r="A28" s="7" t="s">
        <v>101</v>
      </c>
      <c r="B28" s="690" t="s">
        <v>102</v>
      </c>
      <c r="C28" s="690"/>
      <c r="D28" s="690" t="s">
        <v>103</v>
      </c>
      <c r="E28" s="690"/>
      <c r="F28" s="46" t="s">
        <v>104</v>
      </c>
    </row>
    <row r="29" spans="1:6" x14ac:dyDescent="0.2">
      <c r="A29" s="8" t="s">
        <v>365</v>
      </c>
      <c r="B29" s="688">
        <v>19.55</v>
      </c>
      <c r="C29" s="688"/>
      <c r="D29" s="688">
        <v>5.35</v>
      </c>
      <c r="E29" s="688"/>
      <c r="F29" s="8">
        <f>D29*B29</f>
        <v>104.5925</v>
      </c>
    </row>
    <row r="30" spans="1:6" x14ac:dyDescent="0.2">
      <c r="A30" s="8" t="s">
        <v>366</v>
      </c>
      <c r="B30" s="688">
        <v>16.55</v>
      </c>
      <c r="C30" s="688"/>
      <c r="D30" s="688">
        <v>8</v>
      </c>
      <c r="E30" s="688"/>
      <c r="F30" s="8">
        <f>D30*B30</f>
        <v>132.4</v>
      </c>
    </row>
    <row r="31" spans="1:6" ht="15.75" x14ac:dyDescent="0.25">
      <c r="A31" s="693" t="s">
        <v>106</v>
      </c>
      <c r="B31" s="693"/>
      <c r="C31" s="693"/>
      <c r="D31" s="9"/>
      <c r="E31" s="10"/>
      <c r="F31" s="11">
        <f>SUM(F29:F30)</f>
        <v>236.99250000000001</v>
      </c>
    </row>
    <row r="32" spans="1:6" ht="15" x14ac:dyDescent="0.2">
      <c r="A32" s="14" t="s">
        <v>178</v>
      </c>
      <c r="B32" s="692"/>
      <c r="C32" s="692"/>
      <c r="D32" s="692"/>
      <c r="E32" s="692"/>
      <c r="F32" s="2"/>
    </row>
    <row r="33" spans="1:6" x14ac:dyDescent="0.2">
      <c r="A33" s="7" t="s">
        <v>101</v>
      </c>
      <c r="B33" s="690" t="s">
        <v>102</v>
      </c>
      <c r="C33" s="690"/>
      <c r="D33" s="50" t="s">
        <v>108</v>
      </c>
      <c r="E33" s="50" t="s">
        <v>110</v>
      </c>
      <c r="F33" s="46" t="s">
        <v>104</v>
      </c>
    </row>
    <row r="34" spans="1:6" x14ac:dyDescent="0.2">
      <c r="A34" s="7" t="s">
        <v>111</v>
      </c>
      <c r="B34" s="690">
        <v>50.9</v>
      </c>
      <c r="C34" s="690"/>
      <c r="D34" s="50">
        <v>3</v>
      </c>
      <c r="E34" s="50">
        <v>0.12</v>
      </c>
      <c r="F34" s="7">
        <f>E34*D34*B34</f>
        <v>18.323999999999998</v>
      </c>
    </row>
    <row r="35" spans="1:6" ht="15.75" x14ac:dyDescent="0.25">
      <c r="A35" s="699" t="s">
        <v>106</v>
      </c>
      <c r="B35" s="699"/>
      <c r="C35" s="699"/>
      <c r="D35" s="9"/>
      <c r="E35" s="10"/>
      <c r="F35" s="11">
        <f>SUM(F34)</f>
        <v>18.323999999999998</v>
      </c>
    </row>
    <row r="36" spans="1:6" ht="15" x14ac:dyDescent="0.2">
      <c r="A36" s="14" t="s">
        <v>181</v>
      </c>
      <c r="B36" s="692"/>
      <c r="C36" s="692"/>
      <c r="D36" s="692"/>
      <c r="E36" s="692"/>
      <c r="F36" s="2"/>
    </row>
    <row r="37" spans="1:6" x14ac:dyDescent="0.2">
      <c r="A37" s="7" t="s">
        <v>101</v>
      </c>
      <c r="B37" s="690" t="s">
        <v>102</v>
      </c>
      <c r="C37" s="690"/>
      <c r="D37" s="50" t="s">
        <v>108</v>
      </c>
      <c r="E37" s="50" t="s">
        <v>141</v>
      </c>
      <c r="F37" s="46" t="s">
        <v>104</v>
      </c>
    </row>
    <row r="38" spans="1:6" x14ac:dyDescent="0.2">
      <c r="A38" s="7" t="s">
        <v>179</v>
      </c>
      <c r="B38" s="694">
        <v>0.86</v>
      </c>
      <c r="C38" s="695"/>
      <c r="D38" s="50">
        <v>2.1</v>
      </c>
      <c r="E38" s="50">
        <v>12</v>
      </c>
      <c r="F38" s="8">
        <f>D38*B38*E38</f>
        <v>21.672000000000001</v>
      </c>
    </row>
    <row r="39" spans="1:6" x14ac:dyDescent="0.2">
      <c r="A39" s="8" t="s">
        <v>180</v>
      </c>
      <c r="B39" s="688">
        <v>1.2</v>
      </c>
      <c r="C39" s="688"/>
      <c r="D39" s="50">
        <v>1.2</v>
      </c>
      <c r="E39" s="50">
        <v>10</v>
      </c>
      <c r="F39" s="8">
        <f>D39*B39*E39</f>
        <v>14.399999999999999</v>
      </c>
    </row>
    <row r="40" spans="1:6" ht="15.75" x14ac:dyDescent="0.25">
      <c r="A40" s="693" t="s">
        <v>106</v>
      </c>
      <c r="B40" s="693"/>
      <c r="C40" s="693"/>
      <c r="D40" s="9"/>
      <c r="E40" s="10"/>
      <c r="F40" s="11">
        <f>SUM(F39:F39)</f>
        <v>14.399999999999999</v>
      </c>
    </row>
    <row r="41" spans="1:6" ht="15" x14ac:dyDescent="0.2">
      <c r="A41" s="696" t="s">
        <v>182</v>
      </c>
      <c r="B41" s="697"/>
      <c r="C41" s="697"/>
      <c r="D41" s="697"/>
      <c r="E41" s="697"/>
      <c r="F41" s="698"/>
    </row>
    <row r="42" spans="1:6" x14ac:dyDescent="0.2">
      <c r="A42" s="16" t="s">
        <v>101</v>
      </c>
      <c r="B42" s="690" t="s">
        <v>102</v>
      </c>
      <c r="C42" s="690"/>
      <c r="D42" s="50" t="s">
        <v>108</v>
      </c>
      <c r="E42" s="50" t="s">
        <v>141</v>
      </c>
      <c r="F42" s="17" t="s">
        <v>104</v>
      </c>
    </row>
    <row r="43" spans="1:6" x14ac:dyDescent="0.2">
      <c r="A43" s="8" t="s">
        <v>322</v>
      </c>
      <c r="B43" s="694">
        <v>1</v>
      </c>
      <c r="C43" s="695"/>
      <c r="D43" s="50">
        <v>2.5</v>
      </c>
      <c r="E43" s="50">
        <v>8</v>
      </c>
      <c r="F43" s="8">
        <f>D43*B43*E43</f>
        <v>20</v>
      </c>
    </row>
    <row r="44" spans="1:6" x14ac:dyDescent="0.2">
      <c r="A44" s="8" t="s">
        <v>179</v>
      </c>
      <c r="B44" s="688">
        <v>1.8</v>
      </c>
      <c r="C44" s="688"/>
      <c r="D44" s="50">
        <v>1.5</v>
      </c>
      <c r="E44" s="50">
        <v>10</v>
      </c>
      <c r="F44" s="8">
        <f>D44*B44*E44</f>
        <v>27</v>
      </c>
    </row>
    <row r="45" spans="1:6" ht="15.75" x14ac:dyDescent="0.25">
      <c r="A45" s="693" t="s">
        <v>106</v>
      </c>
      <c r="B45" s="693"/>
      <c r="C45" s="693"/>
      <c r="D45" s="9"/>
      <c r="E45" s="10"/>
      <c r="F45" s="11">
        <f>SUM(F43:F44)</f>
        <v>47</v>
      </c>
    </row>
    <row r="46" spans="1:6" ht="15" x14ac:dyDescent="0.2">
      <c r="A46" s="696" t="s">
        <v>183</v>
      </c>
      <c r="B46" s="697"/>
      <c r="C46" s="697"/>
      <c r="D46" s="697"/>
      <c r="E46" s="697"/>
      <c r="F46" s="698"/>
    </row>
    <row r="47" spans="1:6" x14ac:dyDescent="0.2">
      <c r="A47" s="16" t="s">
        <v>101</v>
      </c>
      <c r="B47" s="705" t="s">
        <v>102</v>
      </c>
      <c r="C47" s="705"/>
      <c r="D47" s="705" t="s">
        <v>108</v>
      </c>
      <c r="E47" s="705"/>
      <c r="F47" s="38" t="s">
        <v>104</v>
      </c>
    </row>
    <row r="48" spans="1:6" x14ac:dyDescent="0.2">
      <c r="A48" s="8" t="s">
        <v>112</v>
      </c>
      <c r="B48" s="688">
        <v>179</v>
      </c>
      <c r="C48" s="688"/>
      <c r="D48" s="688">
        <v>3</v>
      </c>
      <c r="E48" s="688"/>
      <c r="F48" s="8">
        <f>D48*B48</f>
        <v>537</v>
      </c>
    </row>
    <row r="49" spans="1:6" ht="15.75" x14ac:dyDescent="0.25">
      <c r="A49" s="693" t="s">
        <v>106</v>
      </c>
      <c r="B49" s="693"/>
      <c r="C49" s="693"/>
      <c r="D49" s="9"/>
      <c r="E49" s="10"/>
      <c r="F49" s="11">
        <f>SUM(F48:F48)</f>
        <v>537</v>
      </c>
    </row>
    <row r="50" spans="1:6" ht="15.75" x14ac:dyDescent="0.25">
      <c r="A50" s="5" t="s">
        <v>167</v>
      </c>
      <c r="B50" s="39"/>
      <c r="C50" s="39"/>
      <c r="D50" s="9"/>
      <c r="E50" s="10"/>
      <c r="F50" s="11"/>
    </row>
    <row r="51" spans="1:6" ht="15" x14ac:dyDescent="0.25">
      <c r="A51" s="6" t="s">
        <v>184</v>
      </c>
      <c r="B51" s="2"/>
      <c r="C51" s="2"/>
      <c r="D51" s="2"/>
      <c r="E51" s="2"/>
      <c r="F51" s="2"/>
    </row>
    <row r="52" spans="1:6" x14ac:dyDescent="0.2">
      <c r="A52" s="18" t="s">
        <v>101</v>
      </c>
      <c r="B52" s="19" t="s">
        <v>103</v>
      </c>
      <c r="C52" s="20" t="s">
        <v>102</v>
      </c>
      <c r="D52" s="20" t="s">
        <v>108</v>
      </c>
      <c r="E52" s="20" t="s">
        <v>93</v>
      </c>
      <c r="F52" s="20" t="s">
        <v>113</v>
      </c>
    </row>
    <row r="53" spans="1:6" ht="15" x14ac:dyDescent="0.25">
      <c r="A53" s="7" t="s">
        <v>114</v>
      </c>
      <c r="B53" s="8">
        <v>0.4</v>
      </c>
      <c r="C53" s="8">
        <v>0.4</v>
      </c>
      <c r="D53" s="21">
        <v>0.5</v>
      </c>
      <c r="E53" s="8">
        <v>35</v>
      </c>
      <c r="F53" s="8">
        <f>D53*C53*B53*E53</f>
        <v>2.8000000000000007</v>
      </c>
    </row>
    <row r="54" spans="1:6" ht="15" x14ac:dyDescent="0.25">
      <c r="A54" s="7" t="s">
        <v>115</v>
      </c>
      <c r="B54" s="8">
        <v>0.4</v>
      </c>
      <c r="C54" s="8">
        <v>0.4</v>
      </c>
      <c r="D54" s="21">
        <v>0.5</v>
      </c>
      <c r="E54" s="8">
        <v>10</v>
      </c>
      <c r="F54" s="8">
        <f>D54*C54*B54*E54</f>
        <v>0.80000000000000016</v>
      </c>
    </row>
    <row r="55" spans="1:6" ht="15" x14ac:dyDescent="0.25">
      <c r="A55" s="7" t="s">
        <v>367</v>
      </c>
      <c r="B55" s="8">
        <v>0.3</v>
      </c>
      <c r="C55" s="8">
        <f>16*2+5.35*4+19*2+8*3+19.95*2+4.72*8</f>
        <v>193.06</v>
      </c>
      <c r="D55" s="21">
        <v>0.5</v>
      </c>
      <c r="E55" s="8"/>
      <c r="F55" s="8">
        <f>D55*C55*B55</f>
        <v>28.959</v>
      </c>
    </row>
    <row r="56" spans="1:6" ht="15" x14ac:dyDescent="0.25">
      <c r="A56" s="7" t="s">
        <v>117</v>
      </c>
      <c r="B56" s="8">
        <v>0.3</v>
      </c>
      <c r="C56" s="8">
        <f>30.87*2+3</f>
        <v>64.740000000000009</v>
      </c>
      <c r="D56" s="21">
        <v>0.5</v>
      </c>
      <c r="E56" s="8"/>
      <c r="F56" s="8">
        <f>D56*C56*B56</f>
        <v>9.7110000000000003</v>
      </c>
    </row>
    <row r="57" spans="1:6" ht="15.75" x14ac:dyDescent="0.25">
      <c r="A57" s="699" t="s">
        <v>106</v>
      </c>
      <c r="B57" s="699"/>
      <c r="C57" s="699"/>
      <c r="D57" s="9"/>
      <c r="E57" s="10"/>
      <c r="F57" s="11">
        <f>SUM(F53:F56)</f>
        <v>42.269999999999996</v>
      </c>
    </row>
    <row r="58" spans="1:6" ht="15" x14ac:dyDescent="0.25">
      <c r="A58" s="5" t="s">
        <v>118</v>
      </c>
      <c r="B58" s="2"/>
      <c r="C58" s="2"/>
      <c r="D58" s="2"/>
      <c r="E58" s="2"/>
      <c r="F58" s="2"/>
    </row>
    <row r="59" spans="1:6" ht="15" x14ac:dyDescent="0.25">
      <c r="A59" s="6" t="s">
        <v>119</v>
      </c>
      <c r="B59" s="2"/>
      <c r="C59" s="2"/>
      <c r="D59" s="2"/>
      <c r="E59" s="2"/>
      <c r="F59" s="2"/>
    </row>
    <row r="60" spans="1:6" x14ac:dyDescent="0.2">
      <c r="A60" s="18" t="s">
        <v>101</v>
      </c>
      <c r="B60" s="19" t="s">
        <v>103</v>
      </c>
      <c r="C60" s="20" t="s">
        <v>102</v>
      </c>
      <c r="D60" s="20" t="s">
        <v>108</v>
      </c>
      <c r="E60" s="20" t="s">
        <v>93</v>
      </c>
      <c r="F60" s="20" t="s">
        <v>113</v>
      </c>
    </row>
    <row r="61" spans="1:6" ht="15" x14ac:dyDescent="0.25">
      <c r="A61" s="7" t="s">
        <v>114</v>
      </c>
      <c r="B61" s="8">
        <v>0.4</v>
      </c>
      <c r="C61" s="8">
        <v>0.4</v>
      </c>
      <c r="D61" s="21">
        <v>0.5</v>
      </c>
      <c r="E61" s="8">
        <v>35</v>
      </c>
      <c r="F61" s="8">
        <f>D61*C61*B61*E61</f>
        <v>2.8000000000000007</v>
      </c>
    </row>
    <row r="62" spans="1:6" ht="15" x14ac:dyDescent="0.25">
      <c r="A62" s="7" t="s">
        <v>115</v>
      </c>
      <c r="B62" s="8">
        <v>0.4</v>
      </c>
      <c r="C62" s="8">
        <v>0.4</v>
      </c>
      <c r="D62" s="21">
        <v>0.5</v>
      </c>
      <c r="E62" s="8">
        <v>10</v>
      </c>
      <c r="F62" s="8">
        <f>D62*C62*B62*E62</f>
        <v>0.80000000000000016</v>
      </c>
    </row>
    <row r="63" spans="1:6" ht="15.75" x14ac:dyDescent="0.25">
      <c r="A63" s="699" t="s">
        <v>106</v>
      </c>
      <c r="B63" s="699"/>
      <c r="C63" s="699"/>
      <c r="D63" s="9"/>
      <c r="E63" s="10"/>
      <c r="F63" s="11">
        <f>SUM(F61:F62)</f>
        <v>3.600000000000001</v>
      </c>
    </row>
    <row r="64" spans="1:6" ht="30" x14ac:dyDescent="0.25">
      <c r="A64" s="22" t="s">
        <v>314</v>
      </c>
      <c r="B64" s="7"/>
      <c r="C64" s="7"/>
      <c r="D64" s="7"/>
      <c r="E64" s="7"/>
      <c r="F64" s="7"/>
    </row>
    <row r="65" spans="1:6" x14ac:dyDescent="0.2">
      <c r="A65" s="18" t="s">
        <v>101</v>
      </c>
      <c r="B65" s="19" t="s">
        <v>103</v>
      </c>
      <c r="C65" s="20" t="s">
        <v>120</v>
      </c>
      <c r="D65" s="20" t="s">
        <v>108</v>
      </c>
      <c r="E65" s="20" t="s">
        <v>102</v>
      </c>
      <c r="F65" s="20" t="s">
        <v>113</v>
      </c>
    </row>
    <row r="66" spans="1:6" ht="15" x14ac:dyDescent="0.25">
      <c r="A66" s="7" t="s">
        <v>116</v>
      </c>
      <c r="B66" s="8">
        <v>0.2</v>
      </c>
      <c r="C66" s="8"/>
      <c r="D66" s="21">
        <v>0.4</v>
      </c>
      <c r="E66" s="8">
        <v>193.06</v>
      </c>
      <c r="F66" s="8">
        <f>D66*B66*E66</f>
        <v>15.444800000000003</v>
      </c>
    </row>
    <row r="67" spans="1:6" ht="15" x14ac:dyDescent="0.25">
      <c r="A67" s="7" t="s">
        <v>117</v>
      </c>
      <c r="B67" s="8">
        <v>0.2</v>
      </c>
      <c r="C67" s="8"/>
      <c r="D67" s="21">
        <v>0.4</v>
      </c>
      <c r="E67" s="8">
        <v>64.739999999999995</v>
      </c>
      <c r="F67" s="8">
        <f>D67*B67*E67</f>
        <v>5.1792000000000007</v>
      </c>
    </row>
    <row r="68" spans="1:6" ht="15.75" x14ac:dyDescent="0.25">
      <c r="A68" s="699" t="s">
        <v>106</v>
      </c>
      <c r="B68" s="699"/>
      <c r="C68" s="699"/>
      <c r="D68" s="9"/>
      <c r="E68" s="10"/>
      <c r="F68" s="11">
        <f>SUM(F66:F67)</f>
        <v>20.624000000000002</v>
      </c>
    </row>
    <row r="69" spans="1:6" ht="15.75" x14ac:dyDescent="0.25">
      <c r="A69" s="23" t="s">
        <v>121</v>
      </c>
      <c r="B69" s="2"/>
      <c r="C69" s="2"/>
      <c r="D69" s="2"/>
      <c r="E69" s="2"/>
      <c r="F69" s="2"/>
    </row>
    <row r="70" spans="1:6" ht="15" x14ac:dyDescent="0.25">
      <c r="A70" s="6" t="s">
        <v>285</v>
      </c>
      <c r="B70" s="2"/>
      <c r="C70" s="2"/>
      <c r="D70" s="2"/>
      <c r="E70" s="2"/>
      <c r="F70" s="2"/>
    </row>
    <row r="71" spans="1:6" ht="25.5" x14ac:dyDescent="0.2">
      <c r="A71" s="18" t="s">
        <v>101</v>
      </c>
      <c r="B71" s="19" t="s">
        <v>103</v>
      </c>
      <c r="C71" s="20" t="s">
        <v>122</v>
      </c>
      <c r="D71" s="20" t="s">
        <v>108</v>
      </c>
      <c r="E71" s="20" t="s">
        <v>93</v>
      </c>
      <c r="F71" s="20" t="s">
        <v>113</v>
      </c>
    </row>
    <row r="72" spans="1:6" x14ac:dyDescent="0.2">
      <c r="A72" s="7" t="s">
        <v>114</v>
      </c>
      <c r="B72" s="8">
        <v>0.12</v>
      </c>
      <c r="C72" s="8">
        <v>0.09</v>
      </c>
      <c r="D72" s="8">
        <v>3</v>
      </c>
      <c r="E72" s="8">
        <v>35</v>
      </c>
      <c r="F72" s="8">
        <f>E72*D72*C72*B72</f>
        <v>1.1339999999999999</v>
      </c>
    </row>
    <row r="73" spans="1:6" x14ac:dyDescent="0.2">
      <c r="A73" s="7" t="s">
        <v>168</v>
      </c>
      <c r="B73" s="8">
        <v>0.12</v>
      </c>
      <c r="C73" s="8">
        <v>0.09</v>
      </c>
      <c r="D73" s="8">
        <v>3</v>
      </c>
      <c r="E73" s="75">
        <v>15</v>
      </c>
      <c r="F73" s="8">
        <f>E73*D73*C73*B73</f>
        <v>0.48599999999999999</v>
      </c>
    </row>
    <row r="74" spans="1:6" x14ac:dyDescent="0.2">
      <c r="A74" s="7" t="s">
        <v>115</v>
      </c>
      <c r="B74" s="8">
        <v>0.15</v>
      </c>
      <c r="C74" s="24">
        <v>0.15</v>
      </c>
      <c r="D74" s="8">
        <v>2.8</v>
      </c>
      <c r="E74" s="8">
        <v>10</v>
      </c>
      <c r="F74" s="8">
        <f>E74*D74*C74*B74</f>
        <v>0.63</v>
      </c>
    </row>
    <row r="75" spans="1:6" x14ac:dyDescent="0.2">
      <c r="A75" s="7" t="s">
        <v>123</v>
      </c>
      <c r="B75" s="8">
        <v>0.09</v>
      </c>
      <c r="C75" s="8">
        <v>193.06</v>
      </c>
      <c r="D75" s="8">
        <v>0.2</v>
      </c>
      <c r="E75" s="8"/>
      <c r="F75" s="8">
        <f>D75*C75*B75</f>
        <v>3.4750800000000002</v>
      </c>
    </row>
    <row r="76" spans="1:6" ht="15.75" x14ac:dyDescent="0.25">
      <c r="A76" s="699" t="s">
        <v>106</v>
      </c>
      <c r="B76" s="699"/>
      <c r="C76" s="699"/>
      <c r="D76" s="2"/>
      <c r="E76" s="2"/>
      <c r="F76" s="25">
        <f>SUM(F72:F75)</f>
        <v>5.7250800000000002</v>
      </c>
    </row>
    <row r="77" spans="1:6" ht="15" x14ac:dyDescent="0.25">
      <c r="A77" s="5" t="s">
        <v>124</v>
      </c>
      <c r="B77" s="2"/>
      <c r="C77" s="2"/>
      <c r="D77" s="2"/>
      <c r="E77" s="2"/>
      <c r="F77" s="2"/>
    </row>
    <row r="78" spans="1:6" ht="15" x14ac:dyDescent="0.25">
      <c r="A78" s="6" t="s">
        <v>125</v>
      </c>
      <c r="B78" s="2"/>
      <c r="C78" s="2"/>
      <c r="D78" s="2"/>
      <c r="E78" s="2"/>
      <c r="F78" s="2"/>
    </row>
    <row r="79" spans="1:6" x14ac:dyDescent="0.2">
      <c r="A79" s="7" t="s">
        <v>101</v>
      </c>
      <c r="B79" s="690" t="s">
        <v>102</v>
      </c>
      <c r="C79" s="690"/>
      <c r="D79" s="690" t="s">
        <v>108</v>
      </c>
      <c r="E79" s="690"/>
      <c r="F79" s="26" t="s">
        <v>104</v>
      </c>
    </row>
    <row r="80" spans="1:6" ht="15" x14ac:dyDescent="0.25">
      <c r="A80" s="27" t="s">
        <v>126</v>
      </c>
      <c r="B80" s="688">
        <f>16*2+5.35*4+18.5*2+8*3+10</f>
        <v>124.4</v>
      </c>
      <c r="C80" s="688"/>
      <c r="D80" s="688">
        <v>3.3</v>
      </c>
      <c r="E80" s="688"/>
      <c r="F80" s="8">
        <f>D80*B80</f>
        <v>410.52</v>
      </c>
    </row>
    <row r="81" spans="1:6" ht="15" x14ac:dyDescent="0.25">
      <c r="A81" s="27" t="s">
        <v>170</v>
      </c>
      <c r="B81" s="688">
        <f>19.95*2+4.72*7+3.4+1.4+1.5</f>
        <v>79.240000000000009</v>
      </c>
      <c r="C81" s="688"/>
      <c r="D81" s="688">
        <v>3.3</v>
      </c>
      <c r="E81" s="688"/>
      <c r="F81" s="8">
        <f>D81*B81</f>
        <v>261.49200000000002</v>
      </c>
    </row>
    <row r="82" spans="1:6" ht="15" x14ac:dyDescent="0.25">
      <c r="A82" s="27" t="s">
        <v>127</v>
      </c>
      <c r="B82" s="688">
        <f>1.7*2+1.5*2+2*2+1.5*2+1.62*2</f>
        <v>16.64</v>
      </c>
      <c r="C82" s="688"/>
      <c r="D82" s="688">
        <v>2</v>
      </c>
      <c r="E82" s="688"/>
      <c r="F82" s="8">
        <f>D82*B82</f>
        <v>33.28</v>
      </c>
    </row>
    <row r="83" spans="1:6" x14ac:dyDescent="0.2">
      <c r="A83" s="7" t="s">
        <v>169</v>
      </c>
      <c r="B83" s="688">
        <f>45.36+30.84-2.5</f>
        <v>73.7</v>
      </c>
      <c r="C83" s="688"/>
      <c r="D83" s="688">
        <v>0.5</v>
      </c>
      <c r="E83" s="688"/>
      <c r="F83" s="8">
        <v>60</v>
      </c>
    </row>
    <row r="84" spans="1:6" ht="15" x14ac:dyDescent="0.25">
      <c r="A84" s="27" t="s">
        <v>128</v>
      </c>
      <c r="B84" s="686"/>
      <c r="C84" s="687"/>
      <c r="D84" s="686"/>
      <c r="E84" s="687"/>
      <c r="F84" s="8">
        <v>50</v>
      </c>
    </row>
    <row r="85" spans="1:6" x14ac:dyDescent="0.2">
      <c r="A85" s="28" t="s">
        <v>129</v>
      </c>
      <c r="B85" s="690"/>
      <c r="C85" s="690"/>
      <c r="D85" s="688"/>
      <c r="E85" s="688"/>
      <c r="F85" s="8">
        <v>69.349999999999994</v>
      </c>
    </row>
    <row r="86" spans="1:6" ht="15.75" x14ac:dyDescent="0.25">
      <c r="A86" s="701" t="s">
        <v>106</v>
      </c>
      <c r="B86" s="701"/>
      <c r="C86" s="701"/>
      <c r="D86" s="29"/>
      <c r="E86" s="29"/>
      <c r="F86" s="30">
        <f>SUM(F79:F84)-F85</f>
        <v>745.94199999999989</v>
      </c>
    </row>
    <row r="87" spans="1:6" ht="15" x14ac:dyDescent="0.25">
      <c r="A87" s="5" t="s">
        <v>130</v>
      </c>
      <c r="B87" s="2"/>
      <c r="C87" s="2"/>
      <c r="D87" s="2"/>
      <c r="E87" s="2"/>
      <c r="F87" s="2"/>
    </row>
    <row r="88" spans="1:6" ht="15" x14ac:dyDescent="0.25">
      <c r="A88" s="6" t="s">
        <v>131</v>
      </c>
      <c r="B88" s="2"/>
      <c r="C88" s="2"/>
      <c r="D88" s="2"/>
      <c r="E88" s="2"/>
      <c r="F88" s="2"/>
    </row>
    <row r="89" spans="1:6" ht="15" x14ac:dyDescent="0.25">
      <c r="A89" s="6" t="s">
        <v>286</v>
      </c>
      <c r="B89" s="2"/>
      <c r="C89" s="2"/>
      <c r="D89" s="2"/>
      <c r="E89" s="2"/>
      <c r="F89" s="2"/>
    </row>
    <row r="90" spans="1:6" x14ac:dyDescent="0.2">
      <c r="A90" s="7" t="s">
        <v>101</v>
      </c>
      <c r="B90" s="690" t="s">
        <v>102</v>
      </c>
      <c r="C90" s="690"/>
      <c r="D90" s="690" t="s">
        <v>103</v>
      </c>
      <c r="E90" s="690"/>
      <c r="F90" s="26" t="s">
        <v>104</v>
      </c>
    </row>
    <row r="91" spans="1:6" x14ac:dyDescent="0.2">
      <c r="A91" s="7" t="s">
        <v>132</v>
      </c>
      <c r="B91" s="688">
        <v>21.55</v>
      </c>
      <c r="C91" s="688"/>
      <c r="D91" s="688">
        <v>9.18</v>
      </c>
      <c r="E91" s="688"/>
      <c r="F91" s="8">
        <f>D91*B91</f>
        <v>197.82900000000001</v>
      </c>
    </row>
    <row r="92" spans="1:6" x14ac:dyDescent="0.2">
      <c r="A92" s="7" t="s">
        <v>105</v>
      </c>
      <c r="B92" s="688">
        <v>35.75</v>
      </c>
      <c r="C92" s="688"/>
      <c r="D92" s="688">
        <v>8</v>
      </c>
      <c r="E92" s="688"/>
      <c r="F92" s="8">
        <f>D92*B92</f>
        <v>286</v>
      </c>
    </row>
    <row r="93" spans="1:6" x14ac:dyDescent="0.2">
      <c r="A93" s="7" t="s">
        <v>171</v>
      </c>
      <c r="B93" s="688">
        <v>35.75</v>
      </c>
      <c r="C93" s="688"/>
      <c r="D93" s="688">
        <v>10.84</v>
      </c>
      <c r="E93" s="688"/>
      <c r="F93" s="31">
        <f>D93*B93</f>
        <v>387.53</v>
      </c>
    </row>
    <row r="94" spans="1:6" ht="15.75" x14ac:dyDescent="0.25">
      <c r="A94" s="685" t="s">
        <v>106</v>
      </c>
      <c r="B94" s="685"/>
      <c r="C94" s="685"/>
      <c r="D94" s="685"/>
      <c r="E94" s="23"/>
      <c r="F94" s="32">
        <f>SUM(F91:F93)</f>
        <v>871.35899999999992</v>
      </c>
    </row>
    <row r="95" spans="1:6" ht="15" x14ac:dyDescent="0.25">
      <c r="A95" s="6" t="s">
        <v>133</v>
      </c>
      <c r="B95" s="2"/>
      <c r="C95" s="2"/>
      <c r="D95" s="2"/>
      <c r="E95" s="2"/>
      <c r="F95" s="2"/>
    </row>
    <row r="96" spans="1:6" ht="15" x14ac:dyDescent="0.25">
      <c r="A96" s="6" t="s">
        <v>134</v>
      </c>
      <c r="B96" s="2"/>
      <c r="C96" s="2"/>
      <c r="D96" s="2"/>
      <c r="E96" s="2"/>
      <c r="F96" s="2"/>
    </row>
    <row r="97" spans="1:6" x14ac:dyDescent="0.2">
      <c r="A97" s="7" t="s">
        <v>101</v>
      </c>
      <c r="B97" s="690" t="s">
        <v>102</v>
      </c>
      <c r="C97" s="690"/>
      <c r="D97" s="690" t="s">
        <v>103</v>
      </c>
      <c r="E97" s="690"/>
      <c r="F97" s="26" t="s">
        <v>104</v>
      </c>
    </row>
    <row r="98" spans="1:6" x14ac:dyDescent="0.2">
      <c r="A98" s="7" t="s">
        <v>132</v>
      </c>
      <c r="B98" s="688">
        <v>21.55</v>
      </c>
      <c r="C98" s="688"/>
      <c r="D98" s="688">
        <v>9.18</v>
      </c>
      <c r="E98" s="688"/>
      <c r="F98" s="8">
        <f>D98*B98</f>
        <v>197.82900000000001</v>
      </c>
    </row>
    <row r="99" spans="1:6" x14ac:dyDescent="0.2">
      <c r="A99" s="7" t="s">
        <v>105</v>
      </c>
      <c r="B99" s="688">
        <v>35.75</v>
      </c>
      <c r="C99" s="688"/>
      <c r="D99" s="688">
        <v>8</v>
      </c>
      <c r="E99" s="688"/>
      <c r="F99" s="8">
        <f>D99*B99</f>
        <v>286</v>
      </c>
    </row>
    <row r="100" spans="1:6" x14ac:dyDescent="0.2">
      <c r="A100" s="7" t="s">
        <v>171</v>
      </c>
      <c r="B100" s="688">
        <v>35.75</v>
      </c>
      <c r="C100" s="688"/>
      <c r="D100" s="688">
        <v>10.84</v>
      </c>
      <c r="E100" s="688"/>
      <c r="F100" s="31">
        <f>D100*B100</f>
        <v>387.53</v>
      </c>
    </row>
    <row r="101" spans="1:6" ht="15.75" x14ac:dyDescent="0.25">
      <c r="A101" s="685" t="s">
        <v>106</v>
      </c>
      <c r="B101" s="685"/>
      <c r="C101" s="685"/>
      <c r="D101" s="685"/>
      <c r="E101" s="23"/>
      <c r="F101" s="32">
        <f>SUM(F98:F100)</f>
        <v>871.35899999999992</v>
      </c>
    </row>
    <row r="102" spans="1:6" ht="15" x14ac:dyDescent="0.25">
      <c r="A102" s="5" t="s">
        <v>135</v>
      </c>
      <c r="B102" s="2"/>
      <c r="C102" s="2"/>
      <c r="D102" s="2"/>
      <c r="E102" s="2"/>
      <c r="F102" s="2"/>
    </row>
    <row r="103" spans="1:6" ht="15" x14ac:dyDescent="0.25">
      <c r="A103" s="6" t="s">
        <v>136</v>
      </c>
      <c r="B103" s="2"/>
      <c r="C103" s="2"/>
      <c r="D103" s="2"/>
      <c r="E103" s="2"/>
      <c r="F103" s="2"/>
    </row>
    <row r="104" spans="1:6" x14ac:dyDescent="0.2">
      <c r="A104" s="7" t="s">
        <v>101</v>
      </c>
      <c r="B104" s="690" t="s">
        <v>102</v>
      </c>
      <c r="C104" s="690"/>
      <c r="D104" s="690" t="s">
        <v>137</v>
      </c>
      <c r="E104" s="690"/>
      <c r="F104" s="46" t="s">
        <v>104</v>
      </c>
    </row>
    <row r="105" spans="1:6" ht="15" x14ac:dyDescent="0.25">
      <c r="A105" s="27" t="s">
        <v>138</v>
      </c>
      <c r="B105" s="690"/>
      <c r="C105" s="690"/>
      <c r="D105" s="690"/>
      <c r="E105" s="690"/>
      <c r="F105" s="33">
        <f>F94</f>
        <v>871.35899999999992</v>
      </c>
    </row>
    <row r="106" spans="1:6" ht="15.75" x14ac:dyDescent="0.25">
      <c r="A106" s="685" t="s">
        <v>106</v>
      </c>
      <c r="B106" s="685"/>
      <c r="C106" s="685"/>
      <c r="D106" s="685"/>
      <c r="E106" s="23"/>
      <c r="F106" s="32">
        <f>SUM(F105:F105)</f>
        <v>871.35899999999992</v>
      </c>
    </row>
    <row r="107" spans="1:6" ht="15" x14ac:dyDescent="0.25">
      <c r="A107" s="5" t="s">
        <v>139</v>
      </c>
      <c r="B107" s="2"/>
      <c r="C107" s="2"/>
      <c r="D107" s="2"/>
      <c r="E107" s="2"/>
      <c r="F107" s="2"/>
    </row>
    <row r="108" spans="1:6" ht="15" x14ac:dyDescent="0.25">
      <c r="A108" s="6" t="s">
        <v>140</v>
      </c>
      <c r="B108" s="2"/>
      <c r="C108" s="2"/>
      <c r="D108" s="2"/>
      <c r="E108" s="2"/>
      <c r="F108" s="2"/>
    </row>
    <row r="109" spans="1:6" x14ac:dyDescent="0.2">
      <c r="A109" s="7" t="s">
        <v>101</v>
      </c>
      <c r="B109" s="700" t="s">
        <v>102</v>
      </c>
      <c r="C109" s="700"/>
      <c r="D109" s="19" t="s">
        <v>108</v>
      </c>
      <c r="E109" s="19" t="s">
        <v>141</v>
      </c>
      <c r="F109" s="19" t="s">
        <v>104</v>
      </c>
    </row>
    <row r="110" spans="1:6" x14ac:dyDescent="0.2">
      <c r="A110" s="7" t="s">
        <v>127</v>
      </c>
      <c r="B110" s="688">
        <v>0.66</v>
      </c>
      <c r="C110" s="688"/>
      <c r="D110" s="34">
        <v>1.8</v>
      </c>
      <c r="E110" s="34">
        <v>4</v>
      </c>
      <c r="F110" s="8">
        <f>E110*D110*B110</f>
        <v>4.7520000000000007</v>
      </c>
    </row>
    <row r="111" spans="1:6" x14ac:dyDescent="0.2">
      <c r="A111" s="7" t="s">
        <v>315</v>
      </c>
      <c r="B111" s="686">
        <v>0.86</v>
      </c>
      <c r="C111" s="687"/>
      <c r="D111" s="34">
        <v>2.1</v>
      </c>
      <c r="E111" s="34">
        <v>1</v>
      </c>
      <c r="F111" s="8">
        <f>E111*D111*B111</f>
        <v>1.806</v>
      </c>
    </row>
    <row r="112" spans="1:6" ht="25.5" x14ac:dyDescent="0.2">
      <c r="A112" s="35" t="s">
        <v>368</v>
      </c>
      <c r="B112" s="688">
        <v>0.86</v>
      </c>
      <c r="C112" s="688"/>
      <c r="D112" s="8">
        <v>2.1</v>
      </c>
      <c r="E112" s="8">
        <v>6</v>
      </c>
      <c r="F112" s="8">
        <f>E112*D112*B112</f>
        <v>10.836</v>
      </c>
    </row>
    <row r="113" spans="1:6" x14ac:dyDescent="0.2">
      <c r="A113" s="7" t="s">
        <v>142</v>
      </c>
      <c r="B113" s="688">
        <v>0.86</v>
      </c>
      <c r="C113" s="688"/>
      <c r="D113" s="8">
        <v>1.8</v>
      </c>
      <c r="E113" s="8">
        <v>2</v>
      </c>
      <c r="F113" s="8">
        <f>E113*D113*B113</f>
        <v>3.0960000000000001</v>
      </c>
    </row>
    <row r="114" spans="1:6" ht="15.75" x14ac:dyDescent="0.25">
      <c r="A114" s="685" t="s">
        <v>106</v>
      </c>
      <c r="B114" s="685"/>
      <c r="C114" s="685"/>
      <c r="D114" s="685"/>
      <c r="E114" s="23"/>
      <c r="F114" s="32">
        <f>SUM(F110:F113)</f>
        <v>20.490000000000002</v>
      </c>
    </row>
    <row r="115" spans="1:6" ht="15" x14ac:dyDescent="0.25">
      <c r="A115" s="6" t="s">
        <v>144</v>
      </c>
      <c r="B115" s="2"/>
      <c r="C115" s="2"/>
      <c r="D115" s="2"/>
      <c r="E115" s="2"/>
      <c r="F115" s="2"/>
    </row>
    <row r="116" spans="1:6" ht="15" x14ac:dyDescent="0.25">
      <c r="A116" s="6" t="s">
        <v>287</v>
      </c>
      <c r="B116" s="692"/>
      <c r="C116" s="692"/>
      <c r="D116" s="2"/>
      <c r="E116" s="2"/>
      <c r="F116" s="2"/>
    </row>
    <row r="117" spans="1:6" x14ac:dyDescent="0.2">
      <c r="A117" s="7" t="s">
        <v>101</v>
      </c>
      <c r="B117" s="690" t="s">
        <v>102</v>
      </c>
      <c r="C117" s="690"/>
      <c r="D117" s="40" t="s">
        <v>108</v>
      </c>
      <c r="E117" s="40" t="s">
        <v>141</v>
      </c>
      <c r="F117" s="40" t="s">
        <v>104</v>
      </c>
    </row>
    <row r="118" spans="1:6" x14ac:dyDescent="0.2">
      <c r="A118" s="7" t="s">
        <v>147</v>
      </c>
      <c r="B118" s="688">
        <v>2</v>
      </c>
      <c r="C118" s="688"/>
      <c r="D118" s="8">
        <v>1</v>
      </c>
      <c r="E118" s="8">
        <v>14</v>
      </c>
      <c r="F118" s="8">
        <f>E118*D118*B118</f>
        <v>28</v>
      </c>
    </row>
    <row r="119" spans="1:6" x14ac:dyDescent="0.2">
      <c r="A119" s="7" t="s">
        <v>147</v>
      </c>
      <c r="B119" s="688">
        <v>2.5</v>
      </c>
      <c r="C119" s="688"/>
      <c r="D119" s="8">
        <v>1</v>
      </c>
      <c r="E119" s="8">
        <v>9</v>
      </c>
      <c r="F119" s="8">
        <f>E119*D119*B119</f>
        <v>22.5</v>
      </c>
    </row>
    <row r="120" spans="1:6" x14ac:dyDescent="0.2">
      <c r="A120" s="7" t="s">
        <v>148</v>
      </c>
      <c r="B120" s="688">
        <v>1</v>
      </c>
      <c r="C120" s="688"/>
      <c r="D120" s="8">
        <v>2.1</v>
      </c>
      <c r="E120" s="8">
        <v>7</v>
      </c>
      <c r="F120" s="8">
        <f>E120*D120*B120</f>
        <v>14.700000000000001</v>
      </c>
    </row>
    <row r="121" spans="1:6" x14ac:dyDescent="0.2">
      <c r="A121" s="44" t="s">
        <v>393</v>
      </c>
      <c r="B121" s="688">
        <v>73.7</v>
      </c>
      <c r="C121" s="688"/>
      <c r="D121" s="8">
        <v>1.5</v>
      </c>
      <c r="E121" s="8"/>
      <c r="F121" s="8">
        <f>D121*B121</f>
        <v>110.55000000000001</v>
      </c>
    </row>
    <row r="122" spans="1:6" ht="15.75" x14ac:dyDescent="0.25">
      <c r="A122" s="685" t="s">
        <v>106</v>
      </c>
      <c r="B122" s="685"/>
      <c r="C122" s="685"/>
      <c r="D122" s="685"/>
      <c r="E122" s="23"/>
      <c r="F122" s="32">
        <f>SUM(F118:F121)</f>
        <v>175.75</v>
      </c>
    </row>
    <row r="123" spans="1:6" ht="15" x14ac:dyDescent="0.25">
      <c r="A123" s="6" t="s">
        <v>288</v>
      </c>
      <c r="B123" s="2"/>
      <c r="C123" s="2"/>
      <c r="D123" s="2"/>
      <c r="E123" s="2"/>
      <c r="F123" s="2"/>
    </row>
    <row r="124" spans="1:6" x14ac:dyDescent="0.2">
      <c r="A124" s="7" t="s">
        <v>101</v>
      </c>
      <c r="B124" s="690" t="s">
        <v>102</v>
      </c>
      <c r="C124" s="690"/>
      <c r="D124" s="26" t="s">
        <v>108</v>
      </c>
      <c r="E124" s="26" t="s">
        <v>141</v>
      </c>
      <c r="F124" s="26" t="s">
        <v>104</v>
      </c>
    </row>
    <row r="125" spans="1:6" ht="15" x14ac:dyDescent="0.25">
      <c r="A125" s="27" t="s">
        <v>145</v>
      </c>
      <c r="B125" s="688">
        <v>2.5</v>
      </c>
      <c r="C125" s="688"/>
      <c r="D125" s="8">
        <v>2</v>
      </c>
      <c r="E125" s="8">
        <v>1</v>
      </c>
      <c r="F125" s="8">
        <f>E125*D125*B125</f>
        <v>5</v>
      </c>
    </row>
    <row r="126" spans="1:6" ht="15.75" x14ac:dyDescent="0.25">
      <c r="A126" s="685" t="s">
        <v>106</v>
      </c>
      <c r="B126" s="685"/>
      <c r="C126" s="685"/>
      <c r="D126" s="685"/>
      <c r="E126" s="23"/>
      <c r="F126" s="32">
        <f>SUM(F125)</f>
        <v>5</v>
      </c>
    </row>
    <row r="127" spans="1:6" ht="15" x14ac:dyDescent="0.25">
      <c r="A127" s="6"/>
      <c r="B127" s="2"/>
      <c r="C127" s="2"/>
      <c r="D127" s="2"/>
      <c r="E127" s="2"/>
      <c r="F127" s="2"/>
    </row>
    <row r="128" spans="1:6" ht="15" x14ac:dyDescent="0.25">
      <c r="A128" s="6" t="s">
        <v>289</v>
      </c>
      <c r="B128" s="2"/>
      <c r="C128" s="2"/>
      <c r="D128" s="2"/>
      <c r="E128" s="2"/>
      <c r="F128" s="2"/>
    </row>
    <row r="129" spans="1:6" x14ac:dyDescent="0.2">
      <c r="A129" s="7" t="s">
        <v>101</v>
      </c>
      <c r="B129" s="690" t="s">
        <v>102</v>
      </c>
      <c r="C129" s="690"/>
      <c r="D129" s="26" t="s">
        <v>108</v>
      </c>
      <c r="E129" s="26" t="s">
        <v>141</v>
      </c>
      <c r="F129" s="26" t="s">
        <v>104</v>
      </c>
    </row>
    <row r="130" spans="1:6" ht="15" x14ac:dyDescent="0.25">
      <c r="A130" s="27" t="s">
        <v>146</v>
      </c>
      <c r="B130" s="688">
        <v>2.5</v>
      </c>
      <c r="C130" s="688"/>
      <c r="D130" s="8">
        <v>2</v>
      </c>
      <c r="E130" s="8">
        <v>1</v>
      </c>
      <c r="F130" s="8">
        <f>D130*B130</f>
        <v>5</v>
      </c>
    </row>
    <row r="131" spans="1:6" ht="15.75" x14ac:dyDescent="0.25">
      <c r="A131" s="685" t="s">
        <v>106</v>
      </c>
      <c r="B131" s="685"/>
      <c r="C131" s="685"/>
      <c r="D131" s="685"/>
      <c r="E131" s="23"/>
      <c r="F131" s="32">
        <f>F130</f>
        <v>5</v>
      </c>
    </row>
    <row r="132" spans="1:6" ht="15" x14ac:dyDescent="0.25">
      <c r="A132" s="6" t="s">
        <v>149</v>
      </c>
      <c r="B132" s="2"/>
      <c r="C132" s="2"/>
      <c r="D132" s="2"/>
      <c r="E132" s="2"/>
      <c r="F132" s="2"/>
    </row>
    <row r="133" spans="1:6" ht="15" x14ac:dyDescent="0.25">
      <c r="A133" s="49" t="s">
        <v>150</v>
      </c>
      <c r="B133" s="2"/>
      <c r="C133" s="2"/>
      <c r="D133" s="2"/>
      <c r="E133" s="2"/>
      <c r="F133" s="2"/>
    </row>
    <row r="134" spans="1:6" x14ac:dyDescent="0.2">
      <c r="A134" s="7" t="s">
        <v>101</v>
      </c>
      <c r="B134" s="690" t="s">
        <v>102</v>
      </c>
      <c r="C134" s="690"/>
      <c r="D134" s="26" t="s">
        <v>108</v>
      </c>
      <c r="E134" s="26" t="s">
        <v>141</v>
      </c>
      <c r="F134" s="26" t="s">
        <v>104</v>
      </c>
    </row>
    <row r="135" spans="1:6" x14ac:dyDescent="0.2">
      <c r="A135" s="7" t="s">
        <v>369</v>
      </c>
      <c r="B135" s="686">
        <v>0.8</v>
      </c>
      <c r="C135" s="687"/>
      <c r="D135" s="41">
        <v>0.6</v>
      </c>
      <c r="E135" s="41">
        <v>4</v>
      </c>
      <c r="F135" s="36">
        <f>E135*D135*B135</f>
        <v>1.92</v>
      </c>
    </row>
    <row r="136" spans="1:6" x14ac:dyDescent="0.2">
      <c r="A136" s="7" t="s">
        <v>316</v>
      </c>
      <c r="B136" s="686">
        <v>3.74</v>
      </c>
      <c r="C136" s="687"/>
      <c r="D136" s="41">
        <v>0.6</v>
      </c>
      <c r="E136" s="41">
        <v>2</v>
      </c>
      <c r="F136" s="36">
        <f>E136*D136*B136</f>
        <v>4.4880000000000004</v>
      </c>
    </row>
    <row r="137" spans="1:6" ht="25.5" x14ac:dyDescent="0.2">
      <c r="A137" s="35" t="s">
        <v>151</v>
      </c>
      <c r="B137" s="706">
        <v>2</v>
      </c>
      <c r="C137" s="706"/>
      <c r="D137" s="36">
        <v>0.8</v>
      </c>
      <c r="E137" s="36">
        <v>10</v>
      </c>
      <c r="F137" s="36">
        <f>E137*D137*B137</f>
        <v>16</v>
      </c>
    </row>
    <row r="138" spans="1:6" ht="15.75" x14ac:dyDescent="0.25">
      <c r="A138" s="685" t="s">
        <v>106</v>
      </c>
      <c r="B138" s="685"/>
      <c r="C138" s="685"/>
      <c r="D138" s="685"/>
      <c r="E138" s="23"/>
      <c r="F138" s="32">
        <f>SUM(F135:F137)</f>
        <v>22.408000000000001</v>
      </c>
    </row>
    <row r="139" spans="1:6" ht="15" x14ac:dyDescent="0.25">
      <c r="A139" s="5" t="s">
        <v>250</v>
      </c>
      <c r="B139" s="2"/>
      <c r="C139" s="2"/>
      <c r="D139" s="2"/>
      <c r="E139" s="2"/>
      <c r="F139" s="2"/>
    </row>
    <row r="140" spans="1:6" x14ac:dyDescent="0.2">
      <c r="A140" s="7" t="s">
        <v>101</v>
      </c>
      <c r="B140" s="700" t="s">
        <v>102</v>
      </c>
      <c r="C140" s="700"/>
      <c r="D140" s="43" t="s">
        <v>108</v>
      </c>
      <c r="E140" s="43" t="s">
        <v>141</v>
      </c>
      <c r="F140" s="43" t="s">
        <v>104</v>
      </c>
    </row>
    <row r="141" spans="1:6" ht="25.5" x14ac:dyDescent="0.2">
      <c r="A141" s="35" t="s">
        <v>251</v>
      </c>
      <c r="B141" s="688">
        <v>0.9</v>
      </c>
      <c r="C141" s="688"/>
      <c r="D141" s="8">
        <v>2.1</v>
      </c>
      <c r="E141" s="8">
        <v>6</v>
      </c>
      <c r="F141" s="8">
        <f>E141*D141*B141</f>
        <v>11.340000000000002</v>
      </c>
    </row>
    <row r="142" spans="1:6" ht="15.75" x14ac:dyDescent="0.25">
      <c r="A142" s="685" t="s">
        <v>106</v>
      </c>
      <c r="B142" s="685"/>
      <c r="C142" s="685"/>
      <c r="D142" s="685"/>
      <c r="E142" s="23"/>
      <c r="F142" s="32">
        <f>SUM(F141:F141)</f>
        <v>11.340000000000002</v>
      </c>
    </row>
    <row r="143" spans="1:6" ht="15" x14ac:dyDescent="0.25">
      <c r="A143" s="5" t="s">
        <v>290</v>
      </c>
      <c r="B143" s="2"/>
      <c r="C143" s="2"/>
      <c r="D143" s="2"/>
      <c r="E143" s="2"/>
      <c r="F143" s="2"/>
    </row>
    <row r="144" spans="1:6" ht="15" x14ac:dyDescent="0.25">
      <c r="A144" s="6" t="s">
        <v>291</v>
      </c>
      <c r="B144" s="2"/>
      <c r="C144" s="2"/>
      <c r="D144" s="2"/>
      <c r="E144" s="2"/>
      <c r="F144" s="2"/>
    </row>
    <row r="145" spans="1:6" x14ac:dyDescent="0.2">
      <c r="A145" s="7" t="s">
        <v>101</v>
      </c>
      <c r="B145" s="700" t="s">
        <v>102</v>
      </c>
      <c r="C145" s="700"/>
      <c r="D145" s="700" t="s">
        <v>108</v>
      </c>
      <c r="E145" s="700"/>
      <c r="F145" s="43" t="s">
        <v>104</v>
      </c>
    </row>
    <row r="146" spans="1:6" x14ac:dyDescent="0.2">
      <c r="A146" s="7" t="s">
        <v>155</v>
      </c>
      <c r="B146" s="688">
        <f>57.64</f>
        <v>57.64</v>
      </c>
      <c r="C146" s="688"/>
      <c r="D146" s="688">
        <v>2</v>
      </c>
      <c r="E146" s="688"/>
      <c r="F146" s="7">
        <f>D146*B146</f>
        <v>115.28</v>
      </c>
    </row>
    <row r="147" spans="1:6" x14ac:dyDescent="0.2">
      <c r="A147" s="7" t="s">
        <v>318</v>
      </c>
      <c r="B147" s="686">
        <v>9.6</v>
      </c>
      <c r="C147" s="687"/>
      <c r="D147" s="707">
        <v>2</v>
      </c>
      <c r="E147" s="708"/>
      <c r="F147" s="7">
        <f>D147*B147</f>
        <v>19.2</v>
      </c>
    </row>
    <row r="148" spans="1:6" x14ac:dyDescent="0.2">
      <c r="A148" s="7" t="s">
        <v>175</v>
      </c>
      <c r="B148" s="688">
        <v>16</v>
      </c>
      <c r="C148" s="688"/>
      <c r="D148" s="688">
        <v>2</v>
      </c>
      <c r="E148" s="688"/>
      <c r="F148" s="7">
        <f>D148*B148</f>
        <v>32</v>
      </c>
    </row>
    <row r="149" spans="1:6" x14ac:dyDescent="0.2">
      <c r="A149" s="7" t="s">
        <v>317</v>
      </c>
      <c r="B149" s="686">
        <v>15.2</v>
      </c>
      <c r="C149" s="687"/>
      <c r="D149" s="686">
        <v>2</v>
      </c>
      <c r="E149" s="687"/>
      <c r="F149" s="7">
        <f>D149*B149</f>
        <v>30.4</v>
      </c>
    </row>
    <row r="150" spans="1:6" ht="15.75" x14ac:dyDescent="0.25">
      <c r="A150" s="685" t="s">
        <v>106</v>
      </c>
      <c r="B150" s="685"/>
      <c r="C150" s="685"/>
      <c r="D150" s="685"/>
      <c r="E150" s="23"/>
      <c r="F150" s="32">
        <f>SUM(F146:F149)</f>
        <v>196.88</v>
      </c>
    </row>
    <row r="151" spans="1:6" ht="15" x14ac:dyDescent="0.25">
      <c r="A151" s="6" t="s">
        <v>292</v>
      </c>
      <c r="B151" s="2"/>
      <c r="C151" s="2"/>
      <c r="D151" s="2"/>
      <c r="E151" s="2"/>
      <c r="F151" s="2"/>
    </row>
    <row r="152" spans="1:6" x14ac:dyDescent="0.2">
      <c r="A152" s="7" t="s">
        <v>101</v>
      </c>
      <c r="B152" s="690" t="s">
        <v>141</v>
      </c>
      <c r="C152" s="690"/>
      <c r="D152" s="690" t="s">
        <v>153</v>
      </c>
      <c r="E152" s="690"/>
      <c r="F152" s="26" t="s">
        <v>104</v>
      </c>
    </row>
    <row r="153" spans="1:6" ht="15" x14ac:dyDescent="0.25">
      <c r="A153" s="27" t="s">
        <v>154</v>
      </c>
      <c r="B153" s="689">
        <f>F86</f>
        <v>745.94199999999989</v>
      </c>
      <c r="C153" s="689"/>
      <c r="D153" s="689">
        <v>2</v>
      </c>
      <c r="E153" s="689"/>
      <c r="F153" s="33">
        <f>D153*B153</f>
        <v>1491.8839999999998</v>
      </c>
    </row>
    <row r="154" spans="1:6" ht="15.75" x14ac:dyDescent="0.25">
      <c r="A154" s="685" t="s">
        <v>106</v>
      </c>
      <c r="B154" s="685"/>
      <c r="C154" s="685"/>
      <c r="D154" s="685"/>
      <c r="E154" s="23"/>
      <c r="F154" s="32">
        <f>SUM(F153)</f>
        <v>1491.8839999999998</v>
      </c>
    </row>
    <row r="155" spans="1:6" ht="15" x14ac:dyDescent="0.25">
      <c r="A155" s="6" t="s">
        <v>293</v>
      </c>
      <c r="B155" s="2"/>
      <c r="C155" s="2"/>
      <c r="D155" s="2"/>
      <c r="E155" s="2"/>
      <c r="F155" s="2"/>
    </row>
    <row r="156" spans="1:6" x14ac:dyDescent="0.2">
      <c r="A156" s="7" t="s">
        <v>101</v>
      </c>
      <c r="B156" s="690" t="s">
        <v>141</v>
      </c>
      <c r="C156" s="690"/>
      <c r="D156" s="690" t="s">
        <v>153</v>
      </c>
      <c r="E156" s="690"/>
      <c r="F156" s="37" t="s">
        <v>104</v>
      </c>
    </row>
    <row r="157" spans="1:6" x14ac:dyDescent="0.2">
      <c r="A157" s="7" t="s">
        <v>173</v>
      </c>
      <c r="B157" s="689"/>
      <c r="C157" s="690"/>
      <c r="D157" s="688"/>
      <c r="E157" s="688"/>
      <c r="F157" s="33">
        <f>F150</f>
        <v>196.88</v>
      </c>
    </row>
    <row r="158" spans="1:6" ht="15.75" x14ac:dyDescent="0.25">
      <c r="A158" s="685" t="s">
        <v>106</v>
      </c>
      <c r="B158" s="685"/>
      <c r="C158" s="685"/>
      <c r="D158" s="685"/>
      <c r="E158" s="23"/>
      <c r="F158" s="32">
        <f>SUM(F157)</f>
        <v>196.88</v>
      </c>
    </row>
    <row r="159" spans="1:6" ht="15" x14ac:dyDescent="0.25">
      <c r="A159" s="6" t="s">
        <v>294</v>
      </c>
      <c r="B159" s="2"/>
      <c r="C159" s="2"/>
      <c r="D159" s="2"/>
      <c r="E159" s="2"/>
      <c r="F159" s="2"/>
    </row>
    <row r="160" spans="1:6" x14ac:dyDescent="0.2">
      <c r="A160" s="7" t="s">
        <v>101</v>
      </c>
      <c r="B160" s="690" t="s">
        <v>141</v>
      </c>
      <c r="C160" s="690"/>
      <c r="D160" s="690" t="s">
        <v>153</v>
      </c>
      <c r="E160" s="690"/>
      <c r="F160" s="26" t="s">
        <v>104</v>
      </c>
    </row>
    <row r="161" spans="1:6" x14ac:dyDescent="0.2">
      <c r="A161" s="7" t="s">
        <v>154</v>
      </c>
      <c r="B161" s="689"/>
      <c r="C161" s="690"/>
      <c r="D161" s="688"/>
      <c r="E161" s="688"/>
      <c r="F161" s="33"/>
    </row>
    <row r="162" spans="1:6" ht="15.75" x14ac:dyDescent="0.25">
      <c r="A162" s="685" t="s">
        <v>106</v>
      </c>
      <c r="B162" s="685"/>
      <c r="C162" s="685"/>
      <c r="D162" s="685"/>
      <c r="E162" s="23"/>
      <c r="F162" s="32">
        <f>F154-F158</f>
        <v>1295.0039999999999</v>
      </c>
    </row>
    <row r="163" spans="1:6" ht="15" x14ac:dyDescent="0.25">
      <c r="A163" s="5" t="s">
        <v>295</v>
      </c>
      <c r="B163" s="2"/>
      <c r="C163" s="2"/>
      <c r="D163" s="2"/>
      <c r="E163" s="2"/>
      <c r="F163" s="2"/>
    </row>
    <row r="164" spans="1:6" ht="15" x14ac:dyDescent="0.25">
      <c r="A164" s="6" t="s">
        <v>296</v>
      </c>
      <c r="B164" s="2"/>
      <c r="C164" s="2"/>
      <c r="D164" s="2"/>
      <c r="E164" s="2"/>
      <c r="F164" s="2"/>
    </row>
    <row r="165" spans="1:6" x14ac:dyDescent="0.2">
      <c r="A165" s="7" t="s">
        <v>101</v>
      </c>
      <c r="B165" s="694" t="s">
        <v>102</v>
      </c>
      <c r="C165" s="695"/>
      <c r="D165" s="694" t="s">
        <v>103</v>
      </c>
      <c r="E165" s="695"/>
      <c r="F165" s="46" t="s">
        <v>104</v>
      </c>
    </row>
    <row r="166" spans="1:6" x14ac:dyDescent="0.2">
      <c r="A166" s="7" t="s">
        <v>158</v>
      </c>
      <c r="B166" s="686">
        <v>61.6</v>
      </c>
      <c r="C166" s="687"/>
      <c r="D166" s="686">
        <v>1.5</v>
      </c>
      <c r="E166" s="687"/>
      <c r="F166" s="8">
        <f>D166*B166</f>
        <v>92.4</v>
      </c>
    </row>
    <row r="167" spans="1:6" x14ac:dyDescent="0.2">
      <c r="A167" s="7" t="s">
        <v>159</v>
      </c>
      <c r="B167" s="686">
        <v>19.95</v>
      </c>
      <c r="C167" s="687"/>
      <c r="D167" s="686">
        <v>2.5</v>
      </c>
      <c r="E167" s="687"/>
      <c r="F167" s="8">
        <f>D167*B167</f>
        <v>49.875</v>
      </c>
    </row>
    <row r="168" spans="1:6" x14ac:dyDescent="0.2">
      <c r="A168" s="7" t="s">
        <v>370</v>
      </c>
      <c r="B168" s="686">
        <v>5</v>
      </c>
      <c r="C168" s="687"/>
      <c r="D168" s="686">
        <v>3.12</v>
      </c>
      <c r="E168" s="687"/>
      <c r="F168" s="8">
        <f>D168*B168</f>
        <v>15.600000000000001</v>
      </c>
    </row>
    <row r="169" spans="1:6" x14ac:dyDescent="0.2">
      <c r="A169" s="7" t="s">
        <v>160</v>
      </c>
      <c r="B169" s="686">
        <v>2.88</v>
      </c>
      <c r="C169" s="687"/>
      <c r="D169" s="686">
        <v>2.5</v>
      </c>
      <c r="E169" s="687"/>
      <c r="F169" s="8">
        <f>D169*B169</f>
        <v>7.1999999999999993</v>
      </c>
    </row>
    <row r="170" spans="1:6" ht="15.75" x14ac:dyDescent="0.25">
      <c r="A170" s="685" t="s">
        <v>106</v>
      </c>
      <c r="B170" s="685"/>
      <c r="C170" s="685"/>
      <c r="D170" s="685"/>
      <c r="E170" s="23"/>
      <c r="F170" s="32">
        <f>SUM(F166:F169)</f>
        <v>165.07499999999999</v>
      </c>
    </row>
    <row r="171" spans="1:6" ht="15" x14ac:dyDescent="0.25">
      <c r="A171" s="6" t="s">
        <v>297</v>
      </c>
      <c r="B171" s="2"/>
      <c r="C171" s="2"/>
      <c r="D171" s="2"/>
      <c r="E171" s="2"/>
      <c r="F171" s="2"/>
    </row>
    <row r="172" spans="1:6" x14ac:dyDescent="0.2">
      <c r="A172" s="7" t="s">
        <v>101</v>
      </c>
      <c r="B172" s="690" t="s">
        <v>102</v>
      </c>
      <c r="C172" s="690"/>
      <c r="D172" s="690" t="s">
        <v>103</v>
      </c>
      <c r="E172" s="690"/>
      <c r="F172" s="46" t="s">
        <v>104</v>
      </c>
    </row>
    <row r="173" spans="1:6" x14ac:dyDescent="0.2">
      <c r="A173" s="7" t="s">
        <v>147</v>
      </c>
      <c r="B173" s="688">
        <v>25.55</v>
      </c>
      <c r="C173" s="688"/>
      <c r="D173" s="688">
        <v>8</v>
      </c>
      <c r="E173" s="688"/>
      <c r="F173" s="8">
        <f>D173*B173</f>
        <v>204.4</v>
      </c>
    </row>
    <row r="174" spans="1:6" x14ac:dyDescent="0.2">
      <c r="A174" s="7" t="s">
        <v>147</v>
      </c>
      <c r="B174" s="688">
        <v>14.8</v>
      </c>
      <c r="C174" s="688"/>
      <c r="D174" s="688">
        <v>5.35</v>
      </c>
      <c r="E174" s="688"/>
      <c r="F174" s="8">
        <f>D174*B174</f>
        <v>79.179999999999993</v>
      </c>
    </row>
    <row r="175" spans="1:6" x14ac:dyDescent="0.2">
      <c r="A175" s="7" t="s">
        <v>371</v>
      </c>
      <c r="B175" s="688">
        <v>7.88</v>
      </c>
      <c r="C175" s="688"/>
      <c r="D175" s="688">
        <v>5.35</v>
      </c>
      <c r="E175" s="688"/>
      <c r="F175" s="8">
        <f t="shared" ref="F175:F184" si="0">D175*B175</f>
        <v>42.157999999999994</v>
      </c>
    </row>
    <row r="176" spans="1:6" x14ac:dyDescent="0.2">
      <c r="A176" s="7" t="s">
        <v>372</v>
      </c>
      <c r="B176" s="688">
        <v>7.48</v>
      </c>
      <c r="C176" s="688"/>
      <c r="D176" s="688">
        <v>5.35</v>
      </c>
      <c r="E176" s="688"/>
      <c r="F176" s="8">
        <f t="shared" si="0"/>
        <v>40.018000000000001</v>
      </c>
    </row>
    <row r="177" spans="1:6" x14ac:dyDescent="0.2">
      <c r="A177" s="44" t="s">
        <v>161</v>
      </c>
      <c r="B177" s="686">
        <v>8</v>
      </c>
      <c r="C177" s="687"/>
      <c r="D177" s="686">
        <v>6.48</v>
      </c>
      <c r="E177" s="687"/>
      <c r="F177" s="8">
        <f>D177*B177</f>
        <v>51.84</v>
      </c>
    </row>
    <row r="178" spans="1:6" x14ac:dyDescent="0.2">
      <c r="A178" s="44" t="s">
        <v>373</v>
      </c>
      <c r="B178" s="686">
        <v>4.75</v>
      </c>
      <c r="C178" s="687"/>
      <c r="D178" s="686">
        <v>5.35</v>
      </c>
      <c r="E178" s="687"/>
      <c r="F178" s="8">
        <f>D178*B178</f>
        <v>25.412499999999998</v>
      </c>
    </row>
    <row r="179" spans="1:6" x14ac:dyDescent="0.2">
      <c r="A179" s="7" t="s">
        <v>374</v>
      </c>
      <c r="B179" s="688">
        <v>4.72</v>
      </c>
      <c r="C179" s="688"/>
      <c r="D179" s="688">
        <v>2.8</v>
      </c>
      <c r="E179" s="688"/>
      <c r="F179" s="8">
        <f t="shared" si="0"/>
        <v>13.215999999999999</v>
      </c>
    </row>
    <row r="180" spans="1:6" x14ac:dyDescent="0.2">
      <c r="A180" s="44" t="s">
        <v>375</v>
      </c>
      <c r="B180" s="686">
        <v>4.72</v>
      </c>
      <c r="C180" s="687"/>
      <c r="D180" s="686">
        <v>1.5</v>
      </c>
      <c r="E180" s="687"/>
      <c r="F180" s="8">
        <f t="shared" si="0"/>
        <v>7.08</v>
      </c>
    </row>
    <row r="181" spans="1:6" x14ac:dyDescent="0.2">
      <c r="A181" s="44" t="s">
        <v>376</v>
      </c>
      <c r="B181" s="686">
        <v>4.72</v>
      </c>
      <c r="C181" s="687"/>
      <c r="D181" s="686">
        <v>2.8</v>
      </c>
      <c r="E181" s="687"/>
      <c r="F181" s="8">
        <f t="shared" si="0"/>
        <v>13.215999999999999</v>
      </c>
    </row>
    <row r="182" spans="1:6" x14ac:dyDescent="0.2">
      <c r="A182" s="44" t="s">
        <v>176</v>
      </c>
      <c r="B182" s="686">
        <v>4.72</v>
      </c>
      <c r="C182" s="687"/>
      <c r="D182" s="686">
        <v>2.5</v>
      </c>
      <c r="E182" s="687"/>
      <c r="F182" s="8">
        <f t="shared" si="0"/>
        <v>11.799999999999999</v>
      </c>
    </row>
    <row r="183" spans="1:6" x14ac:dyDescent="0.2">
      <c r="A183" s="44" t="s">
        <v>174</v>
      </c>
      <c r="B183" s="686">
        <v>4.72</v>
      </c>
      <c r="C183" s="687"/>
      <c r="D183" s="686">
        <v>4.5</v>
      </c>
      <c r="E183" s="687"/>
      <c r="F183" s="8">
        <f t="shared" si="0"/>
        <v>21.24</v>
      </c>
    </row>
    <row r="184" spans="1:6" x14ac:dyDescent="0.2">
      <c r="A184" s="44" t="s">
        <v>377</v>
      </c>
      <c r="B184" s="686">
        <v>4.72</v>
      </c>
      <c r="C184" s="687"/>
      <c r="D184" s="686">
        <v>4.87</v>
      </c>
      <c r="E184" s="687"/>
      <c r="F184" s="8">
        <f t="shared" si="0"/>
        <v>22.9864</v>
      </c>
    </row>
    <row r="185" spans="1:6" ht="15.75" x14ac:dyDescent="0.25">
      <c r="A185" s="685" t="s">
        <v>106</v>
      </c>
      <c r="B185" s="685"/>
      <c r="C185" s="685"/>
      <c r="D185" s="685"/>
      <c r="E185" s="23"/>
      <c r="F185" s="32">
        <f>SUM(F173:F184)</f>
        <v>532.54690000000005</v>
      </c>
    </row>
    <row r="186" spans="1:6" ht="15" x14ac:dyDescent="0.25">
      <c r="A186" s="6" t="s">
        <v>298</v>
      </c>
      <c r="B186" s="2"/>
      <c r="C186" s="2"/>
      <c r="D186" s="2"/>
      <c r="E186" s="2"/>
      <c r="F186" s="2"/>
    </row>
    <row r="187" spans="1:6" x14ac:dyDescent="0.2">
      <c r="A187" s="7" t="s">
        <v>101</v>
      </c>
      <c r="B187" s="690" t="s">
        <v>102</v>
      </c>
      <c r="C187" s="690"/>
      <c r="D187" s="690" t="s">
        <v>103</v>
      </c>
      <c r="E187" s="690"/>
      <c r="F187" s="46" t="s">
        <v>104</v>
      </c>
    </row>
    <row r="188" spans="1:6" x14ac:dyDescent="0.2">
      <c r="A188" s="7" t="s">
        <v>147</v>
      </c>
      <c r="B188" s="688">
        <v>25.55</v>
      </c>
      <c r="C188" s="688"/>
      <c r="D188" s="688">
        <v>8</v>
      </c>
      <c r="E188" s="688"/>
      <c r="F188" s="8">
        <f>D188*B188</f>
        <v>204.4</v>
      </c>
    </row>
    <row r="189" spans="1:6" x14ac:dyDescent="0.2">
      <c r="A189" s="7" t="s">
        <v>147</v>
      </c>
      <c r="B189" s="688">
        <v>14.8</v>
      </c>
      <c r="C189" s="688"/>
      <c r="D189" s="688">
        <v>5.35</v>
      </c>
      <c r="E189" s="688"/>
      <c r="F189" s="8">
        <f>D189*B189</f>
        <v>79.179999999999993</v>
      </c>
    </row>
    <row r="190" spans="1:6" x14ac:dyDescent="0.2">
      <c r="A190" s="7" t="s">
        <v>371</v>
      </c>
      <c r="B190" s="688">
        <v>7.88</v>
      </c>
      <c r="C190" s="688"/>
      <c r="D190" s="688">
        <v>5.35</v>
      </c>
      <c r="E190" s="688"/>
      <c r="F190" s="8">
        <f t="shared" ref="F190:F199" si="1">D190*B190</f>
        <v>42.157999999999994</v>
      </c>
    </row>
    <row r="191" spans="1:6" x14ac:dyDescent="0.2">
      <c r="A191" s="7" t="s">
        <v>372</v>
      </c>
      <c r="B191" s="688">
        <v>7.48</v>
      </c>
      <c r="C191" s="688"/>
      <c r="D191" s="688">
        <v>5.35</v>
      </c>
      <c r="E191" s="688"/>
      <c r="F191" s="8">
        <f t="shared" si="1"/>
        <v>40.018000000000001</v>
      </c>
    </row>
    <row r="192" spans="1:6" x14ac:dyDescent="0.2">
      <c r="A192" s="44" t="s">
        <v>161</v>
      </c>
      <c r="B192" s="686">
        <v>8</v>
      </c>
      <c r="C192" s="687"/>
      <c r="D192" s="686">
        <v>6.48</v>
      </c>
      <c r="E192" s="687"/>
      <c r="F192" s="8">
        <f t="shared" si="1"/>
        <v>51.84</v>
      </c>
    </row>
    <row r="193" spans="1:6" x14ac:dyDescent="0.2">
      <c r="A193" s="44" t="s">
        <v>373</v>
      </c>
      <c r="B193" s="686">
        <v>4.75</v>
      </c>
      <c r="C193" s="687"/>
      <c r="D193" s="686">
        <v>5.35</v>
      </c>
      <c r="E193" s="687"/>
      <c r="F193" s="8">
        <f t="shared" si="1"/>
        <v>25.412499999999998</v>
      </c>
    </row>
    <row r="194" spans="1:6" x14ac:dyDescent="0.2">
      <c r="A194" s="7" t="s">
        <v>374</v>
      </c>
      <c r="B194" s="688">
        <v>4.72</v>
      </c>
      <c r="C194" s="688"/>
      <c r="D194" s="688">
        <v>2.8</v>
      </c>
      <c r="E194" s="688"/>
      <c r="F194" s="8">
        <f t="shared" si="1"/>
        <v>13.215999999999999</v>
      </c>
    </row>
    <row r="195" spans="1:6" x14ac:dyDescent="0.2">
      <c r="A195" s="44" t="s">
        <v>375</v>
      </c>
      <c r="B195" s="686">
        <v>4.72</v>
      </c>
      <c r="C195" s="687"/>
      <c r="D195" s="686">
        <v>1.5</v>
      </c>
      <c r="E195" s="687"/>
      <c r="F195" s="8">
        <f t="shared" si="1"/>
        <v>7.08</v>
      </c>
    </row>
    <row r="196" spans="1:6" x14ac:dyDescent="0.2">
      <c r="A196" s="44" t="s">
        <v>376</v>
      </c>
      <c r="B196" s="686">
        <v>4.72</v>
      </c>
      <c r="C196" s="687"/>
      <c r="D196" s="686">
        <v>2.8</v>
      </c>
      <c r="E196" s="687"/>
      <c r="F196" s="8">
        <f t="shared" si="1"/>
        <v>13.215999999999999</v>
      </c>
    </row>
    <row r="197" spans="1:6" x14ac:dyDescent="0.2">
      <c r="A197" s="44" t="s">
        <v>176</v>
      </c>
      <c r="B197" s="686">
        <v>4.72</v>
      </c>
      <c r="C197" s="687"/>
      <c r="D197" s="686">
        <v>2.5</v>
      </c>
      <c r="E197" s="687"/>
      <c r="F197" s="8">
        <f t="shared" si="1"/>
        <v>11.799999999999999</v>
      </c>
    </row>
    <row r="198" spans="1:6" x14ac:dyDescent="0.2">
      <c r="A198" s="44" t="s">
        <v>174</v>
      </c>
      <c r="B198" s="686">
        <v>4.72</v>
      </c>
      <c r="C198" s="687"/>
      <c r="D198" s="686">
        <v>4.5</v>
      </c>
      <c r="E198" s="687"/>
      <c r="F198" s="8">
        <f t="shared" si="1"/>
        <v>21.24</v>
      </c>
    </row>
    <row r="199" spans="1:6" x14ac:dyDescent="0.2">
      <c r="A199" s="44" t="s">
        <v>377</v>
      </c>
      <c r="B199" s="686">
        <v>4.72</v>
      </c>
      <c r="C199" s="687"/>
      <c r="D199" s="686">
        <v>4.87</v>
      </c>
      <c r="E199" s="687"/>
      <c r="F199" s="8">
        <f t="shared" si="1"/>
        <v>22.9864</v>
      </c>
    </row>
    <row r="200" spans="1:6" ht="15.75" x14ac:dyDescent="0.25">
      <c r="A200" s="685" t="s">
        <v>106</v>
      </c>
      <c r="B200" s="685"/>
      <c r="C200" s="685"/>
      <c r="D200" s="685"/>
      <c r="E200" s="23"/>
      <c r="F200" s="32">
        <f>SUM(F188:F199)</f>
        <v>532.54690000000005</v>
      </c>
    </row>
    <row r="201" spans="1:6" ht="15" x14ac:dyDescent="0.25">
      <c r="A201" s="6" t="s">
        <v>381</v>
      </c>
      <c r="B201" s="2"/>
      <c r="C201" s="2"/>
      <c r="D201" s="2"/>
      <c r="E201" s="2"/>
      <c r="F201" s="2"/>
    </row>
    <row r="202" spans="1:6" x14ac:dyDescent="0.2">
      <c r="A202" s="7" t="s">
        <v>101</v>
      </c>
      <c r="B202" s="690" t="s">
        <v>102</v>
      </c>
      <c r="C202" s="690"/>
      <c r="D202" s="690" t="s">
        <v>103</v>
      </c>
      <c r="E202" s="690"/>
      <c r="F202" s="46" t="s">
        <v>104</v>
      </c>
    </row>
    <row r="203" spans="1:6" x14ac:dyDescent="0.2">
      <c r="A203" s="7" t="s">
        <v>156</v>
      </c>
      <c r="B203" s="688">
        <v>5.35</v>
      </c>
      <c r="C203" s="688"/>
      <c r="D203" s="688">
        <v>3.74</v>
      </c>
      <c r="E203" s="688"/>
      <c r="F203" s="8">
        <f t="shared" ref="F203:F208" si="2">D203*B203</f>
        <v>20.009</v>
      </c>
    </row>
    <row r="204" spans="1:6" x14ac:dyDescent="0.2">
      <c r="A204" s="7" t="s">
        <v>157</v>
      </c>
      <c r="B204" s="688">
        <v>5.35</v>
      </c>
      <c r="C204" s="688"/>
      <c r="D204" s="688">
        <v>3.74</v>
      </c>
      <c r="E204" s="688"/>
      <c r="F204" s="8">
        <f t="shared" si="2"/>
        <v>20.009</v>
      </c>
    </row>
    <row r="205" spans="1:6" x14ac:dyDescent="0.2">
      <c r="A205" s="7" t="s">
        <v>152</v>
      </c>
      <c r="B205" s="688">
        <v>3.4</v>
      </c>
      <c r="C205" s="688"/>
      <c r="D205" s="688">
        <v>1.4</v>
      </c>
      <c r="E205" s="688"/>
      <c r="F205" s="8">
        <f t="shared" si="2"/>
        <v>4.76</v>
      </c>
    </row>
    <row r="206" spans="1:6" x14ac:dyDescent="0.2">
      <c r="A206" s="7" t="s">
        <v>145</v>
      </c>
      <c r="B206" s="688">
        <v>4.72</v>
      </c>
      <c r="C206" s="688"/>
      <c r="D206" s="688">
        <v>3.37</v>
      </c>
      <c r="E206" s="688"/>
      <c r="F206" s="8">
        <f t="shared" si="2"/>
        <v>15.9064</v>
      </c>
    </row>
    <row r="207" spans="1:6" x14ac:dyDescent="0.2">
      <c r="A207" s="7" t="s">
        <v>382</v>
      </c>
      <c r="B207" s="688">
        <v>2.2999999999999998</v>
      </c>
      <c r="C207" s="688"/>
      <c r="D207" s="688">
        <v>1.5</v>
      </c>
      <c r="E207" s="688"/>
      <c r="F207" s="8">
        <f t="shared" si="2"/>
        <v>3.4499999999999997</v>
      </c>
    </row>
    <row r="208" spans="1:6" x14ac:dyDescent="0.2">
      <c r="A208" s="7" t="s">
        <v>383</v>
      </c>
      <c r="B208" s="688">
        <v>2.2999999999999998</v>
      </c>
      <c r="C208" s="688"/>
      <c r="D208" s="688">
        <v>1.5</v>
      </c>
      <c r="E208" s="688"/>
      <c r="F208" s="8">
        <f t="shared" si="2"/>
        <v>3.4499999999999997</v>
      </c>
    </row>
    <row r="209" spans="1:6" ht="15.75" x14ac:dyDescent="0.25">
      <c r="A209" s="685" t="s">
        <v>106</v>
      </c>
      <c r="B209" s="685"/>
      <c r="C209" s="685"/>
      <c r="D209" s="685"/>
      <c r="E209" s="23"/>
      <c r="F209" s="32">
        <f>SUM(F203:F208)</f>
        <v>67.584400000000002</v>
      </c>
    </row>
    <row r="210" spans="1:6" ht="15" x14ac:dyDescent="0.25">
      <c r="A210" s="6" t="s">
        <v>299</v>
      </c>
      <c r="B210" s="2"/>
      <c r="C210" s="2"/>
      <c r="D210" s="2"/>
      <c r="E210" s="2"/>
      <c r="F210" s="45"/>
    </row>
    <row r="211" spans="1:6" x14ac:dyDescent="0.2">
      <c r="A211" s="7" t="s">
        <v>101</v>
      </c>
      <c r="B211" s="690" t="s">
        <v>102</v>
      </c>
      <c r="C211" s="690"/>
      <c r="D211" s="690" t="s">
        <v>103</v>
      </c>
      <c r="E211" s="690"/>
      <c r="F211" s="46" t="s">
        <v>104</v>
      </c>
    </row>
    <row r="212" spans="1:6" x14ac:dyDescent="0.2">
      <c r="A212" s="7" t="s">
        <v>147</v>
      </c>
      <c r="B212" s="688">
        <v>25.55</v>
      </c>
      <c r="C212" s="688"/>
      <c r="D212" s="688">
        <v>8</v>
      </c>
      <c r="E212" s="688"/>
      <c r="F212" s="8">
        <f>D212*B212</f>
        <v>204.4</v>
      </c>
    </row>
    <row r="213" spans="1:6" x14ac:dyDescent="0.2">
      <c r="A213" s="7" t="s">
        <v>147</v>
      </c>
      <c r="B213" s="688">
        <v>14.8</v>
      </c>
      <c r="C213" s="688"/>
      <c r="D213" s="688">
        <v>5.35</v>
      </c>
      <c r="E213" s="688"/>
      <c r="F213" s="8">
        <f>D213*B213</f>
        <v>79.179999999999993</v>
      </c>
    </row>
    <row r="214" spans="1:6" x14ac:dyDescent="0.2">
      <c r="A214" s="7" t="s">
        <v>371</v>
      </c>
      <c r="B214" s="688">
        <v>7.88</v>
      </c>
      <c r="C214" s="688"/>
      <c r="D214" s="688">
        <v>5.35</v>
      </c>
      <c r="E214" s="688"/>
      <c r="F214" s="8">
        <f t="shared" ref="F214:F221" si="3">D214*B214</f>
        <v>42.157999999999994</v>
      </c>
    </row>
    <row r="215" spans="1:6" x14ac:dyDescent="0.2">
      <c r="A215" s="44" t="s">
        <v>161</v>
      </c>
      <c r="B215" s="686">
        <v>8</v>
      </c>
      <c r="C215" s="687"/>
      <c r="D215" s="686">
        <v>6.48</v>
      </c>
      <c r="E215" s="687"/>
      <c r="F215" s="8">
        <f t="shared" si="3"/>
        <v>51.84</v>
      </c>
    </row>
    <row r="216" spans="1:6" x14ac:dyDescent="0.2">
      <c r="A216" s="44" t="s">
        <v>373</v>
      </c>
      <c r="B216" s="686">
        <v>4.75</v>
      </c>
      <c r="C216" s="687"/>
      <c r="D216" s="686">
        <v>5.35</v>
      </c>
      <c r="E216" s="687"/>
      <c r="F216" s="8">
        <f t="shared" si="3"/>
        <v>25.412499999999998</v>
      </c>
    </row>
    <row r="217" spans="1:6" x14ac:dyDescent="0.2">
      <c r="A217" s="7" t="s">
        <v>374</v>
      </c>
      <c r="B217" s="688">
        <v>4.72</v>
      </c>
      <c r="C217" s="688"/>
      <c r="D217" s="688">
        <v>2.8</v>
      </c>
      <c r="E217" s="688"/>
      <c r="F217" s="8">
        <f t="shared" si="3"/>
        <v>13.215999999999999</v>
      </c>
    </row>
    <row r="218" spans="1:6" x14ac:dyDescent="0.2">
      <c r="A218" s="44" t="s">
        <v>375</v>
      </c>
      <c r="B218" s="686">
        <v>4.72</v>
      </c>
      <c r="C218" s="687"/>
      <c r="D218" s="686">
        <v>1.5</v>
      </c>
      <c r="E218" s="687"/>
      <c r="F218" s="8">
        <f t="shared" si="3"/>
        <v>7.08</v>
      </c>
    </row>
    <row r="219" spans="1:6" x14ac:dyDescent="0.2">
      <c r="A219" s="44" t="s">
        <v>376</v>
      </c>
      <c r="B219" s="686">
        <v>4.72</v>
      </c>
      <c r="C219" s="687"/>
      <c r="D219" s="686">
        <v>2.8</v>
      </c>
      <c r="E219" s="687"/>
      <c r="F219" s="8">
        <f t="shared" si="3"/>
        <v>13.215999999999999</v>
      </c>
    </row>
    <row r="220" spans="1:6" x14ac:dyDescent="0.2">
      <c r="A220" s="44" t="s">
        <v>176</v>
      </c>
      <c r="B220" s="686">
        <v>4.72</v>
      </c>
      <c r="C220" s="687"/>
      <c r="D220" s="686">
        <v>2.5</v>
      </c>
      <c r="E220" s="687"/>
      <c r="F220" s="8">
        <f t="shared" si="3"/>
        <v>11.799999999999999</v>
      </c>
    </row>
    <row r="221" spans="1:6" x14ac:dyDescent="0.2">
      <c r="A221" s="44" t="s">
        <v>174</v>
      </c>
      <c r="B221" s="686">
        <v>4.72</v>
      </c>
      <c r="C221" s="687"/>
      <c r="D221" s="686">
        <v>3.49</v>
      </c>
      <c r="E221" s="687"/>
      <c r="F221" s="8">
        <f t="shared" si="3"/>
        <v>16.472799999999999</v>
      </c>
    </row>
    <row r="222" spans="1:6" ht="15.75" x14ac:dyDescent="0.25">
      <c r="A222" s="685" t="s">
        <v>106</v>
      </c>
      <c r="B222" s="685"/>
      <c r="C222" s="685"/>
      <c r="D222" s="685"/>
      <c r="E222" s="23"/>
      <c r="F222" s="32">
        <f>SUM(F212:F221)</f>
        <v>464.77530000000002</v>
      </c>
    </row>
    <row r="223" spans="1:6" ht="15" x14ac:dyDescent="0.25">
      <c r="A223" s="6" t="s">
        <v>301</v>
      </c>
      <c r="B223" s="2"/>
      <c r="C223" s="2"/>
      <c r="D223" s="2"/>
      <c r="E223" s="2"/>
      <c r="F223" s="2"/>
    </row>
    <row r="224" spans="1:6" x14ac:dyDescent="0.2">
      <c r="A224" s="7" t="s">
        <v>101</v>
      </c>
      <c r="B224" s="690" t="s">
        <v>102</v>
      </c>
      <c r="C224" s="690"/>
      <c r="D224" s="690" t="s">
        <v>103</v>
      </c>
      <c r="E224" s="690"/>
      <c r="F224" s="46" t="s">
        <v>104</v>
      </c>
    </row>
    <row r="225" spans="1:6" x14ac:dyDescent="0.2">
      <c r="A225" s="7" t="s">
        <v>371</v>
      </c>
      <c r="B225" s="688">
        <v>7.88</v>
      </c>
      <c r="C225" s="688"/>
      <c r="D225" s="688">
        <v>5.35</v>
      </c>
      <c r="E225" s="688"/>
      <c r="F225" s="8">
        <f t="shared" ref="F225:F234" si="4">D225*B225</f>
        <v>42.157999999999994</v>
      </c>
    </row>
    <row r="226" spans="1:6" x14ac:dyDescent="0.2">
      <c r="A226" s="7" t="s">
        <v>372</v>
      </c>
      <c r="B226" s="688">
        <v>7.48</v>
      </c>
      <c r="C226" s="688"/>
      <c r="D226" s="688">
        <v>5.35</v>
      </c>
      <c r="E226" s="688"/>
      <c r="F226" s="8">
        <f t="shared" si="4"/>
        <v>40.018000000000001</v>
      </c>
    </row>
    <row r="227" spans="1:6" x14ac:dyDescent="0.2">
      <c r="A227" s="44" t="s">
        <v>161</v>
      </c>
      <c r="B227" s="686">
        <v>8</v>
      </c>
      <c r="C227" s="687"/>
      <c r="D227" s="686">
        <v>6.48</v>
      </c>
      <c r="E227" s="687"/>
      <c r="F227" s="8">
        <f t="shared" si="4"/>
        <v>51.84</v>
      </c>
    </row>
    <row r="228" spans="1:6" x14ac:dyDescent="0.2">
      <c r="A228" s="44" t="s">
        <v>373</v>
      </c>
      <c r="B228" s="686">
        <v>4.75</v>
      </c>
      <c r="C228" s="687"/>
      <c r="D228" s="686">
        <v>5.35</v>
      </c>
      <c r="E228" s="687"/>
      <c r="F228" s="8">
        <f t="shared" si="4"/>
        <v>25.412499999999998</v>
      </c>
    </row>
    <row r="229" spans="1:6" x14ac:dyDescent="0.2">
      <c r="A229" s="7" t="s">
        <v>374</v>
      </c>
      <c r="B229" s="688">
        <v>4.72</v>
      </c>
      <c r="C229" s="688"/>
      <c r="D229" s="688">
        <v>2.8</v>
      </c>
      <c r="E229" s="688"/>
      <c r="F229" s="8">
        <f t="shared" si="4"/>
        <v>13.215999999999999</v>
      </c>
    </row>
    <row r="230" spans="1:6" x14ac:dyDescent="0.2">
      <c r="A230" s="44" t="s">
        <v>375</v>
      </c>
      <c r="B230" s="686">
        <v>4.72</v>
      </c>
      <c r="C230" s="687"/>
      <c r="D230" s="686">
        <v>1.5</v>
      </c>
      <c r="E230" s="687"/>
      <c r="F230" s="8">
        <f t="shared" si="4"/>
        <v>7.08</v>
      </c>
    </row>
    <row r="231" spans="1:6" x14ac:dyDescent="0.2">
      <c r="A231" s="44" t="s">
        <v>376</v>
      </c>
      <c r="B231" s="686">
        <v>4.72</v>
      </c>
      <c r="C231" s="687"/>
      <c r="D231" s="686">
        <v>2.8</v>
      </c>
      <c r="E231" s="687"/>
      <c r="F231" s="8">
        <f t="shared" si="4"/>
        <v>13.215999999999999</v>
      </c>
    </row>
    <row r="232" spans="1:6" x14ac:dyDescent="0.2">
      <c r="A232" s="44" t="s">
        <v>176</v>
      </c>
      <c r="B232" s="686">
        <v>4.72</v>
      </c>
      <c r="C232" s="687"/>
      <c r="D232" s="686">
        <v>2.5</v>
      </c>
      <c r="E232" s="687"/>
      <c r="F232" s="8">
        <f t="shared" si="4"/>
        <v>11.799999999999999</v>
      </c>
    </row>
    <row r="233" spans="1:6" x14ac:dyDescent="0.2">
      <c r="A233" s="44" t="s">
        <v>174</v>
      </c>
      <c r="B233" s="686">
        <v>4.72</v>
      </c>
      <c r="C233" s="687"/>
      <c r="D233" s="686">
        <v>4.5</v>
      </c>
      <c r="E233" s="687"/>
      <c r="F233" s="8">
        <f t="shared" si="4"/>
        <v>21.24</v>
      </c>
    </row>
    <row r="234" spans="1:6" x14ac:dyDescent="0.2">
      <c r="A234" s="44" t="s">
        <v>377</v>
      </c>
      <c r="B234" s="686">
        <v>4.72</v>
      </c>
      <c r="C234" s="687"/>
      <c r="D234" s="686">
        <v>4.87</v>
      </c>
      <c r="E234" s="687"/>
      <c r="F234" s="8">
        <f t="shared" si="4"/>
        <v>22.9864</v>
      </c>
    </row>
    <row r="235" spans="1:6" ht="15.75" x14ac:dyDescent="0.25">
      <c r="A235" s="685" t="s">
        <v>106</v>
      </c>
      <c r="B235" s="685"/>
      <c r="C235" s="685"/>
      <c r="D235" s="685"/>
      <c r="E235" s="23"/>
      <c r="F235" s="32">
        <f>SUM(F225:F234)</f>
        <v>248.96690000000004</v>
      </c>
    </row>
    <row r="236" spans="1:6" ht="15" x14ac:dyDescent="0.25">
      <c r="A236" s="6" t="s">
        <v>300</v>
      </c>
      <c r="B236" s="2"/>
      <c r="C236" s="2"/>
      <c r="D236" s="2"/>
      <c r="E236" s="2"/>
      <c r="F236" s="2"/>
    </row>
    <row r="237" spans="1:6" x14ac:dyDescent="0.2">
      <c r="A237" s="7" t="s">
        <v>101</v>
      </c>
      <c r="B237" s="690" t="s">
        <v>102</v>
      </c>
      <c r="C237" s="690"/>
      <c r="D237" s="690" t="s">
        <v>103</v>
      </c>
      <c r="E237" s="690"/>
      <c r="F237" s="46" t="s">
        <v>104</v>
      </c>
    </row>
    <row r="238" spans="1:6" x14ac:dyDescent="0.2">
      <c r="A238" s="7" t="s">
        <v>371</v>
      </c>
      <c r="B238" s="688">
        <v>7.88</v>
      </c>
      <c r="C238" s="688"/>
      <c r="D238" s="688">
        <v>5.35</v>
      </c>
      <c r="E238" s="688"/>
      <c r="F238" s="8">
        <f t="shared" ref="F238:F247" si="5">D238*B238</f>
        <v>42.157999999999994</v>
      </c>
    </row>
    <row r="239" spans="1:6" x14ac:dyDescent="0.2">
      <c r="A239" s="7" t="s">
        <v>372</v>
      </c>
      <c r="B239" s="688">
        <v>7.48</v>
      </c>
      <c r="C239" s="688"/>
      <c r="D239" s="688">
        <v>5.35</v>
      </c>
      <c r="E239" s="688"/>
      <c r="F239" s="8">
        <f t="shared" si="5"/>
        <v>40.018000000000001</v>
      </c>
    </row>
    <row r="240" spans="1:6" x14ac:dyDescent="0.2">
      <c r="A240" s="44" t="s">
        <v>161</v>
      </c>
      <c r="B240" s="686">
        <v>8</v>
      </c>
      <c r="C240" s="687"/>
      <c r="D240" s="686">
        <v>6.48</v>
      </c>
      <c r="E240" s="687"/>
      <c r="F240" s="8">
        <f t="shared" si="5"/>
        <v>51.84</v>
      </c>
    </row>
    <row r="241" spans="1:6" x14ac:dyDescent="0.2">
      <c r="A241" s="44" t="s">
        <v>373</v>
      </c>
      <c r="B241" s="686">
        <v>4.75</v>
      </c>
      <c r="C241" s="687"/>
      <c r="D241" s="686">
        <v>5.35</v>
      </c>
      <c r="E241" s="687"/>
      <c r="F241" s="8">
        <f t="shared" si="5"/>
        <v>25.412499999999998</v>
      </c>
    </row>
    <row r="242" spans="1:6" x14ac:dyDescent="0.2">
      <c r="A242" s="7" t="s">
        <v>374</v>
      </c>
      <c r="B242" s="688">
        <v>4.72</v>
      </c>
      <c r="C242" s="688"/>
      <c r="D242" s="688">
        <v>2.8</v>
      </c>
      <c r="E242" s="688"/>
      <c r="F242" s="8">
        <f t="shared" si="5"/>
        <v>13.215999999999999</v>
      </c>
    </row>
    <row r="243" spans="1:6" x14ac:dyDescent="0.2">
      <c r="A243" s="44" t="s">
        <v>375</v>
      </c>
      <c r="B243" s="686">
        <v>4.72</v>
      </c>
      <c r="C243" s="687"/>
      <c r="D243" s="686">
        <v>1.5</v>
      </c>
      <c r="E243" s="687"/>
      <c r="F243" s="8">
        <f t="shared" si="5"/>
        <v>7.08</v>
      </c>
    </row>
    <row r="244" spans="1:6" x14ac:dyDescent="0.2">
      <c r="A244" s="44" t="s">
        <v>376</v>
      </c>
      <c r="B244" s="686">
        <v>4.72</v>
      </c>
      <c r="C244" s="687"/>
      <c r="D244" s="686">
        <v>2.8</v>
      </c>
      <c r="E244" s="687"/>
      <c r="F244" s="8">
        <f t="shared" si="5"/>
        <v>13.215999999999999</v>
      </c>
    </row>
    <row r="245" spans="1:6" x14ac:dyDescent="0.2">
      <c r="A245" s="44" t="s">
        <v>176</v>
      </c>
      <c r="B245" s="686">
        <v>4.72</v>
      </c>
      <c r="C245" s="687"/>
      <c r="D245" s="686">
        <v>2.5</v>
      </c>
      <c r="E245" s="687"/>
      <c r="F245" s="8">
        <f t="shared" si="5"/>
        <v>11.799999999999999</v>
      </c>
    </row>
    <row r="246" spans="1:6" x14ac:dyDescent="0.2">
      <c r="A246" s="44" t="s">
        <v>174</v>
      </c>
      <c r="B246" s="686">
        <v>4.72</v>
      </c>
      <c r="C246" s="687"/>
      <c r="D246" s="686">
        <v>4.5</v>
      </c>
      <c r="E246" s="687"/>
      <c r="F246" s="8">
        <f t="shared" si="5"/>
        <v>21.24</v>
      </c>
    </row>
    <row r="247" spans="1:6" x14ac:dyDescent="0.2">
      <c r="A247" s="44" t="s">
        <v>377</v>
      </c>
      <c r="B247" s="686">
        <v>4.72</v>
      </c>
      <c r="C247" s="687"/>
      <c r="D247" s="686">
        <v>4.87</v>
      </c>
      <c r="E247" s="687"/>
      <c r="F247" s="8">
        <f t="shared" si="5"/>
        <v>22.9864</v>
      </c>
    </row>
    <row r="248" spans="1:6" ht="15.75" x14ac:dyDescent="0.25">
      <c r="A248" s="685" t="s">
        <v>106</v>
      </c>
      <c r="B248" s="685"/>
      <c r="C248" s="685"/>
      <c r="D248" s="685"/>
      <c r="E248" s="23"/>
      <c r="F248" s="32">
        <f>SUM(F238:F247)</f>
        <v>248.96690000000004</v>
      </c>
    </row>
    <row r="249" spans="1:6" ht="15" x14ac:dyDescent="0.25">
      <c r="A249" s="5" t="s">
        <v>302</v>
      </c>
      <c r="B249" s="2"/>
      <c r="C249" s="2"/>
      <c r="D249" s="2"/>
      <c r="E249" s="2"/>
      <c r="F249" s="2"/>
    </row>
    <row r="250" spans="1:6" ht="15" x14ac:dyDescent="0.25">
      <c r="A250" s="6" t="s">
        <v>303</v>
      </c>
      <c r="B250" s="2"/>
      <c r="C250" s="2"/>
      <c r="D250" s="2"/>
      <c r="E250" s="2"/>
      <c r="F250" s="2"/>
    </row>
    <row r="251" spans="1:6" ht="15" x14ac:dyDescent="0.25">
      <c r="A251" s="6" t="s">
        <v>304</v>
      </c>
      <c r="B251" s="2"/>
      <c r="C251" s="2"/>
      <c r="D251" s="2"/>
      <c r="E251" s="2"/>
      <c r="F251" s="2"/>
    </row>
    <row r="252" spans="1:6" x14ac:dyDescent="0.2">
      <c r="A252" s="2" t="s">
        <v>101</v>
      </c>
      <c r="B252" s="692" t="s">
        <v>102</v>
      </c>
      <c r="C252" s="692"/>
      <c r="D252" s="42" t="s">
        <v>108</v>
      </c>
      <c r="E252" s="42" t="s">
        <v>141</v>
      </c>
      <c r="F252" s="42" t="s">
        <v>104</v>
      </c>
    </row>
    <row r="253" spans="1:6" x14ac:dyDescent="0.2">
      <c r="A253" s="7" t="s">
        <v>147</v>
      </c>
      <c r="B253" s="688">
        <v>2</v>
      </c>
      <c r="C253" s="688"/>
      <c r="D253" s="8">
        <v>1</v>
      </c>
      <c r="E253" s="8">
        <v>14</v>
      </c>
      <c r="F253" s="8">
        <f>E253*D253*B253</f>
        <v>28</v>
      </c>
    </row>
    <row r="254" spans="1:6" x14ac:dyDescent="0.2">
      <c r="A254" s="7" t="s">
        <v>147</v>
      </c>
      <c r="B254" s="688">
        <v>2.5</v>
      </c>
      <c r="C254" s="688"/>
      <c r="D254" s="8">
        <v>1</v>
      </c>
      <c r="E254" s="8">
        <v>9</v>
      </c>
      <c r="F254" s="8">
        <f>E254*D254*B254</f>
        <v>22.5</v>
      </c>
    </row>
    <row r="255" spans="1:6" x14ac:dyDescent="0.2">
      <c r="A255" s="7" t="s">
        <v>148</v>
      </c>
      <c r="B255" s="688">
        <v>1</v>
      </c>
      <c r="C255" s="688"/>
      <c r="D255" s="8">
        <v>2.1</v>
      </c>
      <c r="E255" s="8">
        <v>7</v>
      </c>
      <c r="F255" s="8">
        <f>E255*D255*B255</f>
        <v>14.700000000000001</v>
      </c>
    </row>
    <row r="256" spans="1:6" ht="15" x14ac:dyDescent="0.25">
      <c r="A256" s="27" t="s">
        <v>146</v>
      </c>
      <c r="B256" s="688">
        <v>2.5</v>
      </c>
      <c r="C256" s="688"/>
      <c r="D256" s="8">
        <v>2</v>
      </c>
      <c r="E256" s="8">
        <v>1</v>
      </c>
      <c r="F256" s="8">
        <f>D256*B256</f>
        <v>5</v>
      </c>
    </row>
    <row r="257" spans="1:6" x14ac:dyDescent="0.2">
      <c r="A257" s="44" t="s">
        <v>393</v>
      </c>
      <c r="B257" s="688">
        <v>73.7</v>
      </c>
      <c r="C257" s="688"/>
      <c r="D257" s="8">
        <v>1.5</v>
      </c>
      <c r="E257" s="8"/>
      <c r="F257" s="8">
        <f>D257*B257</f>
        <v>110.55000000000001</v>
      </c>
    </row>
    <row r="258" spans="1:6" ht="15.75" x14ac:dyDescent="0.25">
      <c r="A258" s="685" t="s">
        <v>106</v>
      </c>
      <c r="B258" s="685"/>
      <c r="C258" s="685"/>
      <c r="D258" s="685"/>
      <c r="E258" s="23"/>
      <c r="F258" s="32">
        <f>SUM(F253:F257)</f>
        <v>180.75</v>
      </c>
    </row>
    <row r="259" spans="1:6" ht="15" x14ac:dyDescent="0.25">
      <c r="A259" s="691" t="s">
        <v>305</v>
      </c>
      <c r="B259" s="691"/>
      <c r="C259" s="691"/>
      <c r="D259" s="691"/>
      <c r="E259" s="691"/>
      <c r="F259" s="691"/>
    </row>
    <row r="260" spans="1:6" x14ac:dyDescent="0.2">
      <c r="A260" s="7" t="s">
        <v>101</v>
      </c>
      <c r="B260" s="690" t="s">
        <v>102</v>
      </c>
      <c r="C260" s="690"/>
      <c r="D260" s="15" t="s">
        <v>108</v>
      </c>
      <c r="E260" s="15" t="s">
        <v>141</v>
      </c>
      <c r="F260" s="46" t="s">
        <v>104</v>
      </c>
    </row>
    <row r="261" spans="1:6" x14ac:dyDescent="0.2">
      <c r="A261" s="7" t="s">
        <v>127</v>
      </c>
      <c r="B261" s="688">
        <v>0.66</v>
      </c>
      <c r="C261" s="688"/>
      <c r="D261" s="34">
        <v>1.8</v>
      </c>
      <c r="E261" s="34">
        <v>4</v>
      </c>
      <c r="F261" s="8">
        <f>E261*D261*B261</f>
        <v>4.7520000000000007</v>
      </c>
    </row>
    <row r="262" spans="1:6" ht="25.5" x14ac:dyDescent="0.2">
      <c r="A262" s="35" t="s">
        <v>172</v>
      </c>
      <c r="B262" s="686">
        <v>0.86</v>
      </c>
      <c r="C262" s="687"/>
      <c r="D262" s="34">
        <v>2.1</v>
      </c>
      <c r="E262" s="34">
        <v>6</v>
      </c>
      <c r="F262" s="8">
        <f>E262*D262*B262</f>
        <v>10.836</v>
      </c>
    </row>
    <row r="263" spans="1:6" x14ac:dyDescent="0.2">
      <c r="A263" s="7" t="s">
        <v>142</v>
      </c>
      <c r="B263" s="688">
        <v>0.86</v>
      </c>
      <c r="C263" s="688"/>
      <c r="D263" s="8">
        <v>1.8</v>
      </c>
      <c r="E263" s="8">
        <v>2</v>
      </c>
      <c r="F263" s="8">
        <f>E263*D263*B263</f>
        <v>3.0960000000000001</v>
      </c>
    </row>
    <row r="264" spans="1:6" x14ac:dyDescent="0.2">
      <c r="A264" s="7" t="s">
        <v>143</v>
      </c>
      <c r="B264" s="688">
        <v>0.86</v>
      </c>
      <c r="C264" s="688"/>
      <c r="D264" s="8">
        <v>2.1</v>
      </c>
      <c r="E264" s="8">
        <v>1</v>
      </c>
      <c r="F264" s="8">
        <f>E264*D264*B264</f>
        <v>1.806</v>
      </c>
    </row>
    <row r="265" spans="1:6" ht="15.75" x14ac:dyDescent="0.25">
      <c r="A265" s="685" t="s">
        <v>106</v>
      </c>
      <c r="B265" s="685"/>
      <c r="C265" s="685"/>
      <c r="D265" s="685"/>
      <c r="E265" s="23"/>
      <c r="F265" s="32">
        <f>SUM(F261:F264)</f>
        <v>20.490000000000002</v>
      </c>
    </row>
    <row r="266" spans="1:6" ht="15" x14ac:dyDescent="0.25">
      <c r="A266" s="6" t="s">
        <v>306</v>
      </c>
      <c r="B266" s="2"/>
      <c r="C266" s="2"/>
      <c r="D266" s="2"/>
      <c r="E266" s="2"/>
      <c r="F266" s="2"/>
    </row>
    <row r="267" spans="1:6" ht="15" x14ac:dyDescent="0.25">
      <c r="A267" s="6" t="s">
        <v>307</v>
      </c>
      <c r="B267" s="2"/>
      <c r="C267" s="2"/>
      <c r="D267" s="2"/>
      <c r="E267" s="2"/>
      <c r="F267" s="2"/>
    </row>
    <row r="268" spans="1:6" x14ac:dyDescent="0.2">
      <c r="A268" s="7" t="s">
        <v>101</v>
      </c>
      <c r="B268" s="690" t="s">
        <v>102</v>
      </c>
      <c r="C268" s="690"/>
      <c r="D268" s="690" t="s">
        <v>108</v>
      </c>
      <c r="E268" s="690"/>
      <c r="F268" s="26" t="s">
        <v>104</v>
      </c>
    </row>
    <row r="269" spans="1:6" ht="15" x14ac:dyDescent="0.25">
      <c r="A269" s="27" t="s">
        <v>162</v>
      </c>
      <c r="B269" s="690">
        <v>245.85</v>
      </c>
      <c r="C269" s="690"/>
      <c r="D269" s="688">
        <v>3</v>
      </c>
      <c r="E269" s="688"/>
      <c r="F269" s="8">
        <f>D269*B269</f>
        <v>737.55</v>
      </c>
    </row>
    <row r="270" spans="1:6" x14ac:dyDescent="0.2">
      <c r="A270" s="28" t="s">
        <v>129</v>
      </c>
      <c r="B270" s="690"/>
      <c r="C270" s="690"/>
      <c r="D270" s="690"/>
      <c r="E270" s="690"/>
      <c r="F270" s="8">
        <f>20+17.5+10.5+1.89+1.6</f>
        <v>51.49</v>
      </c>
    </row>
    <row r="271" spans="1:6" ht="15.75" x14ac:dyDescent="0.25">
      <c r="A271" s="685" t="s">
        <v>106</v>
      </c>
      <c r="B271" s="685"/>
      <c r="C271" s="685"/>
      <c r="D271" s="685"/>
      <c r="E271" s="23"/>
      <c r="F271" s="32">
        <f>SUM(F269)-F270</f>
        <v>686.06</v>
      </c>
    </row>
    <row r="272" spans="1:6" ht="15" x14ac:dyDescent="0.25">
      <c r="A272" s="6" t="s">
        <v>308</v>
      </c>
      <c r="B272" s="2"/>
      <c r="C272" s="2"/>
      <c r="D272" s="2"/>
      <c r="E272" s="2"/>
      <c r="F272" s="2"/>
    </row>
    <row r="273" spans="1:6" x14ac:dyDescent="0.2">
      <c r="A273" s="7" t="s">
        <v>101</v>
      </c>
      <c r="B273" s="690" t="s">
        <v>102</v>
      </c>
      <c r="C273" s="690"/>
      <c r="D273" s="690" t="s">
        <v>108</v>
      </c>
      <c r="E273" s="690"/>
      <c r="F273" s="26" t="s">
        <v>104</v>
      </c>
    </row>
    <row r="274" spans="1:6" x14ac:dyDescent="0.2">
      <c r="A274" s="7" t="s">
        <v>116</v>
      </c>
      <c r="B274" s="689">
        <v>305.87</v>
      </c>
      <c r="C274" s="689"/>
      <c r="D274" s="689">
        <v>3</v>
      </c>
      <c r="E274" s="689"/>
      <c r="F274" s="33">
        <f>D274*B274</f>
        <v>917.61</v>
      </c>
    </row>
    <row r="275" spans="1:6" x14ac:dyDescent="0.2">
      <c r="A275" s="28" t="s">
        <v>129</v>
      </c>
      <c r="B275" s="690"/>
      <c r="C275" s="690"/>
      <c r="D275" s="688"/>
      <c r="E275" s="688"/>
      <c r="F275" s="8">
        <f>14.4+9.03+4.2+4.49+1.92+7.56+2.5+4+2.1+2.5+2.1+4+5</f>
        <v>63.800000000000004</v>
      </c>
    </row>
    <row r="276" spans="1:6" ht="15.75" x14ac:dyDescent="0.25">
      <c r="A276" s="685" t="s">
        <v>106</v>
      </c>
      <c r="B276" s="685"/>
      <c r="C276" s="685"/>
      <c r="D276" s="685"/>
      <c r="E276" s="23"/>
      <c r="F276" s="32">
        <f>SUM(F274)-F275</f>
        <v>853.81000000000006</v>
      </c>
    </row>
    <row r="277" spans="1:6" ht="15" x14ac:dyDescent="0.25">
      <c r="A277" s="6" t="s">
        <v>309</v>
      </c>
      <c r="B277" s="2"/>
      <c r="C277" s="2"/>
      <c r="D277" s="2"/>
      <c r="E277" s="2"/>
      <c r="F277" s="2"/>
    </row>
    <row r="278" spans="1:6" x14ac:dyDescent="0.2">
      <c r="A278" s="7" t="s">
        <v>101</v>
      </c>
      <c r="B278" s="690" t="s">
        <v>102</v>
      </c>
      <c r="C278" s="690"/>
      <c r="D278" s="690" t="s">
        <v>103</v>
      </c>
      <c r="E278" s="690"/>
      <c r="F278" s="26" t="s">
        <v>104</v>
      </c>
    </row>
    <row r="279" spans="1:6" x14ac:dyDescent="0.2">
      <c r="A279" s="7" t="s">
        <v>158</v>
      </c>
      <c r="B279" s="686">
        <v>61.6</v>
      </c>
      <c r="C279" s="687"/>
      <c r="D279" s="686">
        <v>1.5</v>
      </c>
      <c r="E279" s="687"/>
      <c r="F279" s="8">
        <f>D279*B279</f>
        <v>92.4</v>
      </c>
    </row>
    <row r="280" spans="1:6" x14ac:dyDescent="0.2">
      <c r="A280" s="7" t="s">
        <v>159</v>
      </c>
      <c r="B280" s="686">
        <v>19.95</v>
      </c>
      <c r="C280" s="687"/>
      <c r="D280" s="686">
        <v>2.5</v>
      </c>
      <c r="E280" s="687"/>
      <c r="F280" s="8">
        <f>D280*B280</f>
        <v>49.875</v>
      </c>
    </row>
    <row r="281" spans="1:6" x14ac:dyDescent="0.2">
      <c r="A281" s="7" t="s">
        <v>370</v>
      </c>
      <c r="B281" s="686">
        <v>5</v>
      </c>
      <c r="C281" s="687"/>
      <c r="D281" s="686">
        <v>3.12</v>
      </c>
      <c r="E281" s="687"/>
      <c r="F281" s="8">
        <f>D281*B281</f>
        <v>15.600000000000001</v>
      </c>
    </row>
    <row r="282" spans="1:6" x14ac:dyDescent="0.2">
      <c r="A282" s="7" t="s">
        <v>160</v>
      </c>
      <c r="B282" s="686">
        <v>2.88</v>
      </c>
      <c r="C282" s="687"/>
      <c r="D282" s="686">
        <v>2.5</v>
      </c>
      <c r="E282" s="687"/>
      <c r="F282" s="8">
        <f>D282*B282</f>
        <v>7.1999999999999993</v>
      </c>
    </row>
    <row r="283" spans="1:6" ht="15.75" x14ac:dyDescent="0.25">
      <c r="A283" s="685" t="s">
        <v>106</v>
      </c>
      <c r="B283" s="685"/>
      <c r="C283" s="685"/>
      <c r="D283" s="685"/>
      <c r="E283" s="23"/>
      <c r="F283" s="32">
        <f>SUM(F279:F282)</f>
        <v>165.07499999999999</v>
      </c>
    </row>
    <row r="284" spans="1:6" ht="15" x14ac:dyDescent="0.25">
      <c r="A284" s="5" t="s">
        <v>310</v>
      </c>
      <c r="B284" s="2"/>
      <c r="C284" s="2"/>
      <c r="D284" s="2"/>
      <c r="E284" s="2"/>
      <c r="F284" s="2"/>
    </row>
    <row r="285" spans="1:6" x14ac:dyDescent="0.2">
      <c r="A285" s="2" t="s">
        <v>311</v>
      </c>
      <c r="B285" s="2"/>
      <c r="C285" s="2"/>
      <c r="D285" s="2"/>
      <c r="E285" s="2"/>
      <c r="F285" s="2"/>
    </row>
    <row r="286" spans="1:6" x14ac:dyDescent="0.2">
      <c r="A286" s="7" t="s">
        <v>101</v>
      </c>
      <c r="B286" s="690" t="s">
        <v>102</v>
      </c>
      <c r="C286" s="690"/>
      <c r="D286" s="690" t="s">
        <v>103</v>
      </c>
      <c r="E286" s="690"/>
      <c r="F286" s="26" t="s">
        <v>104</v>
      </c>
    </row>
    <row r="287" spans="1:6" x14ac:dyDescent="0.2">
      <c r="A287" s="7" t="s">
        <v>163</v>
      </c>
      <c r="B287" s="688">
        <v>30.87</v>
      </c>
      <c r="C287" s="688"/>
      <c r="D287" s="688">
        <v>3.12</v>
      </c>
      <c r="E287" s="688"/>
      <c r="F287" s="8">
        <f>D287*B287</f>
        <v>96.314400000000006</v>
      </c>
    </row>
    <row r="288" spans="1:6" x14ac:dyDescent="0.2">
      <c r="A288" s="7" t="s">
        <v>163</v>
      </c>
      <c r="B288" s="688"/>
      <c r="C288" s="688"/>
      <c r="D288" s="688"/>
      <c r="E288" s="688"/>
      <c r="F288" s="8">
        <v>151.13</v>
      </c>
    </row>
    <row r="289" spans="1:6" ht="15.75" x14ac:dyDescent="0.25">
      <c r="A289" s="685" t="s">
        <v>106</v>
      </c>
      <c r="B289" s="685"/>
      <c r="C289" s="685"/>
      <c r="D289" s="685"/>
      <c r="E289" s="23"/>
      <c r="F289" s="32">
        <f>SUM(F287:F288)</f>
        <v>247.4444</v>
      </c>
    </row>
    <row r="290" spans="1:6" x14ac:dyDescent="0.2">
      <c r="A290" s="73" t="s">
        <v>385</v>
      </c>
      <c r="B290" s="2"/>
      <c r="C290" s="2"/>
      <c r="D290" s="2"/>
      <c r="E290" s="2"/>
      <c r="F290" s="2"/>
    </row>
    <row r="291" spans="1:6" x14ac:dyDescent="0.2">
      <c r="A291" s="7" t="s">
        <v>101</v>
      </c>
      <c r="B291" s="690" t="s">
        <v>102</v>
      </c>
      <c r="C291" s="690"/>
      <c r="D291" s="690" t="s">
        <v>103</v>
      </c>
      <c r="E291" s="690"/>
      <c r="F291" s="71" t="s">
        <v>104</v>
      </c>
    </row>
    <row r="292" spans="1:6" x14ac:dyDescent="0.2">
      <c r="A292" s="74" t="s">
        <v>386</v>
      </c>
      <c r="B292" s="688"/>
      <c r="C292" s="688"/>
      <c r="D292" s="688"/>
      <c r="E292" s="688"/>
      <c r="F292" s="8">
        <v>250.12</v>
      </c>
    </row>
    <row r="293" spans="1:6" ht="15.75" x14ac:dyDescent="0.25">
      <c r="A293" s="685" t="s">
        <v>106</v>
      </c>
      <c r="B293" s="685"/>
      <c r="C293" s="685"/>
      <c r="D293" s="685"/>
      <c r="E293" s="23"/>
      <c r="F293" s="32">
        <f>SUM(F292:F292)</f>
        <v>250.12</v>
      </c>
    </row>
    <row r="294" spans="1:6" ht="15" x14ac:dyDescent="0.25">
      <c r="A294" s="5" t="s">
        <v>312</v>
      </c>
      <c r="B294" s="2"/>
      <c r="C294" s="2"/>
      <c r="D294" s="2"/>
      <c r="E294" s="2"/>
      <c r="F294" s="2"/>
    </row>
    <row r="295" spans="1:6" x14ac:dyDescent="0.2">
      <c r="A295" s="2" t="s">
        <v>313</v>
      </c>
      <c r="B295" s="2"/>
      <c r="C295" s="2"/>
      <c r="D295" s="2"/>
      <c r="E295" s="2"/>
      <c r="F295" s="2"/>
    </row>
    <row r="296" spans="1:6" x14ac:dyDescent="0.2">
      <c r="A296" s="7" t="s">
        <v>101</v>
      </c>
      <c r="B296" s="690" t="s">
        <v>102</v>
      </c>
      <c r="C296" s="690"/>
      <c r="D296" s="690" t="s">
        <v>103</v>
      </c>
      <c r="E296" s="690"/>
      <c r="F296" s="26" t="s">
        <v>104</v>
      </c>
    </row>
    <row r="297" spans="1:6" x14ac:dyDescent="0.2">
      <c r="A297" s="7" t="s">
        <v>165</v>
      </c>
      <c r="B297" s="688">
        <v>45.36</v>
      </c>
      <c r="C297" s="688"/>
      <c r="D297" s="688">
        <v>30.84</v>
      </c>
      <c r="E297" s="688"/>
      <c r="F297" s="8">
        <f>D297*B297</f>
        <v>1398.9023999999999</v>
      </c>
    </row>
    <row r="298" spans="1:6" ht="15.75" x14ac:dyDescent="0.25">
      <c r="A298" s="685" t="s">
        <v>106</v>
      </c>
      <c r="B298" s="685"/>
      <c r="C298" s="685"/>
      <c r="D298" s="685"/>
      <c r="E298" s="23"/>
      <c r="F298" s="32">
        <f>SUM(F297:F297)</f>
        <v>1398.9023999999999</v>
      </c>
    </row>
  </sheetData>
  <mergeCells count="346">
    <mergeCell ref="B121:C121"/>
    <mergeCell ref="B257:C257"/>
    <mergeCell ref="B226:C226"/>
    <mergeCell ref="D226:E226"/>
    <mergeCell ref="B227:C227"/>
    <mergeCell ref="D227:E227"/>
    <mergeCell ref="D224:E224"/>
    <mergeCell ref="B225:C225"/>
    <mergeCell ref="D225:E225"/>
    <mergeCell ref="B212:C212"/>
    <mergeCell ref="D212:E212"/>
    <mergeCell ref="B213:C213"/>
    <mergeCell ref="D213:E213"/>
    <mergeCell ref="B214:C214"/>
    <mergeCell ref="D214:E214"/>
    <mergeCell ref="B219:C219"/>
    <mergeCell ref="D219:E219"/>
    <mergeCell ref="B220:C220"/>
    <mergeCell ref="D220:E220"/>
    <mergeCell ref="D215:E215"/>
    <mergeCell ref="B216:C216"/>
    <mergeCell ref="B124:C124"/>
    <mergeCell ref="B125:C125"/>
    <mergeCell ref="A126:D126"/>
    <mergeCell ref="A122:D122"/>
    <mergeCell ref="A158:D158"/>
    <mergeCell ref="B134:C134"/>
    <mergeCell ref="B137:C137"/>
    <mergeCell ref="B129:C129"/>
    <mergeCell ref="B130:C130"/>
    <mergeCell ref="A131:D131"/>
    <mergeCell ref="B140:C140"/>
    <mergeCell ref="B141:C141"/>
    <mergeCell ref="A142:D142"/>
    <mergeCell ref="B145:C145"/>
    <mergeCell ref="D145:E145"/>
    <mergeCell ref="B146:C146"/>
    <mergeCell ref="D146:E146"/>
    <mergeCell ref="A150:D150"/>
    <mergeCell ref="B135:C135"/>
    <mergeCell ref="B136:C136"/>
    <mergeCell ref="B148:C148"/>
    <mergeCell ref="D148:E148"/>
    <mergeCell ref="B149:C149"/>
    <mergeCell ref="D149:E149"/>
    <mergeCell ref="B147:C147"/>
    <mergeCell ref="D147:E147"/>
    <mergeCell ref="B152:C152"/>
    <mergeCell ref="A57:C57"/>
    <mergeCell ref="A45:C45"/>
    <mergeCell ref="B80:C80"/>
    <mergeCell ref="D80:E80"/>
    <mergeCell ref="B82:C82"/>
    <mergeCell ref="D82:E82"/>
    <mergeCell ref="A63:C63"/>
    <mergeCell ref="A68:C68"/>
    <mergeCell ref="A76:C76"/>
    <mergeCell ref="B79:C79"/>
    <mergeCell ref="D79:E79"/>
    <mergeCell ref="B81:C81"/>
    <mergeCell ref="D81:E81"/>
    <mergeCell ref="B47:C47"/>
    <mergeCell ref="D47:E47"/>
    <mergeCell ref="B48:C48"/>
    <mergeCell ref="D48:E48"/>
    <mergeCell ref="A49:C49"/>
    <mergeCell ref="A21:C21"/>
    <mergeCell ref="B23:C23"/>
    <mergeCell ref="D23:E23"/>
    <mergeCell ref="B24:C24"/>
    <mergeCell ref="D24:E24"/>
    <mergeCell ref="A25:C25"/>
    <mergeCell ref="A13:F13"/>
    <mergeCell ref="B17:C17"/>
    <mergeCell ref="D17:E17"/>
    <mergeCell ref="B18:C18"/>
    <mergeCell ref="D18:E18"/>
    <mergeCell ref="B19:C19"/>
    <mergeCell ref="D19:E19"/>
    <mergeCell ref="B20:C20"/>
    <mergeCell ref="D20:E20"/>
    <mergeCell ref="B85:C85"/>
    <mergeCell ref="D85:E85"/>
    <mergeCell ref="A86:C86"/>
    <mergeCell ref="B90:C90"/>
    <mergeCell ref="D90:E90"/>
    <mergeCell ref="B91:C91"/>
    <mergeCell ref="D91:E91"/>
    <mergeCell ref="B83:C83"/>
    <mergeCell ref="D83:E83"/>
    <mergeCell ref="B84:C84"/>
    <mergeCell ref="D84:E84"/>
    <mergeCell ref="A94:D94"/>
    <mergeCell ref="B97:C97"/>
    <mergeCell ref="D97:E97"/>
    <mergeCell ref="B98:C98"/>
    <mergeCell ref="D98:E98"/>
    <mergeCell ref="B99:C99"/>
    <mergeCell ref="D99:E99"/>
    <mergeCell ref="B92:C92"/>
    <mergeCell ref="D92:E92"/>
    <mergeCell ref="B93:C93"/>
    <mergeCell ref="D93:E93"/>
    <mergeCell ref="B104:C104"/>
    <mergeCell ref="D104:E104"/>
    <mergeCell ref="B105:C105"/>
    <mergeCell ref="D105:E105"/>
    <mergeCell ref="B100:C100"/>
    <mergeCell ref="D100:E100"/>
    <mergeCell ref="A101:D101"/>
    <mergeCell ref="A106:D106"/>
    <mergeCell ref="B109:C109"/>
    <mergeCell ref="B110:C110"/>
    <mergeCell ref="B112:C112"/>
    <mergeCell ref="B116:C116"/>
    <mergeCell ref="B117:C117"/>
    <mergeCell ref="B118:C118"/>
    <mergeCell ref="B119:C119"/>
    <mergeCell ref="B120:C120"/>
    <mergeCell ref="B111:C111"/>
    <mergeCell ref="B113:C113"/>
    <mergeCell ref="A114:D114"/>
    <mergeCell ref="D152:E152"/>
    <mergeCell ref="B153:C153"/>
    <mergeCell ref="D153:E153"/>
    <mergeCell ref="A154:D154"/>
    <mergeCell ref="A138:D138"/>
    <mergeCell ref="B156:C156"/>
    <mergeCell ref="D156:E156"/>
    <mergeCell ref="B157:C157"/>
    <mergeCell ref="D157:E157"/>
    <mergeCell ref="B165:C165"/>
    <mergeCell ref="D165:E165"/>
    <mergeCell ref="B172:C172"/>
    <mergeCell ref="D172:E172"/>
    <mergeCell ref="B173:C173"/>
    <mergeCell ref="D173:E173"/>
    <mergeCell ref="B160:C160"/>
    <mergeCell ref="D160:E160"/>
    <mergeCell ref="B161:C161"/>
    <mergeCell ref="D161:E161"/>
    <mergeCell ref="A162:D162"/>
    <mergeCell ref="B166:C166"/>
    <mergeCell ref="D166:E166"/>
    <mergeCell ref="B167:C167"/>
    <mergeCell ref="D167:E167"/>
    <mergeCell ref="B169:C169"/>
    <mergeCell ref="D169:E169"/>
    <mergeCell ref="A170:D170"/>
    <mergeCell ref="B168:C168"/>
    <mergeCell ref="D168:E168"/>
    <mergeCell ref="D188:E188"/>
    <mergeCell ref="B188:C188"/>
    <mergeCell ref="B175:C175"/>
    <mergeCell ref="D175:E175"/>
    <mergeCell ref="B176:C176"/>
    <mergeCell ref="D176:E176"/>
    <mergeCell ref="B177:C177"/>
    <mergeCell ref="D177:E177"/>
    <mergeCell ref="B180:C180"/>
    <mergeCell ref="D180:E180"/>
    <mergeCell ref="B181:C181"/>
    <mergeCell ref="D181:E181"/>
    <mergeCell ref="B178:C178"/>
    <mergeCell ref="D178:E178"/>
    <mergeCell ref="B179:C179"/>
    <mergeCell ref="D179:E179"/>
    <mergeCell ref="A185:D185"/>
    <mergeCell ref="B187:C187"/>
    <mergeCell ref="D187:E187"/>
    <mergeCell ref="B182:C182"/>
    <mergeCell ref="D182:E182"/>
    <mergeCell ref="B183:C183"/>
    <mergeCell ref="D183:E183"/>
    <mergeCell ref="D189:E189"/>
    <mergeCell ref="B190:C190"/>
    <mergeCell ref="D190:E190"/>
    <mergeCell ref="B206:C206"/>
    <mergeCell ref="D206:E206"/>
    <mergeCell ref="B208:C208"/>
    <mergeCell ref="D208:E208"/>
    <mergeCell ref="B207:C207"/>
    <mergeCell ref="D207:E207"/>
    <mergeCell ref="B205:C205"/>
    <mergeCell ref="D205:E205"/>
    <mergeCell ref="B278:C278"/>
    <mergeCell ref="D278:E278"/>
    <mergeCell ref="B279:C279"/>
    <mergeCell ref="D279:E279"/>
    <mergeCell ref="A271:D271"/>
    <mergeCell ref="B273:C273"/>
    <mergeCell ref="D273:E273"/>
    <mergeCell ref="B230:C230"/>
    <mergeCell ref="D230:E230"/>
    <mergeCell ref="B231:C231"/>
    <mergeCell ref="D231:E231"/>
    <mergeCell ref="B232:C232"/>
    <mergeCell ref="D232:E232"/>
    <mergeCell ref="B260:C260"/>
    <mergeCell ref="B261:C261"/>
    <mergeCell ref="B262:C262"/>
    <mergeCell ref="B263:C263"/>
    <mergeCell ref="D240:E240"/>
    <mergeCell ref="B237:C237"/>
    <mergeCell ref="D237:E237"/>
    <mergeCell ref="B244:C244"/>
    <mergeCell ref="D244:E244"/>
    <mergeCell ref="B245:C245"/>
    <mergeCell ref="D245:E245"/>
    <mergeCell ref="B296:C296"/>
    <mergeCell ref="D296:E296"/>
    <mergeCell ref="B297:C297"/>
    <mergeCell ref="D297:E297"/>
    <mergeCell ref="A298:D298"/>
    <mergeCell ref="B286:C286"/>
    <mergeCell ref="D286:E286"/>
    <mergeCell ref="B288:C288"/>
    <mergeCell ref="D288:E288"/>
    <mergeCell ref="B287:C287"/>
    <mergeCell ref="D287:E287"/>
    <mergeCell ref="A293:D293"/>
    <mergeCell ref="A289:D289"/>
    <mergeCell ref="B291:C291"/>
    <mergeCell ref="D291:E291"/>
    <mergeCell ref="B292:C292"/>
    <mergeCell ref="D292:E292"/>
    <mergeCell ref="D275:E275"/>
    <mergeCell ref="A276:D276"/>
    <mergeCell ref="D196:E196"/>
    <mergeCell ref="B191:C191"/>
    <mergeCell ref="D191:E191"/>
    <mergeCell ref="B192:C192"/>
    <mergeCell ref="D192:E192"/>
    <mergeCell ref="B193:C193"/>
    <mergeCell ref="D193:E193"/>
    <mergeCell ref="B264:C264"/>
    <mergeCell ref="B247:C247"/>
    <mergeCell ref="D247:E247"/>
    <mergeCell ref="B254:C254"/>
    <mergeCell ref="B255:C255"/>
    <mergeCell ref="B256:C256"/>
    <mergeCell ref="A258:D258"/>
    <mergeCell ref="B252:C252"/>
    <mergeCell ref="B253:C253"/>
    <mergeCell ref="B240:C240"/>
    <mergeCell ref="A222:D222"/>
    <mergeCell ref="A209:D209"/>
    <mergeCell ref="B211:C211"/>
    <mergeCell ref="D211:E211"/>
    <mergeCell ref="B224:C224"/>
    <mergeCell ref="D30:E30"/>
    <mergeCell ref="B204:C204"/>
    <mergeCell ref="D204:E204"/>
    <mergeCell ref="B202:C202"/>
    <mergeCell ref="D202:E202"/>
    <mergeCell ref="B203:C203"/>
    <mergeCell ref="D203:E203"/>
    <mergeCell ref="B197:C197"/>
    <mergeCell ref="D197:E197"/>
    <mergeCell ref="B198:C198"/>
    <mergeCell ref="D198:E198"/>
    <mergeCell ref="B199:C199"/>
    <mergeCell ref="D199:E199"/>
    <mergeCell ref="B184:C184"/>
    <mergeCell ref="D184:E184"/>
    <mergeCell ref="B194:C194"/>
    <mergeCell ref="D194:E194"/>
    <mergeCell ref="B195:C195"/>
    <mergeCell ref="B174:C174"/>
    <mergeCell ref="D174:E174"/>
    <mergeCell ref="A200:D200"/>
    <mergeCell ref="D195:E195"/>
    <mergeCell ref="B196:C196"/>
    <mergeCell ref="B189:C189"/>
    <mergeCell ref="B27:C27"/>
    <mergeCell ref="D27:E27"/>
    <mergeCell ref="B28:C28"/>
    <mergeCell ref="D28:E28"/>
    <mergeCell ref="B29:C29"/>
    <mergeCell ref="D29:E29"/>
    <mergeCell ref="A31:C31"/>
    <mergeCell ref="B38:C38"/>
    <mergeCell ref="A46:F46"/>
    <mergeCell ref="B42:C42"/>
    <mergeCell ref="B43:C43"/>
    <mergeCell ref="B44:C44"/>
    <mergeCell ref="B37:C37"/>
    <mergeCell ref="B39:C39"/>
    <mergeCell ref="A40:C40"/>
    <mergeCell ref="A41:F41"/>
    <mergeCell ref="B32:C32"/>
    <mergeCell ref="D32:E32"/>
    <mergeCell ref="B33:C33"/>
    <mergeCell ref="B34:C34"/>
    <mergeCell ref="A35:C35"/>
    <mergeCell ref="B36:C36"/>
    <mergeCell ref="D36:E36"/>
    <mergeCell ref="B30:C30"/>
    <mergeCell ref="B229:C229"/>
    <mergeCell ref="D229:E229"/>
    <mergeCell ref="B221:C221"/>
    <mergeCell ref="D221:E221"/>
    <mergeCell ref="B215:C215"/>
    <mergeCell ref="B282:C282"/>
    <mergeCell ref="D282:E282"/>
    <mergeCell ref="B241:C241"/>
    <mergeCell ref="D241:E241"/>
    <mergeCell ref="B242:C242"/>
    <mergeCell ref="D242:E242"/>
    <mergeCell ref="B233:C233"/>
    <mergeCell ref="D233:E233"/>
    <mergeCell ref="B234:C234"/>
    <mergeCell ref="D234:E234"/>
    <mergeCell ref="B238:C238"/>
    <mergeCell ref="D238:E238"/>
    <mergeCell ref="B239:C239"/>
    <mergeCell ref="D239:E239"/>
    <mergeCell ref="B280:C280"/>
    <mergeCell ref="D280:E280"/>
    <mergeCell ref="B281:C281"/>
    <mergeCell ref="D281:E281"/>
    <mergeCell ref="B275:C275"/>
    <mergeCell ref="A283:D283"/>
    <mergeCell ref="A235:D235"/>
    <mergeCell ref="A248:D248"/>
    <mergeCell ref="D216:E216"/>
    <mergeCell ref="B217:C217"/>
    <mergeCell ref="D217:E217"/>
    <mergeCell ref="B218:C218"/>
    <mergeCell ref="D218:E218"/>
    <mergeCell ref="B243:C243"/>
    <mergeCell ref="D243:E243"/>
    <mergeCell ref="B274:C274"/>
    <mergeCell ref="D274:E274"/>
    <mergeCell ref="B268:C268"/>
    <mergeCell ref="D268:E268"/>
    <mergeCell ref="B269:C269"/>
    <mergeCell ref="D269:E269"/>
    <mergeCell ref="B270:C270"/>
    <mergeCell ref="D270:E270"/>
    <mergeCell ref="B246:C246"/>
    <mergeCell ref="D246:E246"/>
    <mergeCell ref="A259:F259"/>
    <mergeCell ref="A265:D265"/>
    <mergeCell ref="B228:C228"/>
    <mergeCell ref="D228:E228"/>
  </mergeCells>
  <pageMargins left="0.511811024" right="0.511811024" top="0.78740157499999996" bottom="0.78740157499999996" header="0.31496062000000002" footer="0.31496062000000002"/>
  <pageSetup paperSize="9" scale="81" orientation="portrait" r:id="rId1"/>
  <rowBreaks count="4" manualBreakCount="4">
    <brk id="63" max="16383" man="1"/>
    <brk id="122" max="16383" man="1"/>
    <brk id="185" max="16383" man="1"/>
    <brk id="2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14</vt:i4>
      </vt:variant>
    </vt:vector>
  </HeadingPairs>
  <TitlesOfParts>
    <vt:vector size="26" baseType="lpstr">
      <vt:lpstr>Planilha Orçamentaria</vt:lpstr>
      <vt:lpstr>Cronograma</vt:lpstr>
      <vt:lpstr>Resumo</vt:lpstr>
      <vt:lpstr>Resumo Geral</vt:lpstr>
      <vt:lpstr>Comp</vt:lpstr>
      <vt:lpstr>BDI</vt:lpstr>
      <vt:lpstr>Enc. Soc. (Horista)</vt:lpstr>
      <vt:lpstr>Plan1</vt:lpstr>
      <vt:lpstr>Memoria de Calculo</vt:lpstr>
      <vt:lpstr>Cronograma (2)</vt:lpstr>
      <vt:lpstr>Enc. Soc. (Mensalista)</vt:lpstr>
      <vt:lpstr>orçamento</vt:lpstr>
      <vt:lpstr>BDI!Area_de_impressao</vt:lpstr>
      <vt:lpstr>Comp!Area_de_impressao</vt:lpstr>
      <vt:lpstr>Cronograma!Area_de_impressao</vt:lpstr>
      <vt:lpstr>'Cronograma (2)'!Area_de_impressao</vt:lpstr>
      <vt:lpstr>'Enc. Soc. (Horista)'!Area_de_impressao</vt:lpstr>
      <vt:lpstr>'Enc. Soc. (Mensalista)'!Area_de_impressao</vt:lpstr>
      <vt:lpstr>orçamento!Area_de_impressao</vt:lpstr>
      <vt:lpstr>'Planilha Orçamentaria'!Area_de_impressao</vt:lpstr>
      <vt:lpstr>Resumo!Area_de_impressao</vt:lpstr>
      <vt:lpstr>'Resumo Geral'!Area_de_impressao</vt:lpstr>
      <vt:lpstr>Comp!Titulos_de_impressao</vt:lpstr>
      <vt:lpstr>'Cronograma (2)'!Titulos_de_impressao</vt:lpstr>
      <vt:lpstr>orçamento!Titulos_de_impressao</vt:lpstr>
      <vt:lpstr>'Resumo Geral'!Titulos_de_impressao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Alinne Nassar</dc:creator>
  <cp:lastModifiedBy>Osorio</cp:lastModifiedBy>
  <cp:lastPrinted>2015-10-06T11:13:46Z</cp:lastPrinted>
  <dcterms:created xsi:type="dcterms:W3CDTF">2015-05-19T12:25:51Z</dcterms:created>
  <dcterms:modified xsi:type="dcterms:W3CDTF">2015-12-07T18:04:41Z</dcterms:modified>
</cp:coreProperties>
</file>