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7995"/>
  </bookViews>
  <sheets>
    <sheet name="Orçamento" sheetId="1" r:id="rId1"/>
    <sheet name="medição" sheetId="2" r:id="rId2"/>
  </sheets>
  <externalReferences>
    <externalReference r:id="rId3"/>
  </externalReferences>
  <definedNames>
    <definedName name="_xlnm.Print_Area" localSheetId="1">medição!$A$1:$K$148</definedName>
    <definedName name="_xlnm.Print_Area" localSheetId="0">Orçamento!$A$1:$K$148</definedName>
    <definedName name="_xlnm.Print_Titles" localSheetId="1">medição!$1:$12</definedName>
    <definedName name="_xlnm.Print_Titles" localSheetId="0">Orçamento!$1:$12</definedName>
  </definedNames>
  <calcPr calcId="144525" calcMode="autoNoTable"/>
</workbook>
</file>

<file path=xl/calcChain.xml><?xml version="1.0" encoding="utf-8"?>
<calcChain xmlns="http://schemas.openxmlformats.org/spreadsheetml/2006/main">
  <c r="O156" i="1" l="1"/>
  <c r="O155" i="1"/>
  <c r="O154" i="1"/>
  <c r="M154" i="1"/>
  <c r="O152" i="1" l="1"/>
  <c r="O151" i="1"/>
  <c r="M151" i="1"/>
  <c r="O148" i="1"/>
  <c r="J15" i="2" l="1"/>
  <c r="J16" i="2"/>
  <c r="J14" i="2"/>
  <c r="J13" i="2" s="1"/>
  <c r="J17" i="2"/>
  <c r="J19" i="2"/>
  <c r="J20" i="2"/>
  <c r="J22" i="2"/>
  <c r="J23" i="2"/>
  <c r="J21" i="2" s="1"/>
  <c r="J25" i="2"/>
  <c r="J26" i="2"/>
  <c r="J27" i="2"/>
  <c r="J28" i="2"/>
  <c r="J29" i="2"/>
  <c r="J30" i="2"/>
  <c r="J31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5" i="2"/>
  <c r="J74" i="2" s="1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3" i="2"/>
  <c r="J102" i="2" s="1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8" i="2"/>
  <c r="J127" i="2" s="1"/>
  <c r="J129" i="2"/>
  <c r="J130" i="2"/>
  <c r="J131" i="2"/>
  <c r="J132" i="2"/>
  <c r="J133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I146" i="2"/>
  <c r="I141" i="2"/>
  <c r="I140" i="2"/>
  <c r="I139" i="2"/>
  <c r="I138" i="2"/>
  <c r="I137" i="2"/>
  <c r="I136" i="2"/>
  <c r="I134" i="2" s="1"/>
  <c r="I133" i="2"/>
  <c r="I132" i="2"/>
  <c r="I131" i="2"/>
  <c r="I130" i="2"/>
  <c r="I129" i="2"/>
  <c r="I127" i="2" s="1"/>
  <c r="I128" i="2"/>
  <c r="I96" i="2"/>
  <c r="I74" i="2"/>
  <c r="I71" i="2"/>
  <c r="I70" i="2"/>
  <c r="I69" i="2"/>
  <c r="I67" i="2"/>
  <c r="I66" i="2"/>
  <c r="I63" i="2"/>
  <c r="I62" i="2"/>
  <c r="I61" i="2"/>
  <c r="I60" i="2"/>
  <c r="I58" i="2"/>
  <c r="I57" i="2"/>
  <c r="I55" i="2"/>
  <c r="I53" i="2"/>
  <c r="I52" i="2"/>
  <c r="I48" i="2"/>
  <c r="I47" i="2"/>
  <c r="I46" i="2"/>
  <c r="I44" i="2"/>
  <c r="I43" i="2"/>
  <c r="I40" i="2"/>
  <c r="I39" i="2"/>
  <c r="I38" i="2"/>
  <c r="I37" i="2"/>
  <c r="I36" i="2"/>
  <c r="I35" i="2"/>
  <c r="I34" i="2"/>
  <c r="I33" i="2"/>
  <c r="I32" i="2" s="1"/>
  <c r="H31" i="2"/>
  <c r="I31" i="2" s="1"/>
  <c r="H29" i="2"/>
  <c r="I29" i="2" s="1"/>
  <c r="H28" i="2"/>
  <c r="I28" i="2" s="1"/>
  <c r="H27" i="2"/>
  <c r="I27" i="2" s="1"/>
  <c r="B27" i="2"/>
  <c r="I26" i="2"/>
  <c r="I25" i="2"/>
  <c r="I24" i="2" s="1"/>
  <c r="I20" i="2"/>
  <c r="I19" i="2"/>
  <c r="I18" i="2" s="1"/>
  <c r="I17" i="2"/>
  <c r="I15" i="2" s="1"/>
  <c r="I16" i="2"/>
  <c r="I14" i="2"/>
  <c r="I13" i="2"/>
  <c r="A1" i="2"/>
  <c r="J32" i="2" l="1"/>
  <c r="J24" i="2"/>
  <c r="J134" i="2"/>
  <c r="J18" i="2"/>
  <c r="I155" i="2"/>
  <c r="I148" i="2"/>
  <c r="I152" i="2" s="1"/>
  <c r="J148" i="1"/>
  <c r="J134" i="1"/>
  <c r="J146" i="1"/>
  <c r="J141" i="1"/>
  <c r="J140" i="1"/>
  <c r="J139" i="1"/>
  <c r="J138" i="1"/>
  <c r="J137" i="1"/>
  <c r="J136" i="1"/>
  <c r="J135" i="1"/>
  <c r="J133" i="1"/>
  <c r="J132" i="1"/>
  <c r="J131" i="1"/>
  <c r="J128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01" i="1"/>
  <c r="J100" i="1"/>
  <c r="J99" i="1"/>
  <c r="J98" i="1"/>
  <c r="J97" i="1"/>
  <c r="J92" i="1"/>
  <c r="J83" i="1"/>
  <c r="J79" i="1"/>
  <c r="J95" i="1"/>
  <c r="J94" i="1"/>
  <c r="J93" i="1"/>
  <c r="J91" i="1"/>
  <c r="J88" i="1"/>
  <c r="J87" i="1"/>
  <c r="J86" i="1"/>
  <c r="J85" i="1"/>
  <c r="J84" i="1"/>
  <c r="J82" i="1"/>
  <c r="J81" i="1"/>
  <c r="J78" i="1"/>
  <c r="J77" i="1"/>
  <c r="J76" i="1"/>
  <c r="J90" i="1"/>
  <c r="J89" i="1"/>
  <c r="J80" i="1"/>
  <c r="J75" i="1"/>
  <c r="J73" i="1"/>
  <c r="J72" i="1"/>
  <c r="J71" i="1"/>
  <c r="J70" i="1"/>
  <c r="J69" i="1"/>
  <c r="J68" i="1"/>
  <c r="J67" i="1"/>
  <c r="J66" i="1"/>
  <c r="J65" i="1"/>
  <c r="J61" i="1"/>
  <c r="J60" i="1"/>
  <c r="J59" i="1"/>
  <c r="J58" i="1"/>
  <c r="J55" i="1"/>
  <c r="J52" i="1"/>
  <c r="J50" i="1"/>
  <c r="J49" i="1"/>
  <c r="J48" i="1"/>
  <c r="J47" i="1"/>
  <c r="J46" i="1"/>
  <c r="J45" i="1"/>
  <c r="J44" i="1"/>
  <c r="J43" i="1"/>
  <c r="J42" i="1"/>
  <c r="J40" i="1"/>
  <c r="J38" i="1"/>
  <c r="J37" i="1"/>
  <c r="J36" i="1"/>
  <c r="J35" i="1"/>
  <c r="J34" i="1"/>
  <c r="J31" i="1"/>
  <c r="J30" i="1"/>
  <c r="J29" i="1"/>
  <c r="J28" i="1"/>
  <c r="J27" i="1"/>
  <c r="J26" i="1"/>
  <c r="J25" i="1"/>
  <c r="J23" i="1"/>
  <c r="J22" i="1"/>
  <c r="J20" i="1"/>
  <c r="J19" i="1"/>
  <c r="A1" i="1"/>
  <c r="J14" i="1"/>
  <c r="I14" i="1"/>
  <c r="J16" i="1"/>
  <c r="I16" i="1"/>
  <c r="I17" i="1"/>
  <c r="I19" i="1"/>
  <c r="I20" i="1"/>
  <c r="I25" i="1"/>
  <c r="B27" i="1"/>
  <c r="I26" i="1"/>
  <c r="H27" i="1"/>
  <c r="I27" i="1" s="1"/>
  <c r="H28" i="1"/>
  <c r="I28" i="1" s="1"/>
  <c r="H29" i="1"/>
  <c r="I29" i="1" s="1"/>
  <c r="H31" i="1"/>
  <c r="I31" i="1" s="1"/>
  <c r="J33" i="1"/>
  <c r="I33" i="1"/>
  <c r="I34" i="1"/>
  <c r="I35" i="1"/>
  <c r="I36" i="1"/>
  <c r="I37" i="1"/>
  <c r="I38" i="1"/>
  <c r="J39" i="1"/>
  <c r="I39" i="1"/>
  <c r="I40" i="1"/>
  <c r="J41" i="1"/>
  <c r="I43" i="1"/>
  <c r="I44" i="1"/>
  <c r="I46" i="1"/>
  <c r="I47" i="1"/>
  <c r="I48" i="1"/>
  <c r="J51" i="1"/>
  <c r="I52" i="1"/>
  <c r="J53" i="1"/>
  <c r="I53" i="1"/>
  <c r="J54" i="1"/>
  <c r="I55" i="1"/>
  <c r="J56" i="1"/>
  <c r="J57" i="1"/>
  <c r="I57" i="1"/>
  <c r="I58" i="1"/>
  <c r="I60" i="1"/>
  <c r="I61" i="1"/>
  <c r="J62" i="1"/>
  <c r="I62" i="1"/>
  <c r="J63" i="1"/>
  <c r="I63" i="1"/>
  <c r="J64" i="1"/>
  <c r="I66" i="1"/>
  <c r="I67" i="1"/>
  <c r="I69" i="1"/>
  <c r="I70" i="1"/>
  <c r="I71" i="1"/>
  <c r="I128" i="1"/>
  <c r="J129" i="1"/>
  <c r="I129" i="1"/>
  <c r="J130" i="1"/>
  <c r="I130" i="1"/>
  <c r="I131" i="1"/>
  <c r="I132" i="1"/>
  <c r="I133" i="1"/>
  <c r="I136" i="1"/>
  <c r="I137" i="1"/>
  <c r="I138" i="1"/>
  <c r="I139" i="1"/>
  <c r="I140" i="1"/>
  <c r="I141" i="1"/>
  <c r="J142" i="1"/>
  <c r="J143" i="1"/>
  <c r="J144" i="1"/>
  <c r="J145" i="1"/>
  <c r="I146" i="1"/>
  <c r="J148" i="2" l="1"/>
  <c r="N148" i="2" s="1"/>
  <c r="J127" i="1"/>
  <c r="J102" i="1"/>
  <c r="J74" i="1"/>
  <c r="J32" i="1"/>
  <c r="J24" i="1"/>
  <c r="J21" i="1"/>
  <c r="I18" i="1"/>
  <c r="I127" i="1"/>
  <c r="I134" i="1"/>
  <c r="I74" i="1"/>
  <c r="I96" i="1"/>
  <c r="I32" i="1"/>
  <c r="I24" i="1"/>
  <c r="J96" i="1"/>
  <c r="I15" i="1"/>
  <c r="J17" i="1"/>
  <c r="I13" i="1"/>
  <c r="J13" i="1"/>
  <c r="J15" i="1" l="1"/>
  <c r="J18" i="1" l="1"/>
  <c r="I148" i="1" l="1"/>
  <c r="I152" i="1" s="1"/>
  <c r="I155" i="1" l="1"/>
</calcChain>
</file>

<file path=xl/sharedStrings.xml><?xml version="1.0" encoding="utf-8"?>
<sst xmlns="http://schemas.openxmlformats.org/spreadsheetml/2006/main" count="830" uniqueCount="289">
  <si>
    <t>TOTAL GERAL COM BDI</t>
  </si>
  <si>
    <t>m²</t>
  </si>
  <si>
    <t>m</t>
  </si>
  <si>
    <t>C1869</t>
  </si>
  <si>
    <t>C4065</t>
  </si>
  <si>
    <t>C0361</t>
  </si>
  <si>
    <t>C2910</t>
  </si>
  <si>
    <t>C0864</t>
  </si>
  <si>
    <t>cj</t>
  </si>
  <si>
    <t>C0860</t>
  </si>
  <si>
    <t>C3478</t>
  </si>
  <si>
    <t>SISTEMA DE PROTEÇÃO CONTRA DESCARGAS ATMOSFÉRICAS (SPDA)</t>
  </si>
  <si>
    <t/>
  </si>
  <si>
    <t>11.10</t>
  </si>
  <si>
    <t>11.9</t>
  </si>
  <si>
    <t>11.8</t>
  </si>
  <si>
    <t>11.7</t>
  </si>
  <si>
    <t>11.6</t>
  </si>
  <si>
    <t>11.5</t>
  </si>
  <si>
    <t>11.4</t>
  </si>
  <si>
    <t>11.3</t>
  </si>
  <si>
    <t>11.2</t>
  </si>
  <si>
    <t>11.1</t>
  </si>
  <si>
    <t>PINTURA</t>
  </si>
  <si>
    <t>10.6</t>
  </si>
  <si>
    <t>10.5</t>
  </si>
  <si>
    <t>10.4</t>
  </si>
  <si>
    <t>10.3</t>
  </si>
  <si>
    <t>10.2</t>
  </si>
  <si>
    <t>10.1</t>
  </si>
  <si>
    <t>9.12</t>
  </si>
  <si>
    <t>9.11</t>
  </si>
  <si>
    <t>9.10</t>
  </si>
  <si>
    <t>9.9</t>
  </si>
  <si>
    <t>9.8</t>
  </si>
  <si>
    <t>9.7</t>
  </si>
  <si>
    <t>9.6</t>
  </si>
  <si>
    <t>9.5</t>
  </si>
  <si>
    <t>9.4</t>
  </si>
  <si>
    <t>9.3</t>
  </si>
  <si>
    <t>9.2</t>
  </si>
  <si>
    <t>9.1</t>
  </si>
  <si>
    <t>8.1</t>
  </si>
  <si>
    <t>7.6</t>
  </si>
  <si>
    <t>7.5</t>
  </si>
  <si>
    <t>7.4</t>
  </si>
  <si>
    <t>7.3</t>
  </si>
  <si>
    <t>7.2</t>
  </si>
  <si>
    <t>7.1</t>
  </si>
  <si>
    <t>6.39</t>
  </si>
  <si>
    <t>6.38</t>
  </si>
  <si>
    <t>6.37</t>
  </si>
  <si>
    <t>6.36</t>
  </si>
  <si>
    <t>6.35</t>
  </si>
  <si>
    <t>6.34</t>
  </si>
  <si>
    <t>6.33</t>
  </si>
  <si>
    <t>6.32</t>
  </si>
  <si>
    <t>6.31</t>
  </si>
  <si>
    <t>6.30</t>
  </si>
  <si>
    <t>6.29</t>
  </si>
  <si>
    <t>6.28</t>
  </si>
  <si>
    <t>6.27</t>
  </si>
  <si>
    <t>6.25</t>
  </si>
  <si>
    <t>6.24</t>
  </si>
  <si>
    <t>6.23</t>
  </si>
  <si>
    <t>6.22</t>
  </si>
  <si>
    <t>6.21</t>
  </si>
  <si>
    <t>6.20</t>
  </si>
  <si>
    <t>6.19</t>
  </si>
  <si>
    <t>6.18</t>
  </si>
  <si>
    <t>6.17</t>
  </si>
  <si>
    <t>6.16</t>
  </si>
  <si>
    <t>6.15</t>
  </si>
  <si>
    <t>6.14</t>
  </si>
  <si>
    <t>6.13</t>
  </si>
  <si>
    <t>6.12</t>
  </si>
  <si>
    <t>6.11</t>
  </si>
  <si>
    <t>6.10</t>
  </si>
  <si>
    <t>6.9</t>
  </si>
  <si>
    <t>6.8</t>
  </si>
  <si>
    <t>6.7</t>
  </si>
  <si>
    <t>6.6</t>
  </si>
  <si>
    <t>6.5</t>
  </si>
  <si>
    <t>6.4</t>
  </si>
  <si>
    <t>6.3</t>
  </si>
  <si>
    <t>6.2</t>
  </si>
  <si>
    <t>6.1</t>
  </si>
  <si>
    <t>5.7</t>
  </si>
  <si>
    <t>5.6</t>
  </si>
  <si>
    <t>5.5</t>
  </si>
  <si>
    <t>5.4</t>
  </si>
  <si>
    <t>5.3</t>
  </si>
  <si>
    <t>5.2</t>
  </si>
  <si>
    <t>5.1</t>
  </si>
  <si>
    <t>74138/3</t>
  </si>
  <si>
    <t>73942/2</t>
  </si>
  <si>
    <t>74254/2</t>
  </si>
  <si>
    <t>4.2</t>
  </si>
  <si>
    <t>4.1</t>
  </si>
  <si>
    <t>3.2</t>
  </si>
  <si>
    <t>74007/1</t>
  </si>
  <si>
    <t>3.1</t>
  </si>
  <si>
    <t>73907/6</t>
  </si>
  <si>
    <t>79517/1</t>
  </si>
  <si>
    <t>2.2</t>
  </si>
  <si>
    <t>2.1</t>
  </si>
  <si>
    <t>1.1</t>
  </si>
  <si>
    <t>74209/1</t>
  </si>
  <si>
    <t>SERVIÇOS PRLIMINARES</t>
  </si>
  <si>
    <t>Total</t>
  </si>
  <si>
    <t>UNIT.</t>
  </si>
  <si>
    <t>UNT.</t>
  </si>
  <si>
    <t>QUANT.</t>
  </si>
  <si>
    <t>UNID.</t>
  </si>
  <si>
    <t>DESCRIÇÃO DOS SERVIÇOS</t>
  </si>
  <si>
    <t>ITEM</t>
  </si>
  <si>
    <t>cod</t>
  </si>
  <si>
    <t>TOTAL</t>
  </si>
  <si>
    <t xml:space="preserve">OBJETIVO: CONCLUSÃO DA  CONSTRUÇÃO DE  QUADRA COBERTA COM VESTIÁRIO NA E.M.E.F NOSSA SENHORA DO CARMO </t>
  </si>
  <si>
    <t xml:space="preserve">LOCAL: RUA CAMETÁ,  VILA DO CARMO </t>
  </si>
  <si>
    <t>MUNICÍPIO: CAMETÁ/PA</t>
  </si>
  <si>
    <t>PLANILHA ORÇAMETÁRIA</t>
  </si>
  <si>
    <t>Placa da obra em chapa de aço galvanizado-padrão  ministerio da saúde- 1,5x3 m</t>
  </si>
  <si>
    <t xml:space="preserve">ESQUADRIAS </t>
  </si>
  <si>
    <t>Porta de madeira - banheiros e sanitários (0,60 m) completa inclusive targeta metálica</t>
  </si>
  <si>
    <t>unid.</t>
  </si>
  <si>
    <t>Porta de madeira - banheiros e sanitários (0,80 m) completa inclusive targeta metálica - WC PNE</t>
  </si>
  <si>
    <t>REVESTIMENTOS</t>
  </si>
  <si>
    <t>Revestimento cerâmico de paredes PEI IV -  cerâmica 20x20 cm - incluindo rejunte - conforme projeto</t>
  </si>
  <si>
    <t>Revestimento cerâmico de paredes PEI IV -  cerâmica 10x10 cm - incluindo rejunte - conforme projeto</t>
  </si>
  <si>
    <t>Aplicação de selador acrílico</t>
  </si>
  <si>
    <t>Demarcação de quadra com tinta acrílica</t>
  </si>
  <si>
    <t>Emassamento de superficie , com aplicação de 02 demãos de massa acrílica</t>
  </si>
  <si>
    <t>Emassamento sintético em estrutura de aço carbono 50 micra com revólver</t>
  </si>
  <si>
    <t>Pintura de acabamento com aplicação de 02 demãos de tinta acrílica</t>
  </si>
  <si>
    <t xml:space="preserve">Pintura de piso com tinta á base de resina epóxi </t>
  </si>
  <si>
    <t>Pintura em tinta PVA latex (02 demãos), inclusive emassamento</t>
  </si>
  <si>
    <t>PISOS</t>
  </si>
  <si>
    <t>Piso em concreto simples desempenado (esp.=5cm), inclusive contrapiso</t>
  </si>
  <si>
    <t>Piso cerâmico esmaltado PEI IV - 33x33 cm - incl, rejunte - conforme projeto</t>
  </si>
  <si>
    <t>INSTALAÇÕES HIDRÁULICAS</t>
  </si>
  <si>
    <t>Adaptador soldável curto c/ bolsa-rosca para registro 20 mm - 1/2''</t>
  </si>
  <si>
    <t>Adaptador soldável curto c/ bolsa-rosca para registro 25 mm - 3/4''</t>
  </si>
  <si>
    <t>Adaptador soldável curto c/ bolsa-rosca para registro 32 mm - 1''</t>
  </si>
  <si>
    <t>Adaptador soldável curto c/ bolsa-rosca para registro 50 mm - 1 1/2''</t>
  </si>
  <si>
    <t>Bucha de redução soldável curta 50 mm - 40 mm</t>
  </si>
  <si>
    <t>Bucha de redução soldável curta 40 mm - 25 mm</t>
  </si>
  <si>
    <t>Caixa d' água em fibra de vidro - cap, 3.000 litros</t>
  </si>
  <si>
    <t>Engate flexível plástico</t>
  </si>
  <si>
    <t>Flange para caixa d'agua 25 mm</t>
  </si>
  <si>
    <t>6.26</t>
  </si>
  <si>
    <t>6.40</t>
  </si>
  <si>
    <t>Joelho 90° soldável 25 mm</t>
  </si>
  <si>
    <t>Joelho 90° soldável 32 mm</t>
  </si>
  <si>
    <t>Joelho 90° soldável 50 mm</t>
  </si>
  <si>
    <t>Joelho 90° soldável com bucha de latão - 20 mm - 1/2''</t>
  </si>
  <si>
    <t>Joelho de redução 90 ° soldável 32 mm - 25 mm</t>
  </si>
  <si>
    <t>Joelho  de redução 90° soldável com bucha de latão - 25 mm - 1/2''</t>
  </si>
  <si>
    <t>Luva de redução soldável 40 mm - 32 mm</t>
  </si>
  <si>
    <t>Luva de redução soldável 50 mm - 20 mm</t>
  </si>
  <si>
    <t>Luva soldável 32 mm</t>
  </si>
  <si>
    <t>Luva soldável com rosca - 3/4''</t>
  </si>
  <si>
    <t>Registro de gaveta c/ canopla cromada (1'')</t>
  </si>
  <si>
    <t>Registro de gaveta c/ canopla cromada (1 1/2'')</t>
  </si>
  <si>
    <t>Registro de gaveta c/ canopla cromada (1/2'')</t>
  </si>
  <si>
    <t>Registro de gaveta c/ canopla cromada (3/4'')</t>
  </si>
  <si>
    <t>Registro de pressão c/ canopla cromada (3/4'')</t>
  </si>
  <si>
    <t>Tê 90° soldável -  25 mm</t>
  </si>
  <si>
    <t>Tê 90° soldável - 40 mm</t>
  </si>
  <si>
    <t>Tê 90° soldável - 50 mm</t>
  </si>
  <si>
    <t>Tê de redução 90° soldável 32 mm - 25 mm</t>
  </si>
  <si>
    <t>Tê de redução 90° soldável 50 mm - 40 mm</t>
  </si>
  <si>
    <t>Torneira cromada para lavatório 1/2''</t>
  </si>
  <si>
    <t>Torneira de Boia p/ caixa d' água em PVC d= 3/4''</t>
  </si>
  <si>
    <t>Tubo PVC rígido soldável - 20 mm</t>
  </si>
  <si>
    <t>Tubo PVC rígido soldável -  25 mm</t>
  </si>
  <si>
    <t>Tubo PVC rígido soldável - 32 mm</t>
  </si>
  <si>
    <t>Tubo PVC rígido soldável -  40 mm</t>
  </si>
  <si>
    <t>Tubo PVC rígido soldável -  50 mm</t>
  </si>
  <si>
    <t>União soldável - 20 mm</t>
  </si>
  <si>
    <t>6.41</t>
  </si>
  <si>
    <t>União soldável - 50 mm</t>
  </si>
  <si>
    <t>Vaso sanitário para deficiente físicos para  vávula de descarga, em louça branca, com acessórios, inclusive assento, conjunto de fixação, anel de vedação, tubo PVC de ligação</t>
  </si>
  <si>
    <t>Vaso sanitário sinfonado, para  vávula de descarga, em louça branca, com acessórios, inclusive assento, plástico, anel de vedação, tubo PVC de ligação</t>
  </si>
  <si>
    <t>INSTALAÇÕES SANITÁRIA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</si>
  <si>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</si>
  <si>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</si>
  <si>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</si>
  <si>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</si>
  <si>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</si>
  <si>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</si>
  <si>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</si>
  <si>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</si>
  <si>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</si>
  <si>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</si>
  <si>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</si>
  <si>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</si>
  <si>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</si>
  <si>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</si>
  <si>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</si>
  <si>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Bucha de redução longa 50mm - 40mm</t>
  </si>
  <si>
    <t>Caixa de Inspeção de esgoto sifonada (60x60cm)</t>
  </si>
  <si>
    <t>Caixa sifonada (100x100x60mm)</t>
  </si>
  <si>
    <t>Caixa sifonada (150x150x50mm)</t>
  </si>
  <si>
    <t>Curva 90° curta - 40 mm</t>
  </si>
  <si>
    <t>Fossa séptica em concreto armado (d=2,5 x h=12,00)</t>
  </si>
  <si>
    <t>Joelho 45° - 40 mm</t>
  </si>
  <si>
    <t>Joelho 45° - 50 mm</t>
  </si>
  <si>
    <t>Joelho 90° - 100 mm</t>
  </si>
  <si>
    <t>Joelho 90°  c/anel p/ esgoto secundário 40 mm - 1 1/2''</t>
  </si>
  <si>
    <t>Junção simples 100mm - 100mm</t>
  </si>
  <si>
    <t>Junção simples 100mm - 50mm</t>
  </si>
  <si>
    <t>Junção simples 50mm - 50mm</t>
  </si>
  <si>
    <t>Sifão de copo p/ pia e lavatório 1'' - 1 1/2''</t>
  </si>
  <si>
    <t>Sumidouro em alvenaria (d= 2,30 x h= 6,00)</t>
  </si>
  <si>
    <t>Tê sanitário 100 mm - 50 mm</t>
  </si>
  <si>
    <t>Tubo PVC ponta e bolso c/ virola - 50 mm</t>
  </si>
  <si>
    <t>Tubo rígido c/ ponta lisa 100mm</t>
  </si>
  <si>
    <t>Tubo rígido c/ponta lisa 40mm</t>
  </si>
  <si>
    <t>Tubo rígido c/ponta lisa 50mm</t>
  </si>
  <si>
    <t>Válvula p/ lavatório e tanque 1''</t>
  </si>
  <si>
    <t xml:space="preserve">DRENAGEM PLUVIAL </t>
  </si>
  <si>
    <t>8.2</t>
  </si>
  <si>
    <t>8.3</t>
  </si>
  <si>
    <t>8.4</t>
  </si>
  <si>
    <t>8.5</t>
  </si>
  <si>
    <t>Calha em chapa de aço galvanizado n° 24</t>
  </si>
  <si>
    <t>Tubo de queda - água pluvial DN= 150mm</t>
  </si>
  <si>
    <t>Joelho PVC 90° d=150mm - tubulação pluvial</t>
  </si>
  <si>
    <t>Ralo hemisférico tipo "abacaxi" com tela de aço com funil de salda cônica</t>
  </si>
  <si>
    <t>Canaleta de concreto c/ tampa removível em chapa de aço (25 x 25 x 25cm)</t>
  </si>
  <si>
    <t>INSTALAÇÕES ELÉTRICAS</t>
  </si>
  <si>
    <t>Condutor de cobre unipolar, isolado em PVC/70°C, camada de proteção em PVC, não propagador de chamas, classe de tensão 750V, encordoamento classe 5, flexível, com seção 2,5mm²</t>
  </si>
  <si>
    <t>Condutor de cobre unipolar, isolado em PVC/70°C, camada de proteção em PVC, não propagador de chamas, classe de tensão 750V, encordoamento classe 5, flexível, com seção 4,0mm²</t>
  </si>
  <si>
    <t>Condutor de cobre unipolar, isolado em PVC/70°C, camada de proteção em PVC, não propagador de chamas, classe de tensão 750V, encordoamento classe 5, flexível, com seção 16mm²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</si>
  <si>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</si>
  <si>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</si>
  <si>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</si>
  <si>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</si>
  <si>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</si>
  <si>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</si>
  <si>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</si>
  <si>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</si>
  <si>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</si>
  <si>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</si>
  <si>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</si>
  <si>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</si>
  <si>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Condutor de cobre unipolar, isolado em PVC/70°C, camada de proteção em PVC, não propagador de chamas, classe de tensão 750V, encordoamento classe 5, flexível, com seção 35mm²</t>
  </si>
  <si>
    <t>Tomada 2P + T de embutir, 10A completa</t>
  </si>
  <si>
    <t>Tomada 2P + T para piso, 10A completa</t>
  </si>
  <si>
    <t>Interruptor 1 tecla simples</t>
  </si>
  <si>
    <t>Disjuntor termomagnético 10A, padrão DIN (linha branca)</t>
  </si>
  <si>
    <t>Disjuntor termomagnético 20A, padrão DIN (linha branca)</t>
  </si>
  <si>
    <t>Disjuntor termomagnético 25A, padrão DIN (linha branca)</t>
  </si>
  <si>
    <t>Disjuntor termomagnético 150A, padrão DIN (linha branca)</t>
  </si>
  <si>
    <t>Disjuntor termomagnético 175A, padrão DIN (linha branca)</t>
  </si>
  <si>
    <t>Disjuntior residual diferencial - DR 125A In 30mA</t>
  </si>
  <si>
    <t>Qaudro de distribuição de embutir, com barrramento, em chapa de aço, para 4 disjuntores unipolares + 8 Bipolares +1 tripolar +1 DR, padrão europeu ( linha branca), exclusive disjuntores</t>
  </si>
  <si>
    <t>Qaudro de distribuição de embutir, com barrramento, em chapa de aço, para 1 disjuntores unipolares + 5 Bipolares +2 tripolar,  padrão europeu ( linha branca), exclusive disjuntores</t>
  </si>
  <si>
    <t>Eletroduto de PVC rígido roscável, 1'', inclusive curvas</t>
  </si>
  <si>
    <t>Eletroduto de PVC rígido roscável, 3/4'', inclusive curvas</t>
  </si>
  <si>
    <t>Eletroduto de PVC rígido roscável, 1 1/2'', inclusive curvas</t>
  </si>
  <si>
    <t>Eletroduto de ferro galvanizado d=3/4'' - incluindo braçadeira</t>
  </si>
  <si>
    <t>Eletroduto de ferro galvanizado d=1'' - incluindo braçadeira</t>
  </si>
  <si>
    <t>Eletroduto de ferro galvanizado d=1 1/2'' - incluindo braçadeira</t>
  </si>
  <si>
    <t>Luminária calha sobrepor p/lamp. Fluorencente 2x40w, completa, incluindo reator eletrônico e lampadas</t>
  </si>
  <si>
    <t>Luminária calha sobrepor p/lamp. Fluorencente 1x40w, completa, incluindo reator eletrônico e lampadas</t>
  </si>
  <si>
    <t>Luminaria blindada p/ alta pressão, linha industrial projetor, hermético p/ lâmpada de luz mista 500w, com proteção da lâmpada</t>
  </si>
  <si>
    <t>Caixa de Inpeção 30x30x40cm com tampa  de ferro fundido</t>
  </si>
  <si>
    <t>Conector de bronze prata haste 3/8''</t>
  </si>
  <si>
    <t>Cordoalha de cobre nú 35 mm²</t>
  </si>
  <si>
    <t>Haste tipo Cooperweld 5/8'' - 3m</t>
  </si>
  <si>
    <t>Tubo PVC - 40mm</t>
  </si>
  <si>
    <t xml:space="preserve">Terminal de pressão tipo prensa com 4 parafusos </t>
  </si>
  <si>
    <t>SERVIÇOS DIVERSOS</t>
  </si>
  <si>
    <t>11.11</t>
  </si>
  <si>
    <t>11.12</t>
  </si>
  <si>
    <t>Alambrado com tela de arame galvanizado fio 12 bwg, malha 2'', revestido em PVC, fixada com  tubos de ferro galvanizado 2''</t>
  </si>
  <si>
    <t>Portão em tubo  de ferro galvanizado 2'' e tela de arame galvanizado fio 12 bwg, malha 2'', revestido em PVC, inclusive dobradiças e fechaduras</t>
  </si>
  <si>
    <t>Bancada em granito cinza andorinha para lavatório com testeiras - espessuras 2cm, largura 50cm, conforme projeto</t>
  </si>
  <si>
    <t>Banco de concreto armado polido (l=0,45m) sem arestas, conforme projeto</t>
  </si>
  <si>
    <t>Barra de Apoio p/ PNE em ferro galvanizado de 1 1/2'', l=140 cm (lavatório), incluindo parafusos de fixação e pintiura</t>
  </si>
  <si>
    <t>Barra de Apoio p/ PNE em ferro galvanizado de 1 1/2'', l=80cm (lavatório), incluindo parafusos de fixação e pintiura</t>
  </si>
  <si>
    <t>Espelho plano 4mm</t>
  </si>
  <si>
    <t>Estrutura metálica c/tabelas de basquete</t>
  </si>
  <si>
    <t>Estrutura metálica de traves de futsal</t>
  </si>
  <si>
    <t>Estrutura metálica p/ rede de voley</t>
  </si>
  <si>
    <t>Soleira em granito cinza andorinha, l= 15 cm, e= 2,5 cm</t>
  </si>
  <si>
    <t>limpeza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</si>
</sst>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_-;\-* #,##0.0000_-;_-* &quot;-&quot;??_-;_-@_-"/>
    <numFmt numFmtId="165" formatCode="#,"/>
    <numFmt numFmtId="166" formatCode="#,#00"/>
    <numFmt numFmtId="167" formatCode="_(&quot;R$ &quot;* #,##0.00_);_(&quot;R$ &quot;* \(#,##0.00\);_(&quot;R$ &quot;* &quot;-&quot;??_);_(@_)"/>
    <numFmt numFmtId="168" formatCode="&quot;R$ &quot;#,##0.00"/>
    <numFmt numFmtId="169" formatCode="_(&quot;R$&quot;* #,##0.00_);_(&quot;R$&quot;* \(#,##0.00\);_(&quot;R$&quot;* &quot;-&quot;??_);_(@_)"/>
    <numFmt numFmtId="170" formatCode="%#,#00"/>
    <numFmt numFmtId="171" formatCode="#.##000"/>
    <numFmt numFmtId="172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ourier"/>
      <family val="3"/>
    </font>
    <font>
      <b/>
      <sz val="14"/>
      <name val="Calibri"/>
      <family val="2"/>
      <scheme val="minor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8"/>
      <name val="Courier"/>
      <family val="3"/>
    </font>
    <font>
      <b/>
      <sz val="1"/>
      <color indexed="16"/>
      <name val="Courier"/>
      <family val="3"/>
    </font>
    <font>
      <sz val="1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"/>
      <color indexed="18"/>
      <name val="Courier"/>
      <family val="3"/>
    </font>
    <font>
      <vertAlign val="superscript"/>
      <sz val="9"/>
      <name val="Courier New"/>
      <family val="3"/>
    </font>
    <font>
      <b/>
      <sz val="1"/>
      <color indexed="8"/>
      <name val="Courier"/>
      <family val="3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7" fillId="0" borderId="0"/>
    <xf numFmtId="0" fontId="19" fillId="0" borderId="0"/>
    <xf numFmtId="165" fontId="20" fillId="0" borderId="0">
      <protection locked="0"/>
    </xf>
    <xf numFmtId="165" fontId="20" fillId="0" borderId="0">
      <protection locked="0"/>
    </xf>
    <xf numFmtId="165" fontId="20" fillId="0" borderId="0">
      <protection locked="0"/>
    </xf>
    <xf numFmtId="165" fontId="20" fillId="0" borderId="0">
      <protection locked="0"/>
    </xf>
    <xf numFmtId="0" fontId="21" fillId="0" borderId="0">
      <protection locked="0"/>
    </xf>
    <xf numFmtId="165" fontId="20" fillId="0" borderId="0">
      <protection locked="0"/>
    </xf>
    <xf numFmtId="0" fontId="14" fillId="0" borderId="0"/>
    <xf numFmtId="165" fontId="20" fillId="0" borderId="0">
      <protection locked="0"/>
    </xf>
    <xf numFmtId="166" fontId="21" fillId="0" borderId="0">
      <protection locked="0"/>
    </xf>
    <xf numFmtId="165" fontId="22" fillId="0" borderId="0">
      <protection locked="0"/>
    </xf>
    <xf numFmtId="165" fontId="22" fillId="0" borderId="0">
      <protection locked="0"/>
    </xf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14" fillId="0" borderId="0"/>
    <xf numFmtId="0" fontId="2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165" fontId="20" fillId="0" borderId="0">
      <protection locked="0"/>
    </xf>
    <xf numFmtId="170" fontId="21" fillId="0" borderId="0">
      <protection locked="0"/>
    </xf>
    <xf numFmtId="171" fontId="21" fillId="0" borderId="0">
      <protection locked="0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4" fillId="0" borderId="0" quotePrefix="1" applyFont="0" applyFill="0" applyBorder="0" applyAlignment="0">
      <protection locked="0"/>
    </xf>
    <xf numFmtId="9" fontId="25" fillId="0" borderId="0" applyFont="0" applyFill="0" applyBorder="0" applyAlignment="0" applyProtection="0"/>
    <xf numFmtId="165" fontId="26" fillId="0" borderId="0">
      <protection locked="0"/>
    </xf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27" fillId="0" borderId="0"/>
    <xf numFmtId="165" fontId="28" fillId="0" borderId="0">
      <protection locked="0"/>
    </xf>
    <xf numFmtId="165" fontId="28" fillId="0" borderId="0">
      <protection locked="0"/>
    </xf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43" fontId="14" fillId="0" borderId="0" quotePrefix="1" applyFont="0" applyFill="0" applyBorder="0" applyAlignment="0">
      <protection locked="0"/>
    </xf>
    <xf numFmtId="172" fontId="14" fillId="0" borderId="0" applyFont="0" applyFill="0" applyBorder="0" applyAlignment="0" applyProtection="0"/>
    <xf numFmtId="172" fontId="25" fillId="0" borderId="0" applyFont="0" applyFill="0" applyBorder="0" applyAlignment="0" applyProtection="0"/>
    <xf numFmtId="3" fontId="14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Border="1"/>
    <xf numFmtId="0" fontId="3" fillId="0" borderId="0" xfId="0" applyFont="1"/>
    <xf numFmtId="43" fontId="4" fillId="0" borderId="0" xfId="1" applyFont="1" applyAlignment="1">
      <alignment vertical="center"/>
    </xf>
    <xf numFmtId="43" fontId="3" fillId="0" borderId="0" xfId="1" applyFont="1" applyAlignment="1">
      <alignment vertical="center"/>
    </xf>
    <xf numFmtId="2" fontId="5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4" fontId="3" fillId="0" borderId="0" xfId="0" applyNumberFormat="1" applyFont="1" applyFill="1" applyAlignment="1">
      <alignment vertical="center"/>
    </xf>
    <xf numFmtId="43" fontId="4" fillId="0" borderId="0" xfId="1" applyFont="1" applyFill="1" applyAlignment="1">
      <alignment vertical="center"/>
    </xf>
    <xf numFmtId="43" fontId="3" fillId="0" borderId="0" xfId="1" applyFont="1" applyFill="1" applyAlignment="1">
      <alignment vertical="center"/>
    </xf>
    <xf numFmtId="2" fontId="5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44" fontId="3" fillId="0" borderId="0" xfId="0" applyNumberFormat="1" applyFont="1" applyFill="1" applyAlignment="1">
      <alignment vertical="center"/>
    </xf>
    <xf numFmtId="10" fontId="3" fillId="0" borderId="0" xfId="3" applyNumberFormat="1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10" fontId="0" fillId="0" borderId="0" xfId="0" applyNumberFormat="1" applyFill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0" xfId="3" applyNumberFormat="1" applyFont="1" applyFill="1" applyAlignment="1">
      <alignment vertical="center"/>
    </xf>
    <xf numFmtId="164" fontId="3" fillId="0" borderId="0" xfId="3" applyNumberFormat="1" applyFont="1" applyFill="1" applyAlignment="1">
      <alignment vertical="center"/>
    </xf>
    <xf numFmtId="44" fontId="3" fillId="0" borderId="0" xfId="3" applyNumberFormat="1" applyFont="1" applyFill="1" applyAlignment="1">
      <alignment vertical="center"/>
    </xf>
    <xf numFmtId="44" fontId="0" fillId="0" borderId="0" xfId="0" applyNumberFormat="1" applyFill="1" applyAlignment="1">
      <alignment vertical="center"/>
    </xf>
    <xf numFmtId="44" fontId="0" fillId="0" borderId="0" xfId="2" applyFont="1" applyFill="1" applyAlignment="1">
      <alignment vertical="center"/>
    </xf>
    <xf numFmtId="44" fontId="7" fillId="0" borderId="1" xfId="2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vertical="center"/>
    </xf>
    <xf numFmtId="4" fontId="8" fillId="0" borderId="1" xfId="2" applyNumberFormat="1" applyFont="1" applyFill="1" applyBorder="1" applyAlignment="1">
      <alignment vertical="center"/>
    </xf>
    <xf numFmtId="43" fontId="0" fillId="0" borderId="0" xfId="0" applyNumberFormat="1" applyFill="1" applyAlignment="1">
      <alignment vertical="center"/>
    </xf>
    <xf numFmtId="43" fontId="8" fillId="0" borderId="0" xfId="1" applyFont="1" applyFill="1" applyBorder="1" applyAlignment="1">
      <alignment vertical="center"/>
    </xf>
    <xf numFmtId="43" fontId="1" fillId="0" borderId="1" xfId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4" fontId="0" fillId="0" borderId="0" xfId="0" applyNumberFormat="1" applyFill="1" applyAlignment="1">
      <alignment vertical="center"/>
    </xf>
    <xf numFmtId="43" fontId="8" fillId="2" borderId="1" xfId="1" applyFont="1" applyFill="1" applyBorder="1" applyAlignment="1">
      <alignment vertical="center"/>
    </xf>
    <xf numFmtId="4" fontId="7" fillId="2" borderId="1" xfId="2" applyNumberFormat="1" applyFont="1" applyFill="1" applyBorder="1" applyAlignment="1">
      <alignment vertical="center"/>
    </xf>
    <xf numFmtId="43" fontId="1" fillId="2" borderId="1" xfId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4" fontId="8" fillId="3" borderId="1" xfId="2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0" fillId="3" borderId="0" xfId="0" applyNumberFormat="1" applyFill="1" applyAlignment="1">
      <alignment vertical="center"/>
    </xf>
    <xf numFmtId="43" fontId="8" fillId="3" borderId="0" xfId="1" applyFont="1" applyFill="1" applyBorder="1" applyAlignment="1">
      <alignment vertical="center"/>
    </xf>
    <xf numFmtId="43" fontId="1" fillId="3" borderId="1" xfId="1" applyFont="1" applyFill="1" applyBorder="1" applyAlignment="1">
      <alignment vertical="center"/>
    </xf>
    <xf numFmtId="2" fontId="9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43" fontId="10" fillId="0" borderId="1" xfId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43" fontId="0" fillId="4" borderId="0" xfId="0" applyNumberFormat="1" applyFill="1" applyAlignment="1">
      <alignment vertical="center"/>
    </xf>
    <xf numFmtId="43" fontId="8" fillId="4" borderId="0" xfId="1" applyFont="1" applyFill="1" applyBorder="1" applyAlignment="1">
      <alignment vertical="center"/>
    </xf>
    <xf numFmtId="43" fontId="7" fillId="0" borderId="0" xfId="1" applyFont="1" applyFill="1" applyBorder="1" applyAlignment="1">
      <alignment vertical="center"/>
    </xf>
    <xf numFmtId="0" fontId="1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43" fontId="8" fillId="0" borderId="0" xfId="1" applyFont="1" applyBorder="1" applyAlignment="1">
      <alignment vertical="center"/>
    </xf>
    <xf numFmtId="0" fontId="0" fillId="0" borderId="0" xfId="0" applyBorder="1" applyAlignment="1">
      <alignment vertical="center"/>
    </xf>
    <xf numFmtId="43" fontId="7" fillId="0" borderId="0" xfId="1" applyFont="1" applyBorder="1" applyAlignment="1">
      <alignment vertical="center"/>
    </xf>
    <xf numFmtId="43" fontId="7" fillId="0" borderId="0" xfId="1" applyFont="1" applyBorder="1" applyAlignment="1">
      <alignment vertical="center"/>
    </xf>
    <xf numFmtId="43" fontId="7" fillId="0" borderId="0" xfId="1" applyFont="1" applyBorder="1" applyAlignment="1">
      <alignment vertical="center" wrapText="1"/>
    </xf>
    <xf numFmtId="43" fontId="7" fillId="0" borderId="0" xfId="1" applyFont="1" applyBorder="1" applyAlignment="1">
      <alignment vertical="center" wrapText="1"/>
    </xf>
    <xf numFmtId="4" fontId="13" fillId="0" borderId="0" xfId="1" applyNumberFormat="1" applyFont="1" applyFill="1" applyAlignment="1">
      <alignment horizontal="right" vertical="center"/>
    </xf>
    <xf numFmtId="43" fontId="13" fillId="0" borderId="0" xfId="1" applyFont="1" applyFill="1" applyAlignment="1">
      <alignment vertical="center"/>
    </xf>
    <xf numFmtId="2" fontId="11" fillId="0" borderId="0" xfId="1" applyNumberFormat="1" applyFont="1" applyFill="1" applyAlignment="1">
      <alignment horizontal="center" vertical="center"/>
    </xf>
    <xf numFmtId="0" fontId="13" fillId="0" borderId="0" xfId="4" applyNumberFormat="1" applyFont="1" applyFill="1" applyAlignment="1">
      <alignment horizontal="center" vertical="center"/>
    </xf>
    <xf numFmtId="0" fontId="15" fillId="0" borderId="0" xfId="4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4" fontId="13" fillId="0" borderId="0" xfId="5" applyNumberFormat="1" applyFont="1" applyFill="1" applyAlignment="1">
      <alignment vertical="center"/>
    </xf>
    <xf numFmtId="44" fontId="0" fillId="0" borderId="0" xfId="0" applyNumberFormat="1" applyAlignment="1">
      <alignment vertical="center"/>
    </xf>
    <xf numFmtId="0" fontId="13" fillId="0" borderId="0" xfId="4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9" fillId="0" borderId="0" xfId="0" applyNumberFormat="1" applyFont="1" applyFill="1" applyAlignment="1">
      <alignment horizontal="center" vertical="center"/>
    </xf>
    <xf numFmtId="0" fontId="15" fillId="0" borderId="0" xfId="4" applyNumberFormat="1" applyFont="1" applyFill="1" applyAlignment="1">
      <alignment horizontal="center" vertical="center"/>
    </xf>
    <xf numFmtId="2" fontId="30" fillId="0" borderId="0" xfId="1" applyNumberFormat="1" applyFont="1" applyFill="1" applyAlignment="1">
      <alignment horizontal="center" vertical="center"/>
    </xf>
    <xf numFmtId="43" fontId="15" fillId="0" borderId="0" xfId="1" applyFont="1" applyFill="1" applyAlignment="1">
      <alignment vertical="center"/>
    </xf>
    <xf numFmtId="4" fontId="15" fillId="0" borderId="0" xfId="1" applyNumberFormat="1" applyFont="1" applyFill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right" vertical="center"/>
    </xf>
    <xf numFmtId="0" fontId="15" fillId="0" borderId="0" xfId="4" applyFont="1" applyFill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8" fillId="0" borderId="0" xfId="6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3" fontId="7" fillId="0" borderId="0" xfId="1" applyFont="1" applyBorder="1" applyAlignment="1">
      <alignment vertical="center" wrapText="1"/>
    </xf>
    <xf numFmtId="43" fontId="7" fillId="0" borderId="0" xfId="1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0" xfId="4" applyFont="1" applyFill="1" applyAlignment="1">
      <alignment horizontal="left" vertical="center" wrapText="1"/>
    </xf>
    <xf numFmtId="4" fontId="7" fillId="0" borderId="5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2" fontId="31" fillId="0" borderId="0" xfId="0" applyNumberFormat="1" applyFont="1"/>
    <xf numFmtId="44" fontId="0" fillId="0" borderId="0" xfId="0" applyNumberFormat="1"/>
  </cellXfs>
  <cellStyles count="113">
    <cellStyle name="0,0_x000d__x000a_NA_x000d__x000a_" xfId="7"/>
    <cellStyle name="Comma" xfId="8"/>
    <cellStyle name="Comma0" xfId="9"/>
    <cellStyle name="Currency" xfId="10"/>
    <cellStyle name="Currency0" xfId="11"/>
    <cellStyle name="Data" xfId="12"/>
    <cellStyle name="Date" xfId="13"/>
    <cellStyle name="Euro" xfId="14"/>
    <cellStyle name="Fixed" xfId="15"/>
    <cellStyle name="Fixo" xfId="16"/>
    <cellStyle name="Heading 1" xfId="17"/>
    <cellStyle name="Heading 2" xfId="18"/>
    <cellStyle name="Moeda" xfId="2" builtinId="4"/>
    <cellStyle name="Moeda 2" xfId="19"/>
    <cellStyle name="Moeda 2 2" xfId="20"/>
    <cellStyle name="Moeda 3" xfId="21"/>
    <cellStyle name="Moeda0" xfId="22"/>
    <cellStyle name="Normal" xfId="0" builtinId="0"/>
    <cellStyle name="Normal 10" xfId="23"/>
    <cellStyle name="Normal 11 2" xfId="24"/>
    <cellStyle name="Normal 11 3" xfId="25"/>
    <cellStyle name="Normal 11 4" xfId="26"/>
    <cellStyle name="Normal 11 5" xfId="27"/>
    <cellStyle name="Normal 11 6" xfId="28"/>
    <cellStyle name="Normal 11 7" xfId="29"/>
    <cellStyle name="Normal 11 8" xfId="30"/>
    <cellStyle name="Normal 13" xfId="31"/>
    <cellStyle name="Normal 2" xfId="32"/>
    <cellStyle name="Normal 2 10" xfId="33"/>
    <cellStyle name="Normal 2 11" xfId="34"/>
    <cellStyle name="Normal 2 12" xfId="35"/>
    <cellStyle name="Normal 2 2" xfId="36"/>
    <cellStyle name="Normal 2 2 10" xfId="37"/>
    <cellStyle name="Normal 2 2 11" xfId="38"/>
    <cellStyle name="Normal 2 2 2" xfId="39"/>
    <cellStyle name="Normal 2 2 2 2" xfId="6"/>
    <cellStyle name="Normal 2 2 2 3" xfId="40"/>
    <cellStyle name="Normal 2 2 2 4" xfId="41"/>
    <cellStyle name="Normal 2 2 2 5" xfId="42"/>
    <cellStyle name="Normal 2 2 2 6" xfId="43"/>
    <cellStyle name="Normal 2 2 2 7" xfId="44"/>
    <cellStyle name="Normal 2 2 2 8" xfId="45"/>
    <cellStyle name="Normal 2 2 3" xfId="46"/>
    <cellStyle name="Normal 2 2 4" xfId="47"/>
    <cellStyle name="Normal 2 2 5" xfId="48"/>
    <cellStyle name="Normal 2 2 6" xfId="49"/>
    <cellStyle name="Normal 2 2 7" xfId="50"/>
    <cellStyle name="Normal 2 2 8" xfId="51"/>
    <cellStyle name="Normal 2 2 9" xfId="52"/>
    <cellStyle name="Normal 2 3" xfId="53"/>
    <cellStyle name="Normal 2 3 2" xfId="54"/>
    <cellStyle name="Normal 2 3 3" xfId="55"/>
    <cellStyle name="Normal 2 3 4" xfId="56"/>
    <cellStyle name="Normal 2 3 5" xfId="57"/>
    <cellStyle name="Normal 2 3 6" xfId="58"/>
    <cellStyle name="Normal 2 3 7" xfId="59"/>
    <cellStyle name="Normal 2 3 8" xfId="60"/>
    <cellStyle name="Normal 2 4" xfId="61"/>
    <cellStyle name="Normal 2 5" xfId="62"/>
    <cellStyle name="Normal 2 6" xfId="63"/>
    <cellStyle name="Normal 2 7" xfId="64"/>
    <cellStyle name="Normal 2 8" xfId="65"/>
    <cellStyle name="Normal 2 9" xfId="66"/>
    <cellStyle name="Normal 2_Orçamento Duque de Caxias" xfId="67"/>
    <cellStyle name="Normal 3" xfId="5"/>
    <cellStyle name="Normal 3 2" xfId="68"/>
    <cellStyle name="Normal 3 2 2" xfId="69"/>
    <cellStyle name="Normal 3 3" xfId="70"/>
    <cellStyle name="Normal 4" xfId="71"/>
    <cellStyle name="Normal 4 2" xfId="72"/>
    <cellStyle name="Normal 49" xfId="73"/>
    <cellStyle name="Normal 5" xfId="74"/>
    <cellStyle name="Normal 5 2" xfId="75"/>
    <cellStyle name="Normal 5 3" xfId="76"/>
    <cellStyle name="Normal 5 4" xfId="77"/>
    <cellStyle name="Normal 5 5" xfId="78"/>
    <cellStyle name="Normal 6" xfId="79"/>
    <cellStyle name="Normal 7" xfId="80"/>
    <cellStyle name="Normal 8" xfId="81"/>
    <cellStyle name="Normal 9" xfId="82"/>
    <cellStyle name="Normal_22 - Memória 22ª medição REDENÇÃO (ADITIVO) 2" xfId="4"/>
    <cellStyle name="Percent" xfId="83"/>
    <cellStyle name="Percentual" xfId="84"/>
    <cellStyle name="Ponto" xfId="85"/>
    <cellStyle name="Porcentagem" xfId="3" builtinId="5"/>
    <cellStyle name="Porcentagem 2" xfId="86"/>
    <cellStyle name="Porcentagem 2 2" xfId="87"/>
    <cellStyle name="Porcentagem 2 3" xfId="88"/>
    <cellStyle name="Porcentagem 2 4" xfId="89"/>
    <cellStyle name="Porcentagem 2 5" xfId="90"/>
    <cellStyle name="Porcentagem 2 6" xfId="91"/>
    <cellStyle name="Porcentagem 3" xfId="92"/>
    <cellStyle name="Porcentagem 4" xfId="93"/>
    <cellStyle name="Porcentagem 5" xfId="94"/>
    <cellStyle name="Separador de m" xfId="95"/>
    <cellStyle name="Separador de milhares 2" xfId="96"/>
    <cellStyle name="Separador de milhares 2 2" xfId="97"/>
    <cellStyle name="Separador de milhares 2 3" xfId="98"/>
    <cellStyle name="Separador de milhares 2 4" xfId="99"/>
    <cellStyle name="Separador de milhares 2 5" xfId="100"/>
    <cellStyle name="Separador de milhares 2 6" xfId="101"/>
    <cellStyle name="Separador de milhares 3" xfId="102"/>
    <cellStyle name="Separador de milhares 3 2" xfId="103"/>
    <cellStyle name="SUB" xfId="104"/>
    <cellStyle name="Titulo1" xfId="105"/>
    <cellStyle name="Titulo2" xfId="106"/>
    <cellStyle name="Vírgula" xfId="1" builtinId="3"/>
    <cellStyle name="Vírgula 2" xfId="107"/>
    <cellStyle name="Vírgula 2 2" xfId="108"/>
    <cellStyle name="Vírgula 3" xfId="109"/>
    <cellStyle name="Vírgula 4" xfId="110"/>
    <cellStyle name="Vírgula 5" xfId="111"/>
    <cellStyle name="Vírgula0" xfId="1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INFANCIA%20TIPO%201%20-%20BAIRRO%20MULTIR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Resumo Geral"/>
      <sheetName val="Comp"/>
      <sheetName val="orçamento"/>
      <sheetName val="Cronograma"/>
      <sheetName val="BDI"/>
      <sheetName val="Enc. Soc. (Horista)"/>
      <sheetName val="Enc. Soc. (Mensalista)"/>
    </sheetNames>
    <sheetDataSet>
      <sheetData sheetId="0"/>
      <sheetData sheetId="1">
        <row r="1">
          <cell r="A1" t="str">
            <v xml:space="preserve">   H C GOMES CONSTRUTORA COMÉRCIO E SERVIÇOS EIRELI - EPP                                                                                       CNPJ: 18.235.336/0001-07, Incs. Municipal: 30.476, Trav. João Augusto, nº 847 -                                                      Bairro: São Pedro - CEP: 68.400-000 - Cametá - Pará</v>
          </cell>
        </row>
        <row r="2">
          <cell r="A2">
            <v>0</v>
          </cell>
        </row>
        <row r="3">
          <cell r="A3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showGridLines="0" tabSelected="1" view="pageBreakPreview" topLeftCell="C142" zoomScaleNormal="100" zoomScaleSheetLayoutView="100" zoomScalePageLayoutView="90" workbookViewId="0">
      <selection activeCell="O156" sqref="O156"/>
    </sheetView>
  </sheetViews>
  <sheetFormatPr defaultRowHeight="15" x14ac:dyDescent="0.25"/>
  <cols>
    <col min="1" max="1" width="9.140625" style="2" hidden="1" customWidth="1"/>
    <col min="2" max="2" width="11.42578125" style="8" hidden="1" customWidth="1"/>
    <col min="3" max="3" width="7.85546875" style="6" bestFit="1" customWidth="1"/>
    <col min="4" max="4" width="74.42578125" style="7" bestFit="1" customWidth="1"/>
    <col min="5" max="5" width="6" style="6" customWidth="1"/>
    <col min="6" max="6" width="8.28515625" style="5" customWidth="1"/>
    <col min="7" max="7" width="9.85546875" style="4" bestFit="1" customWidth="1"/>
    <col min="8" max="8" width="9.85546875" style="3" hidden="1" customWidth="1"/>
    <col min="9" max="9" width="16.140625" style="2" hidden="1" customWidth="1"/>
    <col min="10" max="10" width="16.7109375" style="2" customWidth="1"/>
    <col min="11" max="11" width="2.5703125" customWidth="1"/>
    <col min="12" max="12" width="9.140625" style="1"/>
    <col min="13" max="13" width="15.85546875" bestFit="1" customWidth="1"/>
    <col min="14" max="14" width="10.5703125" bestFit="1" customWidth="1"/>
    <col min="15" max="15" width="13.28515625" bestFit="1" customWidth="1"/>
  </cols>
  <sheetData>
    <row r="1" spans="1:14" s="76" customFormat="1" ht="26.25" customHeight="1" x14ac:dyDescent="0.25">
      <c r="A1" s="113" t="str">
        <f>'[1]Resumo Geral'!A1:D4</f>
        <v xml:space="preserve">   H C GOMES CONSTRUTORA COMÉRCIO E SERVIÇOS EIRELI - EPP                                                                                       CNPJ: 18.235.336/0001-07, Incs. Municipal: 30.476, Trav. João Augusto, nº 847 -                                                      Bairro: São Pedro - CEP: 68.400-000 - Cametá - Pará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79"/>
    </row>
    <row r="2" spans="1:14" s="76" customFormat="1" ht="15.7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79"/>
    </row>
    <row r="3" spans="1:14" s="76" customFormat="1" ht="15.7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79"/>
    </row>
    <row r="4" spans="1:14" s="76" customFormat="1" ht="1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79"/>
    </row>
    <row r="5" spans="1:14" s="76" customFormat="1" ht="26.25" customHeight="1" x14ac:dyDescent="0.25">
      <c r="A5" s="95"/>
      <c r="B5" s="95"/>
      <c r="C5" s="119" t="s">
        <v>118</v>
      </c>
      <c r="D5" s="119"/>
      <c r="E5" s="119"/>
      <c r="F5" s="119"/>
      <c r="G5" s="119"/>
      <c r="H5" s="119"/>
      <c r="I5" s="119"/>
      <c r="J5" s="119"/>
      <c r="L5" s="79"/>
    </row>
    <row r="6" spans="1:14" s="76" customFormat="1" ht="15" customHeight="1" x14ac:dyDescent="0.25">
      <c r="A6" s="96"/>
      <c r="B6" s="96"/>
      <c r="C6" s="119"/>
      <c r="D6" s="119"/>
      <c r="E6" s="119"/>
      <c r="F6" s="119"/>
      <c r="G6" s="119"/>
      <c r="H6" s="119"/>
      <c r="I6" s="119"/>
      <c r="J6" s="119"/>
      <c r="K6" s="94"/>
      <c r="L6" s="79"/>
    </row>
    <row r="7" spans="1:14" s="76" customFormat="1" x14ac:dyDescent="0.25">
      <c r="A7" s="114" t="s">
        <v>119</v>
      </c>
      <c r="B7" s="115"/>
      <c r="C7" s="115"/>
      <c r="D7" s="115"/>
      <c r="E7" s="87"/>
      <c r="F7" s="86"/>
      <c r="G7" s="85"/>
      <c r="H7" s="85"/>
      <c r="I7" s="84"/>
      <c r="J7" s="84"/>
      <c r="L7" s="79"/>
    </row>
    <row r="8" spans="1:14" s="76" customFormat="1" ht="17.25" customHeight="1" x14ac:dyDescent="0.25">
      <c r="A8" s="114" t="s">
        <v>120</v>
      </c>
      <c r="B8" s="115"/>
      <c r="C8" s="115"/>
      <c r="D8" s="115"/>
      <c r="E8" s="115"/>
      <c r="F8" s="115"/>
      <c r="G8" s="85"/>
      <c r="H8" s="85"/>
      <c r="I8" s="93"/>
      <c r="J8" s="93"/>
      <c r="L8" s="79"/>
    </row>
    <row r="9" spans="1:14" s="76" customFormat="1" x14ac:dyDescent="0.25">
      <c r="A9" s="105" t="s">
        <v>121</v>
      </c>
      <c r="B9" s="105"/>
      <c r="C9" s="105"/>
      <c r="D9" s="105"/>
      <c r="E9" s="105"/>
      <c r="F9" s="105"/>
      <c r="G9" s="105"/>
      <c r="H9" s="105"/>
      <c r="I9" s="105"/>
      <c r="J9" s="91"/>
      <c r="L9" s="79"/>
    </row>
    <row r="10" spans="1:14" s="76" customFormat="1" x14ac:dyDescent="0.25">
      <c r="A10" s="90"/>
      <c r="B10" s="89"/>
      <c r="C10" s="97"/>
      <c r="D10" s="88"/>
      <c r="E10" s="98"/>
      <c r="F10" s="99"/>
      <c r="G10" s="100"/>
      <c r="H10" s="100"/>
      <c r="I10" s="101"/>
      <c r="J10" s="101"/>
      <c r="L10" s="79"/>
    </row>
    <row r="11" spans="1:14" s="76" customFormat="1" x14ac:dyDescent="0.25">
      <c r="A11" s="106"/>
      <c r="B11" s="108" t="s">
        <v>116</v>
      </c>
      <c r="C11" s="110" t="s">
        <v>115</v>
      </c>
      <c r="D11" s="110" t="s">
        <v>114</v>
      </c>
      <c r="E11" s="111" t="s">
        <v>113</v>
      </c>
      <c r="F11" s="112" t="s">
        <v>112</v>
      </c>
      <c r="G11" s="122" t="s">
        <v>111</v>
      </c>
      <c r="H11" s="123" t="s">
        <v>110</v>
      </c>
      <c r="I11" s="124" t="s">
        <v>109</v>
      </c>
      <c r="J11" s="120" t="s">
        <v>117</v>
      </c>
      <c r="L11" s="116"/>
      <c r="M11" s="82"/>
    </row>
    <row r="12" spans="1:14" s="76" customFormat="1" x14ac:dyDescent="0.25">
      <c r="A12" s="107"/>
      <c r="B12" s="109"/>
      <c r="C12" s="110"/>
      <c r="D12" s="110"/>
      <c r="E12" s="111"/>
      <c r="F12" s="112"/>
      <c r="G12" s="122"/>
      <c r="H12" s="123"/>
      <c r="I12" s="124"/>
      <c r="J12" s="121"/>
      <c r="L12" s="117"/>
      <c r="M12" s="80"/>
    </row>
    <row r="13" spans="1:14" s="76" customFormat="1" x14ac:dyDescent="0.25">
      <c r="A13" s="62"/>
      <c r="B13" s="48"/>
      <c r="C13" s="47">
        <v>1</v>
      </c>
      <c r="D13" s="46" t="s">
        <v>108</v>
      </c>
      <c r="E13" s="75"/>
      <c r="F13" s="44"/>
      <c r="G13" s="41"/>
      <c r="H13" s="43"/>
      <c r="I13" s="42">
        <f>SUM(I14:I14)</f>
        <v>1127.3700000000001</v>
      </c>
      <c r="J13" s="42">
        <f>SUM(J14:J14)</f>
        <v>1007.73</v>
      </c>
      <c r="K13" s="40"/>
      <c r="L13" s="79"/>
    </row>
    <row r="14" spans="1:14" s="76" customFormat="1" x14ac:dyDescent="0.25">
      <c r="A14" s="31"/>
      <c r="B14" s="30" t="s">
        <v>107</v>
      </c>
      <c r="C14" s="39" t="s">
        <v>106</v>
      </c>
      <c r="D14" s="38" t="s">
        <v>122</v>
      </c>
      <c r="E14" s="37" t="s">
        <v>1</v>
      </c>
      <c r="F14" s="36">
        <v>3</v>
      </c>
      <c r="G14" s="35">
        <v>335.91</v>
      </c>
      <c r="H14" s="35">
        <v>375.79</v>
      </c>
      <c r="I14" s="32">
        <f>F14*H14</f>
        <v>1127.3700000000001</v>
      </c>
      <c r="J14" s="32">
        <f>F14*G14</f>
        <v>1007.73</v>
      </c>
      <c r="L14" s="78"/>
      <c r="M14" s="78"/>
      <c r="N14" s="77"/>
    </row>
    <row r="15" spans="1:14" s="9" customFormat="1" x14ac:dyDescent="0.25">
      <c r="A15" s="31"/>
      <c r="B15" s="48"/>
      <c r="C15" s="47">
        <v>2</v>
      </c>
      <c r="D15" s="46" t="s">
        <v>123</v>
      </c>
      <c r="E15" s="75"/>
      <c r="F15" s="44"/>
      <c r="G15" s="41"/>
      <c r="H15" s="43"/>
      <c r="I15" s="42">
        <f>SUM(I16:I17)</f>
        <v>133.5</v>
      </c>
      <c r="J15" s="42">
        <f>SUM(J16:J17)</f>
        <v>1279.144</v>
      </c>
      <c r="K15" s="40"/>
      <c r="L15" s="74"/>
      <c r="M15" s="34"/>
      <c r="N15" s="33"/>
    </row>
    <row r="16" spans="1:14" s="9" customFormat="1" x14ac:dyDescent="0.25">
      <c r="A16" s="31"/>
      <c r="B16" s="30">
        <v>79488</v>
      </c>
      <c r="C16" s="39" t="s">
        <v>105</v>
      </c>
      <c r="D16" s="38" t="s">
        <v>124</v>
      </c>
      <c r="E16" s="37" t="s">
        <v>125</v>
      </c>
      <c r="F16" s="36">
        <v>4</v>
      </c>
      <c r="G16" s="35">
        <v>203.08799999999999</v>
      </c>
      <c r="H16" s="35">
        <v>23.53</v>
      </c>
      <c r="I16" s="32">
        <f>F16*H16</f>
        <v>94.12</v>
      </c>
      <c r="J16" s="32">
        <f>F16*G16</f>
        <v>812.35199999999998</v>
      </c>
      <c r="L16" s="34"/>
      <c r="M16" s="34"/>
      <c r="N16" s="33"/>
    </row>
    <row r="17" spans="1:14" s="9" customFormat="1" ht="24" x14ac:dyDescent="0.25">
      <c r="A17" s="31"/>
      <c r="B17" s="30" t="s">
        <v>103</v>
      </c>
      <c r="C17" s="39" t="s">
        <v>104</v>
      </c>
      <c r="D17" s="38" t="s">
        <v>126</v>
      </c>
      <c r="E17" s="37" t="s">
        <v>125</v>
      </c>
      <c r="F17" s="36">
        <v>2</v>
      </c>
      <c r="G17" s="35">
        <v>233.39599999999999</v>
      </c>
      <c r="H17" s="35">
        <v>19.690000000000001</v>
      </c>
      <c r="I17" s="32">
        <f>F17*H17</f>
        <v>39.380000000000003</v>
      </c>
      <c r="J17" s="32">
        <f>F17*G17</f>
        <v>466.79199999999997</v>
      </c>
      <c r="L17" s="34"/>
      <c r="M17" s="34"/>
      <c r="N17" s="33"/>
    </row>
    <row r="18" spans="1:14" s="9" customFormat="1" x14ac:dyDescent="0.25">
      <c r="A18" s="31"/>
      <c r="B18" s="48" t="s">
        <v>12</v>
      </c>
      <c r="C18" s="47">
        <v>3</v>
      </c>
      <c r="D18" s="46" t="s">
        <v>127</v>
      </c>
      <c r="E18" s="45"/>
      <c r="F18" s="44"/>
      <c r="G18" s="41"/>
      <c r="H18" s="43"/>
      <c r="I18" s="42">
        <f>SUM(I19:I20)</f>
        <v>8130.2379999999994</v>
      </c>
      <c r="J18" s="42">
        <f>SUM(J19:J20)</f>
        <v>29067.099000000002</v>
      </c>
      <c r="K18" s="40"/>
      <c r="L18" s="74"/>
      <c r="M18" s="34"/>
      <c r="N18" s="33"/>
    </row>
    <row r="19" spans="1:14" s="9" customFormat="1" ht="24" x14ac:dyDescent="0.25">
      <c r="A19" s="31"/>
      <c r="B19" s="30" t="s">
        <v>102</v>
      </c>
      <c r="C19" s="39" t="s">
        <v>101</v>
      </c>
      <c r="D19" s="38" t="s">
        <v>128</v>
      </c>
      <c r="E19" s="37" t="s">
        <v>1</v>
      </c>
      <c r="F19" s="36">
        <v>328</v>
      </c>
      <c r="G19" s="35">
        <v>67.010000000000005</v>
      </c>
      <c r="H19" s="35">
        <v>20.49</v>
      </c>
      <c r="I19" s="32">
        <f>F19*H19</f>
        <v>6720.7199999999993</v>
      </c>
      <c r="J19" s="32">
        <f>F19*G19+0.65</f>
        <v>21979.930000000004</v>
      </c>
      <c r="K19" s="40"/>
      <c r="L19" s="74"/>
      <c r="M19" s="34"/>
      <c r="N19" s="33"/>
    </row>
    <row r="20" spans="1:14" s="9" customFormat="1" ht="24" x14ac:dyDescent="0.25">
      <c r="A20" s="31"/>
      <c r="B20" s="30" t="s">
        <v>100</v>
      </c>
      <c r="C20" s="39" t="s">
        <v>99</v>
      </c>
      <c r="D20" s="38" t="s">
        <v>129</v>
      </c>
      <c r="E20" s="37" t="s">
        <v>1</v>
      </c>
      <c r="F20" s="36">
        <v>81.099999999999994</v>
      </c>
      <c r="G20" s="35">
        <v>87.39</v>
      </c>
      <c r="H20" s="35">
        <v>17.38</v>
      </c>
      <c r="I20" s="32">
        <f>F20*H20</f>
        <v>1409.5179999999998</v>
      </c>
      <c r="J20" s="32">
        <f>F20*G20-0.16</f>
        <v>7087.1689999999999</v>
      </c>
      <c r="K20" s="40"/>
      <c r="L20" s="74"/>
      <c r="M20" s="34"/>
      <c r="N20" s="33"/>
    </row>
    <row r="21" spans="1:14" s="9" customFormat="1" x14ac:dyDescent="0.25">
      <c r="A21" s="31"/>
      <c r="B21" s="48"/>
      <c r="C21" s="47">
        <v>4</v>
      </c>
      <c r="D21" s="46" t="s">
        <v>137</v>
      </c>
      <c r="E21" s="45"/>
      <c r="F21" s="44"/>
      <c r="G21" s="41"/>
      <c r="H21" s="43"/>
      <c r="I21" s="42"/>
      <c r="J21" s="42">
        <f>SUM(J22:J23)</f>
        <v>15348.784</v>
      </c>
      <c r="K21" s="40"/>
      <c r="L21" s="74"/>
      <c r="M21" s="34"/>
      <c r="N21" s="33"/>
    </row>
    <row r="22" spans="1:14" s="9" customFormat="1" x14ac:dyDescent="0.25">
      <c r="A22" s="31"/>
      <c r="B22" s="30"/>
      <c r="C22" s="39" t="s">
        <v>98</v>
      </c>
      <c r="D22" s="38" t="s">
        <v>138</v>
      </c>
      <c r="E22" s="37" t="s">
        <v>1</v>
      </c>
      <c r="F22" s="36">
        <v>195.4</v>
      </c>
      <c r="G22" s="35">
        <v>53.76</v>
      </c>
      <c r="H22" s="35"/>
      <c r="I22" s="32"/>
      <c r="J22" s="32">
        <f>F22*G22+0.5</f>
        <v>10505.204</v>
      </c>
      <c r="K22" s="40"/>
      <c r="L22" s="74"/>
      <c r="M22" s="34"/>
      <c r="N22" s="33"/>
    </row>
    <row r="23" spans="1:14" s="9" customFormat="1" x14ac:dyDescent="0.25">
      <c r="A23" s="31"/>
      <c r="B23" s="30"/>
      <c r="C23" s="39" t="s">
        <v>97</v>
      </c>
      <c r="D23" s="38" t="s">
        <v>139</v>
      </c>
      <c r="E23" s="37" t="s">
        <v>1</v>
      </c>
      <c r="F23" s="36">
        <v>62.5</v>
      </c>
      <c r="G23" s="35">
        <v>77.5</v>
      </c>
      <c r="H23" s="35"/>
      <c r="I23" s="32"/>
      <c r="J23" s="32">
        <f>F23*G23-0.17</f>
        <v>4843.58</v>
      </c>
      <c r="K23" s="40"/>
      <c r="L23" s="74"/>
      <c r="M23" s="34"/>
      <c r="N23" s="33"/>
    </row>
    <row r="24" spans="1:14" s="9" customFormat="1" x14ac:dyDescent="0.25">
      <c r="A24" s="31"/>
      <c r="B24" s="48" t="s">
        <v>12</v>
      </c>
      <c r="C24" s="47">
        <v>5</v>
      </c>
      <c r="D24" s="46" t="s">
        <v>23</v>
      </c>
      <c r="E24" s="75"/>
      <c r="F24" s="44"/>
      <c r="G24" s="41"/>
      <c r="H24" s="43"/>
      <c r="I24" s="42" t="e">
        <f>SUM(I25:I31)</f>
        <v>#REF!</v>
      </c>
      <c r="J24" s="42">
        <f>SUM(J25:J31)+0.01</f>
        <v>89588.464000000007</v>
      </c>
      <c r="K24" s="40"/>
      <c r="L24" s="74"/>
      <c r="M24" s="34"/>
      <c r="N24" s="33"/>
    </row>
    <row r="25" spans="1:14" s="9" customFormat="1" x14ac:dyDescent="0.25">
      <c r="A25" s="31"/>
      <c r="B25" s="30">
        <v>84220</v>
      </c>
      <c r="C25" s="39" t="s">
        <v>93</v>
      </c>
      <c r="D25" s="38" t="s">
        <v>130</v>
      </c>
      <c r="E25" s="37" t="s">
        <v>1</v>
      </c>
      <c r="F25" s="36">
        <v>847.2</v>
      </c>
      <c r="G25" s="49">
        <v>9.41</v>
      </c>
      <c r="H25" s="35">
        <v>21.9</v>
      </c>
      <c r="I25" s="32">
        <f>F25*H25</f>
        <v>18553.68</v>
      </c>
      <c r="J25" s="32">
        <f>F25*G25+3.22</f>
        <v>7975.3720000000012</v>
      </c>
      <c r="L25" s="34"/>
      <c r="M25" s="34"/>
      <c r="N25" s="33"/>
    </row>
    <row r="26" spans="1:14" s="9" customFormat="1" x14ac:dyDescent="0.25">
      <c r="A26" s="31"/>
      <c r="B26" s="30"/>
      <c r="C26" s="39" t="s">
        <v>92</v>
      </c>
      <c r="D26" s="38" t="s">
        <v>131</v>
      </c>
      <c r="E26" s="37" t="s">
        <v>2</v>
      </c>
      <c r="F26" s="36">
        <v>360</v>
      </c>
      <c r="G26" s="49">
        <v>11.64</v>
      </c>
      <c r="H26" s="35"/>
      <c r="I26" s="32">
        <f>F26*H26</f>
        <v>0</v>
      </c>
      <c r="J26" s="32">
        <f>F26*G26-0.44</f>
        <v>4189.9600000000009</v>
      </c>
      <c r="L26" s="34"/>
      <c r="M26" s="34"/>
      <c r="N26" s="33"/>
    </row>
    <row r="27" spans="1:14" s="9" customFormat="1" x14ac:dyDescent="0.25">
      <c r="A27" s="31"/>
      <c r="B27" s="30" t="e">
        <f>#REF!</f>
        <v>#REF!</v>
      </c>
      <c r="C27" s="39" t="s">
        <v>91</v>
      </c>
      <c r="D27" s="38" t="s">
        <v>132</v>
      </c>
      <c r="E27" s="37" t="s">
        <v>1</v>
      </c>
      <c r="F27" s="36">
        <v>88.6</v>
      </c>
      <c r="G27" s="49">
        <v>15.18</v>
      </c>
      <c r="H27" s="49">
        <f>H25</f>
        <v>21.9</v>
      </c>
      <c r="I27" s="32">
        <f>F27*H27</f>
        <v>1940.3399999999997</v>
      </c>
      <c r="J27" s="32">
        <f>F27*G27+0.13</f>
        <v>1345.078</v>
      </c>
      <c r="K27" s="40"/>
      <c r="L27" s="74"/>
      <c r="M27" s="34"/>
      <c r="N27" s="33"/>
    </row>
    <row r="28" spans="1:14" s="9" customFormat="1" x14ac:dyDescent="0.25">
      <c r="A28" s="31"/>
      <c r="B28" s="30" t="s">
        <v>96</v>
      </c>
      <c r="C28" s="39" t="s">
        <v>90</v>
      </c>
      <c r="D28" s="38" t="s">
        <v>133</v>
      </c>
      <c r="E28" s="37" t="s">
        <v>1</v>
      </c>
      <c r="F28" s="36">
        <v>1114</v>
      </c>
      <c r="G28" s="49">
        <v>20.88</v>
      </c>
      <c r="H28" s="49" t="e">
        <f>#REF!</f>
        <v>#REF!</v>
      </c>
      <c r="I28" s="32" t="e">
        <f>F28*H28</f>
        <v>#REF!</v>
      </c>
      <c r="J28" s="32">
        <f>F28*G28+0.52</f>
        <v>23260.84</v>
      </c>
      <c r="K28" s="40"/>
      <c r="L28" s="74"/>
      <c r="M28" s="34"/>
      <c r="N28" s="33"/>
    </row>
    <row r="29" spans="1:14" s="9" customFormat="1" x14ac:dyDescent="0.25">
      <c r="A29" s="31"/>
      <c r="B29" s="30" t="s">
        <v>95</v>
      </c>
      <c r="C29" s="39" t="s">
        <v>89</v>
      </c>
      <c r="D29" s="38" t="s">
        <v>134</v>
      </c>
      <c r="E29" s="37" t="s">
        <v>1</v>
      </c>
      <c r="F29" s="36">
        <v>847.2</v>
      </c>
      <c r="G29" s="49">
        <v>22.02</v>
      </c>
      <c r="H29" s="49" t="e">
        <f>#REF!</f>
        <v>#REF!</v>
      </c>
      <c r="I29" s="32" t="e">
        <f>F29*H29</f>
        <v>#REF!</v>
      </c>
      <c r="J29" s="32">
        <f>F29*G29-0.55</f>
        <v>18654.794000000002</v>
      </c>
      <c r="K29" s="40"/>
      <c r="L29" s="74"/>
      <c r="M29" s="34"/>
      <c r="N29" s="33"/>
    </row>
    <row r="30" spans="1:14" s="9" customFormat="1" x14ac:dyDescent="0.25">
      <c r="A30" s="31"/>
      <c r="B30" s="30"/>
      <c r="C30" s="39" t="s">
        <v>88</v>
      </c>
      <c r="D30" s="38" t="s">
        <v>135</v>
      </c>
      <c r="E30" s="37" t="s">
        <v>1</v>
      </c>
      <c r="F30" s="36">
        <v>480</v>
      </c>
      <c r="G30" s="49">
        <v>57.85</v>
      </c>
      <c r="H30" s="49"/>
      <c r="I30" s="32"/>
      <c r="J30" s="32">
        <f>F30*G30-0.86</f>
        <v>27767.14</v>
      </c>
      <c r="K30" s="40"/>
      <c r="L30" s="74"/>
      <c r="M30" s="34"/>
      <c r="N30" s="33"/>
    </row>
    <row r="31" spans="1:14" s="9" customFormat="1" x14ac:dyDescent="0.25">
      <c r="A31" s="31"/>
      <c r="B31" s="30" t="s">
        <v>94</v>
      </c>
      <c r="C31" s="39" t="s">
        <v>87</v>
      </c>
      <c r="D31" s="38" t="s">
        <v>136</v>
      </c>
      <c r="E31" s="37" t="s">
        <v>1</v>
      </c>
      <c r="F31" s="36">
        <v>476</v>
      </c>
      <c r="G31" s="49">
        <v>13.44</v>
      </c>
      <c r="H31" s="49" t="e">
        <f>#REF!</f>
        <v>#REF!</v>
      </c>
      <c r="I31" s="32" t="e">
        <f>F31*H31</f>
        <v>#REF!</v>
      </c>
      <c r="J31" s="32">
        <f>F31*G31-2.17</f>
        <v>6395.2699999999995</v>
      </c>
      <c r="K31" s="40"/>
      <c r="L31" s="74"/>
      <c r="M31" s="34"/>
      <c r="N31" s="33"/>
    </row>
    <row r="32" spans="1:14" s="9" customFormat="1" x14ac:dyDescent="0.25">
      <c r="A32" s="31"/>
      <c r="B32" s="48" t="s">
        <v>12</v>
      </c>
      <c r="C32" s="47">
        <v>6</v>
      </c>
      <c r="D32" s="46" t="s">
        <v>140</v>
      </c>
      <c r="E32" s="45"/>
      <c r="F32" s="44"/>
      <c r="G32" s="41"/>
      <c r="H32" s="43"/>
      <c r="I32" s="42">
        <f>SUM(I33:I73)</f>
        <v>2270.6600000000003</v>
      </c>
      <c r="J32" s="42">
        <f>SUM(J33:J73)+629.99</f>
        <v>10339.91</v>
      </c>
      <c r="K32" s="40"/>
      <c r="L32" s="34"/>
      <c r="M32" s="34"/>
      <c r="N32" s="33"/>
    </row>
    <row r="33" spans="1:14" s="9" customFormat="1" x14ac:dyDescent="0.25">
      <c r="A33" s="31"/>
      <c r="B33" s="30"/>
      <c r="C33" s="39" t="s">
        <v>86</v>
      </c>
      <c r="D33" s="38" t="s">
        <v>141</v>
      </c>
      <c r="E33" s="37" t="s">
        <v>125</v>
      </c>
      <c r="F33" s="36">
        <v>4</v>
      </c>
      <c r="G33" s="35">
        <v>2.96</v>
      </c>
      <c r="H33" s="35">
        <v>4.72</v>
      </c>
      <c r="I33" s="32">
        <f t="shared" ref="I33:I40" si="0">F33*H33</f>
        <v>18.88</v>
      </c>
      <c r="J33" s="32">
        <f>F33*G33</f>
        <v>11.84</v>
      </c>
      <c r="L33" s="34"/>
      <c r="M33" s="34"/>
      <c r="N33" s="33"/>
    </row>
    <row r="34" spans="1:14" s="9" customFormat="1" x14ac:dyDescent="0.25">
      <c r="A34" s="31"/>
      <c r="B34" s="30">
        <v>86884</v>
      </c>
      <c r="C34" s="39" t="s">
        <v>85</v>
      </c>
      <c r="D34" s="38" t="s">
        <v>142</v>
      </c>
      <c r="E34" s="37" t="s">
        <v>125</v>
      </c>
      <c r="F34" s="36">
        <v>12</v>
      </c>
      <c r="G34" s="35">
        <v>3.24</v>
      </c>
      <c r="H34" s="35">
        <v>7.87</v>
      </c>
      <c r="I34" s="32">
        <f t="shared" si="0"/>
        <v>94.44</v>
      </c>
      <c r="J34" s="32">
        <f>F34*G34-0.01</f>
        <v>38.870000000000005</v>
      </c>
      <c r="L34" s="34"/>
      <c r="M34" s="34"/>
      <c r="N34" s="33"/>
    </row>
    <row r="35" spans="1:14" s="63" customFormat="1" x14ac:dyDescent="0.25">
      <c r="A35" s="31"/>
      <c r="B35" s="30"/>
      <c r="C35" s="39" t="s">
        <v>84</v>
      </c>
      <c r="D35" s="38" t="s">
        <v>143</v>
      </c>
      <c r="E35" s="37" t="s">
        <v>125</v>
      </c>
      <c r="F35" s="36">
        <v>4</v>
      </c>
      <c r="G35" s="35">
        <v>5.57</v>
      </c>
      <c r="H35" s="35">
        <v>7.99</v>
      </c>
      <c r="I35" s="32">
        <f t="shared" si="0"/>
        <v>31.96</v>
      </c>
      <c r="J35" s="32">
        <f>F35*G35-0.01</f>
        <v>22.27</v>
      </c>
      <c r="L35" s="73"/>
      <c r="M35" s="73"/>
      <c r="N35" s="72"/>
    </row>
    <row r="36" spans="1:14" s="9" customFormat="1" x14ac:dyDescent="0.25">
      <c r="A36" s="31"/>
      <c r="B36" s="30"/>
      <c r="C36" s="39" t="s">
        <v>83</v>
      </c>
      <c r="D36" s="38" t="s">
        <v>144</v>
      </c>
      <c r="E36" s="37" t="s">
        <v>125</v>
      </c>
      <c r="F36" s="36">
        <v>4</v>
      </c>
      <c r="G36" s="35">
        <v>7.89</v>
      </c>
      <c r="H36" s="35">
        <v>32.450000000000003</v>
      </c>
      <c r="I36" s="32">
        <f t="shared" si="0"/>
        <v>129.80000000000001</v>
      </c>
      <c r="J36" s="32">
        <f>F36*G36-0.01</f>
        <v>31.549999999999997</v>
      </c>
      <c r="L36" s="34"/>
      <c r="M36" s="34"/>
      <c r="N36" s="33"/>
    </row>
    <row r="37" spans="1:14" s="9" customFormat="1" x14ac:dyDescent="0.25">
      <c r="A37" s="31"/>
      <c r="B37" s="30">
        <v>89424</v>
      </c>
      <c r="C37" s="39" t="s">
        <v>82</v>
      </c>
      <c r="D37" s="38" t="s">
        <v>145</v>
      </c>
      <c r="E37" s="37" t="s">
        <v>125</v>
      </c>
      <c r="F37" s="36">
        <v>2</v>
      </c>
      <c r="G37" s="35">
        <v>7.22</v>
      </c>
      <c r="H37" s="35">
        <v>3.67</v>
      </c>
      <c r="I37" s="32">
        <f t="shared" si="0"/>
        <v>7.34</v>
      </c>
      <c r="J37" s="32">
        <f>F37*G37-0.01</f>
        <v>14.43</v>
      </c>
      <c r="L37" s="34"/>
      <c r="M37" s="34"/>
      <c r="N37" s="33"/>
    </row>
    <row r="38" spans="1:14" s="9" customFormat="1" x14ac:dyDescent="0.25">
      <c r="A38" s="31"/>
      <c r="B38" s="30"/>
      <c r="C38" s="39" t="s">
        <v>81</v>
      </c>
      <c r="D38" s="38" t="s">
        <v>146</v>
      </c>
      <c r="E38" s="37" t="s">
        <v>125</v>
      </c>
      <c r="F38" s="36">
        <v>2</v>
      </c>
      <c r="G38" s="35">
        <v>6.02</v>
      </c>
      <c r="H38" s="35">
        <v>2.57</v>
      </c>
      <c r="I38" s="32">
        <f t="shared" si="0"/>
        <v>5.14</v>
      </c>
      <c r="J38" s="32">
        <f>F38*G38+0.01</f>
        <v>12.049999999999999</v>
      </c>
      <c r="L38" s="34"/>
      <c r="M38" s="34"/>
      <c r="N38" s="33"/>
    </row>
    <row r="39" spans="1:14" s="53" customFormat="1" x14ac:dyDescent="0.25">
      <c r="A39" s="59"/>
      <c r="B39" s="58">
        <v>72794</v>
      </c>
      <c r="C39" s="61" t="s">
        <v>80</v>
      </c>
      <c r="D39" s="71" t="s">
        <v>147</v>
      </c>
      <c r="E39" s="37" t="s">
        <v>125</v>
      </c>
      <c r="F39" s="57">
        <v>1</v>
      </c>
      <c r="G39" s="56">
        <v>1075.8800000000001</v>
      </c>
      <c r="H39" s="56">
        <v>117.43</v>
      </c>
      <c r="I39" s="52">
        <f t="shared" si="0"/>
        <v>117.43</v>
      </c>
      <c r="J39" s="52">
        <f>F39*G39</f>
        <v>1075.8800000000001</v>
      </c>
      <c r="L39" s="55"/>
      <c r="M39" s="55"/>
      <c r="N39" s="54"/>
    </row>
    <row r="40" spans="1:14" s="53" customFormat="1" x14ac:dyDescent="0.25">
      <c r="A40" s="59"/>
      <c r="B40" s="58">
        <v>72789</v>
      </c>
      <c r="C40" s="61" t="s">
        <v>79</v>
      </c>
      <c r="D40" s="71" t="s">
        <v>148</v>
      </c>
      <c r="E40" s="37" t="s">
        <v>125</v>
      </c>
      <c r="F40" s="57">
        <v>10</v>
      </c>
      <c r="G40" s="56">
        <v>6.25</v>
      </c>
      <c r="H40" s="56">
        <v>10.47</v>
      </c>
      <c r="I40" s="52">
        <f t="shared" si="0"/>
        <v>104.7</v>
      </c>
      <c r="J40" s="52">
        <f>F40*G40+0.02</f>
        <v>62.52</v>
      </c>
      <c r="L40" s="55"/>
      <c r="M40" s="55"/>
      <c r="N40" s="54"/>
    </row>
    <row r="41" spans="1:14" s="53" customFormat="1" x14ac:dyDescent="0.25">
      <c r="A41" s="59"/>
      <c r="B41" s="58"/>
      <c r="C41" s="61" t="s">
        <v>78</v>
      </c>
      <c r="D41" s="71" t="s">
        <v>149</v>
      </c>
      <c r="E41" s="37" t="s">
        <v>125</v>
      </c>
      <c r="F41" s="57">
        <v>3</v>
      </c>
      <c r="G41" s="56">
        <v>8.57</v>
      </c>
      <c r="H41" s="56"/>
      <c r="I41" s="52"/>
      <c r="J41" s="52">
        <f>F41*G41</f>
        <v>25.71</v>
      </c>
      <c r="L41" s="55"/>
      <c r="M41" s="55"/>
      <c r="N41" s="54"/>
    </row>
    <row r="42" spans="1:14" s="53" customFormat="1" x14ac:dyDescent="0.25">
      <c r="A42" s="59"/>
      <c r="B42" s="58"/>
      <c r="C42" s="61" t="s">
        <v>77</v>
      </c>
      <c r="D42" s="71" t="s">
        <v>149</v>
      </c>
      <c r="E42" s="37" t="s">
        <v>125</v>
      </c>
      <c r="F42" s="57">
        <v>2</v>
      </c>
      <c r="G42" s="56">
        <v>18.48</v>
      </c>
      <c r="H42" s="56"/>
      <c r="I42" s="52"/>
      <c r="J42" s="52">
        <f>F42*G42+0.01</f>
        <v>36.97</v>
      </c>
      <c r="L42" s="55"/>
      <c r="M42" s="55"/>
      <c r="N42" s="54"/>
    </row>
    <row r="43" spans="1:14" s="53" customFormat="1" x14ac:dyDescent="0.25">
      <c r="A43" s="59"/>
      <c r="B43" s="58">
        <v>89376</v>
      </c>
      <c r="C43" s="61" t="s">
        <v>76</v>
      </c>
      <c r="D43" s="71" t="s">
        <v>152</v>
      </c>
      <c r="E43" s="37" t="s">
        <v>125</v>
      </c>
      <c r="F43" s="57">
        <v>11</v>
      </c>
      <c r="G43" s="56">
        <v>5.27</v>
      </c>
      <c r="H43" s="56">
        <v>20.98</v>
      </c>
      <c r="I43" s="52">
        <f>F43*H43</f>
        <v>230.78</v>
      </c>
      <c r="J43" s="52">
        <f>F43*G43-0.01</f>
        <v>57.96</v>
      </c>
      <c r="L43" s="55"/>
      <c r="M43" s="55"/>
      <c r="N43" s="54"/>
    </row>
    <row r="44" spans="1:14" s="53" customFormat="1" x14ac:dyDescent="0.25">
      <c r="A44" s="59"/>
      <c r="B44" s="58">
        <v>89538</v>
      </c>
      <c r="C44" s="61" t="s">
        <v>75</v>
      </c>
      <c r="D44" s="71" t="s">
        <v>153</v>
      </c>
      <c r="E44" s="37" t="s">
        <v>125</v>
      </c>
      <c r="F44" s="57">
        <v>6</v>
      </c>
      <c r="G44" s="56">
        <v>6.57</v>
      </c>
      <c r="H44" s="56">
        <v>1.88</v>
      </c>
      <c r="I44" s="52">
        <f>F44*H44</f>
        <v>11.28</v>
      </c>
      <c r="J44" s="52">
        <f>F44*G44-0.01</f>
        <v>39.410000000000004</v>
      </c>
      <c r="L44" s="55"/>
      <c r="M44" s="55"/>
      <c r="N44" s="54"/>
    </row>
    <row r="45" spans="1:14" s="53" customFormat="1" x14ac:dyDescent="0.25">
      <c r="A45" s="59"/>
      <c r="B45" s="58"/>
      <c r="C45" s="61" t="s">
        <v>74</v>
      </c>
      <c r="D45" s="71" t="s">
        <v>154</v>
      </c>
      <c r="E45" s="37" t="s">
        <v>125</v>
      </c>
      <c r="F45" s="57">
        <v>8</v>
      </c>
      <c r="G45" s="56">
        <v>12.7</v>
      </c>
      <c r="H45" s="56"/>
      <c r="I45" s="52"/>
      <c r="J45" s="52">
        <f>F45*G45+0.01</f>
        <v>101.61</v>
      </c>
      <c r="L45" s="55"/>
      <c r="M45" s="55"/>
      <c r="N45" s="54"/>
    </row>
    <row r="46" spans="1:14" s="53" customFormat="1" x14ac:dyDescent="0.25">
      <c r="A46" s="59"/>
      <c r="B46" s="58">
        <v>89596</v>
      </c>
      <c r="C46" s="61" t="s">
        <v>73</v>
      </c>
      <c r="D46" s="71" t="s">
        <v>155</v>
      </c>
      <c r="E46" s="37" t="s">
        <v>125</v>
      </c>
      <c r="F46" s="57">
        <v>2</v>
      </c>
      <c r="G46" s="56">
        <v>5.15</v>
      </c>
      <c r="H46" s="56">
        <v>5.32</v>
      </c>
      <c r="I46" s="52">
        <f>F46*H46</f>
        <v>10.64</v>
      </c>
      <c r="J46" s="52">
        <f>F46*G46+0.01</f>
        <v>10.31</v>
      </c>
      <c r="L46" s="55"/>
      <c r="M46" s="55"/>
      <c r="N46" s="54"/>
    </row>
    <row r="47" spans="1:14" s="53" customFormat="1" x14ac:dyDescent="0.25">
      <c r="A47" s="59"/>
      <c r="B47" s="58">
        <v>89610</v>
      </c>
      <c r="C47" s="61" t="s">
        <v>72</v>
      </c>
      <c r="D47" s="71" t="s">
        <v>156</v>
      </c>
      <c r="E47" s="37" t="s">
        <v>125</v>
      </c>
      <c r="F47" s="57">
        <v>4</v>
      </c>
      <c r="G47" s="56">
        <v>5.93</v>
      </c>
      <c r="H47" s="56">
        <v>10.26</v>
      </c>
      <c r="I47" s="52">
        <f>F47*H47</f>
        <v>41.04</v>
      </c>
      <c r="J47" s="52">
        <f>F47*G47+0.01</f>
        <v>23.73</v>
      </c>
      <c r="L47" s="55"/>
      <c r="M47" s="55"/>
      <c r="N47" s="54"/>
    </row>
    <row r="48" spans="1:14" s="53" customFormat="1" x14ac:dyDescent="0.25">
      <c r="A48" s="59"/>
      <c r="B48" s="58">
        <v>89613</v>
      </c>
      <c r="C48" s="61" t="s">
        <v>71</v>
      </c>
      <c r="D48" s="71" t="s">
        <v>157</v>
      </c>
      <c r="E48" s="37" t="s">
        <v>125</v>
      </c>
      <c r="F48" s="57">
        <v>16</v>
      </c>
      <c r="G48" s="56">
        <v>9.92</v>
      </c>
      <c r="H48" s="56">
        <v>16.72</v>
      </c>
      <c r="I48" s="52">
        <f>F48*H48</f>
        <v>267.52</v>
      </c>
      <c r="J48" s="52">
        <f>F48*G48-0.04</f>
        <v>158.68</v>
      </c>
      <c r="L48" s="55"/>
      <c r="M48" s="55"/>
      <c r="N48" s="54"/>
    </row>
    <row r="49" spans="1:14" s="53" customFormat="1" x14ac:dyDescent="0.25">
      <c r="A49" s="59"/>
      <c r="B49" s="58"/>
      <c r="C49" s="61" t="s">
        <v>70</v>
      </c>
      <c r="D49" s="71" t="s">
        <v>158</v>
      </c>
      <c r="E49" s="37" t="s">
        <v>125</v>
      </c>
      <c r="F49" s="57">
        <v>4</v>
      </c>
      <c r="G49" s="56">
        <v>4.8099999999999996</v>
      </c>
      <c r="H49" s="56"/>
      <c r="I49" s="52"/>
      <c r="J49" s="52">
        <f>F49*G49+0.01</f>
        <v>19.25</v>
      </c>
      <c r="L49" s="55"/>
      <c r="M49" s="55"/>
      <c r="N49" s="54"/>
    </row>
    <row r="50" spans="1:14" s="53" customFormat="1" x14ac:dyDescent="0.25">
      <c r="A50" s="59"/>
      <c r="B50" s="58"/>
      <c r="C50" s="61" t="s">
        <v>69</v>
      </c>
      <c r="D50" s="71" t="s">
        <v>159</v>
      </c>
      <c r="E50" s="37" t="s">
        <v>125</v>
      </c>
      <c r="F50" s="57">
        <v>2</v>
      </c>
      <c r="G50" s="56">
        <v>3.58</v>
      </c>
      <c r="H50" s="56"/>
      <c r="I50" s="52"/>
      <c r="J50" s="52">
        <f>F50*G50-0.01</f>
        <v>7.15</v>
      </c>
      <c r="L50" s="55"/>
      <c r="M50" s="55"/>
      <c r="N50" s="54"/>
    </row>
    <row r="51" spans="1:14" s="53" customFormat="1" x14ac:dyDescent="0.25">
      <c r="A51" s="59"/>
      <c r="B51" s="58"/>
      <c r="C51" s="61" t="s">
        <v>68</v>
      </c>
      <c r="D51" s="71" t="s">
        <v>160</v>
      </c>
      <c r="E51" s="37" t="s">
        <v>125</v>
      </c>
      <c r="F51" s="57">
        <v>4</v>
      </c>
      <c r="G51" s="56">
        <v>3.05</v>
      </c>
      <c r="H51" s="56"/>
      <c r="I51" s="52"/>
      <c r="J51" s="52">
        <f>F51*G51</f>
        <v>12.2</v>
      </c>
      <c r="L51" s="55"/>
      <c r="M51" s="55"/>
      <c r="N51" s="54"/>
    </row>
    <row r="52" spans="1:14" s="53" customFormat="1" x14ac:dyDescent="0.25">
      <c r="A52" s="59"/>
      <c r="B52" s="58"/>
      <c r="C52" s="61" t="s">
        <v>67</v>
      </c>
      <c r="D52" s="71" t="s">
        <v>161</v>
      </c>
      <c r="E52" s="37" t="s">
        <v>125</v>
      </c>
      <c r="F52" s="57">
        <v>8</v>
      </c>
      <c r="G52" s="56">
        <v>4.16</v>
      </c>
      <c r="H52" s="56">
        <v>8.3000000000000007</v>
      </c>
      <c r="I52" s="52">
        <f>F52*H52</f>
        <v>66.400000000000006</v>
      </c>
      <c r="J52" s="52">
        <f>F52*G52+0.02</f>
        <v>33.300000000000004</v>
      </c>
      <c r="L52" s="55"/>
      <c r="M52" s="55"/>
      <c r="N52" s="54"/>
    </row>
    <row r="53" spans="1:14" s="53" customFormat="1" x14ac:dyDescent="0.25">
      <c r="A53" s="59"/>
      <c r="B53" s="58"/>
      <c r="C53" s="61" t="s">
        <v>66</v>
      </c>
      <c r="D53" s="71" t="s">
        <v>162</v>
      </c>
      <c r="E53" s="37" t="s">
        <v>125</v>
      </c>
      <c r="F53" s="57">
        <v>2</v>
      </c>
      <c r="G53" s="56">
        <v>70.86</v>
      </c>
      <c r="H53" s="56">
        <v>16.600000000000001</v>
      </c>
      <c r="I53" s="52">
        <f>F53*H53</f>
        <v>33.200000000000003</v>
      </c>
      <c r="J53" s="52">
        <f>F53*G53</f>
        <v>141.72</v>
      </c>
      <c r="L53" s="55"/>
      <c r="M53" s="55"/>
      <c r="N53" s="54"/>
    </row>
    <row r="54" spans="1:14" s="53" customFormat="1" x14ac:dyDescent="0.25">
      <c r="A54" s="59"/>
      <c r="B54" s="58"/>
      <c r="C54" s="61" t="s">
        <v>65</v>
      </c>
      <c r="D54" s="71" t="s">
        <v>163</v>
      </c>
      <c r="E54" s="37" t="s">
        <v>125</v>
      </c>
      <c r="F54" s="57">
        <v>2</v>
      </c>
      <c r="G54" s="56">
        <v>83.74</v>
      </c>
      <c r="H54" s="56"/>
      <c r="I54" s="52"/>
      <c r="J54" s="52">
        <f>F54*G54</f>
        <v>167.48</v>
      </c>
      <c r="L54" s="55"/>
      <c r="M54" s="55"/>
      <c r="N54" s="54"/>
    </row>
    <row r="55" spans="1:14" s="53" customFormat="1" x14ac:dyDescent="0.25">
      <c r="A55" s="59"/>
      <c r="B55" s="58"/>
      <c r="C55" s="61" t="s">
        <v>64</v>
      </c>
      <c r="D55" s="71" t="s">
        <v>164</v>
      </c>
      <c r="E55" s="37" t="s">
        <v>125</v>
      </c>
      <c r="F55" s="57">
        <v>2</v>
      </c>
      <c r="G55" s="56">
        <v>57.98</v>
      </c>
      <c r="H55" s="56">
        <v>7.51</v>
      </c>
      <c r="I55" s="52">
        <f>F55*H55</f>
        <v>15.02</v>
      </c>
      <c r="J55" s="52">
        <f>F55*G55-0.01</f>
        <v>115.94999999999999</v>
      </c>
      <c r="L55" s="55"/>
      <c r="M55" s="55"/>
      <c r="N55" s="54"/>
    </row>
    <row r="56" spans="1:14" s="53" customFormat="1" x14ac:dyDescent="0.25">
      <c r="A56" s="59"/>
      <c r="B56" s="58"/>
      <c r="C56" s="61" t="s">
        <v>63</v>
      </c>
      <c r="D56" s="71" t="s">
        <v>165</v>
      </c>
      <c r="E56" s="37" t="s">
        <v>125</v>
      </c>
      <c r="F56" s="57">
        <v>2</v>
      </c>
      <c r="G56" s="56">
        <v>83.74</v>
      </c>
      <c r="H56" s="56"/>
      <c r="I56" s="52"/>
      <c r="J56" s="52">
        <f>F56*G56</f>
        <v>167.48</v>
      </c>
      <c r="L56" s="55"/>
      <c r="M56" s="55"/>
      <c r="N56" s="54"/>
    </row>
    <row r="57" spans="1:14" s="53" customFormat="1" x14ac:dyDescent="0.25">
      <c r="A57" s="59"/>
      <c r="B57" s="58"/>
      <c r="C57" s="61" t="s">
        <v>62</v>
      </c>
      <c r="D57" s="71" t="s">
        <v>166</v>
      </c>
      <c r="E57" s="37" t="s">
        <v>125</v>
      </c>
      <c r="F57" s="57">
        <v>8</v>
      </c>
      <c r="G57" s="56">
        <v>83.74</v>
      </c>
      <c r="H57" s="56">
        <v>6.02</v>
      </c>
      <c r="I57" s="52">
        <f>F57*H57</f>
        <v>48.16</v>
      </c>
      <c r="J57" s="52">
        <f>F57*G57</f>
        <v>669.92</v>
      </c>
      <c r="L57" s="55"/>
      <c r="M57" s="55"/>
      <c r="N57" s="54"/>
    </row>
    <row r="58" spans="1:14" s="53" customFormat="1" x14ac:dyDescent="0.25">
      <c r="A58" s="59"/>
      <c r="B58" s="58"/>
      <c r="C58" s="61" t="s">
        <v>150</v>
      </c>
      <c r="D58" s="71" t="s">
        <v>167</v>
      </c>
      <c r="E58" s="37" t="s">
        <v>125</v>
      </c>
      <c r="F58" s="57">
        <v>5</v>
      </c>
      <c r="G58" s="56">
        <v>4.9000000000000004</v>
      </c>
      <c r="H58" s="56">
        <v>26.87</v>
      </c>
      <c r="I58" s="52">
        <f>F58*H58</f>
        <v>134.35</v>
      </c>
      <c r="J58" s="52">
        <f>F58*G58-0.02</f>
        <v>24.48</v>
      </c>
      <c r="L58" s="55"/>
      <c r="M58" s="55"/>
      <c r="N58" s="54"/>
    </row>
    <row r="59" spans="1:14" s="53" customFormat="1" x14ac:dyDescent="0.25">
      <c r="A59" s="59"/>
      <c r="B59" s="58"/>
      <c r="C59" s="61" t="s">
        <v>61</v>
      </c>
      <c r="D59" s="71" t="s">
        <v>168</v>
      </c>
      <c r="E59" s="37" t="s">
        <v>125</v>
      </c>
      <c r="F59" s="57">
        <v>8</v>
      </c>
      <c r="G59" s="56">
        <v>5.8</v>
      </c>
      <c r="H59" s="56"/>
      <c r="I59" s="52"/>
      <c r="J59" s="52">
        <f>F59*G59-0.03</f>
        <v>46.37</v>
      </c>
      <c r="L59" s="55"/>
      <c r="M59" s="55"/>
      <c r="N59" s="54"/>
    </row>
    <row r="60" spans="1:14" s="53" customFormat="1" x14ac:dyDescent="0.25">
      <c r="A60" s="59"/>
      <c r="B60" s="58">
        <v>89359</v>
      </c>
      <c r="C60" s="61" t="s">
        <v>60</v>
      </c>
      <c r="D60" s="71" t="s">
        <v>169</v>
      </c>
      <c r="E60" s="37" t="s">
        <v>125</v>
      </c>
      <c r="F60" s="57">
        <v>4</v>
      </c>
      <c r="G60" s="56">
        <v>10.95</v>
      </c>
      <c r="H60" s="56">
        <v>3.6</v>
      </c>
      <c r="I60" s="52">
        <f>F60*H60</f>
        <v>14.4</v>
      </c>
      <c r="J60" s="52">
        <f>F60*G60+0.01</f>
        <v>43.809999999999995</v>
      </c>
      <c r="L60" s="55"/>
      <c r="M60" s="55"/>
      <c r="N60" s="54"/>
    </row>
    <row r="61" spans="1:14" s="53" customFormat="1" x14ac:dyDescent="0.25">
      <c r="A61" s="59"/>
      <c r="B61" s="58">
        <v>89485</v>
      </c>
      <c r="C61" s="61" t="s">
        <v>59</v>
      </c>
      <c r="D61" s="71" t="s">
        <v>170</v>
      </c>
      <c r="E61" s="37" t="s">
        <v>125</v>
      </c>
      <c r="F61" s="57">
        <v>4</v>
      </c>
      <c r="G61" s="56">
        <v>7.08</v>
      </c>
      <c r="H61" s="56">
        <v>2.35</v>
      </c>
      <c r="I61" s="52">
        <f>F61*H61</f>
        <v>9.4</v>
      </c>
      <c r="J61" s="52">
        <f>F61*G61+0.01</f>
        <v>28.330000000000002</v>
      </c>
      <c r="L61" s="55"/>
      <c r="M61" s="55"/>
      <c r="N61" s="54"/>
    </row>
    <row r="62" spans="1:14" s="53" customFormat="1" x14ac:dyDescent="0.25">
      <c r="A62" s="59"/>
      <c r="B62" s="58">
        <v>89502</v>
      </c>
      <c r="C62" s="61" t="s">
        <v>58</v>
      </c>
      <c r="D62" s="71" t="s">
        <v>171</v>
      </c>
      <c r="E62" s="37" t="s">
        <v>125</v>
      </c>
      <c r="F62" s="57">
        <v>2</v>
      </c>
      <c r="G62" s="56">
        <v>10.62</v>
      </c>
      <c r="H62" s="56">
        <v>6.3</v>
      </c>
      <c r="I62" s="52">
        <f>F62*H62</f>
        <v>12.6</v>
      </c>
      <c r="J62" s="52">
        <f>F62*G62</f>
        <v>21.24</v>
      </c>
      <c r="L62" s="55"/>
      <c r="M62" s="55"/>
      <c r="N62" s="54"/>
    </row>
    <row r="63" spans="1:14" s="53" customFormat="1" x14ac:dyDescent="0.25">
      <c r="A63" s="59"/>
      <c r="B63" s="58">
        <v>89515</v>
      </c>
      <c r="C63" s="61" t="s">
        <v>57</v>
      </c>
      <c r="D63" s="71" t="s">
        <v>172</v>
      </c>
      <c r="E63" s="37" t="s">
        <v>125</v>
      </c>
      <c r="F63" s="57">
        <v>8</v>
      </c>
      <c r="G63" s="56">
        <v>83.74</v>
      </c>
      <c r="H63" s="56">
        <v>30.64</v>
      </c>
      <c r="I63" s="52">
        <f>F63*H63</f>
        <v>245.12</v>
      </c>
      <c r="J63" s="52">
        <f>F63*G63</f>
        <v>669.92</v>
      </c>
      <c r="L63" s="55"/>
      <c r="M63" s="55"/>
      <c r="N63" s="54"/>
    </row>
    <row r="64" spans="1:14" s="53" customFormat="1" x14ac:dyDescent="0.25">
      <c r="A64" s="59"/>
      <c r="B64" s="58"/>
      <c r="C64" s="61" t="s">
        <v>56</v>
      </c>
      <c r="D64" s="71" t="s">
        <v>173</v>
      </c>
      <c r="E64" s="37" t="s">
        <v>125</v>
      </c>
      <c r="F64" s="57">
        <v>1</v>
      </c>
      <c r="G64" s="56">
        <v>59.91</v>
      </c>
      <c r="H64" s="56"/>
      <c r="I64" s="52"/>
      <c r="J64" s="52">
        <f>F64*G64</f>
        <v>59.91</v>
      </c>
      <c r="L64" s="55"/>
      <c r="M64" s="55"/>
      <c r="N64" s="54"/>
    </row>
    <row r="65" spans="1:14" s="53" customFormat="1" x14ac:dyDescent="0.25">
      <c r="A65" s="59"/>
      <c r="B65" s="58"/>
      <c r="C65" s="61" t="s">
        <v>55</v>
      </c>
      <c r="D65" s="71" t="s">
        <v>174</v>
      </c>
      <c r="E65" s="37" t="s">
        <v>125</v>
      </c>
      <c r="F65" s="57">
        <v>27</v>
      </c>
      <c r="G65" s="56">
        <v>7.02</v>
      </c>
      <c r="H65" s="56"/>
      <c r="I65" s="52"/>
      <c r="J65" s="52">
        <f>F65*G65-0.13</f>
        <v>189.41</v>
      </c>
      <c r="L65" s="55"/>
      <c r="M65" s="55"/>
      <c r="N65" s="54"/>
    </row>
    <row r="66" spans="1:14" s="53" customFormat="1" x14ac:dyDescent="0.25">
      <c r="A66" s="59"/>
      <c r="B66" s="58">
        <v>89358</v>
      </c>
      <c r="C66" s="61" t="s">
        <v>54</v>
      </c>
      <c r="D66" s="71" t="s">
        <v>175</v>
      </c>
      <c r="E66" s="37" t="s">
        <v>125</v>
      </c>
      <c r="F66" s="57">
        <v>38</v>
      </c>
      <c r="G66" s="56">
        <v>8.44</v>
      </c>
      <c r="H66" s="56">
        <v>3.57</v>
      </c>
      <c r="I66" s="52">
        <f>F66*H66</f>
        <v>135.66</v>
      </c>
      <c r="J66" s="52">
        <f>F66*G66+0.11</f>
        <v>320.83</v>
      </c>
      <c r="L66" s="55"/>
      <c r="M66" s="55"/>
      <c r="N66" s="54"/>
    </row>
    <row r="67" spans="1:14" s="53" customFormat="1" x14ac:dyDescent="0.25">
      <c r="A67" s="59"/>
      <c r="B67" s="58">
        <v>89362</v>
      </c>
      <c r="C67" s="61" t="s">
        <v>53</v>
      </c>
      <c r="D67" s="71" t="s">
        <v>176</v>
      </c>
      <c r="E67" s="37" t="s">
        <v>125</v>
      </c>
      <c r="F67" s="57">
        <v>28</v>
      </c>
      <c r="G67" s="56">
        <v>13.36</v>
      </c>
      <c r="H67" s="56">
        <v>4.1399999999999997</v>
      </c>
      <c r="I67" s="52">
        <f>F67*H67</f>
        <v>115.91999999999999</v>
      </c>
      <c r="J67" s="52">
        <f>F67*G67-0.05</f>
        <v>374.03</v>
      </c>
      <c r="L67" s="55"/>
      <c r="M67" s="55"/>
      <c r="N67" s="54"/>
    </row>
    <row r="68" spans="1:14" s="53" customFormat="1" x14ac:dyDescent="0.25">
      <c r="A68" s="59"/>
      <c r="B68" s="58"/>
      <c r="C68" s="61" t="s">
        <v>52</v>
      </c>
      <c r="D68" s="71" t="s">
        <v>177</v>
      </c>
      <c r="E68" s="37" t="s">
        <v>125</v>
      </c>
      <c r="F68" s="57">
        <v>14</v>
      </c>
      <c r="G68" s="56">
        <v>19.21</v>
      </c>
      <c r="H68" s="56"/>
      <c r="I68" s="52"/>
      <c r="J68" s="52">
        <f>F68*G68+0.04</f>
        <v>268.98</v>
      </c>
      <c r="L68" s="55"/>
      <c r="M68" s="55"/>
      <c r="N68" s="54"/>
    </row>
    <row r="69" spans="1:14" s="53" customFormat="1" x14ac:dyDescent="0.25">
      <c r="A69" s="59"/>
      <c r="B69" s="58">
        <v>89501</v>
      </c>
      <c r="C69" s="61" t="s">
        <v>51</v>
      </c>
      <c r="D69" s="71" t="s">
        <v>178</v>
      </c>
      <c r="E69" s="37" t="s">
        <v>125</v>
      </c>
      <c r="F69" s="57">
        <v>36</v>
      </c>
      <c r="G69" s="56">
        <v>21.96</v>
      </c>
      <c r="H69" s="56">
        <v>5.52</v>
      </c>
      <c r="I69" s="52">
        <f>F69*H69</f>
        <v>198.71999999999997</v>
      </c>
      <c r="J69" s="52">
        <f>F69*G69-0.12</f>
        <v>790.44</v>
      </c>
      <c r="L69" s="55"/>
      <c r="M69" s="55"/>
      <c r="N69" s="54"/>
    </row>
    <row r="70" spans="1:14" s="53" customFormat="1" x14ac:dyDescent="0.25">
      <c r="A70" s="59"/>
      <c r="B70" s="58">
        <v>89505</v>
      </c>
      <c r="C70" s="61" t="s">
        <v>50</v>
      </c>
      <c r="D70" s="71" t="s">
        <v>179</v>
      </c>
      <c r="E70" s="37" t="s">
        <v>125</v>
      </c>
      <c r="F70" s="57">
        <v>6</v>
      </c>
      <c r="G70" s="56">
        <v>4.55</v>
      </c>
      <c r="H70" s="56">
        <v>14.65</v>
      </c>
      <c r="I70" s="52">
        <f>F70*H70</f>
        <v>87.9</v>
      </c>
      <c r="J70" s="52">
        <f>F70*G70-0.02</f>
        <v>27.279999999999998</v>
      </c>
      <c r="L70" s="55"/>
      <c r="M70" s="55"/>
      <c r="N70" s="54"/>
    </row>
    <row r="71" spans="1:14" s="53" customFormat="1" x14ac:dyDescent="0.25">
      <c r="A71" s="59"/>
      <c r="B71" s="58">
        <v>89521</v>
      </c>
      <c r="C71" s="61" t="s">
        <v>49</v>
      </c>
      <c r="D71" s="71" t="s">
        <v>181</v>
      </c>
      <c r="E71" s="37" t="s">
        <v>125</v>
      </c>
      <c r="F71" s="57">
        <v>2</v>
      </c>
      <c r="G71" s="56">
        <v>15.95</v>
      </c>
      <c r="H71" s="56">
        <v>41.43</v>
      </c>
      <c r="I71" s="52">
        <f>F71*H71</f>
        <v>82.86</v>
      </c>
      <c r="J71" s="52">
        <f>F71*G71+0.01</f>
        <v>31.91</v>
      </c>
      <c r="L71" s="55"/>
      <c r="M71" s="55"/>
      <c r="N71" s="54"/>
    </row>
    <row r="72" spans="1:14" s="53" customFormat="1" ht="24" x14ac:dyDescent="0.25">
      <c r="A72" s="59"/>
      <c r="B72" s="58"/>
      <c r="C72" s="61" t="s">
        <v>151</v>
      </c>
      <c r="D72" s="71" t="s">
        <v>182</v>
      </c>
      <c r="E72" s="37" t="s">
        <v>125</v>
      </c>
      <c r="F72" s="57">
        <v>2</v>
      </c>
      <c r="G72" s="56">
        <v>905.28</v>
      </c>
      <c r="H72" s="56"/>
      <c r="I72" s="52"/>
      <c r="J72" s="52">
        <f>F72*G72</f>
        <v>1810.56</v>
      </c>
      <c r="L72" s="55"/>
      <c r="M72" s="55"/>
      <c r="N72" s="54"/>
    </row>
    <row r="73" spans="1:14" s="53" customFormat="1" ht="24" x14ac:dyDescent="0.25">
      <c r="A73" s="59"/>
      <c r="B73" s="58"/>
      <c r="C73" s="61" t="s">
        <v>180</v>
      </c>
      <c r="D73" s="71" t="s">
        <v>183</v>
      </c>
      <c r="E73" s="37" t="s">
        <v>125</v>
      </c>
      <c r="F73" s="57">
        <v>4</v>
      </c>
      <c r="G73" s="56">
        <v>486.05</v>
      </c>
      <c r="H73" s="56"/>
      <c r="I73" s="52"/>
      <c r="J73" s="52">
        <f>F73*G73-0.02</f>
        <v>1944.18</v>
      </c>
      <c r="L73" s="55"/>
      <c r="M73" s="55"/>
      <c r="N73" s="54"/>
    </row>
    <row r="74" spans="1:14" s="9" customFormat="1" x14ac:dyDescent="0.25">
      <c r="A74" s="31"/>
      <c r="B74" s="48" t="s">
        <v>12</v>
      </c>
      <c r="C74" s="47">
        <v>7</v>
      </c>
      <c r="D74" s="46" t="s">
        <v>184</v>
      </c>
      <c r="E74" s="45"/>
      <c r="F74" s="44"/>
      <c r="G74" s="41"/>
      <c r="H74" s="43"/>
      <c r="I74" s="42">
        <f>SUM(I94:I95)</f>
        <v>0</v>
      </c>
      <c r="J74" s="42">
        <f>SUM(J75:J95)</f>
        <v>10686.05</v>
      </c>
      <c r="K74" s="40"/>
      <c r="L74" s="34"/>
      <c r="M74" s="34"/>
      <c r="N74" s="33"/>
    </row>
    <row r="75" spans="1:14" s="9" customFormat="1" x14ac:dyDescent="0.25">
      <c r="A75" s="31"/>
      <c r="B75" s="30"/>
      <c r="C75" s="61" t="s">
        <v>48</v>
      </c>
      <c r="D75" s="38" t="s">
        <v>200</v>
      </c>
      <c r="E75" s="37" t="s">
        <v>125</v>
      </c>
      <c r="F75" s="36">
        <v>5</v>
      </c>
      <c r="G75" s="49">
        <v>5.62</v>
      </c>
      <c r="H75" s="35"/>
      <c r="I75" s="32"/>
      <c r="J75" s="32">
        <f t="shared" ref="J75:J90" si="1">F75*G75</f>
        <v>28.1</v>
      </c>
      <c r="L75" s="34"/>
      <c r="M75" s="34"/>
      <c r="N75" s="33"/>
    </row>
    <row r="76" spans="1:14" s="9" customFormat="1" x14ac:dyDescent="0.25">
      <c r="A76" s="31"/>
      <c r="B76" s="30"/>
      <c r="C76" s="61" t="s">
        <v>47</v>
      </c>
      <c r="D76" s="38" t="s">
        <v>201</v>
      </c>
      <c r="E76" s="37" t="s">
        <v>125</v>
      </c>
      <c r="F76" s="36">
        <v>4</v>
      </c>
      <c r="G76" s="49">
        <v>121.29</v>
      </c>
      <c r="H76" s="35"/>
      <c r="I76" s="32"/>
      <c r="J76" s="32">
        <f>F76*G76+0.01</f>
        <v>485.17</v>
      </c>
      <c r="L76" s="34"/>
      <c r="M76" s="34"/>
      <c r="N76" s="33"/>
    </row>
    <row r="77" spans="1:14" s="9" customFormat="1" x14ac:dyDescent="0.25">
      <c r="A77" s="31"/>
      <c r="B77" s="30"/>
      <c r="C77" s="61" t="s">
        <v>46</v>
      </c>
      <c r="D77" s="38" t="s">
        <v>202</v>
      </c>
      <c r="E77" s="37" t="s">
        <v>125</v>
      </c>
      <c r="F77" s="36">
        <v>6</v>
      </c>
      <c r="G77" s="49">
        <v>15.89</v>
      </c>
      <c r="H77" s="35"/>
      <c r="I77" s="32"/>
      <c r="J77" s="32">
        <f>F77*G77-0.02</f>
        <v>95.320000000000007</v>
      </c>
      <c r="L77" s="34"/>
      <c r="M77" s="34"/>
      <c r="N77" s="33"/>
    </row>
    <row r="78" spans="1:14" s="9" customFormat="1" x14ac:dyDescent="0.25">
      <c r="A78" s="31"/>
      <c r="B78" s="30"/>
      <c r="C78" s="61" t="s">
        <v>45</v>
      </c>
      <c r="D78" s="38" t="s">
        <v>203</v>
      </c>
      <c r="E78" s="37" t="s">
        <v>125</v>
      </c>
      <c r="F78" s="36">
        <v>4</v>
      </c>
      <c r="G78" s="49">
        <v>44.33</v>
      </c>
      <c r="H78" s="35"/>
      <c r="I78" s="32"/>
      <c r="J78" s="32">
        <f>F78*G78-0.01</f>
        <v>177.31</v>
      </c>
      <c r="L78" s="34"/>
      <c r="M78" s="34"/>
      <c r="N78" s="33"/>
    </row>
    <row r="79" spans="1:14" s="9" customFormat="1" x14ac:dyDescent="0.25">
      <c r="A79" s="31"/>
      <c r="B79" s="30"/>
      <c r="C79" s="61" t="s">
        <v>44</v>
      </c>
      <c r="D79" s="38" t="s">
        <v>204</v>
      </c>
      <c r="E79" s="37" t="s">
        <v>125</v>
      </c>
      <c r="F79" s="36">
        <v>14</v>
      </c>
      <c r="G79" s="49">
        <v>5.55</v>
      </c>
      <c r="H79" s="35"/>
      <c r="I79" s="32"/>
      <c r="J79" s="32">
        <f>F79*G79-0.07</f>
        <v>77.63000000000001</v>
      </c>
      <c r="L79" s="34"/>
      <c r="M79" s="34"/>
      <c r="N79" s="33"/>
    </row>
    <row r="80" spans="1:14" s="9" customFormat="1" x14ac:dyDescent="0.25">
      <c r="A80" s="31"/>
      <c r="B80" s="30"/>
      <c r="C80" s="61" t="s">
        <v>43</v>
      </c>
      <c r="D80" s="38" t="s">
        <v>205</v>
      </c>
      <c r="E80" s="37" t="s">
        <v>125</v>
      </c>
      <c r="F80" s="36">
        <v>1</v>
      </c>
      <c r="G80" s="49">
        <v>4939</v>
      </c>
      <c r="H80" s="35"/>
      <c r="I80" s="32"/>
      <c r="J80" s="32">
        <f t="shared" si="1"/>
        <v>4939</v>
      </c>
      <c r="L80" s="34"/>
      <c r="M80" s="34"/>
      <c r="N80" s="33"/>
    </row>
    <row r="81" spans="1:14" s="9" customFormat="1" x14ac:dyDescent="0.25">
      <c r="A81" s="31"/>
      <c r="B81" s="30"/>
      <c r="C81" s="61" t="s">
        <v>185</v>
      </c>
      <c r="D81" s="38" t="s">
        <v>206</v>
      </c>
      <c r="E81" s="37" t="s">
        <v>125</v>
      </c>
      <c r="F81" s="36">
        <v>3</v>
      </c>
      <c r="G81" s="49">
        <v>9.56</v>
      </c>
      <c r="H81" s="35"/>
      <c r="I81" s="32"/>
      <c r="J81" s="32">
        <f>F81*G81+0.01</f>
        <v>28.69</v>
      </c>
      <c r="L81" s="34"/>
      <c r="M81" s="34"/>
      <c r="N81" s="33"/>
    </row>
    <row r="82" spans="1:14" s="9" customFormat="1" x14ac:dyDescent="0.25">
      <c r="A82" s="31"/>
      <c r="B82" s="30"/>
      <c r="C82" s="61" t="s">
        <v>186</v>
      </c>
      <c r="D82" s="38" t="s">
        <v>207</v>
      </c>
      <c r="E82" s="37" t="s">
        <v>125</v>
      </c>
      <c r="F82" s="36">
        <v>6</v>
      </c>
      <c r="G82" s="49">
        <v>13.8</v>
      </c>
      <c r="H82" s="35"/>
      <c r="I82" s="32"/>
      <c r="J82" s="32">
        <f>F82*G82-0.03</f>
        <v>82.77000000000001</v>
      </c>
      <c r="L82" s="34"/>
      <c r="M82" s="34"/>
      <c r="N82" s="33"/>
    </row>
    <row r="83" spans="1:14" s="9" customFormat="1" x14ac:dyDescent="0.25">
      <c r="A83" s="31"/>
      <c r="B83" s="30"/>
      <c r="C83" s="61" t="s">
        <v>187</v>
      </c>
      <c r="D83" s="38" t="s">
        <v>208</v>
      </c>
      <c r="E83" s="37" t="s">
        <v>125</v>
      </c>
      <c r="F83" s="36">
        <v>7</v>
      </c>
      <c r="G83" s="49">
        <v>17.75</v>
      </c>
      <c r="H83" s="35"/>
      <c r="I83" s="32"/>
      <c r="J83" s="32">
        <f>F83*G83-0.02</f>
        <v>124.23</v>
      </c>
      <c r="L83" s="34"/>
      <c r="M83" s="34"/>
      <c r="N83" s="33"/>
    </row>
    <row r="84" spans="1:14" s="9" customFormat="1" x14ac:dyDescent="0.25">
      <c r="A84" s="31"/>
      <c r="B84" s="30"/>
      <c r="C84" s="61" t="s">
        <v>188</v>
      </c>
      <c r="D84" s="38" t="s">
        <v>209</v>
      </c>
      <c r="E84" s="37" t="s">
        <v>125</v>
      </c>
      <c r="F84" s="36">
        <v>10</v>
      </c>
      <c r="G84" s="49">
        <v>11.54</v>
      </c>
      <c r="H84" s="35"/>
      <c r="I84" s="32"/>
      <c r="J84" s="32">
        <f>F84*G84+0.03</f>
        <v>115.42999999999999</v>
      </c>
      <c r="L84" s="34"/>
      <c r="M84" s="34"/>
      <c r="N84" s="33"/>
    </row>
    <row r="85" spans="1:14" s="9" customFormat="1" x14ac:dyDescent="0.25">
      <c r="A85" s="31"/>
      <c r="B85" s="30"/>
      <c r="C85" s="61" t="s">
        <v>189</v>
      </c>
      <c r="D85" s="38" t="s">
        <v>210</v>
      </c>
      <c r="E85" s="37" t="s">
        <v>125</v>
      </c>
      <c r="F85" s="36">
        <v>5</v>
      </c>
      <c r="G85" s="49">
        <v>32.82</v>
      </c>
      <c r="H85" s="35"/>
      <c r="I85" s="32"/>
      <c r="J85" s="32">
        <f>F85*G85+0.02</f>
        <v>164.12</v>
      </c>
      <c r="L85" s="34"/>
      <c r="M85" s="34"/>
      <c r="N85" s="33"/>
    </row>
    <row r="86" spans="1:14" s="9" customFormat="1" x14ac:dyDescent="0.25">
      <c r="A86" s="31"/>
      <c r="B86" s="30"/>
      <c r="C86" s="61" t="s">
        <v>190</v>
      </c>
      <c r="D86" s="38" t="s">
        <v>211</v>
      </c>
      <c r="E86" s="37" t="s">
        <v>125</v>
      </c>
      <c r="F86" s="36">
        <v>6</v>
      </c>
      <c r="G86" s="49">
        <v>26.72</v>
      </c>
      <c r="H86" s="35"/>
      <c r="I86" s="32"/>
      <c r="J86" s="32">
        <f>F86*G86-0.01</f>
        <v>160.31</v>
      </c>
      <c r="L86" s="34"/>
      <c r="M86" s="34"/>
      <c r="N86" s="33"/>
    </row>
    <row r="87" spans="1:14" s="9" customFormat="1" x14ac:dyDescent="0.25">
      <c r="A87" s="31"/>
      <c r="B87" s="30"/>
      <c r="C87" s="61" t="s">
        <v>191</v>
      </c>
      <c r="D87" s="38" t="s">
        <v>212</v>
      </c>
      <c r="E87" s="37" t="s">
        <v>125</v>
      </c>
      <c r="F87" s="36">
        <v>8</v>
      </c>
      <c r="G87" s="49">
        <v>14.46</v>
      </c>
      <c r="H87" s="35"/>
      <c r="I87" s="32"/>
      <c r="J87" s="32">
        <f>F87*G87+0.03</f>
        <v>115.71000000000001</v>
      </c>
      <c r="L87" s="34"/>
      <c r="M87" s="34"/>
      <c r="N87" s="33"/>
    </row>
    <row r="88" spans="1:14" s="9" customFormat="1" x14ac:dyDescent="0.25">
      <c r="A88" s="31"/>
      <c r="B88" s="30"/>
      <c r="C88" s="61" t="s">
        <v>192</v>
      </c>
      <c r="D88" s="38" t="s">
        <v>213</v>
      </c>
      <c r="E88" s="37" t="s">
        <v>125</v>
      </c>
      <c r="F88" s="36">
        <v>9</v>
      </c>
      <c r="G88" s="49">
        <v>85.51</v>
      </c>
      <c r="H88" s="35"/>
      <c r="I88" s="32"/>
      <c r="J88" s="32">
        <f>F88*G88+0.02</f>
        <v>769.61</v>
      </c>
      <c r="L88" s="34"/>
      <c r="M88" s="34"/>
      <c r="N88" s="33"/>
    </row>
    <row r="89" spans="1:14" s="9" customFormat="1" x14ac:dyDescent="0.25">
      <c r="A89" s="31"/>
      <c r="B89" s="30"/>
      <c r="C89" s="61" t="s">
        <v>193</v>
      </c>
      <c r="D89" s="38" t="s">
        <v>214</v>
      </c>
      <c r="E89" s="37" t="s">
        <v>125</v>
      </c>
      <c r="F89" s="36">
        <v>1</v>
      </c>
      <c r="G89" s="49">
        <v>1856.17</v>
      </c>
      <c r="H89" s="35"/>
      <c r="I89" s="32"/>
      <c r="J89" s="32">
        <f t="shared" si="1"/>
        <v>1856.17</v>
      </c>
      <c r="L89" s="34"/>
      <c r="M89" s="34"/>
      <c r="N89" s="33"/>
    </row>
    <row r="90" spans="1:14" s="9" customFormat="1" x14ac:dyDescent="0.25">
      <c r="A90" s="31"/>
      <c r="B90" s="30"/>
      <c r="C90" s="61" t="s">
        <v>194</v>
      </c>
      <c r="D90" s="38" t="s">
        <v>215</v>
      </c>
      <c r="E90" s="37" t="s">
        <v>125</v>
      </c>
      <c r="F90" s="36">
        <v>1</v>
      </c>
      <c r="G90" s="49">
        <v>28.51</v>
      </c>
      <c r="H90" s="35"/>
      <c r="I90" s="32"/>
      <c r="J90" s="32">
        <f t="shared" si="1"/>
        <v>28.51</v>
      </c>
      <c r="L90" s="34"/>
      <c r="M90" s="34"/>
      <c r="N90" s="33"/>
    </row>
    <row r="91" spans="1:14" s="9" customFormat="1" x14ac:dyDescent="0.25">
      <c r="A91" s="31"/>
      <c r="B91" s="30"/>
      <c r="C91" s="61" t="s">
        <v>195</v>
      </c>
      <c r="D91" s="38" t="s">
        <v>216</v>
      </c>
      <c r="E91" s="37" t="s">
        <v>125</v>
      </c>
      <c r="F91" s="36">
        <v>3</v>
      </c>
      <c r="G91" s="49">
        <v>10.61</v>
      </c>
      <c r="H91" s="35"/>
      <c r="I91" s="32"/>
      <c r="J91" s="32">
        <f>F91*G91+0.01</f>
        <v>31.84</v>
      </c>
      <c r="L91" s="34"/>
      <c r="M91" s="34"/>
      <c r="N91" s="33"/>
    </row>
    <row r="92" spans="1:14" s="9" customFormat="1" x14ac:dyDescent="0.25">
      <c r="A92" s="31"/>
      <c r="B92" s="30"/>
      <c r="C92" s="61" t="s">
        <v>196</v>
      </c>
      <c r="D92" s="38" t="s">
        <v>217</v>
      </c>
      <c r="E92" s="37" t="s">
        <v>125</v>
      </c>
      <c r="F92" s="36">
        <v>35</v>
      </c>
      <c r="G92" s="49">
        <v>24.78</v>
      </c>
      <c r="H92" s="35"/>
      <c r="I92" s="32"/>
      <c r="J92" s="32">
        <f>F92*G92+0.43-0.3</f>
        <v>867.43000000000006</v>
      </c>
      <c r="L92" s="34"/>
      <c r="M92" s="34"/>
      <c r="N92" s="33"/>
    </row>
    <row r="93" spans="1:14" s="9" customFormat="1" x14ac:dyDescent="0.25">
      <c r="A93" s="31"/>
      <c r="B93" s="30"/>
      <c r="C93" s="61" t="s">
        <v>197</v>
      </c>
      <c r="D93" s="38" t="s">
        <v>218</v>
      </c>
      <c r="E93" s="37" t="s">
        <v>125</v>
      </c>
      <c r="F93" s="36">
        <v>20</v>
      </c>
      <c r="G93" s="49">
        <v>9.1199999999999992</v>
      </c>
      <c r="H93" s="35"/>
      <c r="I93" s="32"/>
      <c r="J93" s="32">
        <f>F93*G93+0.06</f>
        <v>182.45999999999998</v>
      </c>
      <c r="L93" s="34"/>
      <c r="M93" s="34"/>
      <c r="N93" s="33"/>
    </row>
    <row r="94" spans="1:14" s="9" customFormat="1" x14ac:dyDescent="0.25">
      <c r="A94" s="31"/>
      <c r="B94" s="30">
        <v>89849</v>
      </c>
      <c r="C94" s="61" t="s">
        <v>198</v>
      </c>
      <c r="D94" s="38" t="s">
        <v>219</v>
      </c>
      <c r="E94" s="37" t="s">
        <v>125</v>
      </c>
      <c r="F94" s="36">
        <v>17</v>
      </c>
      <c r="G94" s="49">
        <v>13.79</v>
      </c>
      <c r="H94" s="35"/>
      <c r="I94" s="32"/>
      <c r="J94" s="32">
        <f>F94*G94+0.01</f>
        <v>234.43999999999997</v>
      </c>
      <c r="L94" s="34"/>
      <c r="M94" s="34"/>
      <c r="N94" s="33"/>
    </row>
    <row r="95" spans="1:14" s="9" customFormat="1" x14ac:dyDescent="0.25">
      <c r="A95" s="31"/>
      <c r="B95" s="30"/>
      <c r="C95" s="61" t="s">
        <v>199</v>
      </c>
      <c r="D95" s="38" t="s">
        <v>220</v>
      </c>
      <c r="E95" s="37" t="s">
        <v>125</v>
      </c>
      <c r="F95" s="36">
        <v>9</v>
      </c>
      <c r="G95" s="49">
        <v>13.53</v>
      </c>
      <c r="H95" s="35"/>
      <c r="I95" s="32"/>
      <c r="J95" s="32">
        <f>F95*G95+0.03</f>
        <v>121.8</v>
      </c>
      <c r="L95" s="34"/>
      <c r="M95" s="34"/>
      <c r="N95" s="33"/>
    </row>
    <row r="96" spans="1:14" s="9" customFormat="1" x14ac:dyDescent="0.25">
      <c r="A96" s="31"/>
      <c r="B96" s="48" t="s">
        <v>12</v>
      </c>
      <c r="C96" s="47">
        <v>8</v>
      </c>
      <c r="D96" s="46" t="s">
        <v>221</v>
      </c>
      <c r="E96" s="45"/>
      <c r="F96" s="44"/>
      <c r="G96" s="41"/>
      <c r="H96" s="43"/>
      <c r="I96" s="42">
        <f>SUM(I97:I101)</f>
        <v>0</v>
      </c>
      <c r="J96" s="42">
        <f>SUM(J97:J101)</f>
        <v>14203.51</v>
      </c>
      <c r="K96" s="40"/>
      <c r="L96" s="34"/>
      <c r="M96" s="34"/>
      <c r="N96" s="33"/>
    </row>
    <row r="97" spans="1:14" s="9" customFormat="1" x14ac:dyDescent="0.25">
      <c r="A97" s="31"/>
      <c r="B97" s="30">
        <v>89707</v>
      </c>
      <c r="C97" s="39" t="s">
        <v>42</v>
      </c>
      <c r="D97" s="38" t="s">
        <v>226</v>
      </c>
      <c r="E97" s="37" t="s">
        <v>2</v>
      </c>
      <c r="F97" s="36">
        <v>72</v>
      </c>
      <c r="G97" s="49">
        <v>42.14</v>
      </c>
      <c r="H97" s="35"/>
      <c r="I97" s="32"/>
      <c r="J97" s="32">
        <f>F97*G97+0.28</f>
        <v>3034.36</v>
      </c>
      <c r="L97" s="34"/>
      <c r="M97" s="34"/>
      <c r="N97" s="33"/>
    </row>
    <row r="98" spans="1:14" s="9" customFormat="1" x14ac:dyDescent="0.25">
      <c r="A98" s="31"/>
      <c r="B98" s="30"/>
      <c r="C98" s="39" t="s">
        <v>222</v>
      </c>
      <c r="D98" s="38" t="s">
        <v>227</v>
      </c>
      <c r="E98" s="37" t="s">
        <v>2</v>
      </c>
      <c r="F98" s="36">
        <v>20</v>
      </c>
      <c r="G98" s="49">
        <v>41.99</v>
      </c>
      <c r="H98" s="35"/>
      <c r="I98" s="32"/>
      <c r="J98" s="32">
        <f>F98*G98-0.1</f>
        <v>839.7</v>
      </c>
      <c r="L98" s="34"/>
      <c r="M98" s="34"/>
      <c r="N98" s="33"/>
    </row>
    <row r="99" spans="1:14" s="9" customFormat="1" x14ac:dyDescent="0.25">
      <c r="A99" s="31"/>
      <c r="B99" s="70">
        <v>89710</v>
      </c>
      <c r="C99" s="69" t="s">
        <v>223</v>
      </c>
      <c r="D99" s="68" t="s">
        <v>228</v>
      </c>
      <c r="E99" s="67" t="s">
        <v>2</v>
      </c>
      <c r="F99" s="66">
        <v>4</v>
      </c>
      <c r="G99" s="65">
        <v>48.23</v>
      </c>
      <c r="H99" s="35"/>
      <c r="I99" s="32"/>
      <c r="J99" s="32">
        <f>F99*G99+0.02</f>
        <v>192.94</v>
      </c>
      <c r="L99" s="34"/>
      <c r="M99" s="34"/>
      <c r="N99" s="33"/>
    </row>
    <row r="100" spans="1:14" s="9" customFormat="1" x14ac:dyDescent="0.25">
      <c r="A100" s="31"/>
      <c r="B100" s="70"/>
      <c r="C100" s="69" t="s">
        <v>224</v>
      </c>
      <c r="D100" s="68" t="s">
        <v>229</v>
      </c>
      <c r="E100" s="67" t="s">
        <v>125</v>
      </c>
      <c r="F100" s="66">
        <v>4</v>
      </c>
      <c r="G100" s="65">
        <v>29.27</v>
      </c>
      <c r="H100" s="35"/>
      <c r="I100" s="32"/>
      <c r="J100" s="32">
        <f>F100*G100+0.01</f>
        <v>117.09</v>
      </c>
      <c r="L100" s="34"/>
      <c r="M100" s="34"/>
      <c r="N100" s="33"/>
    </row>
    <row r="101" spans="1:14" s="9" customFormat="1" x14ac:dyDescent="0.25">
      <c r="A101" s="31"/>
      <c r="B101" s="30">
        <v>89714</v>
      </c>
      <c r="C101" s="39" t="s">
        <v>225</v>
      </c>
      <c r="D101" s="38" t="s">
        <v>230</v>
      </c>
      <c r="E101" s="37" t="s">
        <v>2</v>
      </c>
      <c r="F101" s="36">
        <v>72</v>
      </c>
      <c r="G101" s="49">
        <v>139.16</v>
      </c>
      <c r="H101" s="35"/>
      <c r="I101" s="32"/>
      <c r="J101" s="32">
        <f>F101*G101-0.1</f>
        <v>10019.42</v>
      </c>
      <c r="L101" s="34"/>
      <c r="M101" s="34"/>
      <c r="N101" s="33"/>
    </row>
    <row r="102" spans="1:14" s="9" customFormat="1" x14ac:dyDescent="0.25">
      <c r="A102" s="31"/>
      <c r="B102" s="48"/>
      <c r="C102" s="47">
        <v>9</v>
      </c>
      <c r="D102" s="46" t="s">
        <v>231</v>
      </c>
      <c r="E102" s="45"/>
      <c r="F102" s="44"/>
      <c r="G102" s="41"/>
      <c r="H102" s="43"/>
      <c r="I102" s="42"/>
      <c r="J102" s="42">
        <f>SUM(J103:J126)-0.01</f>
        <v>14451.5</v>
      </c>
      <c r="K102" s="40"/>
      <c r="L102" s="34"/>
      <c r="M102" s="34"/>
      <c r="N102" s="33"/>
    </row>
    <row r="103" spans="1:14" s="9" customFormat="1" ht="36" x14ac:dyDescent="0.25">
      <c r="A103" s="31"/>
      <c r="B103" s="30"/>
      <c r="C103" s="39" t="s">
        <v>41</v>
      </c>
      <c r="D103" s="38" t="s">
        <v>232</v>
      </c>
      <c r="E103" s="37" t="s">
        <v>2</v>
      </c>
      <c r="F103" s="36">
        <v>190</v>
      </c>
      <c r="G103" s="49">
        <v>2.65</v>
      </c>
      <c r="H103" s="35"/>
      <c r="I103" s="32"/>
      <c r="J103" s="32">
        <f>F103*G103-0.9</f>
        <v>502.6</v>
      </c>
      <c r="L103" s="34"/>
      <c r="M103" s="34"/>
      <c r="N103" s="33"/>
    </row>
    <row r="104" spans="1:14" s="9" customFormat="1" ht="36" x14ac:dyDescent="0.25">
      <c r="A104" s="31"/>
      <c r="B104" s="30"/>
      <c r="C104" s="39" t="s">
        <v>40</v>
      </c>
      <c r="D104" s="38" t="s">
        <v>233</v>
      </c>
      <c r="E104" s="37" t="s">
        <v>2</v>
      </c>
      <c r="F104" s="36">
        <v>820</v>
      </c>
      <c r="G104" s="49">
        <v>3.56</v>
      </c>
      <c r="H104" s="35"/>
      <c r="I104" s="32"/>
      <c r="J104" s="32">
        <f>F104*G104-2.16</f>
        <v>2917.04</v>
      </c>
      <c r="L104" s="34"/>
      <c r="M104" s="34"/>
      <c r="N104" s="33"/>
    </row>
    <row r="105" spans="1:14" s="9" customFormat="1" ht="36" x14ac:dyDescent="0.25">
      <c r="A105" s="31"/>
      <c r="B105" s="30"/>
      <c r="C105" s="39" t="s">
        <v>39</v>
      </c>
      <c r="D105" s="38" t="s">
        <v>234</v>
      </c>
      <c r="E105" s="37" t="s">
        <v>2</v>
      </c>
      <c r="F105" s="36">
        <v>14</v>
      </c>
      <c r="G105" s="49">
        <v>9.1199999999999992</v>
      </c>
      <c r="H105" s="35"/>
      <c r="I105" s="32"/>
      <c r="J105" s="32">
        <f>F105*G105+0.06</f>
        <v>127.74</v>
      </c>
      <c r="L105" s="34"/>
      <c r="M105" s="34"/>
      <c r="N105" s="33"/>
    </row>
    <row r="106" spans="1:14" s="9" customFormat="1" ht="36" x14ac:dyDescent="0.25">
      <c r="A106" s="31"/>
      <c r="B106" s="30"/>
      <c r="C106" s="39" t="s">
        <v>38</v>
      </c>
      <c r="D106" s="38" t="s">
        <v>247</v>
      </c>
      <c r="E106" s="37" t="s">
        <v>2</v>
      </c>
      <c r="F106" s="36">
        <v>41</v>
      </c>
      <c r="G106" s="49">
        <v>20.04</v>
      </c>
      <c r="H106" s="35"/>
      <c r="I106" s="32"/>
      <c r="J106" s="32">
        <f>F106*G106+0.19</f>
        <v>821.83</v>
      </c>
      <c r="L106" s="34"/>
      <c r="M106" s="34"/>
      <c r="N106" s="33"/>
    </row>
    <row r="107" spans="1:14" s="9" customFormat="1" x14ac:dyDescent="0.25">
      <c r="A107" s="31"/>
      <c r="B107" s="30"/>
      <c r="C107" s="39" t="s">
        <v>37</v>
      </c>
      <c r="D107" s="38" t="s">
        <v>248</v>
      </c>
      <c r="E107" s="37" t="s">
        <v>125</v>
      </c>
      <c r="F107" s="36">
        <v>2</v>
      </c>
      <c r="G107" s="49">
        <v>10.09</v>
      </c>
      <c r="H107" s="35"/>
      <c r="I107" s="32"/>
      <c r="J107" s="32">
        <f>F107*G107-0.01</f>
        <v>20.169999999999998</v>
      </c>
      <c r="L107" s="34"/>
      <c r="M107" s="34"/>
      <c r="N107" s="33"/>
    </row>
    <row r="108" spans="1:14" s="9" customFormat="1" x14ac:dyDescent="0.25">
      <c r="A108" s="31"/>
      <c r="B108" s="30"/>
      <c r="C108" s="39" t="s">
        <v>36</v>
      </c>
      <c r="D108" s="38" t="s">
        <v>249</v>
      </c>
      <c r="E108" s="37" t="s">
        <v>125</v>
      </c>
      <c r="F108" s="36">
        <v>1</v>
      </c>
      <c r="G108" s="49">
        <v>10.09</v>
      </c>
      <c r="H108" s="35"/>
      <c r="I108" s="32"/>
      <c r="J108" s="32">
        <f t="shared" ref="J108:J125" si="2">F108*G108</f>
        <v>10.09</v>
      </c>
      <c r="L108" s="34"/>
      <c r="M108" s="34"/>
      <c r="N108" s="33"/>
    </row>
    <row r="109" spans="1:14" s="9" customFormat="1" x14ac:dyDescent="0.25">
      <c r="A109" s="31"/>
      <c r="B109" s="30"/>
      <c r="C109" s="39" t="s">
        <v>35</v>
      </c>
      <c r="D109" s="38" t="s">
        <v>250</v>
      </c>
      <c r="E109" s="37" t="s">
        <v>125</v>
      </c>
      <c r="F109" s="36">
        <v>7</v>
      </c>
      <c r="G109" s="49">
        <v>8.59</v>
      </c>
      <c r="H109" s="35"/>
      <c r="I109" s="32"/>
      <c r="J109" s="32">
        <f>F109*G109+0.02</f>
        <v>60.15</v>
      </c>
      <c r="L109" s="34"/>
      <c r="M109" s="34"/>
      <c r="N109" s="33"/>
    </row>
    <row r="110" spans="1:14" s="9" customFormat="1" x14ac:dyDescent="0.25">
      <c r="A110" s="31"/>
      <c r="B110" s="30"/>
      <c r="C110" s="39" t="s">
        <v>34</v>
      </c>
      <c r="D110" s="38" t="s">
        <v>251</v>
      </c>
      <c r="E110" s="37" t="s">
        <v>125</v>
      </c>
      <c r="F110" s="36">
        <v>5</v>
      </c>
      <c r="G110" s="49">
        <v>8.2799999999999994</v>
      </c>
      <c r="H110" s="35"/>
      <c r="I110" s="32"/>
      <c r="J110" s="32">
        <f>F110*G110-0.02</f>
        <v>41.379999999999995</v>
      </c>
      <c r="L110" s="34"/>
      <c r="M110" s="34"/>
      <c r="N110" s="33"/>
    </row>
    <row r="111" spans="1:14" s="9" customFormat="1" x14ac:dyDescent="0.25">
      <c r="A111" s="31"/>
      <c r="B111" s="30"/>
      <c r="C111" s="39" t="s">
        <v>33</v>
      </c>
      <c r="D111" s="38" t="s">
        <v>252</v>
      </c>
      <c r="E111" s="37" t="s">
        <v>125</v>
      </c>
      <c r="F111" s="36">
        <v>5</v>
      </c>
      <c r="G111" s="49">
        <v>36.619999999999997</v>
      </c>
      <c r="H111" s="35"/>
      <c r="I111" s="32"/>
      <c r="J111" s="32">
        <f>F111*G111-0.02</f>
        <v>183.07999999999998</v>
      </c>
      <c r="L111" s="34"/>
      <c r="M111" s="34"/>
      <c r="N111" s="33"/>
    </row>
    <row r="112" spans="1:14" s="9" customFormat="1" x14ac:dyDescent="0.25">
      <c r="A112" s="31"/>
      <c r="B112" s="30"/>
      <c r="C112" s="39" t="s">
        <v>32</v>
      </c>
      <c r="D112" s="38" t="s">
        <v>253</v>
      </c>
      <c r="E112" s="37" t="s">
        <v>125</v>
      </c>
      <c r="F112" s="36">
        <v>8</v>
      </c>
      <c r="G112" s="49">
        <v>36.619999999999997</v>
      </c>
      <c r="H112" s="35"/>
      <c r="I112" s="32"/>
      <c r="J112" s="32">
        <f>F112*G112-0.03</f>
        <v>292.93</v>
      </c>
      <c r="L112" s="34"/>
      <c r="M112" s="34"/>
      <c r="N112" s="33"/>
    </row>
    <row r="113" spans="1:14" s="9" customFormat="1" x14ac:dyDescent="0.25">
      <c r="A113" s="51"/>
      <c r="B113" s="30"/>
      <c r="C113" s="39" t="s">
        <v>31</v>
      </c>
      <c r="D113" s="60" t="s">
        <v>254</v>
      </c>
      <c r="E113" s="37" t="s">
        <v>125</v>
      </c>
      <c r="F113" s="36">
        <v>2</v>
      </c>
      <c r="G113" s="49">
        <v>199.77</v>
      </c>
      <c r="H113" s="35"/>
      <c r="I113" s="32"/>
      <c r="J113" s="32">
        <f>F113*G113-0.01</f>
        <v>399.53000000000003</v>
      </c>
      <c r="L113" s="10"/>
    </row>
    <row r="114" spans="1:14" s="9" customFormat="1" x14ac:dyDescent="0.25">
      <c r="A114" s="51"/>
      <c r="B114" s="30"/>
      <c r="C114" s="39" t="s">
        <v>30</v>
      </c>
      <c r="D114" s="60" t="s">
        <v>255</v>
      </c>
      <c r="E114" s="37" t="s">
        <v>125</v>
      </c>
      <c r="F114" s="36">
        <v>1</v>
      </c>
      <c r="G114" s="49">
        <v>311.54000000000002</v>
      </c>
      <c r="H114" s="35"/>
      <c r="I114" s="32"/>
      <c r="J114" s="32">
        <f t="shared" si="2"/>
        <v>311.54000000000002</v>
      </c>
      <c r="L114" s="10"/>
    </row>
    <row r="115" spans="1:14" s="9" customFormat="1" x14ac:dyDescent="0.25">
      <c r="A115" s="51"/>
      <c r="B115" s="30"/>
      <c r="C115" s="39" t="s">
        <v>235</v>
      </c>
      <c r="D115" s="60" t="s">
        <v>256</v>
      </c>
      <c r="E115" s="37" t="s">
        <v>125</v>
      </c>
      <c r="F115" s="36">
        <v>1</v>
      </c>
      <c r="G115" s="49">
        <v>64.42</v>
      </c>
      <c r="H115" s="35"/>
      <c r="I115" s="32"/>
      <c r="J115" s="32">
        <f t="shared" si="2"/>
        <v>64.42</v>
      </c>
      <c r="L115" s="10"/>
    </row>
    <row r="116" spans="1:14" s="9" customFormat="1" ht="36" x14ac:dyDescent="0.25">
      <c r="A116" s="51"/>
      <c r="B116" s="30"/>
      <c r="C116" s="39" t="s">
        <v>236</v>
      </c>
      <c r="D116" s="50" t="s">
        <v>257</v>
      </c>
      <c r="E116" s="37" t="s">
        <v>125</v>
      </c>
      <c r="F116" s="36">
        <v>1</v>
      </c>
      <c r="G116" s="49">
        <v>295.55</v>
      </c>
      <c r="H116" s="35"/>
      <c r="I116" s="32"/>
      <c r="J116" s="32">
        <f t="shared" si="2"/>
        <v>295.55</v>
      </c>
      <c r="L116" s="10"/>
    </row>
    <row r="117" spans="1:14" s="9" customFormat="1" ht="24" x14ac:dyDescent="0.25">
      <c r="A117" s="51"/>
      <c r="B117" s="30"/>
      <c r="C117" s="39" t="s">
        <v>237</v>
      </c>
      <c r="D117" s="50" t="s">
        <v>258</v>
      </c>
      <c r="E117" s="37" t="s">
        <v>125</v>
      </c>
      <c r="F117" s="36">
        <v>1</v>
      </c>
      <c r="G117" s="49">
        <v>295.55</v>
      </c>
      <c r="H117" s="35"/>
      <c r="I117" s="32"/>
      <c r="J117" s="32">
        <f t="shared" si="2"/>
        <v>295.55</v>
      </c>
      <c r="L117" s="10"/>
    </row>
    <row r="118" spans="1:14" s="63" customFormat="1" x14ac:dyDescent="0.25">
      <c r="A118" s="51"/>
      <c r="B118" s="30"/>
      <c r="C118" s="39" t="s">
        <v>238</v>
      </c>
      <c r="D118" s="60" t="s">
        <v>259</v>
      </c>
      <c r="E118" s="37" t="s">
        <v>2</v>
      </c>
      <c r="F118" s="36">
        <v>22</v>
      </c>
      <c r="G118" s="49">
        <v>11.84</v>
      </c>
      <c r="H118" s="35"/>
      <c r="I118" s="32"/>
      <c r="J118" s="32">
        <f>F118*G118+0.05</f>
        <v>260.53000000000003</v>
      </c>
      <c r="L118" s="64"/>
    </row>
    <row r="119" spans="1:14" s="63" customFormat="1" x14ac:dyDescent="0.25">
      <c r="A119" s="51"/>
      <c r="B119" s="30"/>
      <c r="C119" s="39" t="s">
        <v>239</v>
      </c>
      <c r="D119" s="60" t="s">
        <v>260</v>
      </c>
      <c r="E119" s="37" t="s">
        <v>2</v>
      </c>
      <c r="F119" s="36">
        <v>32</v>
      </c>
      <c r="G119" s="49">
        <v>10.62</v>
      </c>
      <c r="H119" s="35"/>
      <c r="I119" s="32"/>
      <c r="J119" s="32">
        <f>F119*G119+0.11</f>
        <v>339.95</v>
      </c>
      <c r="L119" s="64"/>
    </row>
    <row r="120" spans="1:14" s="9" customFormat="1" x14ac:dyDescent="0.25">
      <c r="A120" s="51"/>
      <c r="B120" s="30"/>
      <c r="C120" s="39" t="s">
        <v>240</v>
      </c>
      <c r="D120" s="60" t="s">
        <v>261</v>
      </c>
      <c r="E120" s="30" t="s">
        <v>2</v>
      </c>
      <c r="F120" s="36">
        <v>22</v>
      </c>
      <c r="G120" s="49">
        <v>19.04</v>
      </c>
      <c r="H120" s="35"/>
      <c r="I120" s="32"/>
      <c r="J120" s="32">
        <f>F120*G120-0.08</f>
        <v>418.8</v>
      </c>
      <c r="L120" s="10"/>
    </row>
    <row r="121" spans="1:14" s="63" customFormat="1" x14ac:dyDescent="0.25">
      <c r="A121" s="51"/>
      <c r="B121" s="30"/>
      <c r="C121" s="39" t="s">
        <v>241</v>
      </c>
      <c r="D121" s="50" t="s">
        <v>262</v>
      </c>
      <c r="E121" s="37" t="s">
        <v>2</v>
      </c>
      <c r="F121" s="36">
        <v>86</v>
      </c>
      <c r="G121" s="49">
        <v>18.829999999999998</v>
      </c>
      <c r="H121" s="35"/>
      <c r="I121" s="32"/>
      <c r="J121" s="32">
        <f>F121*G121-0.08</f>
        <v>1619.3</v>
      </c>
      <c r="L121" s="64"/>
    </row>
    <row r="122" spans="1:14" s="9" customFormat="1" x14ac:dyDescent="0.25">
      <c r="A122" s="51"/>
      <c r="B122" s="30"/>
      <c r="C122" s="39" t="s">
        <v>242</v>
      </c>
      <c r="D122" s="50" t="s">
        <v>263</v>
      </c>
      <c r="E122" s="37" t="s">
        <v>2</v>
      </c>
      <c r="F122" s="36">
        <v>17</v>
      </c>
      <c r="G122" s="49">
        <v>19.73</v>
      </c>
      <c r="H122" s="35"/>
      <c r="I122" s="32"/>
      <c r="J122" s="32">
        <f>F122*G122+0.02</f>
        <v>335.43</v>
      </c>
      <c r="L122" s="10"/>
    </row>
    <row r="123" spans="1:14" s="9" customFormat="1" x14ac:dyDescent="0.25">
      <c r="A123" s="51"/>
      <c r="B123" s="30"/>
      <c r="C123" s="39" t="s">
        <v>243</v>
      </c>
      <c r="D123" s="50" t="s">
        <v>264</v>
      </c>
      <c r="E123" s="37" t="s">
        <v>2</v>
      </c>
      <c r="F123" s="36">
        <v>34</v>
      </c>
      <c r="G123" s="49">
        <v>33.01</v>
      </c>
      <c r="H123" s="35"/>
      <c r="I123" s="32"/>
      <c r="J123" s="32">
        <f>F123*G123+0.03</f>
        <v>1122.3699999999999</v>
      </c>
      <c r="L123" s="10"/>
    </row>
    <row r="124" spans="1:14" s="9" customFormat="1" ht="24" x14ac:dyDescent="0.25">
      <c r="A124" s="51"/>
      <c r="B124" s="30"/>
      <c r="C124" s="30" t="s">
        <v>244</v>
      </c>
      <c r="D124" s="50" t="s">
        <v>265</v>
      </c>
      <c r="E124" s="37" t="s">
        <v>125</v>
      </c>
      <c r="F124" s="36">
        <v>6</v>
      </c>
      <c r="G124" s="49">
        <v>93.32</v>
      </c>
      <c r="H124" s="35"/>
      <c r="I124" s="32"/>
      <c r="J124" s="32">
        <f>F124*G124-0.02</f>
        <v>559.9</v>
      </c>
      <c r="L124" s="10"/>
    </row>
    <row r="125" spans="1:14" s="9" customFormat="1" ht="24" x14ac:dyDescent="0.25">
      <c r="A125" s="51"/>
      <c r="B125" s="30"/>
      <c r="C125" s="30" t="s">
        <v>245</v>
      </c>
      <c r="D125" s="50" t="s">
        <v>266</v>
      </c>
      <c r="E125" s="37" t="s">
        <v>125</v>
      </c>
      <c r="F125" s="36">
        <v>1</v>
      </c>
      <c r="G125" s="49">
        <v>67.69</v>
      </c>
      <c r="H125" s="35"/>
      <c r="I125" s="32"/>
      <c r="J125" s="32">
        <f t="shared" si="2"/>
        <v>67.69</v>
      </c>
      <c r="L125" s="10"/>
    </row>
    <row r="126" spans="1:14" s="9" customFormat="1" ht="24" x14ac:dyDescent="0.25">
      <c r="A126" s="51"/>
      <c r="B126" s="30"/>
      <c r="C126" s="30" t="s">
        <v>246</v>
      </c>
      <c r="D126" s="50" t="s">
        <v>267</v>
      </c>
      <c r="E126" s="37" t="s">
        <v>125</v>
      </c>
      <c r="F126" s="36">
        <v>15</v>
      </c>
      <c r="G126" s="49">
        <v>225.6</v>
      </c>
      <c r="H126" s="35"/>
      <c r="I126" s="32"/>
      <c r="J126" s="32">
        <f>F126*G126-0.06</f>
        <v>3383.94</v>
      </c>
      <c r="L126" s="10"/>
    </row>
    <row r="127" spans="1:14" s="9" customFormat="1" x14ac:dyDescent="0.25">
      <c r="A127" s="31"/>
      <c r="B127" s="48"/>
      <c r="C127" s="47">
        <v>10</v>
      </c>
      <c r="D127" s="46" t="s">
        <v>11</v>
      </c>
      <c r="E127" s="45"/>
      <c r="F127" s="44"/>
      <c r="G127" s="41"/>
      <c r="H127" s="43"/>
      <c r="I127" s="42">
        <f>SUM(I128:I133)</f>
        <v>2023.44</v>
      </c>
      <c r="J127" s="41">
        <f>SUM(J128:J133)+0.01</f>
        <v>2088.8200000000002</v>
      </c>
      <c r="K127" s="40"/>
      <c r="L127" s="34"/>
      <c r="M127" s="34"/>
      <c r="N127" s="33"/>
    </row>
    <row r="128" spans="1:14" s="9" customFormat="1" x14ac:dyDescent="0.25">
      <c r="A128" s="51"/>
      <c r="B128" s="30">
        <v>68070</v>
      </c>
      <c r="C128" s="39" t="s">
        <v>29</v>
      </c>
      <c r="D128" s="50" t="s">
        <v>268</v>
      </c>
      <c r="E128" s="37" t="s">
        <v>125</v>
      </c>
      <c r="F128" s="36">
        <v>5</v>
      </c>
      <c r="G128" s="49">
        <v>121.34</v>
      </c>
      <c r="H128" s="35">
        <v>43.48</v>
      </c>
      <c r="I128" s="32">
        <f t="shared" ref="I128:I133" si="3">F128*H128</f>
        <v>217.39999999999998</v>
      </c>
      <c r="J128" s="32">
        <f>F128*G128-0.01</f>
        <v>606.69000000000005</v>
      </c>
      <c r="K128" s="40"/>
      <c r="L128" s="10"/>
    </row>
    <row r="129" spans="1:14" s="9" customFormat="1" x14ac:dyDescent="0.25">
      <c r="A129" s="51"/>
      <c r="B129" s="30" t="s">
        <v>10</v>
      </c>
      <c r="C129" s="39" t="s">
        <v>28</v>
      </c>
      <c r="D129" s="50" t="s">
        <v>269</v>
      </c>
      <c r="E129" s="37" t="s">
        <v>125</v>
      </c>
      <c r="F129" s="36">
        <v>12</v>
      </c>
      <c r="G129" s="49">
        <v>8.67</v>
      </c>
      <c r="H129" s="35">
        <v>5.81</v>
      </c>
      <c r="I129" s="32">
        <f t="shared" si="3"/>
        <v>69.72</v>
      </c>
      <c r="J129" s="32">
        <f>F129*G129</f>
        <v>104.03999999999999</v>
      </c>
      <c r="K129" s="40"/>
      <c r="L129" s="10"/>
    </row>
    <row r="130" spans="1:14" s="9" customFormat="1" x14ac:dyDescent="0.25">
      <c r="A130" s="51"/>
      <c r="B130" s="30" t="s">
        <v>9</v>
      </c>
      <c r="C130" s="39" t="s">
        <v>27</v>
      </c>
      <c r="D130" s="50" t="s">
        <v>270</v>
      </c>
      <c r="E130" s="37" t="s">
        <v>125</v>
      </c>
      <c r="F130" s="36">
        <v>24</v>
      </c>
      <c r="G130" s="49">
        <v>35.28</v>
      </c>
      <c r="H130" s="35">
        <v>3.93</v>
      </c>
      <c r="I130" s="32">
        <f t="shared" si="3"/>
        <v>94.320000000000007</v>
      </c>
      <c r="J130" s="32">
        <f>F130*G130</f>
        <v>846.72</v>
      </c>
      <c r="K130" s="40"/>
      <c r="L130" s="10"/>
    </row>
    <row r="131" spans="1:14" s="9" customFormat="1" ht="15.75" customHeight="1" x14ac:dyDescent="0.25">
      <c r="A131" s="51"/>
      <c r="B131" s="30"/>
      <c r="C131" s="39" t="s">
        <v>26</v>
      </c>
      <c r="D131" s="50" t="s">
        <v>271</v>
      </c>
      <c r="E131" s="37" t="s">
        <v>125</v>
      </c>
      <c r="F131" s="36">
        <v>5</v>
      </c>
      <c r="G131" s="49">
        <v>42.25</v>
      </c>
      <c r="H131" s="35">
        <v>1.94</v>
      </c>
      <c r="I131" s="32">
        <f t="shared" si="3"/>
        <v>9.6999999999999993</v>
      </c>
      <c r="J131" s="32">
        <f>F131*G131+0.02</f>
        <v>211.27</v>
      </c>
      <c r="K131" s="40"/>
      <c r="L131" s="10"/>
    </row>
    <row r="132" spans="1:14" s="9" customFormat="1" x14ac:dyDescent="0.25">
      <c r="A132" s="51"/>
      <c r="B132" s="30"/>
      <c r="C132" s="39" t="s">
        <v>25</v>
      </c>
      <c r="D132" s="50" t="s">
        <v>272</v>
      </c>
      <c r="E132" s="37" t="s">
        <v>125</v>
      </c>
      <c r="F132" s="36">
        <v>18</v>
      </c>
      <c r="G132" s="49">
        <v>14.78</v>
      </c>
      <c r="H132" s="35">
        <v>1.1000000000000001</v>
      </c>
      <c r="I132" s="32">
        <f t="shared" si="3"/>
        <v>19.8</v>
      </c>
      <c r="J132" s="32">
        <f>F132*G132+0.04</f>
        <v>266.08</v>
      </c>
      <c r="L132" s="10"/>
    </row>
    <row r="133" spans="1:14" s="9" customFormat="1" x14ac:dyDescent="0.25">
      <c r="A133" s="51"/>
      <c r="B133" s="30"/>
      <c r="C133" s="39" t="s">
        <v>24</v>
      </c>
      <c r="D133" s="50" t="s">
        <v>273</v>
      </c>
      <c r="E133" s="37" t="s">
        <v>125</v>
      </c>
      <c r="F133" s="36">
        <v>5</v>
      </c>
      <c r="G133" s="49">
        <v>10.8</v>
      </c>
      <c r="H133" s="35">
        <v>322.5</v>
      </c>
      <c r="I133" s="32">
        <f t="shared" si="3"/>
        <v>1612.5</v>
      </c>
      <c r="J133" s="32">
        <f>F133*G133+0.01</f>
        <v>54.01</v>
      </c>
      <c r="L133" s="10"/>
    </row>
    <row r="134" spans="1:14" s="9" customFormat="1" x14ac:dyDescent="0.25">
      <c r="A134" s="31"/>
      <c r="B134" s="48"/>
      <c r="C134" s="47">
        <v>11</v>
      </c>
      <c r="D134" s="46" t="s">
        <v>274</v>
      </c>
      <c r="E134" s="45"/>
      <c r="F134" s="44"/>
      <c r="G134" s="41"/>
      <c r="H134" s="43"/>
      <c r="I134" s="42">
        <f>SUM(I135:I146)</f>
        <v>62312.892599999992</v>
      </c>
      <c r="J134" s="41">
        <f>SUM(J135:J146)-0.03</f>
        <v>27214.757799999999</v>
      </c>
      <c r="K134" s="40"/>
      <c r="L134" s="34"/>
      <c r="M134" s="34"/>
      <c r="N134" s="33"/>
    </row>
    <row r="135" spans="1:14" s="9" customFormat="1" ht="24" x14ac:dyDescent="0.25">
      <c r="A135" s="51"/>
      <c r="B135" s="30" t="s">
        <v>7</v>
      </c>
      <c r="C135" s="39" t="s">
        <v>22</v>
      </c>
      <c r="D135" s="50" t="s">
        <v>277</v>
      </c>
      <c r="E135" s="37" t="s">
        <v>1</v>
      </c>
      <c r="F135" s="36">
        <v>147</v>
      </c>
      <c r="G135" s="49">
        <v>94.12</v>
      </c>
      <c r="H135" s="35">
        <v>181</v>
      </c>
      <c r="I135" s="32">
        <v>1481</v>
      </c>
      <c r="J135" s="32">
        <f>F135*G135-0.55</f>
        <v>13835.090000000002</v>
      </c>
      <c r="L135" s="10"/>
    </row>
    <row r="136" spans="1:14" s="9" customFormat="1" ht="24" x14ac:dyDescent="0.25">
      <c r="A136" s="51"/>
      <c r="B136" s="30" t="s">
        <v>4</v>
      </c>
      <c r="C136" s="39" t="s">
        <v>21</v>
      </c>
      <c r="D136" s="50" t="s">
        <v>278</v>
      </c>
      <c r="E136" s="37" t="s">
        <v>125</v>
      </c>
      <c r="F136" s="36">
        <v>4</v>
      </c>
      <c r="G136" s="49">
        <v>387.59</v>
      </c>
      <c r="H136" s="35">
        <v>494.48</v>
      </c>
      <c r="I136" s="32">
        <f t="shared" ref="I136:I141" si="4">F136*H136</f>
        <v>1977.92</v>
      </c>
      <c r="J136" s="32">
        <f>F136*G136-0.01</f>
        <v>1550.35</v>
      </c>
      <c r="L136" s="10"/>
    </row>
    <row r="137" spans="1:14" s="9" customFormat="1" ht="24" x14ac:dyDescent="0.25">
      <c r="A137" s="51"/>
      <c r="B137" s="30" t="s">
        <v>4</v>
      </c>
      <c r="C137" s="39" t="s">
        <v>20</v>
      </c>
      <c r="D137" s="50" t="s">
        <v>279</v>
      </c>
      <c r="E137" s="37" t="s">
        <v>2</v>
      </c>
      <c r="F137" s="36">
        <v>4.8</v>
      </c>
      <c r="G137" s="49">
        <v>857.68</v>
      </c>
      <c r="H137" s="35">
        <v>494.48</v>
      </c>
      <c r="I137" s="32">
        <f t="shared" si="4"/>
        <v>2373.5039999999999</v>
      </c>
      <c r="J137" s="32">
        <f>F137*G137+0.02</f>
        <v>4116.884</v>
      </c>
      <c r="L137" s="10"/>
    </row>
    <row r="138" spans="1:14" s="9" customFormat="1" x14ac:dyDescent="0.25">
      <c r="A138" s="51"/>
      <c r="B138" s="30" t="s">
        <v>6</v>
      </c>
      <c r="C138" s="39" t="s">
        <v>19</v>
      </c>
      <c r="D138" s="50" t="s">
        <v>280</v>
      </c>
      <c r="E138" s="37" t="s">
        <v>2</v>
      </c>
      <c r="F138" s="36">
        <v>4.8</v>
      </c>
      <c r="G138" s="49">
        <v>182.44</v>
      </c>
      <c r="H138" s="35">
        <v>156.13999999999999</v>
      </c>
      <c r="I138" s="32">
        <f t="shared" si="4"/>
        <v>749.47199999999987</v>
      </c>
      <c r="J138" s="32">
        <f>F138*G138+0.02</f>
        <v>875.73199999999997</v>
      </c>
      <c r="L138" s="10"/>
    </row>
    <row r="139" spans="1:14" s="9" customFormat="1" ht="24" x14ac:dyDescent="0.25">
      <c r="A139" s="51"/>
      <c r="B139" s="30" t="s">
        <v>5</v>
      </c>
      <c r="C139" s="39" t="s">
        <v>18</v>
      </c>
      <c r="D139" s="50" t="s">
        <v>281</v>
      </c>
      <c r="E139" s="37" t="s">
        <v>125</v>
      </c>
      <c r="F139" s="36">
        <v>2</v>
      </c>
      <c r="G139" s="49">
        <v>199.19</v>
      </c>
      <c r="H139" s="35">
        <v>219.3</v>
      </c>
      <c r="I139" s="32">
        <f t="shared" si="4"/>
        <v>438.6</v>
      </c>
      <c r="J139" s="32">
        <f>F139*G139+0.01</f>
        <v>398.39</v>
      </c>
      <c r="L139" s="10"/>
    </row>
    <row r="140" spans="1:14" s="9" customFormat="1" ht="24" x14ac:dyDescent="0.25">
      <c r="A140" s="51"/>
      <c r="B140" s="30" t="s">
        <v>4</v>
      </c>
      <c r="C140" s="39" t="s">
        <v>17</v>
      </c>
      <c r="D140" s="50" t="s">
        <v>282</v>
      </c>
      <c r="E140" s="37" t="s">
        <v>125</v>
      </c>
      <c r="F140" s="36">
        <v>8</v>
      </c>
      <c r="G140" s="49">
        <v>199.19</v>
      </c>
      <c r="H140" s="35">
        <v>494.48</v>
      </c>
      <c r="I140" s="32">
        <f t="shared" si="4"/>
        <v>3955.84</v>
      </c>
      <c r="J140" s="32">
        <f>F140*G140+0.02</f>
        <v>1593.54</v>
      </c>
      <c r="L140" s="10"/>
    </row>
    <row r="141" spans="1:14" s="9" customFormat="1" x14ac:dyDescent="0.25">
      <c r="A141" s="51"/>
      <c r="B141" s="30" t="s">
        <v>3</v>
      </c>
      <c r="C141" s="39" t="s">
        <v>16</v>
      </c>
      <c r="D141" s="50" t="s">
        <v>283</v>
      </c>
      <c r="E141" s="37" t="s">
        <v>1</v>
      </c>
      <c r="F141" s="36">
        <v>4.5</v>
      </c>
      <c r="G141" s="49">
        <v>234.23</v>
      </c>
      <c r="H141" s="35">
        <v>43.19</v>
      </c>
      <c r="I141" s="32">
        <f t="shared" si="4"/>
        <v>194.35499999999999</v>
      </c>
      <c r="J141" s="32">
        <f>F141*G141-0.02</f>
        <v>1054.0149999999999</v>
      </c>
      <c r="L141" s="10"/>
    </row>
    <row r="142" spans="1:14" s="9" customFormat="1" x14ac:dyDescent="0.25">
      <c r="A142" s="51"/>
      <c r="B142" s="30"/>
      <c r="C142" s="39" t="s">
        <v>15</v>
      </c>
      <c r="D142" s="50" t="s">
        <v>284</v>
      </c>
      <c r="E142" s="37" t="s">
        <v>8</v>
      </c>
      <c r="F142" s="36">
        <v>1</v>
      </c>
      <c r="G142" s="49">
        <v>976.61</v>
      </c>
      <c r="H142" s="35"/>
      <c r="I142" s="32"/>
      <c r="J142" s="52">
        <f>F142*G142</f>
        <v>976.61</v>
      </c>
      <c r="L142" s="10"/>
    </row>
    <row r="143" spans="1:14" s="9" customFormat="1" x14ac:dyDescent="0.25">
      <c r="A143" s="51"/>
      <c r="B143" s="30"/>
      <c r="C143" s="39" t="s">
        <v>14</v>
      </c>
      <c r="D143" s="50" t="s">
        <v>285</v>
      </c>
      <c r="E143" s="37" t="s">
        <v>8</v>
      </c>
      <c r="F143" s="36">
        <v>1</v>
      </c>
      <c r="G143" s="49">
        <v>183.89</v>
      </c>
      <c r="H143" s="35"/>
      <c r="I143" s="32"/>
      <c r="J143" s="52">
        <f>F143*G143</f>
        <v>183.89</v>
      </c>
      <c r="L143" s="10"/>
    </row>
    <row r="144" spans="1:14" s="9" customFormat="1" x14ac:dyDescent="0.25">
      <c r="A144" s="51"/>
      <c r="B144" s="30"/>
      <c r="C144" s="39" t="s">
        <v>13</v>
      </c>
      <c r="D144" s="50" t="s">
        <v>286</v>
      </c>
      <c r="E144" s="37" t="s">
        <v>8</v>
      </c>
      <c r="F144" s="36">
        <v>1</v>
      </c>
      <c r="G144" s="49">
        <v>183.89</v>
      </c>
      <c r="H144" s="35"/>
      <c r="I144" s="32"/>
      <c r="J144" s="52">
        <f>F144*G144</f>
        <v>183.89</v>
      </c>
      <c r="L144" s="10"/>
    </row>
    <row r="145" spans="1:15" s="9" customFormat="1" x14ac:dyDescent="0.25">
      <c r="A145" s="51"/>
      <c r="B145" s="30"/>
      <c r="C145" s="39" t="s">
        <v>275</v>
      </c>
      <c r="D145" s="50" t="s">
        <v>287</v>
      </c>
      <c r="E145" s="37" t="s">
        <v>2</v>
      </c>
      <c r="F145" s="36">
        <v>2.9</v>
      </c>
      <c r="G145" s="49">
        <v>299.18</v>
      </c>
      <c r="H145" s="35"/>
      <c r="I145" s="32"/>
      <c r="J145" s="52">
        <f>F145*G145</f>
        <v>867.62199999999996</v>
      </c>
      <c r="L145" s="10"/>
    </row>
    <row r="146" spans="1:15" s="9" customFormat="1" x14ac:dyDescent="0.25">
      <c r="A146" s="51"/>
      <c r="B146" s="30">
        <v>73665</v>
      </c>
      <c r="C146" s="39" t="s">
        <v>276</v>
      </c>
      <c r="D146" s="50" t="s">
        <v>288</v>
      </c>
      <c r="E146" s="37" t="s">
        <v>1</v>
      </c>
      <c r="F146" s="36">
        <v>861.56</v>
      </c>
      <c r="G146" s="49">
        <v>1.83</v>
      </c>
      <c r="H146" s="35">
        <v>59.36</v>
      </c>
      <c r="I146" s="32">
        <f>F146*H146</f>
        <v>51142.201599999993</v>
      </c>
      <c r="J146" s="32">
        <f>F146*G146+2.12</f>
        <v>1578.7747999999999</v>
      </c>
      <c r="L146" s="10"/>
    </row>
    <row r="147" spans="1:15" s="9" customFormat="1" x14ac:dyDescent="0.25">
      <c r="A147" s="31"/>
      <c r="B147" s="30"/>
      <c r="C147" s="118"/>
      <c r="D147" s="118"/>
      <c r="E147" s="118"/>
      <c r="F147" s="118"/>
      <c r="G147" s="118"/>
      <c r="H147" s="118"/>
      <c r="I147" s="118"/>
      <c r="J147" s="32"/>
      <c r="L147" s="10"/>
    </row>
    <row r="148" spans="1:15" s="9" customFormat="1" x14ac:dyDescent="0.25">
      <c r="A148" s="31"/>
      <c r="B148" s="30"/>
      <c r="C148" s="102" t="s">
        <v>0</v>
      </c>
      <c r="D148" s="103"/>
      <c r="E148" s="103"/>
      <c r="F148" s="103"/>
      <c r="G148" s="104"/>
      <c r="H148" s="29"/>
      <c r="I148" s="28" t="e">
        <f>I13+I15+I18+I24+#REF!+#REF!+#REF!+#REF!+#REF!+#REF!+#REF!+I32+I74+I96+#REF!+I102+#REF!+#REF!+#REF!+#REF!+#REF!+I127+I134+#REF!</f>
        <v>#REF!</v>
      </c>
      <c r="J148" s="28">
        <f>J13+J15+J18+J21+J24+J32+J74+J96+J102+J127+J134-0.02</f>
        <v>215275.74880000003</v>
      </c>
      <c r="L148" s="10"/>
      <c r="M148" s="27">
        <v>0.05</v>
      </c>
      <c r="O148" s="26">
        <f>J148*M148</f>
        <v>10763.787440000002</v>
      </c>
    </row>
    <row r="149" spans="1:15" s="9" customFormat="1" x14ac:dyDescent="0.25">
      <c r="A149" s="17"/>
      <c r="B149" s="15"/>
      <c r="C149" s="15"/>
      <c r="D149" s="16"/>
      <c r="E149" s="15"/>
      <c r="F149" s="14"/>
      <c r="G149" s="13"/>
      <c r="H149" s="12"/>
      <c r="I149" s="17"/>
      <c r="J149" s="17"/>
      <c r="L149" s="10"/>
      <c r="O149" s="26"/>
    </row>
    <row r="150" spans="1:15" s="9" customFormat="1" x14ac:dyDescent="0.25">
      <c r="A150" s="17"/>
      <c r="B150" s="15"/>
      <c r="C150" s="15"/>
      <c r="D150" s="16"/>
      <c r="E150" s="15"/>
      <c r="F150" s="14"/>
      <c r="G150" s="13"/>
      <c r="H150" s="12"/>
      <c r="I150" s="17">
        <v>1250909.3899999999</v>
      </c>
      <c r="J150" s="17"/>
      <c r="L150" s="10"/>
      <c r="O150" s="26"/>
    </row>
    <row r="151" spans="1:15" s="9" customFormat="1" x14ac:dyDescent="0.2">
      <c r="A151" s="17"/>
      <c r="B151" s="15"/>
      <c r="C151" s="15"/>
      <c r="D151" s="16"/>
      <c r="E151" s="15"/>
      <c r="F151" s="14"/>
      <c r="G151" s="13"/>
      <c r="H151" s="12"/>
      <c r="I151" s="13"/>
      <c r="J151" s="125">
        <v>114153.59746857009</v>
      </c>
      <c r="L151" s="10"/>
      <c r="M151" s="26">
        <f>M148</f>
        <v>0.05</v>
      </c>
      <c r="O151" s="26">
        <f t="shared" ref="O149:O151" si="5">J151*M151</f>
        <v>5707.6798734285048</v>
      </c>
    </row>
    <row r="152" spans="1:15" s="9" customFormat="1" x14ac:dyDescent="0.25">
      <c r="A152" s="17"/>
      <c r="B152" s="15"/>
      <c r="C152" s="15"/>
      <c r="D152" s="20"/>
      <c r="E152" s="15"/>
      <c r="F152" s="14"/>
      <c r="G152" s="13"/>
      <c r="H152" s="12"/>
      <c r="I152" s="25" t="e">
        <f>I150-I148</f>
        <v>#REF!</v>
      </c>
      <c r="J152" s="24"/>
      <c r="K152" s="23"/>
      <c r="L152" s="22"/>
      <c r="M152" s="21"/>
      <c r="O152" s="26">
        <f>O148+O151</f>
        <v>16471.467313428508</v>
      </c>
    </row>
    <row r="153" spans="1:15" s="9" customFormat="1" x14ac:dyDescent="0.25">
      <c r="A153" s="17"/>
      <c r="B153" s="15"/>
      <c r="C153" s="15"/>
      <c r="D153" s="20"/>
      <c r="E153" s="15"/>
      <c r="F153" s="14"/>
      <c r="G153" s="13"/>
      <c r="H153" s="12"/>
      <c r="I153" s="19"/>
      <c r="J153" s="13"/>
      <c r="L153" s="10"/>
    </row>
    <row r="154" spans="1:15" s="9" customFormat="1" x14ac:dyDescent="0.25">
      <c r="A154" s="17"/>
      <c r="B154" s="15"/>
      <c r="C154" s="15"/>
      <c r="D154" s="16"/>
      <c r="E154" s="15"/>
      <c r="F154" s="14"/>
      <c r="G154" s="13"/>
      <c r="H154" s="12"/>
      <c r="I154" s="17"/>
      <c r="J154" s="18">
        <v>1885243.75</v>
      </c>
      <c r="L154" s="10"/>
      <c r="M154" s="26">
        <f>M151</f>
        <v>0.05</v>
      </c>
      <c r="O154" s="9">
        <f>J154*M154</f>
        <v>94262.1875</v>
      </c>
    </row>
    <row r="155" spans="1:15" s="9" customFormat="1" x14ac:dyDescent="0.25">
      <c r="A155" s="17"/>
      <c r="B155" s="15"/>
      <c r="C155" s="15"/>
      <c r="D155" s="16"/>
      <c r="E155" s="15"/>
      <c r="F155" s="14"/>
      <c r="G155" s="13"/>
      <c r="H155" s="12"/>
      <c r="I155" s="11" t="e">
        <f>I13+I15+I18+I24+#REF!+#REF!+#REF!+#REF!+#REF!+#REF!+#REF!+I32+I74+I96+#REF!+I102+#REF!+#REF!+#REF!+#REF!+#REF!+I127+I134+#REF!</f>
        <v>#REF!</v>
      </c>
      <c r="J155" s="11"/>
      <c r="L155" s="10"/>
      <c r="O155" s="9">
        <f>O154-15000</f>
        <v>79262.1875</v>
      </c>
    </row>
    <row r="156" spans="1:15" x14ac:dyDescent="0.25">
      <c r="O156" s="126">
        <f>O152+O155</f>
        <v>95733.654813428511</v>
      </c>
    </row>
  </sheetData>
  <mergeCells count="18">
    <mergeCell ref="A1:K4"/>
    <mergeCell ref="A7:D7"/>
    <mergeCell ref="A8:F8"/>
    <mergeCell ref="L11:L12"/>
    <mergeCell ref="C147:I147"/>
    <mergeCell ref="C5:J6"/>
    <mergeCell ref="J11:J12"/>
    <mergeCell ref="G11:G12"/>
    <mergeCell ref="H11:H12"/>
    <mergeCell ref="I11:I12"/>
    <mergeCell ref="C148:G148"/>
    <mergeCell ref="A9:I9"/>
    <mergeCell ref="A11:A12"/>
    <mergeCell ref="B11:B12"/>
    <mergeCell ref="C11:C12"/>
    <mergeCell ref="D11:D12"/>
    <mergeCell ref="E11:E12"/>
    <mergeCell ref="F11:F12"/>
  </mergeCells>
  <printOptions horizontalCentered="1"/>
  <pageMargins left="0.59055118110236227" right="0.39370078740157483" top="0.39370078740157483" bottom="0.59055118110236227" header="0.31496062992125984" footer="0.31496062992125984"/>
  <pageSetup paperSize="9" scale="73" fitToHeight="0" orientation="portrait" horizontalDpi="4294967295" verticalDpi="4294967295" r:id="rId1"/>
  <rowBreaks count="2" manualBreakCount="2">
    <brk id="53" max="10" man="1"/>
    <brk id="105" max="10" man="1"/>
  </rowBreaks>
  <ignoredErrors>
    <ignoredError sqref="J15 J34 J40 J42 J48 J52 J55 J58 J65 J76 J81 J84 J91 J109 J13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showGridLines="0" view="pageBreakPreview" topLeftCell="C136" zoomScaleNormal="100" zoomScaleSheetLayoutView="100" zoomScalePageLayoutView="90" workbookViewId="0">
      <selection activeCell="J14" sqref="J14"/>
    </sheetView>
  </sheetViews>
  <sheetFormatPr defaultRowHeight="15" x14ac:dyDescent="0.25"/>
  <cols>
    <col min="1" max="1" width="9.140625" style="2" hidden="1" customWidth="1"/>
    <col min="2" max="2" width="11.42578125" style="8" hidden="1" customWidth="1"/>
    <col min="3" max="3" width="7.85546875" style="6" bestFit="1" customWidth="1"/>
    <col min="4" max="4" width="74.42578125" style="7" bestFit="1" customWidth="1"/>
    <col min="5" max="5" width="6" style="6" customWidth="1"/>
    <col min="6" max="6" width="8.28515625" style="5" customWidth="1"/>
    <col min="7" max="7" width="9.85546875" style="4" bestFit="1" customWidth="1"/>
    <col min="8" max="8" width="9.85546875" style="3" hidden="1" customWidth="1"/>
    <col min="9" max="9" width="16.140625" style="2" hidden="1" customWidth="1"/>
    <col min="10" max="10" width="16.7109375" style="2" customWidth="1"/>
    <col min="11" max="11" width="2.5703125" customWidth="1"/>
    <col min="12" max="12" width="11.42578125" style="1" customWidth="1"/>
    <col min="13" max="13" width="15.85546875" bestFit="1" customWidth="1"/>
    <col min="14" max="15" width="13.28515625" bestFit="1" customWidth="1"/>
  </cols>
  <sheetData>
    <row r="1" spans="1:14" s="76" customFormat="1" ht="26.25" customHeight="1" x14ac:dyDescent="0.25">
      <c r="A1" s="113" t="str">
        <f>'[1]Resumo Geral'!A1:D4</f>
        <v xml:space="preserve">   H C GOMES CONSTRUTORA COMÉRCIO E SERVIÇOS EIRELI - EPP                                                                                       CNPJ: 18.235.336/0001-07, Incs. Municipal: 30.476, Trav. João Augusto, nº 847 -                                                      Bairro: São Pedro - CEP: 68.400-000 - Cametá - Pará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79"/>
    </row>
    <row r="2" spans="1:14" s="76" customFormat="1" ht="15.75" customHeigh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79"/>
    </row>
    <row r="3" spans="1:14" s="76" customFormat="1" ht="15.7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79"/>
    </row>
    <row r="4" spans="1:14" s="76" customFormat="1" ht="15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79"/>
    </row>
    <row r="5" spans="1:14" s="76" customFormat="1" ht="26.25" customHeight="1" x14ac:dyDescent="0.25">
      <c r="A5" s="95"/>
      <c r="B5" s="95"/>
      <c r="C5" s="119" t="s">
        <v>118</v>
      </c>
      <c r="D5" s="119"/>
      <c r="E5" s="119"/>
      <c r="F5" s="119"/>
      <c r="G5" s="119"/>
      <c r="H5" s="119"/>
      <c r="I5" s="119"/>
      <c r="J5" s="119"/>
      <c r="L5" s="79"/>
    </row>
    <row r="6" spans="1:14" s="76" customFormat="1" ht="15" customHeight="1" x14ac:dyDescent="0.25">
      <c r="A6" s="96"/>
      <c r="B6" s="96"/>
      <c r="C6" s="119"/>
      <c r="D6" s="119"/>
      <c r="E6" s="119"/>
      <c r="F6" s="119"/>
      <c r="G6" s="119"/>
      <c r="H6" s="119"/>
      <c r="I6" s="119"/>
      <c r="J6" s="119"/>
      <c r="K6" s="94"/>
      <c r="L6" s="79"/>
    </row>
    <row r="7" spans="1:14" s="76" customFormat="1" x14ac:dyDescent="0.25">
      <c r="A7" s="114" t="s">
        <v>119</v>
      </c>
      <c r="B7" s="115"/>
      <c r="C7" s="115"/>
      <c r="D7" s="115"/>
      <c r="E7" s="87"/>
      <c r="F7" s="86"/>
      <c r="G7" s="85"/>
      <c r="H7" s="85"/>
      <c r="I7" s="84"/>
      <c r="J7" s="84"/>
      <c r="L7" s="79"/>
    </row>
    <row r="8" spans="1:14" s="76" customFormat="1" ht="17.25" customHeight="1" x14ac:dyDescent="0.25">
      <c r="A8" s="114" t="s">
        <v>120</v>
      </c>
      <c r="B8" s="115"/>
      <c r="C8" s="115"/>
      <c r="D8" s="115"/>
      <c r="E8" s="115"/>
      <c r="F8" s="115"/>
      <c r="G8" s="85"/>
      <c r="H8" s="85"/>
      <c r="I8" s="93"/>
      <c r="J8" s="93"/>
      <c r="L8" s="79"/>
    </row>
    <row r="9" spans="1:14" s="76" customFormat="1" x14ac:dyDescent="0.25">
      <c r="A9" s="105" t="s">
        <v>121</v>
      </c>
      <c r="B9" s="105"/>
      <c r="C9" s="105"/>
      <c r="D9" s="105"/>
      <c r="E9" s="105"/>
      <c r="F9" s="105"/>
      <c r="G9" s="105"/>
      <c r="H9" s="105"/>
      <c r="I9" s="105"/>
      <c r="J9" s="92"/>
      <c r="L9" s="79"/>
    </row>
    <row r="10" spans="1:14" s="76" customFormat="1" x14ac:dyDescent="0.25">
      <c r="A10" s="90"/>
      <c r="B10" s="89"/>
      <c r="C10" s="97"/>
      <c r="D10" s="88"/>
      <c r="E10" s="98"/>
      <c r="F10" s="99"/>
      <c r="G10" s="100"/>
      <c r="H10" s="100"/>
      <c r="I10" s="101"/>
      <c r="J10" s="101"/>
      <c r="L10" s="79"/>
    </row>
    <row r="11" spans="1:14" s="76" customFormat="1" x14ac:dyDescent="0.25">
      <c r="A11" s="106"/>
      <c r="B11" s="108" t="s">
        <v>116</v>
      </c>
      <c r="C11" s="110" t="s">
        <v>115</v>
      </c>
      <c r="D11" s="110" t="s">
        <v>114</v>
      </c>
      <c r="E11" s="111" t="s">
        <v>113</v>
      </c>
      <c r="F11" s="112" t="s">
        <v>112</v>
      </c>
      <c r="G11" s="122" t="s">
        <v>111</v>
      </c>
      <c r="H11" s="123" t="s">
        <v>110</v>
      </c>
      <c r="I11" s="124" t="s">
        <v>109</v>
      </c>
      <c r="J11" s="120" t="s">
        <v>117</v>
      </c>
      <c r="L11" s="116"/>
      <c r="M11" s="83"/>
    </row>
    <row r="12" spans="1:14" s="76" customFormat="1" x14ac:dyDescent="0.25">
      <c r="A12" s="107"/>
      <c r="B12" s="109"/>
      <c r="C12" s="110"/>
      <c r="D12" s="110"/>
      <c r="E12" s="111"/>
      <c r="F12" s="112"/>
      <c r="G12" s="122"/>
      <c r="H12" s="123"/>
      <c r="I12" s="124"/>
      <c r="J12" s="121"/>
      <c r="L12" s="117"/>
      <c r="M12" s="81"/>
    </row>
    <row r="13" spans="1:14" s="76" customFormat="1" x14ac:dyDescent="0.25">
      <c r="A13" s="62"/>
      <c r="B13" s="48"/>
      <c r="C13" s="47">
        <v>1</v>
      </c>
      <c r="D13" s="46" t="s">
        <v>108</v>
      </c>
      <c r="E13" s="75"/>
      <c r="F13" s="44"/>
      <c r="G13" s="41"/>
      <c r="H13" s="43"/>
      <c r="I13" s="42">
        <f>SUM(I14:I14)</f>
        <v>1127.3700000000001</v>
      </c>
      <c r="J13" s="42">
        <f>SUM(J14:J14)</f>
        <v>201.54600000000002</v>
      </c>
      <c r="K13" s="40"/>
      <c r="L13" s="79"/>
    </row>
    <row r="14" spans="1:14" s="76" customFormat="1" x14ac:dyDescent="0.25">
      <c r="A14" s="31"/>
      <c r="B14" s="30" t="s">
        <v>107</v>
      </c>
      <c r="C14" s="39" t="s">
        <v>106</v>
      </c>
      <c r="D14" s="38" t="s">
        <v>122</v>
      </c>
      <c r="E14" s="37" t="s">
        <v>1</v>
      </c>
      <c r="F14" s="36">
        <v>3</v>
      </c>
      <c r="G14" s="35">
        <v>335.91</v>
      </c>
      <c r="H14" s="35">
        <v>375.79</v>
      </c>
      <c r="I14" s="32">
        <f>F14*H14</f>
        <v>1127.3700000000001</v>
      </c>
      <c r="J14" s="32">
        <f>Orçamento!J14*0.2</f>
        <v>201.54600000000002</v>
      </c>
      <c r="L14" s="79"/>
      <c r="M14" s="78"/>
      <c r="N14" s="77"/>
    </row>
    <row r="15" spans="1:14" s="9" customFormat="1" x14ac:dyDescent="0.25">
      <c r="A15" s="31"/>
      <c r="B15" s="48"/>
      <c r="C15" s="47">
        <v>2</v>
      </c>
      <c r="D15" s="46" t="s">
        <v>123</v>
      </c>
      <c r="E15" s="75"/>
      <c r="F15" s="44"/>
      <c r="G15" s="41"/>
      <c r="H15" s="43"/>
      <c r="I15" s="42">
        <f>SUM(I16:I17)</f>
        <v>133.5</v>
      </c>
      <c r="J15" s="42">
        <f>SUM(J16:J17)</f>
        <v>1279.144</v>
      </c>
      <c r="K15" s="40"/>
      <c r="L15" s="79"/>
      <c r="M15" s="78"/>
      <c r="N15" s="33"/>
    </row>
    <row r="16" spans="1:14" s="9" customFormat="1" x14ac:dyDescent="0.25">
      <c r="A16" s="31"/>
      <c r="B16" s="30">
        <v>79488</v>
      </c>
      <c r="C16" s="39" t="s">
        <v>105</v>
      </c>
      <c r="D16" s="38" t="s">
        <v>124</v>
      </c>
      <c r="E16" s="37" t="s">
        <v>125</v>
      </c>
      <c r="F16" s="36">
        <v>4</v>
      </c>
      <c r="G16" s="35">
        <v>203.08799999999999</v>
      </c>
      <c r="H16" s="35">
        <v>23.53</v>
      </c>
      <c r="I16" s="32">
        <f>F16*H16</f>
        <v>94.12</v>
      </c>
      <c r="J16" s="32">
        <f>F16*G16</f>
        <v>812.35199999999998</v>
      </c>
      <c r="L16" s="79"/>
      <c r="M16" s="78"/>
      <c r="N16" s="33"/>
    </row>
    <row r="17" spans="1:14" s="9" customFormat="1" ht="24" x14ac:dyDescent="0.25">
      <c r="A17" s="31"/>
      <c r="B17" s="30" t="s">
        <v>103</v>
      </c>
      <c r="C17" s="39" t="s">
        <v>104</v>
      </c>
      <c r="D17" s="38" t="s">
        <v>126</v>
      </c>
      <c r="E17" s="37" t="s">
        <v>125</v>
      </c>
      <c r="F17" s="36">
        <v>2</v>
      </c>
      <c r="G17" s="35">
        <v>233.39599999999999</v>
      </c>
      <c r="H17" s="35">
        <v>19.690000000000001</v>
      </c>
      <c r="I17" s="32">
        <f>F17*H17</f>
        <v>39.380000000000003</v>
      </c>
      <c r="J17" s="32">
        <f>F17*G17</f>
        <v>466.79199999999997</v>
      </c>
      <c r="L17" s="79"/>
      <c r="M17" s="78"/>
      <c r="N17" s="33"/>
    </row>
    <row r="18" spans="1:14" s="9" customFormat="1" x14ac:dyDescent="0.25">
      <c r="A18" s="31"/>
      <c r="B18" s="48" t="s">
        <v>12</v>
      </c>
      <c r="C18" s="47">
        <v>3</v>
      </c>
      <c r="D18" s="46" t="s">
        <v>127</v>
      </c>
      <c r="E18" s="45"/>
      <c r="F18" s="44"/>
      <c r="G18" s="41"/>
      <c r="H18" s="43"/>
      <c r="I18" s="42">
        <f>SUM(I19:I20)</f>
        <v>8130.2379999999994</v>
      </c>
      <c r="J18" s="42">
        <f>SUM(J19:J20)</f>
        <v>29067.099000000002</v>
      </c>
      <c r="K18" s="40"/>
      <c r="L18" s="79"/>
      <c r="M18" s="78"/>
      <c r="N18" s="33"/>
    </row>
    <row r="19" spans="1:14" s="9" customFormat="1" ht="24" x14ac:dyDescent="0.25">
      <c r="A19" s="31"/>
      <c r="B19" s="30" t="s">
        <v>102</v>
      </c>
      <c r="C19" s="39" t="s">
        <v>101</v>
      </c>
      <c r="D19" s="38" t="s">
        <v>128</v>
      </c>
      <c r="E19" s="37" t="s">
        <v>1</v>
      </c>
      <c r="F19" s="36">
        <v>328</v>
      </c>
      <c r="G19" s="35">
        <v>67.010000000000005</v>
      </c>
      <c r="H19" s="35">
        <v>20.49</v>
      </c>
      <c r="I19" s="32">
        <f>F19*H19</f>
        <v>6720.7199999999993</v>
      </c>
      <c r="J19" s="32">
        <f>F19*G19+0.65</f>
        <v>21979.930000000004</v>
      </c>
      <c r="K19" s="40"/>
      <c r="L19" s="79"/>
      <c r="M19" s="78"/>
      <c r="N19" s="33"/>
    </row>
    <row r="20" spans="1:14" s="9" customFormat="1" ht="24" x14ac:dyDescent="0.25">
      <c r="A20" s="31"/>
      <c r="B20" s="30" t="s">
        <v>100</v>
      </c>
      <c r="C20" s="39" t="s">
        <v>99</v>
      </c>
      <c r="D20" s="38" t="s">
        <v>129</v>
      </c>
      <c r="E20" s="37" t="s">
        <v>1</v>
      </c>
      <c r="F20" s="36">
        <v>81.099999999999994</v>
      </c>
      <c r="G20" s="35">
        <v>87.39</v>
      </c>
      <c r="H20" s="35">
        <v>17.38</v>
      </c>
      <c r="I20" s="32">
        <f>F20*H20</f>
        <v>1409.5179999999998</v>
      </c>
      <c r="J20" s="32">
        <f>F20*G20-0.16</f>
        <v>7087.1689999999999</v>
      </c>
      <c r="K20" s="40"/>
      <c r="L20" s="79"/>
      <c r="M20" s="78"/>
      <c r="N20" s="33"/>
    </row>
    <row r="21" spans="1:14" s="9" customFormat="1" x14ac:dyDescent="0.25">
      <c r="A21" s="31"/>
      <c r="B21" s="48"/>
      <c r="C21" s="47">
        <v>4</v>
      </c>
      <c r="D21" s="46" t="s">
        <v>137</v>
      </c>
      <c r="E21" s="45"/>
      <c r="F21" s="44"/>
      <c r="G21" s="41"/>
      <c r="H21" s="43"/>
      <c r="I21" s="42"/>
      <c r="J21" s="42">
        <f>SUM(J22:J23)</f>
        <v>15348.784</v>
      </c>
      <c r="K21" s="40"/>
      <c r="L21" s="79"/>
      <c r="M21" s="78"/>
      <c r="N21" s="33"/>
    </row>
    <row r="22" spans="1:14" s="9" customFormat="1" x14ac:dyDescent="0.25">
      <c r="A22" s="31"/>
      <c r="B22" s="30"/>
      <c r="C22" s="39" t="s">
        <v>98</v>
      </c>
      <c r="D22" s="38" t="s">
        <v>138</v>
      </c>
      <c r="E22" s="37" t="s">
        <v>1</v>
      </c>
      <c r="F22" s="36">
        <v>195.4</v>
      </c>
      <c r="G22" s="35">
        <v>53.76</v>
      </c>
      <c r="H22" s="35"/>
      <c r="I22" s="32"/>
      <c r="J22" s="32">
        <f>F22*G22+0.5</f>
        <v>10505.204</v>
      </c>
      <c r="K22" s="40"/>
      <c r="L22" s="79"/>
      <c r="M22" s="78"/>
      <c r="N22" s="33"/>
    </row>
    <row r="23" spans="1:14" s="9" customFormat="1" x14ac:dyDescent="0.25">
      <c r="A23" s="31"/>
      <c r="B23" s="30"/>
      <c r="C23" s="39" t="s">
        <v>97</v>
      </c>
      <c r="D23" s="38" t="s">
        <v>139</v>
      </c>
      <c r="E23" s="37" t="s">
        <v>1</v>
      </c>
      <c r="F23" s="36">
        <v>62.5</v>
      </c>
      <c r="G23" s="35">
        <v>77.5</v>
      </c>
      <c r="H23" s="35"/>
      <c r="I23" s="32"/>
      <c r="J23" s="32">
        <f>F23*G23-0.17</f>
        <v>4843.58</v>
      </c>
      <c r="K23" s="40"/>
      <c r="L23" s="79"/>
      <c r="M23" s="78"/>
      <c r="N23" s="33"/>
    </row>
    <row r="24" spans="1:14" s="9" customFormat="1" x14ac:dyDescent="0.25">
      <c r="A24" s="31"/>
      <c r="B24" s="48" t="s">
        <v>12</v>
      </c>
      <c r="C24" s="47">
        <v>5</v>
      </c>
      <c r="D24" s="46" t="s">
        <v>23</v>
      </c>
      <c r="E24" s="75"/>
      <c r="F24" s="44"/>
      <c r="G24" s="41"/>
      <c r="H24" s="43"/>
      <c r="I24" s="42" t="e">
        <f>SUM(I25:I31)</f>
        <v>#REF!</v>
      </c>
      <c r="J24" s="42">
        <f>SUM(J25:J31)+0.01</f>
        <v>89588.464000000007</v>
      </c>
      <c r="K24" s="40"/>
      <c r="L24" s="79"/>
      <c r="M24" s="78"/>
      <c r="N24" s="33"/>
    </row>
    <row r="25" spans="1:14" s="9" customFormat="1" x14ac:dyDescent="0.25">
      <c r="A25" s="31"/>
      <c r="B25" s="30">
        <v>84220</v>
      </c>
      <c r="C25" s="39" t="s">
        <v>93</v>
      </c>
      <c r="D25" s="38" t="s">
        <v>130</v>
      </c>
      <c r="E25" s="37" t="s">
        <v>1</v>
      </c>
      <c r="F25" s="36">
        <v>847.2</v>
      </c>
      <c r="G25" s="49">
        <v>9.41</v>
      </c>
      <c r="H25" s="35">
        <v>21.9</v>
      </c>
      <c r="I25" s="32">
        <f>F25*H25</f>
        <v>18553.68</v>
      </c>
      <c r="J25" s="32">
        <f>F25*G25+3.22</f>
        <v>7975.3720000000012</v>
      </c>
      <c r="L25" s="79"/>
      <c r="M25" s="78"/>
      <c r="N25" s="33"/>
    </row>
    <row r="26" spans="1:14" s="9" customFormat="1" x14ac:dyDescent="0.25">
      <c r="A26" s="31"/>
      <c r="B26" s="30"/>
      <c r="C26" s="39" t="s">
        <v>92</v>
      </c>
      <c r="D26" s="38" t="s">
        <v>131</v>
      </c>
      <c r="E26" s="37" t="s">
        <v>2</v>
      </c>
      <c r="F26" s="36">
        <v>360</v>
      </c>
      <c r="G26" s="49">
        <v>11.64</v>
      </c>
      <c r="H26" s="35"/>
      <c r="I26" s="32">
        <f>F26*H26</f>
        <v>0</v>
      </c>
      <c r="J26" s="32">
        <f>F26*G26-0.44</f>
        <v>4189.9600000000009</v>
      </c>
      <c r="L26" s="79"/>
      <c r="M26" s="78"/>
      <c r="N26" s="33"/>
    </row>
    <row r="27" spans="1:14" s="9" customFormat="1" x14ac:dyDescent="0.25">
      <c r="A27" s="31"/>
      <c r="B27" s="30" t="e">
        <f>#REF!</f>
        <v>#REF!</v>
      </c>
      <c r="C27" s="39" t="s">
        <v>91</v>
      </c>
      <c r="D27" s="38" t="s">
        <v>132</v>
      </c>
      <c r="E27" s="37" t="s">
        <v>1</v>
      </c>
      <c r="F27" s="36">
        <v>88.6</v>
      </c>
      <c r="G27" s="49">
        <v>15.18</v>
      </c>
      <c r="H27" s="49">
        <f>H25</f>
        <v>21.9</v>
      </c>
      <c r="I27" s="32">
        <f>F27*H27</f>
        <v>1940.3399999999997</v>
      </c>
      <c r="J27" s="32">
        <f>F27*G27+0.13</f>
        <v>1345.078</v>
      </c>
      <c r="K27" s="40"/>
      <c r="L27" s="79"/>
      <c r="M27" s="78"/>
      <c r="N27" s="33"/>
    </row>
    <row r="28" spans="1:14" s="9" customFormat="1" x14ac:dyDescent="0.25">
      <c r="A28" s="31"/>
      <c r="B28" s="30" t="s">
        <v>96</v>
      </c>
      <c r="C28" s="39" t="s">
        <v>90</v>
      </c>
      <c r="D28" s="38" t="s">
        <v>133</v>
      </c>
      <c r="E28" s="37" t="s">
        <v>1</v>
      </c>
      <c r="F28" s="36">
        <v>1114</v>
      </c>
      <c r="G28" s="49">
        <v>20.88</v>
      </c>
      <c r="H28" s="49" t="e">
        <f>#REF!</f>
        <v>#REF!</v>
      </c>
      <c r="I28" s="32" t="e">
        <f>F28*H28</f>
        <v>#REF!</v>
      </c>
      <c r="J28" s="32">
        <f>F28*G28+0.52</f>
        <v>23260.84</v>
      </c>
      <c r="K28" s="40"/>
      <c r="L28" s="79"/>
      <c r="M28" s="78"/>
      <c r="N28" s="33"/>
    </row>
    <row r="29" spans="1:14" s="9" customFormat="1" x14ac:dyDescent="0.25">
      <c r="A29" s="31"/>
      <c r="B29" s="30" t="s">
        <v>95</v>
      </c>
      <c r="C29" s="39" t="s">
        <v>89</v>
      </c>
      <c r="D29" s="38" t="s">
        <v>134</v>
      </c>
      <c r="E29" s="37" t="s">
        <v>1</v>
      </c>
      <c r="F29" s="36">
        <v>847.2</v>
      </c>
      <c r="G29" s="49">
        <v>22.02</v>
      </c>
      <c r="H29" s="49" t="e">
        <f>#REF!</f>
        <v>#REF!</v>
      </c>
      <c r="I29" s="32" t="e">
        <f>F29*H29</f>
        <v>#REF!</v>
      </c>
      <c r="J29" s="32">
        <f>F29*G29-0.55</f>
        <v>18654.794000000002</v>
      </c>
      <c r="K29" s="40"/>
      <c r="L29" s="79"/>
      <c r="M29" s="78"/>
      <c r="N29" s="33"/>
    </row>
    <row r="30" spans="1:14" s="9" customFormat="1" x14ac:dyDescent="0.25">
      <c r="A30" s="31"/>
      <c r="B30" s="30"/>
      <c r="C30" s="39" t="s">
        <v>88</v>
      </c>
      <c r="D30" s="38" t="s">
        <v>135</v>
      </c>
      <c r="E30" s="37" t="s">
        <v>1</v>
      </c>
      <c r="F30" s="36">
        <v>480</v>
      </c>
      <c r="G30" s="49">
        <v>57.85</v>
      </c>
      <c r="H30" s="49"/>
      <c r="I30" s="32"/>
      <c r="J30" s="32">
        <f>F30*G30-0.86</f>
        <v>27767.14</v>
      </c>
      <c r="K30" s="40"/>
      <c r="L30" s="79"/>
      <c r="M30" s="78"/>
      <c r="N30" s="33"/>
    </row>
    <row r="31" spans="1:14" s="9" customFormat="1" x14ac:dyDescent="0.25">
      <c r="A31" s="31"/>
      <c r="B31" s="30" t="s">
        <v>94</v>
      </c>
      <c r="C31" s="39" t="s">
        <v>87</v>
      </c>
      <c r="D31" s="38" t="s">
        <v>136</v>
      </c>
      <c r="E31" s="37" t="s">
        <v>1</v>
      </c>
      <c r="F31" s="36">
        <v>476</v>
      </c>
      <c r="G31" s="49">
        <v>13.44</v>
      </c>
      <c r="H31" s="49" t="e">
        <f>#REF!</f>
        <v>#REF!</v>
      </c>
      <c r="I31" s="32" t="e">
        <f>F31*H31</f>
        <v>#REF!</v>
      </c>
      <c r="J31" s="32">
        <f>F31*G31-2.17</f>
        <v>6395.2699999999995</v>
      </c>
      <c r="K31" s="40"/>
      <c r="L31" s="79"/>
      <c r="M31" s="78"/>
      <c r="N31" s="33"/>
    </row>
    <row r="32" spans="1:14" s="9" customFormat="1" x14ac:dyDescent="0.25">
      <c r="A32" s="31"/>
      <c r="B32" s="48" t="s">
        <v>12</v>
      </c>
      <c r="C32" s="47">
        <v>6</v>
      </c>
      <c r="D32" s="46" t="s">
        <v>140</v>
      </c>
      <c r="E32" s="45"/>
      <c r="F32" s="44"/>
      <c r="G32" s="41"/>
      <c r="H32" s="43"/>
      <c r="I32" s="42">
        <f>SUM(I33:I73)</f>
        <v>2270.6600000000003</v>
      </c>
      <c r="J32" s="42">
        <f>SUM(J33:J73)+629.99</f>
        <v>10339.91</v>
      </c>
      <c r="K32" s="40"/>
      <c r="L32" s="79"/>
      <c r="M32" s="78"/>
      <c r="N32" s="33"/>
    </row>
    <row r="33" spans="1:14" s="9" customFormat="1" x14ac:dyDescent="0.25">
      <c r="A33" s="31"/>
      <c r="B33" s="30"/>
      <c r="C33" s="39" t="s">
        <v>86</v>
      </c>
      <c r="D33" s="38" t="s">
        <v>141</v>
      </c>
      <c r="E33" s="37" t="s">
        <v>125</v>
      </c>
      <c r="F33" s="36">
        <v>4</v>
      </c>
      <c r="G33" s="35">
        <v>2.96</v>
      </c>
      <c r="H33" s="35">
        <v>4.72</v>
      </c>
      <c r="I33" s="32">
        <f t="shared" ref="I33:I40" si="0">F33*H33</f>
        <v>18.88</v>
      </c>
      <c r="J33" s="32">
        <f>F33*G33</f>
        <v>11.84</v>
      </c>
      <c r="L33" s="79"/>
      <c r="M33" s="78"/>
      <c r="N33" s="33"/>
    </row>
    <row r="34" spans="1:14" s="9" customFormat="1" x14ac:dyDescent="0.25">
      <c r="A34" s="31"/>
      <c r="B34" s="30">
        <v>86884</v>
      </c>
      <c r="C34" s="39" t="s">
        <v>85</v>
      </c>
      <c r="D34" s="38" t="s">
        <v>142</v>
      </c>
      <c r="E34" s="37" t="s">
        <v>125</v>
      </c>
      <c r="F34" s="36">
        <v>12</v>
      </c>
      <c r="G34" s="35">
        <v>3.24</v>
      </c>
      <c r="H34" s="35">
        <v>7.87</v>
      </c>
      <c r="I34" s="32">
        <f t="shared" si="0"/>
        <v>94.44</v>
      </c>
      <c r="J34" s="32">
        <f>F34*G34-0.01</f>
        <v>38.870000000000005</v>
      </c>
      <c r="L34" s="79"/>
      <c r="M34" s="78"/>
      <c r="N34" s="33"/>
    </row>
    <row r="35" spans="1:14" s="63" customFormat="1" x14ac:dyDescent="0.25">
      <c r="A35" s="31"/>
      <c r="B35" s="30"/>
      <c r="C35" s="39" t="s">
        <v>84</v>
      </c>
      <c r="D35" s="38" t="s">
        <v>143</v>
      </c>
      <c r="E35" s="37" t="s">
        <v>125</v>
      </c>
      <c r="F35" s="36">
        <v>4</v>
      </c>
      <c r="G35" s="35">
        <v>5.57</v>
      </c>
      <c r="H35" s="35">
        <v>7.99</v>
      </c>
      <c r="I35" s="32">
        <f t="shared" si="0"/>
        <v>31.96</v>
      </c>
      <c r="J35" s="32">
        <f>F35*G35-0.01</f>
        <v>22.27</v>
      </c>
      <c r="L35" s="79"/>
      <c r="M35" s="78"/>
      <c r="N35" s="72"/>
    </row>
    <row r="36" spans="1:14" s="9" customFormat="1" x14ac:dyDescent="0.25">
      <c r="A36" s="31"/>
      <c r="B36" s="30"/>
      <c r="C36" s="39" t="s">
        <v>83</v>
      </c>
      <c r="D36" s="38" t="s">
        <v>144</v>
      </c>
      <c r="E36" s="37" t="s">
        <v>125</v>
      </c>
      <c r="F36" s="36">
        <v>4</v>
      </c>
      <c r="G36" s="35">
        <v>7.89</v>
      </c>
      <c r="H36" s="35">
        <v>32.450000000000003</v>
      </c>
      <c r="I36" s="32">
        <f t="shared" si="0"/>
        <v>129.80000000000001</v>
      </c>
      <c r="J36" s="32">
        <f>F36*G36-0.01</f>
        <v>31.549999999999997</v>
      </c>
      <c r="L36" s="79"/>
      <c r="M36" s="78"/>
      <c r="N36" s="33"/>
    </row>
    <row r="37" spans="1:14" s="9" customFormat="1" x14ac:dyDescent="0.25">
      <c r="A37" s="31"/>
      <c r="B37" s="30">
        <v>89424</v>
      </c>
      <c r="C37" s="39" t="s">
        <v>82</v>
      </c>
      <c r="D37" s="38" t="s">
        <v>145</v>
      </c>
      <c r="E37" s="37" t="s">
        <v>125</v>
      </c>
      <c r="F37" s="36">
        <v>2</v>
      </c>
      <c r="G37" s="35">
        <v>7.22</v>
      </c>
      <c r="H37" s="35">
        <v>3.67</v>
      </c>
      <c r="I37" s="32">
        <f t="shared" si="0"/>
        <v>7.34</v>
      </c>
      <c r="J37" s="32">
        <f>F37*G37-0.01</f>
        <v>14.43</v>
      </c>
      <c r="L37" s="79"/>
      <c r="M37" s="78"/>
      <c r="N37" s="33"/>
    </row>
    <row r="38" spans="1:14" s="9" customFormat="1" x14ac:dyDescent="0.25">
      <c r="A38" s="31"/>
      <c r="B38" s="30"/>
      <c r="C38" s="39" t="s">
        <v>81</v>
      </c>
      <c r="D38" s="38" t="s">
        <v>146</v>
      </c>
      <c r="E38" s="37" t="s">
        <v>125</v>
      </c>
      <c r="F38" s="36">
        <v>2</v>
      </c>
      <c r="G38" s="35">
        <v>6.02</v>
      </c>
      <c r="H38" s="35">
        <v>2.57</v>
      </c>
      <c r="I38" s="32">
        <f t="shared" si="0"/>
        <v>5.14</v>
      </c>
      <c r="J38" s="32">
        <f>F38*G38+0.01</f>
        <v>12.049999999999999</v>
      </c>
      <c r="L38" s="79"/>
      <c r="M38" s="78"/>
      <c r="N38" s="33"/>
    </row>
    <row r="39" spans="1:14" s="53" customFormat="1" x14ac:dyDescent="0.25">
      <c r="A39" s="59"/>
      <c r="B39" s="58">
        <v>72794</v>
      </c>
      <c r="C39" s="61" t="s">
        <v>80</v>
      </c>
      <c r="D39" s="71" t="s">
        <v>147</v>
      </c>
      <c r="E39" s="37" t="s">
        <v>125</v>
      </c>
      <c r="F39" s="57">
        <v>1</v>
      </c>
      <c r="G39" s="56">
        <v>1075.8800000000001</v>
      </c>
      <c r="H39" s="56">
        <v>117.43</v>
      </c>
      <c r="I39" s="52">
        <f t="shared" si="0"/>
        <v>117.43</v>
      </c>
      <c r="J39" s="52">
        <f>F39*G39</f>
        <v>1075.8800000000001</v>
      </c>
      <c r="L39" s="79"/>
      <c r="M39" s="78"/>
      <c r="N39" s="54"/>
    </row>
    <row r="40" spans="1:14" s="53" customFormat="1" x14ac:dyDescent="0.25">
      <c r="A40" s="59"/>
      <c r="B40" s="58">
        <v>72789</v>
      </c>
      <c r="C40" s="61" t="s">
        <v>79</v>
      </c>
      <c r="D40" s="71" t="s">
        <v>148</v>
      </c>
      <c r="E40" s="37" t="s">
        <v>125</v>
      </c>
      <c r="F40" s="57">
        <v>10</v>
      </c>
      <c r="G40" s="56">
        <v>6.25</v>
      </c>
      <c r="H40" s="56">
        <v>10.47</v>
      </c>
      <c r="I40" s="52">
        <f t="shared" si="0"/>
        <v>104.7</v>
      </c>
      <c r="J40" s="52">
        <f>F40*G40+0.02</f>
        <v>62.52</v>
      </c>
      <c r="L40" s="79"/>
      <c r="M40" s="78"/>
      <c r="N40" s="54"/>
    </row>
    <row r="41" spans="1:14" s="53" customFormat="1" x14ac:dyDescent="0.25">
      <c r="A41" s="59"/>
      <c r="B41" s="58"/>
      <c r="C41" s="61" t="s">
        <v>78</v>
      </c>
      <c r="D41" s="71" t="s">
        <v>149</v>
      </c>
      <c r="E41" s="37" t="s">
        <v>125</v>
      </c>
      <c r="F41" s="57">
        <v>3</v>
      </c>
      <c r="G41" s="56">
        <v>8.57</v>
      </c>
      <c r="H41" s="56"/>
      <c r="I41" s="52"/>
      <c r="J41" s="52">
        <f>F41*G41</f>
        <v>25.71</v>
      </c>
      <c r="L41" s="79"/>
      <c r="M41" s="78"/>
      <c r="N41" s="54"/>
    </row>
    <row r="42" spans="1:14" s="53" customFormat="1" x14ac:dyDescent="0.25">
      <c r="A42" s="59"/>
      <c r="B42" s="58"/>
      <c r="C42" s="61" t="s">
        <v>77</v>
      </c>
      <c r="D42" s="71" t="s">
        <v>149</v>
      </c>
      <c r="E42" s="37" t="s">
        <v>125</v>
      </c>
      <c r="F42" s="57">
        <v>2</v>
      </c>
      <c r="G42" s="56">
        <v>18.48</v>
      </c>
      <c r="H42" s="56"/>
      <c r="I42" s="52"/>
      <c r="J42" s="52">
        <f>F42*G42+0.01</f>
        <v>36.97</v>
      </c>
      <c r="L42" s="79"/>
      <c r="M42" s="78"/>
      <c r="N42" s="54"/>
    </row>
    <row r="43" spans="1:14" s="53" customFormat="1" x14ac:dyDescent="0.25">
      <c r="A43" s="59"/>
      <c r="B43" s="58">
        <v>89376</v>
      </c>
      <c r="C43" s="61" t="s">
        <v>76</v>
      </c>
      <c r="D43" s="71" t="s">
        <v>152</v>
      </c>
      <c r="E43" s="37" t="s">
        <v>125</v>
      </c>
      <c r="F43" s="57">
        <v>11</v>
      </c>
      <c r="G43" s="56">
        <v>5.27</v>
      </c>
      <c r="H43" s="56">
        <v>20.98</v>
      </c>
      <c r="I43" s="52">
        <f>F43*H43</f>
        <v>230.78</v>
      </c>
      <c r="J43" s="52">
        <f>F43*G43-0.01</f>
        <v>57.96</v>
      </c>
      <c r="L43" s="79"/>
      <c r="M43" s="78"/>
      <c r="N43" s="54"/>
    </row>
    <row r="44" spans="1:14" s="53" customFormat="1" x14ac:dyDescent="0.25">
      <c r="A44" s="59"/>
      <c r="B44" s="58">
        <v>89538</v>
      </c>
      <c r="C44" s="61" t="s">
        <v>75</v>
      </c>
      <c r="D44" s="71" t="s">
        <v>153</v>
      </c>
      <c r="E44" s="37" t="s">
        <v>125</v>
      </c>
      <c r="F44" s="57">
        <v>6</v>
      </c>
      <c r="G44" s="56">
        <v>6.57</v>
      </c>
      <c r="H44" s="56">
        <v>1.88</v>
      </c>
      <c r="I44" s="52">
        <f>F44*H44</f>
        <v>11.28</v>
      </c>
      <c r="J44" s="52">
        <f>F44*G44-0.01</f>
        <v>39.410000000000004</v>
      </c>
      <c r="L44" s="79"/>
      <c r="M44" s="78"/>
      <c r="N44" s="54"/>
    </row>
    <row r="45" spans="1:14" s="53" customFormat="1" x14ac:dyDescent="0.25">
      <c r="A45" s="59"/>
      <c r="B45" s="58"/>
      <c r="C45" s="61" t="s">
        <v>74</v>
      </c>
      <c r="D45" s="71" t="s">
        <v>154</v>
      </c>
      <c r="E45" s="37" t="s">
        <v>125</v>
      </c>
      <c r="F45" s="57">
        <v>8</v>
      </c>
      <c r="G45" s="56">
        <v>12.7</v>
      </c>
      <c r="H45" s="56"/>
      <c r="I45" s="52"/>
      <c r="J45" s="52">
        <f>F45*G45+0.01</f>
        <v>101.61</v>
      </c>
      <c r="L45" s="79"/>
      <c r="M45" s="78"/>
      <c r="N45" s="54"/>
    </row>
    <row r="46" spans="1:14" s="53" customFormat="1" x14ac:dyDescent="0.25">
      <c r="A46" s="59"/>
      <c r="B46" s="58">
        <v>89596</v>
      </c>
      <c r="C46" s="61" t="s">
        <v>73</v>
      </c>
      <c r="D46" s="71" t="s">
        <v>155</v>
      </c>
      <c r="E46" s="37" t="s">
        <v>125</v>
      </c>
      <c r="F46" s="57">
        <v>2</v>
      </c>
      <c r="G46" s="56">
        <v>5.15</v>
      </c>
      <c r="H46" s="56">
        <v>5.32</v>
      </c>
      <c r="I46" s="52">
        <f>F46*H46</f>
        <v>10.64</v>
      </c>
      <c r="J46" s="52">
        <f>F46*G46+0.01</f>
        <v>10.31</v>
      </c>
      <c r="L46" s="79"/>
      <c r="M46" s="78"/>
      <c r="N46" s="54"/>
    </row>
    <row r="47" spans="1:14" s="53" customFormat="1" x14ac:dyDescent="0.25">
      <c r="A47" s="59"/>
      <c r="B47" s="58">
        <v>89610</v>
      </c>
      <c r="C47" s="61" t="s">
        <v>72</v>
      </c>
      <c r="D47" s="71" t="s">
        <v>156</v>
      </c>
      <c r="E47" s="37" t="s">
        <v>125</v>
      </c>
      <c r="F47" s="57">
        <v>4</v>
      </c>
      <c r="G47" s="56">
        <v>5.93</v>
      </c>
      <c r="H47" s="56">
        <v>10.26</v>
      </c>
      <c r="I47" s="52">
        <f>F47*H47</f>
        <v>41.04</v>
      </c>
      <c r="J47" s="52">
        <f>F47*G47+0.01</f>
        <v>23.73</v>
      </c>
      <c r="L47" s="79"/>
      <c r="M47" s="78"/>
      <c r="N47" s="54"/>
    </row>
    <row r="48" spans="1:14" s="53" customFormat="1" x14ac:dyDescent="0.25">
      <c r="A48" s="59"/>
      <c r="B48" s="58">
        <v>89613</v>
      </c>
      <c r="C48" s="61" t="s">
        <v>71</v>
      </c>
      <c r="D48" s="71" t="s">
        <v>157</v>
      </c>
      <c r="E48" s="37" t="s">
        <v>125</v>
      </c>
      <c r="F48" s="57">
        <v>16</v>
      </c>
      <c r="G48" s="56">
        <v>9.92</v>
      </c>
      <c r="H48" s="56">
        <v>16.72</v>
      </c>
      <c r="I48" s="52">
        <f>F48*H48</f>
        <v>267.52</v>
      </c>
      <c r="J48" s="52">
        <f>F48*G48-0.04</f>
        <v>158.68</v>
      </c>
      <c r="L48" s="79"/>
      <c r="M48" s="78"/>
      <c r="N48" s="54"/>
    </row>
    <row r="49" spans="1:14" s="53" customFormat="1" x14ac:dyDescent="0.25">
      <c r="A49" s="59"/>
      <c r="B49" s="58"/>
      <c r="C49" s="61" t="s">
        <v>70</v>
      </c>
      <c r="D49" s="71" t="s">
        <v>158</v>
      </c>
      <c r="E49" s="37" t="s">
        <v>125</v>
      </c>
      <c r="F49" s="57">
        <v>4</v>
      </c>
      <c r="G49" s="56">
        <v>4.8099999999999996</v>
      </c>
      <c r="H49" s="56"/>
      <c r="I49" s="52"/>
      <c r="J49" s="52">
        <f>F49*G49+0.01</f>
        <v>19.25</v>
      </c>
      <c r="L49" s="79"/>
      <c r="M49" s="78"/>
      <c r="N49" s="54"/>
    </row>
    <row r="50" spans="1:14" s="53" customFormat="1" x14ac:dyDescent="0.25">
      <c r="A50" s="59"/>
      <c r="B50" s="58"/>
      <c r="C50" s="61" t="s">
        <v>69</v>
      </c>
      <c r="D50" s="71" t="s">
        <v>159</v>
      </c>
      <c r="E50" s="37" t="s">
        <v>125</v>
      </c>
      <c r="F50" s="57">
        <v>2</v>
      </c>
      <c r="G50" s="56">
        <v>3.58</v>
      </c>
      <c r="H50" s="56"/>
      <c r="I50" s="52"/>
      <c r="J50" s="52">
        <f>F50*G50-0.01</f>
        <v>7.15</v>
      </c>
      <c r="L50" s="79"/>
      <c r="M50" s="78"/>
      <c r="N50" s="54"/>
    </row>
    <row r="51" spans="1:14" s="53" customFormat="1" x14ac:dyDescent="0.25">
      <c r="A51" s="59"/>
      <c r="B51" s="58"/>
      <c r="C51" s="61" t="s">
        <v>68</v>
      </c>
      <c r="D51" s="71" t="s">
        <v>160</v>
      </c>
      <c r="E51" s="37" t="s">
        <v>125</v>
      </c>
      <c r="F51" s="57">
        <v>4</v>
      </c>
      <c r="G51" s="56">
        <v>3.05</v>
      </c>
      <c r="H51" s="56"/>
      <c r="I51" s="52"/>
      <c r="J51" s="52">
        <f>F51*G51</f>
        <v>12.2</v>
      </c>
      <c r="L51" s="79"/>
      <c r="M51" s="78"/>
      <c r="N51" s="54"/>
    </row>
    <row r="52" spans="1:14" s="53" customFormat="1" x14ac:dyDescent="0.25">
      <c r="A52" s="59"/>
      <c r="B52" s="58"/>
      <c r="C52" s="61" t="s">
        <v>67</v>
      </c>
      <c r="D52" s="71" t="s">
        <v>161</v>
      </c>
      <c r="E52" s="37" t="s">
        <v>125</v>
      </c>
      <c r="F52" s="57">
        <v>8</v>
      </c>
      <c r="G52" s="56">
        <v>4.16</v>
      </c>
      <c r="H52" s="56">
        <v>8.3000000000000007</v>
      </c>
      <c r="I52" s="52">
        <f>F52*H52</f>
        <v>66.400000000000006</v>
      </c>
      <c r="J52" s="52">
        <f>F52*G52+0.02</f>
        <v>33.300000000000004</v>
      </c>
      <c r="L52" s="79"/>
      <c r="M52" s="78"/>
      <c r="N52" s="54"/>
    </row>
    <row r="53" spans="1:14" s="53" customFormat="1" x14ac:dyDescent="0.25">
      <c r="A53" s="59"/>
      <c r="B53" s="58"/>
      <c r="C53" s="61" t="s">
        <v>66</v>
      </c>
      <c r="D53" s="71" t="s">
        <v>162</v>
      </c>
      <c r="E53" s="37" t="s">
        <v>125</v>
      </c>
      <c r="F53" s="57">
        <v>2</v>
      </c>
      <c r="G53" s="56">
        <v>70.86</v>
      </c>
      <c r="H53" s="56">
        <v>16.600000000000001</v>
      </c>
      <c r="I53" s="52">
        <f>F53*H53</f>
        <v>33.200000000000003</v>
      </c>
      <c r="J53" s="52">
        <f>F53*G53</f>
        <v>141.72</v>
      </c>
      <c r="L53" s="79"/>
      <c r="M53" s="78"/>
      <c r="N53" s="54"/>
    </row>
    <row r="54" spans="1:14" s="53" customFormat="1" x14ac:dyDescent="0.25">
      <c r="A54" s="59"/>
      <c r="B54" s="58"/>
      <c r="C54" s="61" t="s">
        <v>65</v>
      </c>
      <c r="D54" s="71" t="s">
        <v>163</v>
      </c>
      <c r="E54" s="37" t="s">
        <v>125</v>
      </c>
      <c r="F54" s="57">
        <v>2</v>
      </c>
      <c r="G54" s="56">
        <v>83.74</v>
      </c>
      <c r="H54" s="56"/>
      <c r="I54" s="52"/>
      <c r="J54" s="52">
        <f>F54*G54</f>
        <v>167.48</v>
      </c>
      <c r="L54" s="79"/>
      <c r="M54" s="78"/>
      <c r="N54" s="54"/>
    </row>
    <row r="55" spans="1:14" s="53" customFormat="1" x14ac:dyDescent="0.25">
      <c r="A55" s="59"/>
      <c r="B55" s="58"/>
      <c r="C55" s="61" t="s">
        <v>64</v>
      </c>
      <c r="D55" s="71" t="s">
        <v>164</v>
      </c>
      <c r="E55" s="37" t="s">
        <v>125</v>
      </c>
      <c r="F55" s="57">
        <v>2</v>
      </c>
      <c r="G55" s="56">
        <v>57.98</v>
      </c>
      <c r="H55" s="56">
        <v>7.51</v>
      </c>
      <c r="I55" s="52">
        <f>F55*H55</f>
        <v>15.02</v>
      </c>
      <c r="J55" s="52">
        <f>F55*G55-0.01</f>
        <v>115.94999999999999</v>
      </c>
      <c r="L55" s="79"/>
      <c r="M55" s="78"/>
      <c r="N55" s="54"/>
    </row>
    <row r="56" spans="1:14" s="53" customFormat="1" x14ac:dyDescent="0.25">
      <c r="A56" s="59"/>
      <c r="B56" s="58"/>
      <c r="C56" s="61" t="s">
        <v>63</v>
      </c>
      <c r="D56" s="71" t="s">
        <v>165</v>
      </c>
      <c r="E56" s="37" t="s">
        <v>125</v>
      </c>
      <c r="F56" s="57">
        <v>2</v>
      </c>
      <c r="G56" s="56">
        <v>83.74</v>
      </c>
      <c r="H56" s="56"/>
      <c r="I56" s="52"/>
      <c r="J56" s="52">
        <f>F56*G56</f>
        <v>167.48</v>
      </c>
      <c r="L56" s="79"/>
      <c r="M56" s="78"/>
      <c r="N56" s="54"/>
    </row>
    <row r="57" spans="1:14" s="53" customFormat="1" x14ac:dyDescent="0.25">
      <c r="A57" s="59"/>
      <c r="B57" s="58"/>
      <c r="C57" s="61" t="s">
        <v>62</v>
      </c>
      <c r="D57" s="71" t="s">
        <v>166</v>
      </c>
      <c r="E57" s="37" t="s">
        <v>125</v>
      </c>
      <c r="F57" s="57">
        <v>8</v>
      </c>
      <c r="G57" s="56">
        <v>83.74</v>
      </c>
      <c r="H57" s="56">
        <v>6.02</v>
      </c>
      <c r="I57" s="52">
        <f>F57*H57</f>
        <v>48.16</v>
      </c>
      <c r="J57" s="52">
        <f>F57*G57</f>
        <v>669.92</v>
      </c>
      <c r="L57" s="79"/>
      <c r="M57" s="78"/>
      <c r="N57" s="54"/>
    </row>
    <row r="58" spans="1:14" s="53" customFormat="1" x14ac:dyDescent="0.25">
      <c r="A58" s="59"/>
      <c r="B58" s="58"/>
      <c r="C58" s="61" t="s">
        <v>150</v>
      </c>
      <c r="D58" s="71" t="s">
        <v>167</v>
      </c>
      <c r="E58" s="37" t="s">
        <v>125</v>
      </c>
      <c r="F58" s="57">
        <v>5</v>
      </c>
      <c r="G58" s="56">
        <v>4.9000000000000004</v>
      </c>
      <c r="H58" s="56">
        <v>26.87</v>
      </c>
      <c r="I58" s="52">
        <f>F58*H58</f>
        <v>134.35</v>
      </c>
      <c r="J58" s="52">
        <f>F58*G58-0.02</f>
        <v>24.48</v>
      </c>
      <c r="L58" s="79"/>
      <c r="M58" s="78"/>
      <c r="N58" s="54"/>
    </row>
    <row r="59" spans="1:14" s="53" customFormat="1" x14ac:dyDescent="0.25">
      <c r="A59" s="59"/>
      <c r="B59" s="58"/>
      <c r="C59" s="61" t="s">
        <v>61</v>
      </c>
      <c r="D59" s="71" t="s">
        <v>168</v>
      </c>
      <c r="E59" s="37" t="s">
        <v>125</v>
      </c>
      <c r="F59" s="57">
        <v>8</v>
      </c>
      <c r="G59" s="56">
        <v>5.8</v>
      </c>
      <c r="H59" s="56"/>
      <c r="I59" s="52"/>
      <c r="J59" s="52">
        <f>F59*G59-0.03</f>
        <v>46.37</v>
      </c>
      <c r="L59" s="79"/>
      <c r="M59" s="78"/>
      <c r="N59" s="54"/>
    </row>
    <row r="60" spans="1:14" s="53" customFormat="1" x14ac:dyDescent="0.25">
      <c r="A60" s="59"/>
      <c r="B60" s="58">
        <v>89359</v>
      </c>
      <c r="C60" s="61" t="s">
        <v>60</v>
      </c>
      <c r="D60" s="71" t="s">
        <v>169</v>
      </c>
      <c r="E60" s="37" t="s">
        <v>125</v>
      </c>
      <c r="F60" s="57">
        <v>4</v>
      </c>
      <c r="G60" s="56">
        <v>10.95</v>
      </c>
      <c r="H60" s="56">
        <v>3.6</v>
      </c>
      <c r="I60" s="52">
        <f>F60*H60</f>
        <v>14.4</v>
      </c>
      <c r="J60" s="52">
        <f>F60*G60+0.01</f>
        <v>43.809999999999995</v>
      </c>
      <c r="L60" s="79"/>
      <c r="M60" s="78"/>
      <c r="N60" s="54"/>
    </row>
    <row r="61" spans="1:14" s="53" customFormat="1" x14ac:dyDescent="0.25">
      <c r="A61" s="59"/>
      <c r="B61" s="58">
        <v>89485</v>
      </c>
      <c r="C61" s="61" t="s">
        <v>59</v>
      </c>
      <c r="D61" s="71" t="s">
        <v>170</v>
      </c>
      <c r="E61" s="37" t="s">
        <v>125</v>
      </c>
      <c r="F61" s="57">
        <v>4</v>
      </c>
      <c r="G61" s="56">
        <v>7.08</v>
      </c>
      <c r="H61" s="56">
        <v>2.35</v>
      </c>
      <c r="I61" s="52">
        <f>F61*H61</f>
        <v>9.4</v>
      </c>
      <c r="J61" s="52">
        <f>F61*G61+0.01</f>
        <v>28.330000000000002</v>
      </c>
      <c r="L61" s="79"/>
      <c r="M61" s="78"/>
      <c r="N61" s="54"/>
    </row>
    <row r="62" spans="1:14" s="53" customFormat="1" x14ac:dyDescent="0.25">
      <c r="A62" s="59"/>
      <c r="B62" s="58">
        <v>89502</v>
      </c>
      <c r="C62" s="61" t="s">
        <v>58</v>
      </c>
      <c r="D62" s="71" t="s">
        <v>171</v>
      </c>
      <c r="E62" s="37" t="s">
        <v>125</v>
      </c>
      <c r="F62" s="57">
        <v>2</v>
      </c>
      <c r="G62" s="56">
        <v>10.62</v>
      </c>
      <c r="H62" s="56">
        <v>6.3</v>
      </c>
      <c r="I62" s="52">
        <f>F62*H62</f>
        <v>12.6</v>
      </c>
      <c r="J62" s="52">
        <f>F62*G62</f>
        <v>21.24</v>
      </c>
      <c r="L62" s="79"/>
      <c r="M62" s="78"/>
      <c r="N62" s="54"/>
    </row>
    <row r="63" spans="1:14" s="53" customFormat="1" x14ac:dyDescent="0.25">
      <c r="A63" s="59"/>
      <c r="B63" s="58">
        <v>89515</v>
      </c>
      <c r="C63" s="61" t="s">
        <v>57</v>
      </c>
      <c r="D63" s="71" t="s">
        <v>172</v>
      </c>
      <c r="E63" s="37" t="s">
        <v>125</v>
      </c>
      <c r="F63" s="57">
        <v>8</v>
      </c>
      <c r="G63" s="56">
        <v>83.74</v>
      </c>
      <c r="H63" s="56">
        <v>30.64</v>
      </c>
      <c r="I63" s="52">
        <f>F63*H63</f>
        <v>245.12</v>
      </c>
      <c r="J63" s="52">
        <f>F63*G63</f>
        <v>669.92</v>
      </c>
      <c r="L63" s="79"/>
      <c r="M63" s="78"/>
      <c r="N63" s="54"/>
    </row>
    <row r="64" spans="1:14" s="53" customFormat="1" x14ac:dyDescent="0.25">
      <c r="A64" s="59"/>
      <c r="B64" s="58"/>
      <c r="C64" s="61" t="s">
        <v>56</v>
      </c>
      <c r="D64" s="71" t="s">
        <v>173</v>
      </c>
      <c r="E64" s="37" t="s">
        <v>125</v>
      </c>
      <c r="F64" s="57">
        <v>1</v>
      </c>
      <c r="G64" s="56">
        <v>59.91</v>
      </c>
      <c r="H64" s="56"/>
      <c r="I64" s="52"/>
      <c r="J64" s="52">
        <f>F64*G64</f>
        <v>59.91</v>
      </c>
      <c r="L64" s="79"/>
      <c r="M64" s="78"/>
      <c r="N64" s="54"/>
    </row>
    <row r="65" spans="1:14" s="53" customFormat="1" x14ac:dyDescent="0.25">
      <c r="A65" s="59"/>
      <c r="B65" s="58"/>
      <c r="C65" s="61" t="s">
        <v>55</v>
      </c>
      <c r="D65" s="71" t="s">
        <v>174</v>
      </c>
      <c r="E65" s="37" t="s">
        <v>125</v>
      </c>
      <c r="F65" s="57">
        <v>27</v>
      </c>
      <c r="G65" s="56">
        <v>7.02</v>
      </c>
      <c r="H65" s="56"/>
      <c r="I65" s="52"/>
      <c r="J65" s="52">
        <f>F65*G65-0.13</f>
        <v>189.41</v>
      </c>
      <c r="L65" s="79"/>
      <c r="M65" s="78"/>
      <c r="N65" s="54"/>
    </row>
    <row r="66" spans="1:14" s="53" customFormat="1" x14ac:dyDescent="0.25">
      <c r="A66" s="59"/>
      <c r="B66" s="58">
        <v>89358</v>
      </c>
      <c r="C66" s="61" t="s">
        <v>54</v>
      </c>
      <c r="D66" s="71" t="s">
        <v>175</v>
      </c>
      <c r="E66" s="37" t="s">
        <v>125</v>
      </c>
      <c r="F66" s="57">
        <v>38</v>
      </c>
      <c r="G66" s="56">
        <v>8.44</v>
      </c>
      <c r="H66" s="56">
        <v>3.57</v>
      </c>
      <c r="I66" s="52">
        <f>F66*H66</f>
        <v>135.66</v>
      </c>
      <c r="J66" s="52">
        <f>F66*G66+0.11</f>
        <v>320.83</v>
      </c>
      <c r="L66" s="79"/>
      <c r="M66" s="78"/>
      <c r="N66" s="54"/>
    </row>
    <row r="67" spans="1:14" s="53" customFormat="1" x14ac:dyDescent="0.25">
      <c r="A67" s="59"/>
      <c r="B67" s="58">
        <v>89362</v>
      </c>
      <c r="C67" s="61" t="s">
        <v>53</v>
      </c>
      <c r="D67" s="71" t="s">
        <v>176</v>
      </c>
      <c r="E67" s="37" t="s">
        <v>125</v>
      </c>
      <c r="F67" s="57">
        <v>28</v>
      </c>
      <c r="G67" s="56">
        <v>13.36</v>
      </c>
      <c r="H67" s="56">
        <v>4.1399999999999997</v>
      </c>
      <c r="I67" s="52">
        <f>F67*H67</f>
        <v>115.91999999999999</v>
      </c>
      <c r="J67" s="52">
        <f>F67*G67-0.05</f>
        <v>374.03</v>
      </c>
      <c r="L67" s="79"/>
      <c r="M67" s="78"/>
      <c r="N67" s="54"/>
    </row>
    <row r="68" spans="1:14" s="53" customFormat="1" x14ac:dyDescent="0.25">
      <c r="A68" s="59"/>
      <c r="B68" s="58"/>
      <c r="C68" s="61" t="s">
        <v>52</v>
      </c>
      <c r="D68" s="71" t="s">
        <v>177</v>
      </c>
      <c r="E68" s="37" t="s">
        <v>125</v>
      </c>
      <c r="F68" s="57">
        <v>14</v>
      </c>
      <c r="G68" s="56">
        <v>19.21</v>
      </c>
      <c r="H68" s="56"/>
      <c r="I68" s="52"/>
      <c r="J68" s="52">
        <f>F68*G68+0.04</f>
        <v>268.98</v>
      </c>
      <c r="L68" s="79"/>
      <c r="M68" s="78"/>
      <c r="N68" s="54"/>
    </row>
    <row r="69" spans="1:14" s="53" customFormat="1" x14ac:dyDescent="0.25">
      <c r="A69" s="59"/>
      <c r="B69" s="58">
        <v>89501</v>
      </c>
      <c r="C69" s="61" t="s">
        <v>51</v>
      </c>
      <c r="D69" s="71" t="s">
        <v>178</v>
      </c>
      <c r="E69" s="37" t="s">
        <v>125</v>
      </c>
      <c r="F69" s="57">
        <v>36</v>
      </c>
      <c r="G69" s="56">
        <v>21.96</v>
      </c>
      <c r="H69" s="56">
        <v>5.52</v>
      </c>
      <c r="I69" s="52">
        <f>F69*H69</f>
        <v>198.71999999999997</v>
      </c>
      <c r="J69" s="52">
        <f>F69*G69-0.12</f>
        <v>790.44</v>
      </c>
      <c r="L69" s="79"/>
      <c r="M69" s="78"/>
      <c r="N69" s="54"/>
    </row>
    <row r="70" spans="1:14" s="53" customFormat="1" x14ac:dyDescent="0.25">
      <c r="A70" s="59"/>
      <c r="B70" s="58">
        <v>89505</v>
      </c>
      <c r="C70" s="61" t="s">
        <v>50</v>
      </c>
      <c r="D70" s="71" t="s">
        <v>179</v>
      </c>
      <c r="E70" s="37" t="s">
        <v>125</v>
      </c>
      <c r="F70" s="57">
        <v>6</v>
      </c>
      <c r="G70" s="56">
        <v>4.55</v>
      </c>
      <c r="H70" s="56">
        <v>14.65</v>
      </c>
      <c r="I70" s="52">
        <f>F70*H70</f>
        <v>87.9</v>
      </c>
      <c r="J70" s="52">
        <f>F70*G70-0.02</f>
        <v>27.279999999999998</v>
      </c>
      <c r="L70" s="79"/>
      <c r="M70" s="78"/>
      <c r="N70" s="54"/>
    </row>
    <row r="71" spans="1:14" s="53" customFormat="1" x14ac:dyDescent="0.25">
      <c r="A71" s="59"/>
      <c r="B71" s="58">
        <v>89521</v>
      </c>
      <c r="C71" s="61" t="s">
        <v>49</v>
      </c>
      <c r="D71" s="71" t="s">
        <v>181</v>
      </c>
      <c r="E71" s="37" t="s">
        <v>125</v>
      </c>
      <c r="F71" s="57">
        <v>2</v>
      </c>
      <c r="G71" s="56">
        <v>15.95</v>
      </c>
      <c r="H71" s="56">
        <v>41.43</v>
      </c>
      <c r="I71" s="52">
        <f>F71*H71</f>
        <v>82.86</v>
      </c>
      <c r="J71" s="52">
        <f>F71*G71+0.01</f>
        <v>31.91</v>
      </c>
      <c r="L71" s="79"/>
      <c r="M71" s="78"/>
      <c r="N71" s="54"/>
    </row>
    <row r="72" spans="1:14" s="53" customFormat="1" ht="24" x14ac:dyDescent="0.25">
      <c r="A72" s="59"/>
      <c r="B72" s="58"/>
      <c r="C72" s="61" t="s">
        <v>151</v>
      </c>
      <c r="D72" s="71" t="s">
        <v>182</v>
      </c>
      <c r="E72" s="37" t="s">
        <v>125</v>
      </c>
      <c r="F72" s="57">
        <v>2</v>
      </c>
      <c r="G72" s="56">
        <v>905.28</v>
      </c>
      <c r="H72" s="56"/>
      <c r="I72" s="52"/>
      <c r="J72" s="52">
        <f>F72*G72</f>
        <v>1810.56</v>
      </c>
      <c r="L72" s="79"/>
      <c r="M72" s="78"/>
      <c r="N72" s="54"/>
    </row>
    <row r="73" spans="1:14" s="53" customFormat="1" ht="24" x14ac:dyDescent="0.25">
      <c r="A73" s="59"/>
      <c r="B73" s="58"/>
      <c r="C73" s="61" t="s">
        <v>180</v>
      </c>
      <c r="D73" s="71" t="s">
        <v>183</v>
      </c>
      <c r="E73" s="37" t="s">
        <v>125</v>
      </c>
      <c r="F73" s="57">
        <v>4</v>
      </c>
      <c r="G73" s="56">
        <v>486.05</v>
      </c>
      <c r="H73" s="56"/>
      <c r="I73" s="52"/>
      <c r="J73" s="52">
        <f>F73*G73-0.02</f>
        <v>1944.18</v>
      </c>
      <c r="L73" s="79"/>
      <c r="M73" s="78"/>
      <c r="N73" s="54"/>
    </row>
    <row r="74" spans="1:14" s="9" customFormat="1" x14ac:dyDescent="0.25">
      <c r="A74" s="31"/>
      <c r="B74" s="48" t="s">
        <v>12</v>
      </c>
      <c r="C74" s="47">
        <v>7</v>
      </c>
      <c r="D74" s="46" t="s">
        <v>184</v>
      </c>
      <c r="E74" s="45"/>
      <c r="F74" s="44"/>
      <c r="G74" s="41"/>
      <c r="H74" s="43"/>
      <c r="I74" s="42">
        <f>SUM(I94:I95)</f>
        <v>0</v>
      </c>
      <c r="J74" s="42">
        <f>SUM(J75:J95)</f>
        <v>10686.05</v>
      </c>
      <c r="K74" s="40"/>
      <c r="L74" s="79"/>
      <c r="M74" s="78"/>
      <c r="N74" s="33"/>
    </row>
    <row r="75" spans="1:14" s="9" customFormat="1" x14ac:dyDescent="0.25">
      <c r="A75" s="31"/>
      <c r="B75" s="30"/>
      <c r="C75" s="61" t="s">
        <v>48</v>
      </c>
      <c r="D75" s="38" t="s">
        <v>200</v>
      </c>
      <c r="E75" s="37" t="s">
        <v>125</v>
      </c>
      <c r="F75" s="36">
        <v>5</v>
      </c>
      <c r="G75" s="49">
        <v>5.62</v>
      </c>
      <c r="H75" s="35"/>
      <c r="I75" s="32"/>
      <c r="J75" s="32">
        <f t="shared" ref="J75:J90" si="1">F75*G75</f>
        <v>28.1</v>
      </c>
      <c r="L75" s="79"/>
      <c r="M75" s="78"/>
      <c r="N75" s="33"/>
    </row>
    <row r="76" spans="1:14" s="9" customFormat="1" x14ac:dyDescent="0.25">
      <c r="A76" s="31"/>
      <c r="B76" s="30"/>
      <c r="C76" s="61" t="s">
        <v>47</v>
      </c>
      <c r="D76" s="38" t="s">
        <v>201</v>
      </c>
      <c r="E76" s="37" t="s">
        <v>125</v>
      </c>
      <c r="F76" s="36">
        <v>4</v>
      </c>
      <c r="G76" s="49">
        <v>121.29</v>
      </c>
      <c r="H76" s="35"/>
      <c r="I76" s="32"/>
      <c r="J76" s="32">
        <f>F76*G76+0.01</f>
        <v>485.17</v>
      </c>
      <c r="L76" s="79"/>
      <c r="M76" s="78"/>
      <c r="N76" s="33"/>
    </row>
    <row r="77" spans="1:14" s="9" customFormat="1" x14ac:dyDescent="0.25">
      <c r="A77" s="31"/>
      <c r="B77" s="30"/>
      <c r="C77" s="61" t="s">
        <v>46</v>
      </c>
      <c r="D77" s="38" t="s">
        <v>202</v>
      </c>
      <c r="E77" s="37" t="s">
        <v>125</v>
      </c>
      <c r="F77" s="36">
        <v>6</v>
      </c>
      <c r="G77" s="49">
        <v>15.89</v>
      </c>
      <c r="H77" s="35"/>
      <c r="I77" s="32"/>
      <c r="J77" s="32">
        <f>F77*G77-0.02</f>
        <v>95.320000000000007</v>
      </c>
      <c r="L77" s="79"/>
      <c r="M77" s="78"/>
      <c r="N77" s="33"/>
    </row>
    <row r="78" spans="1:14" s="9" customFormat="1" x14ac:dyDescent="0.25">
      <c r="A78" s="31"/>
      <c r="B78" s="30"/>
      <c r="C78" s="61" t="s">
        <v>45</v>
      </c>
      <c r="D78" s="38" t="s">
        <v>203</v>
      </c>
      <c r="E78" s="37" t="s">
        <v>125</v>
      </c>
      <c r="F78" s="36">
        <v>4</v>
      </c>
      <c r="G78" s="49">
        <v>44.33</v>
      </c>
      <c r="H78" s="35"/>
      <c r="I78" s="32"/>
      <c r="J78" s="32">
        <f>F78*G78-0.01</f>
        <v>177.31</v>
      </c>
      <c r="L78" s="79"/>
      <c r="M78" s="78"/>
      <c r="N78" s="33"/>
    </row>
    <row r="79" spans="1:14" s="9" customFormat="1" x14ac:dyDescent="0.25">
      <c r="A79" s="31"/>
      <c r="B79" s="30"/>
      <c r="C79" s="61" t="s">
        <v>44</v>
      </c>
      <c r="D79" s="38" t="s">
        <v>204</v>
      </c>
      <c r="E79" s="37" t="s">
        <v>125</v>
      </c>
      <c r="F79" s="36">
        <v>14</v>
      </c>
      <c r="G79" s="49">
        <v>5.55</v>
      </c>
      <c r="H79" s="35"/>
      <c r="I79" s="32"/>
      <c r="J79" s="32">
        <f>F79*G79-0.07</f>
        <v>77.63000000000001</v>
      </c>
      <c r="L79" s="79"/>
      <c r="M79" s="78"/>
      <c r="N79" s="33"/>
    </row>
    <row r="80" spans="1:14" s="9" customFormat="1" x14ac:dyDescent="0.25">
      <c r="A80" s="31"/>
      <c r="B80" s="30"/>
      <c r="C80" s="61" t="s">
        <v>43</v>
      </c>
      <c r="D80" s="38" t="s">
        <v>205</v>
      </c>
      <c r="E80" s="37" t="s">
        <v>125</v>
      </c>
      <c r="F80" s="36">
        <v>1</v>
      </c>
      <c r="G80" s="49">
        <v>4939</v>
      </c>
      <c r="H80" s="35"/>
      <c r="I80" s="32"/>
      <c r="J80" s="32">
        <f t="shared" si="1"/>
        <v>4939</v>
      </c>
      <c r="L80" s="79"/>
      <c r="M80" s="78"/>
      <c r="N80" s="33"/>
    </row>
    <row r="81" spans="1:14" s="9" customFormat="1" x14ac:dyDescent="0.25">
      <c r="A81" s="31"/>
      <c r="B81" s="30"/>
      <c r="C81" s="61" t="s">
        <v>185</v>
      </c>
      <c r="D81" s="38" t="s">
        <v>206</v>
      </c>
      <c r="E81" s="37" t="s">
        <v>125</v>
      </c>
      <c r="F81" s="36">
        <v>3</v>
      </c>
      <c r="G81" s="49">
        <v>9.56</v>
      </c>
      <c r="H81" s="35"/>
      <c r="I81" s="32"/>
      <c r="J81" s="32">
        <f>F81*G81+0.01</f>
        <v>28.69</v>
      </c>
      <c r="L81" s="79"/>
      <c r="M81" s="78"/>
      <c r="N81" s="33"/>
    </row>
    <row r="82" spans="1:14" s="9" customFormat="1" x14ac:dyDescent="0.25">
      <c r="A82" s="31"/>
      <c r="B82" s="30"/>
      <c r="C82" s="61" t="s">
        <v>186</v>
      </c>
      <c r="D82" s="38" t="s">
        <v>207</v>
      </c>
      <c r="E82" s="37" t="s">
        <v>125</v>
      </c>
      <c r="F82" s="36">
        <v>6</v>
      </c>
      <c r="G82" s="49">
        <v>13.8</v>
      </c>
      <c r="H82" s="35"/>
      <c r="I82" s="32"/>
      <c r="J82" s="32">
        <f>F82*G82-0.03</f>
        <v>82.77000000000001</v>
      </c>
      <c r="L82" s="79"/>
      <c r="M82" s="78"/>
      <c r="N82" s="33"/>
    </row>
    <row r="83" spans="1:14" s="9" customFormat="1" x14ac:dyDescent="0.25">
      <c r="A83" s="31"/>
      <c r="B83" s="30"/>
      <c r="C83" s="61" t="s">
        <v>187</v>
      </c>
      <c r="D83" s="38" t="s">
        <v>208</v>
      </c>
      <c r="E83" s="37" t="s">
        <v>125</v>
      </c>
      <c r="F83" s="36">
        <v>7</v>
      </c>
      <c r="G83" s="49">
        <v>17.75</v>
      </c>
      <c r="H83" s="35"/>
      <c r="I83" s="32"/>
      <c r="J83" s="32">
        <f>F83*G83-0.02</f>
        <v>124.23</v>
      </c>
      <c r="L83" s="79"/>
      <c r="M83" s="78"/>
      <c r="N83" s="33"/>
    </row>
    <row r="84" spans="1:14" s="9" customFormat="1" x14ac:dyDescent="0.25">
      <c r="A84" s="31"/>
      <c r="B84" s="30"/>
      <c r="C84" s="61" t="s">
        <v>188</v>
      </c>
      <c r="D84" s="38" t="s">
        <v>209</v>
      </c>
      <c r="E84" s="37" t="s">
        <v>125</v>
      </c>
      <c r="F84" s="36">
        <v>10</v>
      </c>
      <c r="G84" s="49">
        <v>11.54</v>
      </c>
      <c r="H84" s="35"/>
      <c r="I84" s="32"/>
      <c r="J84" s="32">
        <f>F84*G84+0.03</f>
        <v>115.42999999999999</v>
      </c>
      <c r="L84" s="79"/>
      <c r="M84" s="78"/>
      <c r="N84" s="33"/>
    </row>
    <row r="85" spans="1:14" s="9" customFormat="1" x14ac:dyDescent="0.25">
      <c r="A85" s="31"/>
      <c r="B85" s="30"/>
      <c r="C85" s="61" t="s">
        <v>189</v>
      </c>
      <c r="D85" s="38" t="s">
        <v>210</v>
      </c>
      <c r="E85" s="37" t="s">
        <v>125</v>
      </c>
      <c r="F85" s="36">
        <v>5</v>
      </c>
      <c r="G85" s="49">
        <v>32.82</v>
      </c>
      <c r="H85" s="35"/>
      <c r="I85" s="32"/>
      <c r="J85" s="32">
        <f>F85*G85+0.02</f>
        <v>164.12</v>
      </c>
      <c r="L85" s="79"/>
      <c r="M85" s="78"/>
      <c r="N85" s="33"/>
    </row>
    <row r="86" spans="1:14" s="9" customFormat="1" x14ac:dyDescent="0.25">
      <c r="A86" s="31"/>
      <c r="B86" s="30"/>
      <c r="C86" s="61" t="s">
        <v>190</v>
      </c>
      <c r="D86" s="38" t="s">
        <v>211</v>
      </c>
      <c r="E86" s="37" t="s">
        <v>125</v>
      </c>
      <c r="F86" s="36">
        <v>6</v>
      </c>
      <c r="G86" s="49">
        <v>26.72</v>
      </c>
      <c r="H86" s="35"/>
      <c r="I86" s="32"/>
      <c r="J86" s="32">
        <f>F86*G86-0.01</f>
        <v>160.31</v>
      </c>
      <c r="L86" s="79"/>
      <c r="M86" s="78"/>
      <c r="N86" s="33"/>
    </row>
    <row r="87" spans="1:14" s="9" customFormat="1" x14ac:dyDescent="0.25">
      <c r="A87" s="31"/>
      <c r="B87" s="30"/>
      <c r="C87" s="61" t="s">
        <v>191</v>
      </c>
      <c r="D87" s="38" t="s">
        <v>212</v>
      </c>
      <c r="E87" s="37" t="s">
        <v>125</v>
      </c>
      <c r="F87" s="36">
        <v>8</v>
      </c>
      <c r="G87" s="49">
        <v>14.46</v>
      </c>
      <c r="H87" s="35"/>
      <c r="I87" s="32"/>
      <c r="J87" s="32">
        <f>F87*G87+0.03</f>
        <v>115.71000000000001</v>
      </c>
      <c r="L87" s="79"/>
      <c r="M87" s="78"/>
      <c r="N87" s="33"/>
    </row>
    <row r="88" spans="1:14" s="9" customFormat="1" x14ac:dyDescent="0.25">
      <c r="A88" s="31"/>
      <c r="B88" s="30"/>
      <c r="C88" s="61" t="s">
        <v>192</v>
      </c>
      <c r="D88" s="38" t="s">
        <v>213</v>
      </c>
      <c r="E88" s="37" t="s">
        <v>125</v>
      </c>
      <c r="F88" s="36">
        <v>9</v>
      </c>
      <c r="G88" s="49">
        <v>85.51</v>
      </c>
      <c r="H88" s="35"/>
      <c r="I88" s="32"/>
      <c r="J88" s="32">
        <f>F88*G88+0.02</f>
        <v>769.61</v>
      </c>
      <c r="L88" s="79"/>
      <c r="M88" s="78"/>
      <c r="N88" s="33"/>
    </row>
    <row r="89" spans="1:14" s="9" customFormat="1" x14ac:dyDescent="0.25">
      <c r="A89" s="31"/>
      <c r="B89" s="30"/>
      <c r="C89" s="61" t="s">
        <v>193</v>
      </c>
      <c r="D89" s="38" t="s">
        <v>214</v>
      </c>
      <c r="E89" s="37" t="s">
        <v>125</v>
      </c>
      <c r="F89" s="36">
        <v>1</v>
      </c>
      <c r="G89" s="49">
        <v>1856.17</v>
      </c>
      <c r="H89" s="35"/>
      <c r="I89" s="32"/>
      <c r="J89" s="32">
        <f t="shared" si="1"/>
        <v>1856.17</v>
      </c>
      <c r="L89" s="79"/>
      <c r="M89" s="78"/>
      <c r="N89" s="33"/>
    </row>
    <row r="90" spans="1:14" s="9" customFormat="1" x14ac:dyDescent="0.25">
      <c r="A90" s="31"/>
      <c r="B90" s="30"/>
      <c r="C90" s="61" t="s">
        <v>194</v>
      </c>
      <c r="D90" s="38" t="s">
        <v>215</v>
      </c>
      <c r="E90" s="37" t="s">
        <v>125</v>
      </c>
      <c r="F90" s="36">
        <v>1</v>
      </c>
      <c r="G90" s="49">
        <v>28.51</v>
      </c>
      <c r="H90" s="35"/>
      <c r="I90" s="32"/>
      <c r="J90" s="32">
        <f t="shared" si="1"/>
        <v>28.51</v>
      </c>
      <c r="L90" s="79"/>
      <c r="M90" s="78"/>
      <c r="N90" s="33"/>
    </row>
    <row r="91" spans="1:14" s="9" customFormat="1" x14ac:dyDescent="0.25">
      <c r="A91" s="31"/>
      <c r="B91" s="30"/>
      <c r="C91" s="61" t="s">
        <v>195</v>
      </c>
      <c r="D91" s="38" t="s">
        <v>216</v>
      </c>
      <c r="E91" s="37" t="s">
        <v>125</v>
      </c>
      <c r="F91" s="36">
        <v>3</v>
      </c>
      <c r="G91" s="49">
        <v>10.61</v>
      </c>
      <c r="H91" s="35"/>
      <c r="I91" s="32"/>
      <c r="J91" s="32">
        <f>F91*G91+0.01</f>
        <v>31.84</v>
      </c>
      <c r="L91" s="79"/>
      <c r="M91" s="78"/>
      <c r="N91" s="33"/>
    </row>
    <row r="92" spans="1:14" s="9" customFormat="1" x14ac:dyDescent="0.25">
      <c r="A92" s="31"/>
      <c r="B92" s="30"/>
      <c r="C92" s="61" t="s">
        <v>196</v>
      </c>
      <c r="D92" s="38" t="s">
        <v>217</v>
      </c>
      <c r="E92" s="37" t="s">
        <v>125</v>
      </c>
      <c r="F92" s="36">
        <v>35</v>
      </c>
      <c r="G92" s="49">
        <v>24.78</v>
      </c>
      <c r="H92" s="35"/>
      <c r="I92" s="32"/>
      <c r="J92" s="32">
        <f>F92*G92+0.43-0.3</f>
        <v>867.43000000000006</v>
      </c>
      <c r="L92" s="79"/>
      <c r="M92" s="78"/>
      <c r="N92" s="33"/>
    </row>
    <row r="93" spans="1:14" s="9" customFormat="1" x14ac:dyDescent="0.25">
      <c r="A93" s="31"/>
      <c r="B93" s="30"/>
      <c r="C93" s="61" t="s">
        <v>197</v>
      </c>
      <c r="D93" s="38" t="s">
        <v>218</v>
      </c>
      <c r="E93" s="37" t="s">
        <v>125</v>
      </c>
      <c r="F93" s="36">
        <v>20</v>
      </c>
      <c r="G93" s="49">
        <v>9.1199999999999992</v>
      </c>
      <c r="H93" s="35"/>
      <c r="I93" s="32"/>
      <c r="J93" s="32">
        <f>F93*G93+0.06</f>
        <v>182.45999999999998</v>
      </c>
      <c r="L93" s="79"/>
      <c r="M93" s="78"/>
      <c r="N93" s="33"/>
    </row>
    <row r="94" spans="1:14" s="9" customFormat="1" x14ac:dyDescent="0.25">
      <c r="A94" s="31"/>
      <c r="B94" s="30">
        <v>89849</v>
      </c>
      <c r="C94" s="61" t="s">
        <v>198</v>
      </c>
      <c r="D94" s="38" t="s">
        <v>219</v>
      </c>
      <c r="E94" s="37" t="s">
        <v>125</v>
      </c>
      <c r="F94" s="36">
        <v>17</v>
      </c>
      <c r="G94" s="49">
        <v>13.79</v>
      </c>
      <c r="H94" s="35"/>
      <c r="I94" s="32"/>
      <c r="J94" s="32">
        <f>F94*G94+0.01</f>
        <v>234.43999999999997</v>
      </c>
      <c r="L94" s="79"/>
      <c r="M94" s="78"/>
      <c r="N94" s="33"/>
    </row>
    <row r="95" spans="1:14" s="9" customFormat="1" x14ac:dyDescent="0.25">
      <c r="A95" s="31"/>
      <c r="B95" s="30"/>
      <c r="C95" s="61" t="s">
        <v>199</v>
      </c>
      <c r="D95" s="38" t="s">
        <v>220</v>
      </c>
      <c r="E95" s="37" t="s">
        <v>125</v>
      </c>
      <c r="F95" s="36">
        <v>9</v>
      </c>
      <c r="G95" s="49">
        <v>13.53</v>
      </c>
      <c r="H95" s="35"/>
      <c r="I95" s="32"/>
      <c r="J95" s="32">
        <f>F95*G95+0.03</f>
        <v>121.8</v>
      </c>
      <c r="L95" s="79"/>
      <c r="M95" s="78"/>
      <c r="N95" s="33"/>
    </row>
    <row r="96" spans="1:14" s="9" customFormat="1" x14ac:dyDescent="0.25">
      <c r="A96" s="31"/>
      <c r="B96" s="48" t="s">
        <v>12</v>
      </c>
      <c r="C96" s="47">
        <v>8</v>
      </c>
      <c r="D96" s="46" t="s">
        <v>221</v>
      </c>
      <c r="E96" s="45"/>
      <c r="F96" s="44"/>
      <c r="G96" s="41"/>
      <c r="H96" s="43"/>
      <c r="I96" s="42">
        <f>SUM(I97:I101)</f>
        <v>0</v>
      </c>
      <c r="J96" s="42">
        <f>SUM(J97:J101)</f>
        <v>14203.51</v>
      </c>
      <c r="K96" s="40"/>
      <c r="L96" s="79"/>
      <c r="M96" s="78"/>
      <c r="N96" s="33"/>
    </row>
    <row r="97" spans="1:14" s="9" customFormat="1" x14ac:dyDescent="0.25">
      <c r="A97" s="31"/>
      <c r="B97" s="30">
        <v>89707</v>
      </c>
      <c r="C97" s="39" t="s">
        <v>42</v>
      </c>
      <c r="D97" s="38" t="s">
        <v>226</v>
      </c>
      <c r="E97" s="37" t="s">
        <v>2</v>
      </c>
      <c r="F97" s="36">
        <v>72</v>
      </c>
      <c r="G97" s="49">
        <v>42.14</v>
      </c>
      <c r="H97" s="35"/>
      <c r="I97" s="32"/>
      <c r="J97" s="32">
        <f>F97*G97+0.28</f>
        <v>3034.36</v>
      </c>
      <c r="L97" s="79"/>
      <c r="M97" s="78"/>
      <c r="N97" s="33"/>
    </row>
    <row r="98" spans="1:14" s="9" customFormat="1" x14ac:dyDescent="0.25">
      <c r="A98" s="31"/>
      <c r="B98" s="30"/>
      <c r="C98" s="39" t="s">
        <v>222</v>
      </c>
      <c r="D98" s="38" t="s">
        <v>227</v>
      </c>
      <c r="E98" s="37" t="s">
        <v>2</v>
      </c>
      <c r="F98" s="36">
        <v>20</v>
      </c>
      <c r="G98" s="49">
        <v>41.99</v>
      </c>
      <c r="H98" s="35"/>
      <c r="I98" s="32"/>
      <c r="J98" s="32">
        <f>F98*G98-0.1</f>
        <v>839.7</v>
      </c>
      <c r="L98" s="79"/>
      <c r="M98" s="78"/>
      <c r="N98" s="33"/>
    </row>
    <row r="99" spans="1:14" s="9" customFormat="1" x14ac:dyDescent="0.25">
      <c r="A99" s="31"/>
      <c r="B99" s="70">
        <v>89710</v>
      </c>
      <c r="C99" s="69" t="s">
        <v>223</v>
      </c>
      <c r="D99" s="68" t="s">
        <v>228</v>
      </c>
      <c r="E99" s="67" t="s">
        <v>2</v>
      </c>
      <c r="F99" s="66">
        <v>4</v>
      </c>
      <c r="G99" s="65">
        <v>48.23</v>
      </c>
      <c r="H99" s="35"/>
      <c r="I99" s="32"/>
      <c r="J99" s="32">
        <f>F99*G99+0.02</f>
        <v>192.94</v>
      </c>
      <c r="L99" s="79"/>
      <c r="M99" s="78"/>
      <c r="N99" s="33"/>
    </row>
    <row r="100" spans="1:14" s="9" customFormat="1" x14ac:dyDescent="0.25">
      <c r="A100" s="31"/>
      <c r="B100" s="70"/>
      <c r="C100" s="69" t="s">
        <v>224</v>
      </c>
      <c r="D100" s="68" t="s">
        <v>229</v>
      </c>
      <c r="E100" s="67" t="s">
        <v>125</v>
      </c>
      <c r="F100" s="66">
        <v>4</v>
      </c>
      <c r="G100" s="65">
        <v>29.27</v>
      </c>
      <c r="H100" s="35"/>
      <c r="I100" s="32"/>
      <c r="J100" s="32">
        <f>F100*G100+0.01</f>
        <v>117.09</v>
      </c>
      <c r="L100" s="79"/>
      <c r="M100" s="78"/>
      <c r="N100" s="33"/>
    </row>
    <row r="101" spans="1:14" s="9" customFormat="1" x14ac:dyDescent="0.25">
      <c r="A101" s="31"/>
      <c r="B101" s="30">
        <v>89714</v>
      </c>
      <c r="C101" s="39" t="s">
        <v>225</v>
      </c>
      <c r="D101" s="38" t="s">
        <v>230</v>
      </c>
      <c r="E101" s="37" t="s">
        <v>2</v>
      </c>
      <c r="F101" s="36">
        <v>72</v>
      </c>
      <c r="G101" s="49">
        <v>139.16</v>
      </c>
      <c r="H101" s="35"/>
      <c r="I101" s="32"/>
      <c r="J101" s="32">
        <f>F101*G101-0.1</f>
        <v>10019.42</v>
      </c>
      <c r="L101" s="79"/>
      <c r="M101" s="78"/>
      <c r="N101" s="33"/>
    </row>
    <row r="102" spans="1:14" s="9" customFormat="1" x14ac:dyDescent="0.25">
      <c r="A102" s="31"/>
      <c r="B102" s="48"/>
      <c r="C102" s="47">
        <v>9</v>
      </c>
      <c r="D102" s="46" t="s">
        <v>231</v>
      </c>
      <c r="E102" s="45"/>
      <c r="F102" s="44"/>
      <c r="G102" s="41"/>
      <c r="H102" s="43"/>
      <c r="I102" s="42"/>
      <c r="J102" s="42">
        <f>SUM(J103:J126)-0.01</f>
        <v>14451.5</v>
      </c>
      <c r="K102" s="40"/>
      <c r="L102" s="79"/>
      <c r="M102" s="78"/>
      <c r="N102" s="33"/>
    </row>
    <row r="103" spans="1:14" s="9" customFormat="1" ht="36" x14ac:dyDescent="0.25">
      <c r="A103" s="31"/>
      <c r="B103" s="30"/>
      <c r="C103" s="39" t="s">
        <v>41</v>
      </c>
      <c r="D103" s="38" t="s">
        <v>232</v>
      </c>
      <c r="E103" s="37" t="s">
        <v>2</v>
      </c>
      <c r="F103" s="36">
        <v>190</v>
      </c>
      <c r="G103" s="49">
        <v>2.65</v>
      </c>
      <c r="H103" s="35"/>
      <c r="I103" s="32"/>
      <c r="J103" s="32">
        <f>F103*G103-0.9</f>
        <v>502.6</v>
      </c>
      <c r="L103" s="79"/>
      <c r="M103" s="78"/>
      <c r="N103" s="33"/>
    </row>
    <row r="104" spans="1:14" s="9" customFormat="1" ht="36" x14ac:dyDescent="0.25">
      <c r="A104" s="31"/>
      <c r="B104" s="30"/>
      <c r="C104" s="39" t="s">
        <v>40</v>
      </c>
      <c r="D104" s="38" t="s">
        <v>233</v>
      </c>
      <c r="E104" s="37" t="s">
        <v>2</v>
      </c>
      <c r="F104" s="36">
        <v>820</v>
      </c>
      <c r="G104" s="49">
        <v>3.56</v>
      </c>
      <c r="H104" s="35"/>
      <c r="I104" s="32"/>
      <c r="J104" s="32">
        <f>F104*G104-2.16</f>
        <v>2917.04</v>
      </c>
      <c r="L104" s="79"/>
      <c r="M104" s="78"/>
      <c r="N104" s="33"/>
    </row>
    <row r="105" spans="1:14" s="9" customFormat="1" ht="36" x14ac:dyDescent="0.25">
      <c r="A105" s="31"/>
      <c r="B105" s="30"/>
      <c r="C105" s="39" t="s">
        <v>39</v>
      </c>
      <c r="D105" s="38" t="s">
        <v>234</v>
      </c>
      <c r="E105" s="37" t="s">
        <v>2</v>
      </c>
      <c r="F105" s="36">
        <v>14</v>
      </c>
      <c r="G105" s="49">
        <v>9.1199999999999992</v>
      </c>
      <c r="H105" s="35"/>
      <c r="I105" s="32"/>
      <c r="J105" s="32">
        <f>F105*G105+0.06</f>
        <v>127.74</v>
      </c>
      <c r="L105" s="79"/>
      <c r="M105" s="78"/>
      <c r="N105" s="33"/>
    </row>
    <row r="106" spans="1:14" s="9" customFormat="1" ht="36" x14ac:dyDescent="0.25">
      <c r="A106" s="31"/>
      <c r="B106" s="30"/>
      <c r="C106" s="39" t="s">
        <v>38</v>
      </c>
      <c r="D106" s="38" t="s">
        <v>247</v>
      </c>
      <c r="E106" s="37" t="s">
        <v>2</v>
      </c>
      <c r="F106" s="36">
        <v>41</v>
      </c>
      <c r="G106" s="49">
        <v>20.04</v>
      </c>
      <c r="H106" s="35"/>
      <c r="I106" s="32"/>
      <c r="J106" s="32">
        <f>F106*G106+0.19</f>
        <v>821.83</v>
      </c>
      <c r="L106" s="79"/>
      <c r="M106" s="78"/>
      <c r="N106" s="33"/>
    </row>
    <row r="107" spans="1:14" s="9" customFormat="1" x14ac:dyDescent="0.25">
      <c r="A107" s="31"/>
      <c r="B107" s="30"/>
      <c r="C107" s="39" t="s">
        <v>37</v>
      </c>
      <c r="D107" s="38" t="s">
        <v>248</v>
      </c>
      <c r="E107" s="37" t="s">
        <v>125</v>
      </c>
      <c r="F107" s="36">
        <v>2</v>
      </c>
      <c r="G107" s="49">
        <v>10.09</v>
      </c>
      <c r="H107" s="35"/>
      <c r="I107" s="32"/>
      <c r="J107" s="32">
        <f>F107*G107-0.01</f>
        <v>20.169999999999998</v>
      </c>
      <c r="L107" s="79"/>
      <c r="M107" s="78"/>
      <c r="N107" s="33"/>
    </row>
    <row r="108" spans="1:14" s="9" customFormat="1" x14ac:dyDescent="0.25">
      <c r="A108" s="31"/>
      <c r="B108" s="30"/>
      <c r="C108" s="39" t="s">
        <v>36</v>
      </c>
      <c r="D108" s="38" t="s">
        <v>249</v>
      </c>
      <c r="E108" s="37" t="s">
        <v>125</v>
      </c>
      <c r="F108" s="36">
        <v>1</v>
      </c>
      <c r="G108" s="49">
        <v>10.09</v>
      </c>
      <c r="H108" s="35"/>
      <c r="I108" s="32"/>
      <c r="J108" s="32">
        <f t="shared" ref="J108:J125" si="2">F108*G108</f>
        <v>10.09</v>
      </c>
      <c r="L108" s="79"/>
      <c r="M108" s="78"/>
      <c r="N108" s="33"/>
    </row>
    <row r="109" spans="1:14" s="9" customFormat="1" x14ac:dyDescent="0.25">
      <c r="A109" s="31"/>
      <c r="B109" s="30"/>
      <c r="C109" s="39" t="s">
        <v>35</v>
      </c>
      <c r="D109" s="38" t="s">
        <v>250</v>
      </c>
      <c r="E109" s="37" t="s">
        <v>125</v>
      </c>
      <c r="F109" s="36">
        <v>7</v>
      </c>
      <c r="G109" s="49">
        <v>8.59</v>
      </c>
      <c r="H109" s="35"/>
      <c r="I109" s="32"/>
      <c r="J109" s="32">
        <f>F109*G109+0.02</f>
        <v>60.15</v>
      </c>
      <c r="L109" s="79"/>
      <c r="M109" s="78"/>
      <c r="N109" s="33"/>
    </row>
    <row r="110" spans="1:14" s="9" customFormat="1" x14ac:dyDescent="0.25">
      <c r="A110" s="31"/>
      <c r="B110" s="30"/>
      <c r="C110" s="39" t="s">
        <v>34</v>
      </c>
      <c r="D110" s="38" t="s">
        <v>251</v>
      </c>
      <c r="E110" s="37" t="s">
        <v>125</v>
      </c>
      <c r="F110" s="36">
        <v>5</v>
      </c>
      <c r="G110" s="49">
        <v>8.2799999999999994</v>
      </c>
      <c r="H110" s="35"/>
      <c r="I110" s="32"/>
      <c r="J110" s="32">
        <f>F110*G110-0.02</f>
        <v>41.379999999999995</v>
      </c>
      <c r="L110" s="79"/>
      <c r="M110" s="78"/>
      <c r="N110" s="33"/>
    </row>
    <row r="111" spans="1:14" s="9" customFormat="1" x14ac:dyDescent="0.25">
      <c r="A111" s="31"/>
      <c r="B111" s="30"/>
      <c r="C111" s="39" t="s">
        <v>33</v>
      </c>
      <c r="D111" s="38" t="s">
        <v>252</v>
      </c>
      <c r="E111" s="37" t="s">
        <v>125</v>
      </c>
      <c r="F111" s="36">
        <v>5</v>
      </c>
      <c r="G111" s="49">
        <v>36.619999999999997</v>
      </c>
      <c r="H111" s="35"/>
      <c r="I111" s="32"/>
      <c r="J111" s="32">
        <f>F111*G111-0.02</f>
        <v>183.07999999999998</v>
      </c>
      <c r="L111" s="79"/>
      <c r="M111" s="78"/>
      <c r="N111" s="33"/>
    </row>
    <row r="112" spans="1:14" s="9" customFormat="1" x14ac:dyDescent="0.25">
      <c r="A112" s="31"/>
      <c r="B112" s="30"/>
      <c r="C112" s="39" t="s">
        <v>32</v>
      </c>
      <c r="D112" s="38" t="s">
        <v>253</v>
      </c>
      <c r="E112" s="37" t="s">
        <v>125</v>
      </c>
      <c r="F112" s="36">
        <v>8</v>
      </c>
      <c r="G112" s="49">
        <v>36.619999999999997</v>
      </c>
      <c r="H112" s="35"/>
      <c r="I112" s="32"/>
      <c r="J112" s="32">
        <f>F112*G112-0.03</f>
        <v>292.93</v>
      </c>
      <c r="L112" s="79"/>
      <c r="M112" s="78"/>
      <c r="N112" s="33"/>
    </row>
    <row r="113" spans="1:14" s="9" customFormat="1" x14ac:dyDescent="0.25">
      <c r="A113" s="51"/>
      <c r="B113" s="30"/>
      <c r="C113" s="39" t="s">
        <v>31</v>
      </c>
      <c r="D113" s="60" t="s">
        <v>254</v>
      </c>
      <c r="E113" s="37" t="s">
        <v>125</v>
      </c>
      <c r="F113" s="36">
        <v>2</v>
      </c>
      <c r="G113" s="49">
        <v>199.77</v>
      </c>
      <c r="H113" s="35"/>
      <c r="I113" s="32"/>
      <c r="J113" s="32">
        <f>F113*G113-0.01</f>
        <v>399.53000000000003</v>
      </c>
      <c r="L113" s="79"/>
      <c r="M113" s="78"/>
    </row>
    <row r="114" spans="1:14" s="9" customFormat="1" x14ac:dyDescent="0.25">
      <c r="A114" s="51"/>
      <c r="B114" s="30"/>
      <c r="C114" s="39" t="s">
        <v>30</v>
      </c>
      <c r="D114" s="60" t="s">
        <v>255</v>
      </c>
      <c r="E114" s="37" t="s">
        <v>125</v>
      </c>
      <c r="F114" s="36">
        <v>1</v>
      </c>
      <c r="G114" s="49">
        <v>311.54000000000002</v>
      </c>
      <c r="H114" s="35"/>
      <c r="I114" s="32"/>
      <c r="J114" s="32">
        <f t="shared" si="2"/>
        <v>311.54000000000002</v>
      </c>
      <c r="L114" s="79"/>
      <c r="M114" s="78"/>
    </row>
    <row r="115" spans="1:14" s="9" customFormat="1" x14ac:dyDescent="0.25">
      <c r="A115" s="51"/>
      <c r="B115" s="30"/>
      <c r="C115" s="39" t="s">
        <v>235</v>
      </c>
      <c r="D115" s="60" t="s">
        <v>256</v>
      </c>
      <c r="E115" s="37" t="s">
        <v>125</v>
      </c>
      <c r="F115" s="36">
        <v>1</v>
      </c>
      <c r="G115" s="49">
        <v>64.42</v>
      </c>
      <c r="H115" s="35"/>
      <c r="I115" s="32"/>
      <c r="J115" s="32">
        <f t="shared" si="2"/>
        <v>64.42</v>
      </c>
      <c r="L115" s="79"/>
      <c r="M115" s="78"/>
    </row>
    <row r="116" spans="1:14" s="9" customFormat="1" ht="36" x14ac:dyDescent="0.25">
      <c r="A116" s="51"/>
      <c r="B116" s="30"/>
      <c r="C116" s="39" t="s">
        <v>236</v>
      </c>
      <c r="D116" s="50" t="s">
        <v>257</v>
      </c>
      <c r="E116" s="37" t="s">
        <v>125</v>
      </c>
      <c r="F116" s="36">
        <v>1</v>
      </c>
      <c r="G116" s="49">
        <v>295.55</v>
      </c>
      <c r="H116" s="35"/>
      <c r="I116" s="32"/>
      <c r="J116" s="32">
        <f t="shared" si="2"/>
        <v>295.55</v>
      </c>
      <c r="L116" s="79"/>
      <c r="M116" s="78"/>
    </row>
    <row r="117" spans="1:14" s="9" customFormat="1" ht="24" x14ac:dyDescent="0.25">
      <c r="A117" s="51"/>
      <c r="B117" s="30"/>
      <c r="C117" s="39" t="s">
        <v>237</v>
      </c>
      <c r="D117" s="50" t="s">
        <v>258</v>
      </c>
      <c r="E117" s="37" t="s">
        <v>125</v>
      </c>
      <c r="F117" s="36">
        <v>1</v>
      </c>
      <c r="G117" s="49">
        <v>295.55</v>
      </c>
      <c r="H117" s="35"/>
      <c r="I117" s="32"/>
      <c r="J117" s="32">
        <f t="shared" si="2"/>
        <v>295.55</v>
      </c>
      <c r="L117" s="79"/>
      <c r="M117" s="78"/>
    </row>
    <row r="118" spans="1:14" s="63" customFormat="1" x14ac:dyDescent="0.25">
      <c r="A118" s="51"/>
      <c r="B118" s="30"/>
      <c r="C118" s="39" t="s">
        <v>238</v>
      </c>
      <c r="D118" s="60" t="s">
        <v>259</v>
      </c>
      <c r="E118" s="37" t="s">
        <v>2</v>
      </c>
      <c r="F118" s="36">
        <v>22</v>
      </c>
      <c r="G118" s="49">
        <v>11.84</v>
      </c>
      <c r="H118" s="35"/>
      <c r="I118" s="32"/>
      <c r="J118" s="32">
        <f>F118*G118+0.05</f>
        <v>260.53000000000003</v>
      </c>
      <c r="L118" s="79"/>
      <c r="M118" s="78"/>
    </row>
    <row r="119" spans="1:14" s="63" customFormat="1" x14ac:dyDescent="0.25">
      <c r="A119" s="51"/>
      <c r="B119" s="30"/>
      <c r="C119" s="39" t="s">
        <v>239</v>
      </c>
      <c r="D119" s="60" t="s">
        <v>260</v>
      </c>
      <c r="E119" s="37" t="s">
        <v>2</v>
      </c>
      <c r="F119" s="36">
        <v>32</v>
      </c>
      <c r="G119" s="49">
        <v>10.62</v>
      </c>
      <c r="H119" s="35"/>
      <c r="I119" s="32"/>
      <c r="J119" s="32">
        <f>F119*G119+0.11</f>
        <v>339.95</v>
      </c>
      <c r="L119" s="79"/>
      <c r="M119" s="78"/>
    </row>
    <row r="120" spans="1:14" s="9" customFormat="1" x14ac:dyDescent="0.25">
      <c r="A120" s="51"/>
      <c r="B120" s="30"/>
      <c r="C120" s="39" t="s">
        <v>240</v>
      </c>
      <c r="D120" s="60" t="s">
        <v>261</v>
      </c>
      <c r="E120" s="30" t="s">
        <v>2</v>
      </c>
      <c r="F120" s="36">
        <v>22</v>
      </c>
      <c r="G120" s="49">
        <v>19.04</v>
      </c>
      <c r="H120" s="35"/>
      <c r="I120" s="32"/>
      <c r="J120" s="32">
        <f>F120*G120-0.08</f>
        <v>418.8</v>
      </c>
      <c r="L120" s="79"/>
      <c r="M120" s="78"/>
    </row>
    <row r="121" spans="1:14" s="63" customFormat="1" x14ac:dyDescent="0.25">
      <c r="A121" s="51"/>
      <c r="B121" s="30"/>
      <c r="C121" s="39" t="s">
        <v>241</v>
      </c>
      <c r="D121" s="50" t="s">
        <v>262</v>
      </c>
      <c r="E121" s="37" t="s">
        <v>2</v>
      </c>
      <c r="F121" s="36">
        <v>86</v>
      </c>
      <c r="G121" s="49">
        <v>18.829999999999998</v>
      </c>
      <c r="H121" s="35"/>
      <c r="I121" s="32"/>
      <c r="J121" s="32">
        <f>F121*G121-0.08</f>
        <v>1619.3</v>
      </c>
      <c r="L121" s="79"/>
      <c r="M121" s="78"/>
    </row>
    <row r="122" spans="1:14" s="9" customFormat="1" x14ac:dyDescent="0.25">
      <c r="A122" s="51"/>
      <c r="B122" s="30"/>
      <c r="C122" s="39" t="s">
        <v>242</v>
      </c>
      <c r="D122" s="50" t="s">
        <v>263</v>
      </c>
      <c r="E122" s="37" t="s">
        <v>2</v>
      </c>
      <c r="F122" s="36">
        <v>17</v>
      </c>
      <c r="G122" s="49">
        <v>19.73</v>
      </c>
      <c r="H122" s="35"/>
      <c r="I122" s="32"/>
      <c r="J122" s="32">
        <f>F122*G122+0.02</f>
        <v>335.43</v>
      </c>
      <c r="L122" s="79"/>
      <c r="M122" s="78"/>
    </row>
    <row r="123" spans="1:14" s="9" customFormat="1" x14ac:dyDescent="0.25">
      <c r="A123" s="51"/>
      <c r="B123" s="30"/>
      <c r="C123" s="39" t="s">
        <v>243</v>
      </c>
      <c r="D123" s="50" t="s">
        <v>264</v>
      </c>
      <c r="E123" s="37" t="s">
        <v>2</v>
      </c>
      <c r="F123" s="36">
        <v>34</v>
      </c>
      <c r="G123" s="49">
        <v>33.01</v>
      </c>
      <c r="H123" s="35"/>
      <c r="I123" s="32"/>
      <c r="J123" s="32">
        <f>F123*G123+0.03</f>
        <v>1122.3699999999999</v>
      </c>
      <c r="L123" s="79"/>
      <c r="M123" s="78"/>
    </row>
    <row r="124" spans="1:14" s="9" customFormat="1" ht="24" x14ac:dyDescent="0.25">
      <c r="A124" s="51"/>
      <c r="B124" s="30"/>
      <c r="C124" s="30" t="s">
        <v>244</v>
      </c>
      <c r="D124" s="50" t="s">
        <v>265</v>
      </c>
      <c r="E124" s="37" t="s">
        <v>125</v>
      </c>
      <c r="F124" s="36">
        <v>6</v>
      </c>
      <c r="G124" s="49">
        <v>93.32</v>
      </c>
      <c r="H124" s="35"/>
      <c r="I124" s="32"/>
      <c r="J124" s="32">
        <f>F124*G124-0.02</f>
        <v>559.9</v>
      </c>
      <c r="L124" s="79"/>
      <c r="M124" s="78"/>
    </row>
    <row r="125" spans="1:14" s="9" customFormat="1" ht="24" x14ac:dyDescent="0.25">
      <c r="A125" s="51"/>
      <c r="B125" s="30"/>
      <c r="C125" s="30" t="s">
        <v>245</v>
      </c>
      <c r="D125" s="50" t="s">
        <v>266</v>
      </c>
      <c r="E125" s="37" t="s">
        <v>125</v>
      </c>
      <c r="F125" s="36">
        <v>1</v>
      </c>
      <c r="G125" s="49">
        <v>67.69</v>
      </c>
      <c r="H125" s="35"/>
      <c r="I125" s="32"/>
      <c r="J125" s="32">
        <f t="shared" si="2"/>
        <v>67.69</v>
      </c>
      <c r="L125" s="79"/>
      <c r="M125" s="78"/>
    </row>
    <row r="126" spans="1:14" s="9" customFormat="1" ht="24" x14ac:dyDescent="0.25">
      <c r="A126" s="51"/>
      <c r="B126" s="30"/>
      <c r="C126" s="30" t="s">
        <v>246</v>
      </c>
      <c r="D126" s="50" t="s">
        <v>267</v>
      </c>
      <c r="E126" s="37" t="s">
        <v>125</v>
      </c>
      <c r="F126" s="36">
        <v>15</v>
      </c>
      <c r="G126" s="49">
        <v>225.6</v>
      </c>
      <c r="H126" s="35"/>
      <c r="I126" s="32"/>
      <c r="J126" s="32">
        <f>F126*G126-0.06</f>
        <v>3383.94</v>
      </c>
      <c r="L126" s="79"/>
      <c r="M126" s="78"/>
    </row>
    <row r="127" spans="1:14" s="9" customFormat="1" x14ac:dyDescent="0.25">
      <c r="A127" s="31"/>
      <c r="B127" s="48"/>
      <c r="C127" s="47">
        <v>10</v>
      </c>
      <c r="D127" s="46" t="s">
        <v>11</v>
      </c>
      <c r="E127" s="45"/>
      <c r="F127" s="44"/>
      <c r="G127" s="41"/>
      <c r="H127" s="43"/>
      <c r="I127" s="42">
        <f>SUM(I128:I133)</f>
        <v>2023.44</v>
      </c>
      <c r="J127" s="41">
        <f>SUM(J128:J133)+0.01</f>
        <v>2088.8200000000002</v>
      </c>
      <c r="K127" s="40"/>
      <c r="L127" s="79"/>
      <c r="M127" s="78"/>
      <c r="N127" s="33"/>
    </row>
    <row r="128" spans="1:14" s="9" customFormat="1" x14ac:dyDescent="0.25">
      <c r="A128" s="51"/>
      <c r="B128" s="30">
        <v>68070</v>
      </c>
      <c r="C128" s="39" t="s">
        <v>29</v>
      </c>
      <c r="D128" s="50" t="s">
        <v>268</v>
      </c>
      <c r="E128" s="37" t="s">
        <v>125</v>
      </c>
      <c r="F128" s="36">
        <v>5</v>
      </c>
      <c r="G128" s="49">
        <v>121.34</v>
      </c>
      <c r="H128" s="35">
        <v>43.48</v>
      </c>
      <c r="I128" s="32">
        <f t="shared" ref="I128:I133" si="3">F128*H128</f>
        <v>217.39999999999998</v>
      </c>
      <c r="J128" s="32">
        <f>F128*G128-0.01</f>
        <v>606.69000000000005</v>
      </c>
      <c r="K128" s="40"/>
      <c r="L128" s="79"/>
      <c r="M128" s="78"/>
    </row>
    <row r="129" spans="1:14" s="9" customFormat="1" x14ac:dyDescent="0.25">
      <c r="A129" s="51"/>
      <c r="B129" s="30" t="s">
        <v>10</v>
      </c>
      <c r="C129" s="39" t="s">
        <v>28</v>
      </c>
      <c r="D129" s="50" t="s">
        <v>269</v>
      </c>
      <c r="E129" s="37" t="s">
        <v>125</v>
      </c>
      <c r="F129" s="36">
        <v>12</v>
      </c>
      <c r="G129" s="49">
        <v>8.67</v>
      </c>
      <c r="H129" s="35">
        <v>5.81</v>
      </c>
      <c r="I129" s="32">
        <f t="shared" si="3"/>
        <v>69.72</v>
      </c>
      <c r="J129" s="32">
        <f>F129*G129</f>
        <v>104.03999999999999</v>
      </c>
      <c r="K129" s="40"/>
      <c r="L129" s="79"/>
      <c r="M129" s="78"/>
    </row>
    <row r="130" spans="1:14" s="9" customFormat="1" x14ac:dyDescent="0.25">
      <c r="A130" s="51"/>
      <c r="B130" s="30" t="s">
        <v>9</v>
      </c>
      <c r="C130" s="39" t="s">
        <v>27</v>
      </c>
      <c r="D130" s="50" t="s">
        <v>270</v>
      </c>
      <c r="E130" s="37" t="s">
        <v>125</v>
      </c>
      <c r="F130" s="36">
        <v>24</v>
      </c>
      <c r="G130" s="49">
        <v>35.28</v>
      </c>
      <c r="H130" s="35">
        <v>3.93</v>
      </c>
      <c r="I130" s="32">
        <f t="shared" si="3"/>
        <v>94.320000000000007</v>
      </c>
      <c r="J130" s="32">
        <f>F130*G130</f>
        <v>846.72</v>
      </c>
      <c r="K130" s="40"/>
      <c r="L130" s="79"/>
      <c r="M130" s="78"/>
    </row>
    <row r="131" spans="1:14" s="9" customFormat="1" ht="15.75" customHeight="1" x14ac:dyDescent="0.25">
      <c r="A131" s="51"/>
      <c r="B131" s="30"/>
      <c r="C131" s="39" t="s">
        <v>26</v>
      </c>
      <c r="D131" s="50" t="s">
        <v>271</v>
      </c>
      <c r="E131" s="37" t="s">
        <v>125</v>
      </c>
      <c r="F131" s="36">
        <v>5</v>
      </c>
      <c r="G131" s="49">
        <v>42.25</v>
      </c>
      <c r="H131" s="35">
        <v>1.94</v>
      </c>
      <c r="I131" s="32">
        <f t="shared" si="3"/>
        <v>9.6999999999999993</v>
      </c>
      <c r="J131" s="32">
        <f>F131*G131+0.02</f>
        <v>211.27</v>
      </c>
      <c r="K131" s="40"/>
      <c r="L131" s="79"/>
      <c r="M131" s="78"/>
    </row>
    <row r="132" spans="1:14" s="9" customFormat="1" x14ac:dyDescent="0.25">
      <c r="A132" s="51"/>
      <c r="B132" s="30"/>
      <c r="C132" s="39" t="s">
        <v>25</v>
      </c>
      <c r="D132" s="50" t="s">
        <v>272</v>
      </c>
      <c r="E132" s="37" t="s">
        <v>125</v>
      </c>
      <c r="F132" s="36">
        <v>18</v>
      </c>
      <c r="G132" s="49">
        <v>14.78</v>
      </c>
      <c r="H132" s="35">
        <v>1.1000000000000001</v>
      </c>
      <c r="I132" s="32">
        <f t="shared" si="3"/>
        <v>19.8</v>
      </c>
      <c r="J132" s="32">
        <f>F132*G132+0.04</f>
        <v>266.08</v>
      </c>
      <c r="L132" s="79"/>
      <c r="M132" s="78"/>
    </row>
    <row r="133" spans="1:14" s="9" customFormat="1" x14ac:dyDescent="0.25">
      <c r="A133" s="51"/>
      <c r="B133" s="30"/>
      <c r="C133" s="39" t="s">
        <v>24</v>
      </c>
      <c r="D133" s="50" t="s">
        <v>273</v>
      </c>
      <c r="E133" s="37" t="s">
        <v>125</v>
      </c>
      <c r="F133" s="36">
        <v>5</v>
      </c>
      <c r="G133" s="49">
        <v>10.8</v>
      </c>
      <c r="H133" s="35">
        <v>322.5</v>
      </c>
      <c r="I133" s="32">
        <f t="shared" si="3"/>
        <v>1612.5</v>
      </c>
      <c r="J133" s="32">
        <f>F133*G133+0.01</f>
        <v>54.01</v>
      </c>
      <c r="L133" s="79"/>
      <c r="M133" s="78"/>
    </row>
    <row r="134" spans="1:14" s="9" customFormat="1" x14ac:dyDescent="0.25">
      <c r="A134" s="31"/>
      <c r="B134" s="48"/>
      <c r="C134" s="47">
        <v>11</v>
      </c>
      <c r="D134" s="46" t="s">
        <v>274</v>
      </c>
      <c r="E134" s="45"/>
      <c r="F134" s="44"/>
      <c r="G134" s="41"/>
      <c r="H134" s="43"/>
      <c r="I134" s="42">
        <f>SUM(I135:I146)</f>
        <v>62312.892599999992</v>
      </c>
      <c r="J134" s="41">
        <f>SUM(J135:J146)-0.03</f>
        <v>27214.757799999999</v>
      </c>
      <c r="K134" s="40"/>
      <c r="L134" s="79"/>
      <c r="M134" s="78"/>
      <c r="N134" s="33"/>
    </row>
    <row r="135" spans="1:14" s="9" customFormat="1" ht="24" x14ac:dyDescent="0.25">
      <c r="A135" s="51"/>
      <c r="B135" s="30" t="s">
        <v>7</v>
      </c>
      <c r="C135" s="39" t="s">
        <v>22</v>
      </c>
      <c r="D135" s="50" t="s">
        <v>277</v>
      </c>
      <c r="E135" s="37" t="s">
        <v>1</v>
      </c>
      <c r="F135" s="36">
        <v>147</v>
      </c>
      <c r="G135" s="49">
        <v>94.12</v>
      </c>
      <c r="H135" s="35">
        <v>181</v>
      </c>
      <c r="I135" s="32">
        <v>1481</v>
      </c>
      <c r="J135" s="32">
        <f>F135*G135-0.55</f>
        <v>13835.090000000002</v>
      </c>
      <c r="L135" s="79"/>
      <c r="M135" s="78"/>
    </row>
    <row r="136" spans="1:14" s="9" customFormat="1" ht="24" x14ac:dyDescent="0.25">
      <c r="A136" s="51"/>
      <c r="B136" s="30" t="s">
        <v>4</v>
      </c>
      <c r="C136" s="39" t="s">
        <v>21</v>
      </c>
      <c r="D136" s="50" t="s">
        <v>278</v>
      </c>
      <c r="E136" s="37" t="s">
        <v>125</v>
      </c>
      <c r="F136" s="36">
        <v>4</v>
      </c>
      <c r="G136" s="49">
        <v>387.59</v>
      </c>
      <c r="H136" s="35">
        <v>494.48</v>
      </c>
      <c r="I136" s="32">
        <f t="shared" ref="I136:I141" si="4">F136*H136</f>
        <v>1977.92</v>
      </c>
      <c r="J136" s="32">
        <f>F136*G136-0.01</f>
        <v>1550.35</v>
      </c>
      <c r="L136" s="79"/>
      <c r="M136" s="78"/>
    </row>
    <row r="137" spans="1:14" s="9" customFormat="1" ht="24" x14ac:dyDescent="0.25">
      <c r="A137" s="51"/>
      <c r="B137" s="30" t="s">
        <v>4</v>
      </c>
      <c r="C137" s="39" t="s">
        <v>20</v>
      </c>
      <c r="D137" s="50" t="s">
        <v>279</v>
      </c>
      <c r="E137" s="37" t="s">
        <v>2</v>
      </c>
      <c r="F137" s="36">
        <v>4.8</v>
      </c>
      <c r="G137" s="49">
        <v>857.68</v>
      </c>
      <c r="H137" s="35">
        <v>494.48</v>
      </c>
      <c r="I137" s="32">
        <f t="shared" si="4"/>
        <v>2373.5039999999999</v>
      </c>
      <c r="J137" s="32">
        <f>F137*G137+0.02</f>
        <v>4116.884</v>
      </c>
      <c r="L137" s="79"/>
      <c r="M137" s="78"/>
    </row>
    <row r="138" spans="1:14" s="9" customFormat="1" x14ac:dyDescent="0.25">
      <c r="A138" s="51"/>
      <c r="B138" s="30" t="s">
        <v>6</v>
      </c>
      <c r="C138" s="39" t="s">
        <v>19</v>
      </c>
      <c r="D138" s="50" t="s">
        <v>280</v>
      </c>
      <c r="E138" s="37" t="s">
        <v>2</v>
      </c>
      <c r="F138" s="36">
        <v>4.8</v>
      </c>
      <c r="G138" s="49">
        <v>182.44</v>
      </c>
      <c r="H138" s="35">
        <v>156.13999999999999</v>
      </c>
      <c r="I138" s="32">
        <f t="shared" si="4"/>
        <v>749.47199999999987</v>
      </c>
      <c r="J138" s="32">
        <f>F138*G138+0.02</f>
        <v>875.73199999999997</v>
      </c>
      <c r="L138" s="79"/>
      <c r="M138" s="78"/>
    </row>
    <row r="139" spans="1:14" s="9" customFormat="1" ht="24" x14ac:dyDescent="0.25">
      <c r="A139" s="51"/>
      <c r="B139" s="30" t="s">
        <v>5</v>
      </c>
      <c r="C139" s="39" t="s">
        <v>18</v>
      </c>
      <c r="D139" s="50" t="s">
        <v>281</v>
      </c>
      <c r="E139" s="37" t="s">
        <v>125</v>
      </c>
      <c r="F139" s="36">
        <v>2</v>
      </c>
      <c r="G139" s="49">
        <v>199.19</v>
      </c>
      <c r="H139" s="35">
        <v>219.3</v>
      </c>
      <c r="I139" s="32">
        <f t="shared" si="4"/>
        <v>438.6</v>
      </c>
      <c r="J139" s="32">
        <f>F139*G139+0.01</f>
        <v>398.39</v>
      </c>
      <c r="L139" s="79"/>
      <c r="M139" s="78"/>
    </row>
    <row r="140" spans="1:14" s="9" customFormat="1" ht="24" x14ac:dyDescent="0.25">
      <c r="A140" s="51"/>
      <c r="B140" s="30" t="s">
        <v>4</v>
      </c>
      <c r="C140" s="39" t="s">
        <v>17</v>
      </c>
      <c r="D140" s="50" t="s">
        <v>282</v>
      </c>
      <c r="E140" s="37" t="s">
        <v>125</v>
      </c>
      <c r="F140" s="36">
        <v>8</v>
      </c>
      <c r="G140" s="49">
        <v>199.19</v>
      </c>
      <c r="H140" s="35">
        <v>494.48</v>
      </c>
      <c r="I140" s="32">
        <f t="shared" si="4"/>
        <v>3955.84</v>
      </c>
      <c r="J140" s="32">
        <f>F140*G140+0.02</f>
        <v>1593.54</v>
      </c>
      <c r="L140" s="79"/>
      <c r="M140" s="78"/>
    </row>
    <row r="141" spans="1:14" s="9" customFormat="1" x14ac:dyDescent="0.25">
      <c r="A141" s="51"/>
      <c r="B141" s="30" t="s">
        <v>3</v>
      </c>
      <c r="C141" s="39" t="s">
        <v>16</v>
      </c>
      <c r="D141" s="50" t="s">
        <v>283</v>
      </c>
      <c r="E141" s="37" t="s">
        <v>1</v>
      </c>
      <c r="F141" s="36">
        <v>4.5</v>
      </c>
      <c r="G141" s="49">
        <v>234.23</v>
      </c>
      <c r="H141" s="35">
        <v>43.19</v>
      </c>
      <c r="I141" s="32">
        <f t="shared" si="4"/>
        <v>194.35499999999999</v>
      </c>
      <c r="J141" s="32">
        <f>F141*G141-0.02</f>
        <v>1054.0149999999999</v>
      </c>
      <c r="L141" s="79"/>
      <c r="M141" s="78"/>
    </row>
    <row r="142" spans="1:14" s="9" customFormat="1" x14ac:dyDescent="0.25">
      <c r="A142" s="51"/>
      <c r="B142" s="30"/>
      <c r="C142" s="39" t="s">
        <v>15</v>
      </c>
      <c r="D142" s="50" t="s">
        <v>284</v>
      </c>
      <c r="E142" s="37" t="s">
        <v>8</v>
      </c>
      <c r="F142" s="36">
        <v>1</v>
      </c>
      <c r="G142" s="49">
        <v>976.61</v>
      </c>
      <c r="H142" s="35"/>
      <c r="I142" s="32"/>
      <c r="J142" s="52">
        <f>F142*G142</f>
        <v>976.61</v>
      </c>
      <c r="L142" s="79"/>
      <c r="M142" s="78"/>
    </row>
    <row r="143" spans="1:14" s="9" customFormat="1" x14ac:dyDescent="0.25">
      <c r="A143" s="51"/>
      <c r="B143" s="30"/>
      <c r="C143" s="39" t="s">
        <v>14</v>
      </c>
      <c r="D143" s="50" t="s">
        <v>285</v>
      </c>
      <c r="E143" s="37" t="s">
        <v>8</v>
      </c>
      <c r="F143" s="36">
        <v>1</v>
      </c>
      <c r="G143" s="49">
        <v>183.89</v>
      </c>
      <c r="H143" s="35"/>
      <c r="I143" s="32"/>
      <c r="J143" s="52">
        <f>F143*G143</f>
        <v>183.89</v>
      </c>
      <c r="L143" s="79"/>
      <c r="M143" s="78"/>
    </row>
    <row r="144" spans="1:14" s="9" customFormat="1" x14ac:dyDescent="0.25">
      <c r="A144" s="51"/>
      <c r="B144" s="30"/>
      <c r="C144" s="39" t="s">
        <v>13</v>
      </c>
      <c r="D144" s="50" t="s">
        <v>286</v>
      </c>
      <c r="E144" s="37" t="s">
        <v>8</v>
      </c>
      <c r="F144" s="36">
        <v>1</v>
      </c>
      <c r="G144" s="49">
        <v>183.89</v>
      </c>
      <c r="H144" s="35"/>
      <c r="I144" s="32"/>
      <c r="J144" s="52">
        <f>F144*G144</f>
        <v>183.89</v>
      </c>
      <c r="L144" s="79"/>
      <c r="M144" s="78"/>
    </row>
    <row r="145" spans="1:15" s="9" customFormat="1" x14ac:dyDescent="0.25">
      <c r="A145" s="51"/>
      <c r="B145" s="30"/>
      <c r="C145" s="39" t="s">
        <v>275</v>
      </c>
      <c r="D145" s="50" t="s">
        <v>287</v>
      </c>
      <c r="E145" s="37" t="s">
        <v>2</v>
      </c>
      <c r="F145" s="36">
        <v>2.9</v>
      </c>
      <c r="G145" s="49">
        <v>299.18</v>
      </c>
      <c r="H145" s="35"/>
      <c r="I145" s="32"/>
      <c r="J145" s="52">
        <f>F145*G145</f>
        <v>867.62199999999996</v>
      </c>
      <c r="L145" s="79"/>
      <c r="M145" s="78"/>
    </row>
    <row r="146" spans="1:15" s="9" customFormat="1" x14ac:dyDescent="0.25">
      <c r="A146" s="51"/>
      <c r="B146" s="30">
        <v>73665</v>
      </c>
      <c r="C146" s="39" t="s">
        <v>276</v>
      </c>
      <c r="D146" s="50" t="s">
        <v>288</v>
      </c>
      <c r="E146" s="37" t="s">
        <v>1</v>
      </c>
      <c r="F146" s="36">
        <v>861.56</v>
      </c>
      <c r="G146" s="49">
        <v>1.83</v>
      </c>
      <c r="H146" s="35">
        <v>59.36</v>
      </c>
      <c r="I146" s="32">
        <f>F146*H146</f>
        <v>51142.201599999993</v>
      </c>
      <c r="J146" s="32">
        <f>F146*G146+2.12</f>
        <v>1578.7747999999999</v>
      </c>
      <c r="L146" s="79"/>
      <c r="M146" s="78"/>
    </row>
    <row r="147" spans="1:15" s="9" customFormat="1" x14ac:dyDescent="0.25">
      <c r="A147" s="31"/>
      <c r="B147" s="30"/>
      <c r="C147" s="118"/>
      <c r="D147" s="118"/>
      <c r="E147" s="118"/>
      <c r="F147" s="118"/>
      <c r="G147" s="118"/>
      <c r="H147" s="118"/>
      <c r="I147" s="118"/>
      <c r="J147" s="32"/>
      <c r="L147" s="10"/>
    </row>
    <row r="148" spans="1:15" s="9" customFormat="1" x14ac:dyDescent="0.25">
      <c r="A148" s="31"/>
      <c r="B148" s="30"/>
      <c r="C148" s="102" t="s">
        <v>0</v>
      </c>
      <c r="D148" s="103"/>
      <c r="E148" s="103"/>
      <c r="F148" s="103"/>
      <c r="G148" s="104"/>
      <c r="H148" s="29"/>
      <c r="I148" s="28" t="e">
        <f>I13+I15+I18+I24+#REF!+#REF!+#REF!+#REF!+#REF!+#REF!+#REF!+I32+I74+I96+#REF!+I102+#REF!+#REF!+#REF!+#REF!+#REF!+I127+I134+#REF!</f>
        <v>#REF!</v>
      </c>
      <c r="J148" s="28">
        <f>J13+J15+J18+J21+J24+J32+J74+J96+J102+J127+J134-0.02</f>
        <v>214469.56480000002</v>
      </c>
      <c r="L148" s="10"/>
      <c r="M148" s="27"/>
      <c r="N148" s="26">
        <f>J148*0.2</f>
        <v>42893.912960000009</v>
      </c>
      <c r="O148" s="26"/>
    </row>
    <row r="149" spans="1:15" s="9" customFormat="1" x14ac:dyDescent="0.25">
      <c r="A149" s="17"/>
      <c r="B149" s="15"/>
      <c r="C149" s="15"/>
      <c r="D149" s="16"/>
      <c r="E149" s="15"/>
      <c r="F149" s="14"/>
      <c r="G149" s="13"/>
      <c r="H149" s="12"/>
      <c r="I149" s="17"/>
      <c r="J149" s="17"/>
      <c r="L149" s="10"/>
    </row>
    <row r="150" spans="1:15" s="9" customFormat="1" x14ac:dyDescent="0.25">
      <c r="A150" s="17"/>
      <c r="B150" s="15"/>
      <c r="C150" s="15"/>
      <c r="D150" s="16"/>
      <c r="E150" s="15"/>
      <c r="F150" s="14"/>
      <c r="G150" s="13"/>
      <c r="H150" s="12"/>
      <c r="I150" s="17">
        <v>1250909.3899999999</v>
      </c>
      <c r="J150" s="17"/>
      <c r="L150" s="10"/>
    </row>
    <row r="151" spans="1:15" s="9" customFormat="1" x14ac:dyDescent="0.25">
      <c r="A151" s="17"/>
      <c r="B151" s="15"/>
      <c r="C151" s="15"/>
      <c r="D151" s="16"/>
      <c r="E151" s="15"/>
      <c r="F151" s="14"/>
      <c r="G151" s="13"/>
      <c r="H151" s="12"/>
      <c r="I151" s="13"/>
      <c r="J151" s="13"/>
      <c r="L151" s="10"/>
    </row>
    <row r="152" spans="1:15" s="9" customFormat="1" x14ac:dyDescent="0.25">
      <c r="A152" s="17"/>
      <c r="B152" s="15"/>
      <c r="C152" s="15"/>
      <c r="D152" s="20"/>
      <c r="E152" s="15"/>
      <c r="F152" s="14"/>
      <c r="G152" s="13"/>
      <c r="H152" s="12"/>
      <c r="I152" s="25" t="e">
        <f>I150-I148</f>
        <v>#REF!</v>
      </c>
      <c r="J152" s="24"/>
      <c r="K152" s="23"/>
      <c r="L152" s="22"/>
      <c r="M152" s="21"/>
    </row>
    <row r="153" spans="1:15" s="9" customFormat="1" x14ac:dyDescent="0.25">
      <c r="A153" s="17"/>
      <c r="B153" s="15"/>
      <c r="C153" s="15"/>
      <c r="D153" s="20"/>
      <c r="E153" s="15"/>
      <c r="F153" s="14"/>
      <c r="G153" s="13"/>
      <c r="H153" s="12"/>
      <c r="I153" s="19"/>
      <c r="J153" s="13"/>
      <c r="L153" s="10"/>
    </row>
    <row r="154" spans="1:15" s="9" customFormat="1" x14ac:dyDescent="0.25">
      <c r="A154" s="17"/>
      <c r="B154" s="15"/>
      <c r="C154" s="15"/>
      <c r="D154" s="16"/>
      <c r="E154" s="15"/>
      <c r="F154" s="14"/>
      <c r="G154" s="13"/>
      <c r="H154" s="12"/>
      <c r="I154" s="17"/>
      <c r="J154" s="18"/>
      <c r="L154" s="10"/>
    </row>
    <row r="155" spans="1:15" s="9" customFormat="1" x14ac:dyDescent="0.25">
      <c r="A155" s="17"/>
      <c r="B155" s="15"/>
      <c r="C155" s="15"/>
      <c r="D155" s="16"/>
      <c r="E155" s="15"/>
      <c r="F155" s="14"/>
      <c r="G155" s="13"/>
      <c r="H155" s="12"/>
      <c r="I155" s="11" t="e">
        <f>I13+I15+I18+I24+#REF!+#REF!+#REF!+#REF!+#REF!+#REF!+#REF!+I32+I74+I96+#REF!+I102+#REF!+#REF!+#REF!+#REF!+#REF!+I127+I134+#REF!</f>
        <v>#REF!</v>
      </c>
      <c r="J155" s="11"/>
      <c r="L155" s="10"/>
    </row>
  </sheetData>
  <mergeCells count="18">
    <mergeCell ref="J11:J12"/>
    <mergeCell ref="L11:L12"/>
    <mergeCell ref="A1:K4"/>
    <mergeCell ref="C5:J6"/>
    <mergeCell ref="A7:D7"/>
    <mergeCell ref="A8:F8"/>
    <mergeCell ref="A9:I9"/>
    <mergeCell ref="A11:A12"/>
    <mergeCell ref="B11:B12"/>
    <mergeCell ref="C11:C12"/>
    <mergeCell ref="D11:D12"/>
    <mergeCell ref="E11:E12"/>
    <mergeCell ref="C147:I147"/>
    <mergeCell ref="C148:G148"/>
    <mergeCell ref="F11:F12"/>
    <mergeCell ref="G11:G12"/>
    <mergeCell ref="H11:H12"/>
    <mergeCell ref="I11:I12"/>
  </mergeCells>
  <printOptions horizontalCentered="1"/>
  <pageMargins left="0.59055118110236227" right="0.39370078740157483" top="0.39370078740157483" bottom="0.59055118110236227" header="0.31496062992125984" footer="0.31496062992125984"/>
  <pageSetup paperSize="9" scale="73" fitToHeight="0" orientation="portrait" horizontalDpi="4294967295" verticalDpi="4294967295" r:id="rId1"/>
  <rowBreaks count="2" manualBreakCount="2">
    <brk id="53" max="11" man="1"/>
    <brk id="1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Orçamento</vt:lpstr>
      <vt:lpstr>medição</vt:lpstr>
      <vt:lpstr>medição!Area_de_impressao</vt:lpstr>
      <vt:lpstr>Orçamento!Area_de_impressao</vt:lpstr>
      <vt:lpstr>medição!Titulos_de_impressao</vt:lpstr>
      <vt:lpstr>Orçamento!Titulos_de_impressao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Osorio</dc:creator>
  <cp:lastModifiedBy>Osorio</cp:lastModifiedBy>
  <dcterms:created xsi:type="dcterms:W3CDTF">2015-10-26T12:35:50Z</dcterms:created>
  <dcterms:modified xsi:type="dcterms:W3CDTF">2016-01-06T17:45:33Z</dcterms:modified>
</cp:coreProperties>
</file>