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e Milestones Dates - Compare" sheetId="1" r:id="rId3"/>
    <sheet state="visible" name="Initial Pace Calculator - by Pa" sheetId="2" r:id="rId4"/>
    <sheet state="visible" name="Initial Pace Calculator - by Gr" sheetId="3" r:id="rId5"/>
    <sheet state="visible" name="Midpoint Cadence and Milestones" sheetId="4" r:id="rId6"/>
    <sheet state="visible" name="DS Curriculum Topics &amp; Projects" sheetId="5" r:id="rId7"/>
  </sheets>
  <definedNames>
    <definedName name="NamedRange1">'DS Curriculum Topics &amp; Projects'!$A:$D</definedName>
    <definedName name="TopicNames">'DS Curriculum Topics &amp; Projects'!$B:$B</definedName>
    <definedName name="Curriculum">'DS Curriculum Topics &amp; Projects'!$A:$D</definedName>
    <definedName hidden="1" localSheetId="0" name="_xlnm._FilterDatabase">'Pace Milestones Dates - Compare'!$A$4:$H$32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">
      <text>
        <t xml:space="preserve">You have 60 weeks to complete the Flex program, so this date is 60 weeks after your start date!
</t>
      </text>
    </comment>
  </commentList>
</comments>
</file>

<file path=xl/sharedStrings.xml><?xml version="1.0" encoding="utf-8"?>
<sst xmlns="http://schemas.openxmlformats.org/spreadsheetml/2006/main" count="544" uniqueCount="160">
  <si>
    <t>Select Start Date</t>
  </si>
  <si>
    <t>#</t>
  </si>
  <si>
    <t>Milestone</t>
  </si>
  <si>
    <t>Milestone Dates (20wk)</t>
  </si>
  <si>
    <t>Milestone Dates (40wk)</t>
  </si>
  <si>
    <t>Milestone Dates (60wk)</t>
  </si>
  <si>
    <t>Cumulative Duration (20wk)</t>
  </si>
  <si>
    <t>Cumulative Duration (40wk)</t>
  </si>
  <si>
    <t>Cumulative Duration (60wk)</t>
  </si>
  <si>
    <t>Topic 3: Data Serialization Formats - Cumulative Lab</t>
  </si>
  <si>
    <t>Topic 4: EDA with Pandas - Cumulative Lab</t>
  </si>
  <si>
    <t>Topic 5: Pandas Data Cleaning - Cumulative Lab</t>
  </si>
  <si>
    <t>Topic 7: SQL - Cumulative Lab</t>
  </si>
  <si>
    <t>Topic 9: APIs - Cumulative Lab</t>
  </si>
  <si>
    <t>Phase 1 Project</t>
  </si>
  <si>
    <t>Phase 1 Blog Post</t>
  </si>
  <si>
    <t>Topic 15: Hypothesis Testing - Cumulative Lab</t>
  </si>
  <si>
    <t>Topic 16: Website A/B Testing - Cumulative Lab</t>
  </si>
  <si>
    <t>Topic 19: Preprocessing with scikit-learn - Cumulative Lab</t>
  </si>
  <si>
    <t>Topic 20: Linear Regression - Cumulative Lab</t>
  </si>
  <si>
    <t>Phase 2 Project</t>
  </si>
  <si>
    <t>Phase 2 Blog Post</t>
  </si>
  <si>
    <t>Topic 24: Machine Learning Fundamentals - Cumulative Lab</t>
  </si>
  <si>
    <t>Topic 26: Logistic Regression - Cumulative Lab</t>
  </si>
  <si>
    <t>Topic 29: Nonparametric ML Models - Cumulative Lab</t>
  </si>
  <si>
    <t>Phase 3 Project</t>
  </si>
  <si>
    <t>Phase 3 Blog Post</t>
  </si>
  <si>
    <t>Topic 33: Dimensionality Reduction - Cumulative Lab</t>
  </si>
  <si>
    <t>Topic 34: Market Segmentation with Clustering - Lab</t>
  </si>
  <si>
    <t>Topic 38: ARMA Models in Statsmodels - Lab</t>
  </si>
  <si>
    <t>Topic 39: Text Classification - Cumulative Lab</t>
  </si>
  <si>
    <t>Phase 4 Project</t>
  </si>
  <si>
    <t>Phase 4 Blog Post</t>
  </si>
  <si>
    <t>Capstone Topic Decision and Data Gathering Deadline</t>
  </si>
  <si>
    <t>Capstone MVP Deadline</t>
  </si>
  <si>
    <t>Capstone Project Review</t>
  </si>
  <si>
    <t>Final Capstone Deadline</t>
  </si>
  <si>
    <t>Check Your Base Milestones Page for Exact Milestone Dates</t>
  </si>
  <si>
    <t>Reference Calendar citation link</t>
  </si>
  <si>
    <t xml:space="preserve">Projected Graduation: </t>
  </si>
  <si>
    <t>Cadence:</t>
  </si>
  <si>
    <t>Number of days in the program:</t>
  </si>
  <si>
    <t>Number of days per curriculum topic:</t>
  </si>
  <si>
    <t>Weeks</t>
  </si>
  <si>
    <t>Number of days per phase:</t>
  </si>
  <si>
    <t>Number of days per phase project:</t>
  </si>
  <si>
    <t>Start Date</t>
  </si>
  <si>
    <t xml:space="preserve">Complete Phase 1 Review </t>
  </si>
  <si>
    <t xml:space="preserve">Complete Phase 2 Review </t>
  </si>
  <si>
    <t xml:space="preserve">Complete Phase 3 Review </t>
  </si>
  <si>
    <t xml:space="preserve">Complete Phase 4 Review </t>
  </si>
  <si>
    <t>Complete Capstone Review</t>
  </si>
  <si>
    <t>Program Start</t>
  </si>
  <si>
    <t>P1 Project Start</t>
  </si>
  <si>
    <t>P2 Project Start</t>
  </si>
  <si>
    <t>P3 Project Start</t>
  </si>
  <si>
    <t>P4 Project Start</t>
  </si>
  <si>
    <t>Sun</t>
  </si>
  <si>
    <t>Mon</t>
  </si>
  <si>
    <t>Tue</t>
  </si>
  <si>
    <t>Wed</t>
  </si>
  <si>
    <t>Thu</t>
  </si>
  <si>
    <t>Fri</t>
  </si>
  <si>
    <t>Sat</t>
  </si>
  <si>
    <t>Month #</t>
  </si>
  <si>
    <t>Day #</t>
  </si>
  <si>
    <t>Year #</t>
  </si>
  <si>
    <t>Last day of month</t>
  </si>
  <si>
    <t>Months between start &amp; end</t>
  </si>
  <si>
    <t>Month Name</t>
  </si>
  <si>
    <t>First day of month</t>
  </si>
  <si>
    <t>3-Letter Day</t>
  </si>
  <si>
    <t>Year</t>
  </si>
  <si>
    <t>Today's Date</t>
  </si>
  <si>
    <t>Projected Graduation</t>
  </si>
  <si>
    <t>Last Coursework Completed</t>
  </si>
  <si>
    <t>Days left in P1</t>
  </si>
  <si>
    <t>Days left in P2</t>
  </si>
  <si>
    <t>Days left in P3</t>
  </si>
  <si>
    <t>Days left in P4</t>
  </si>
  <si>
    <t>Days left in Capstone</t>
  </si>
  <si>
    <t>Remaining Coursework</t>
  </si>
  <si>
    <t>Topic 17: Bayesian Statistics</t>
  </si>
  <si>
    <t>Last Possible End Date:</t>
  </si>
  <si>
    <t>Days per curriculum topic:</t>
  </si>
  <si>
    <t>Number of Weeks Remaining:</t>
  </si>
  <si>
    <t>Days per phase project:</t>
  </si>
  <si>
    <t>% Course Remaining</t>
  </si>
  <si>
    <t>% Remaining: Phase 1</t>
  </si>
  <si>
    <t>% Remaining: Phase 2</t>
  </si>
  <si>
    <t>% Remaining: Phase 3</t>
  </si>
  <si>
    <t>% Remaining: Phase 4</t>
  </si>
  <si>
    <t>% Remaining: Capstone</t>
  </si>
  <si>
    <t>P1 #days/topic</t>
  </si>
  <si>
    <t>P2 #days/topic</t>
  </si>
  <si>
    <t>P3 #days/topic</t>
  </si>
  <si>
    <t>P4 #days/topic</t>
  </si>
  <si>
    <t>Avg #days/topic</t>
  </si>
  <si>
    <t>Days Remaining</t>
  </si>
  <si>
    <t>P1 #days/project</t>
  </si>
  <si>
    <t>P2 #days/project</t>
  </si>
  <si>
    <t>P3 #days/project</t>
  </si>
  <si>
    <t>P4 #days/project</t>
  </si>
  <si>
    <t>Avg #days/project</t>
  </si>
  <si>
    <t>Phases</t>
  </si>
  <si>
    <t>Curriculum V2.3 Topics &amp; Projects</t>
  </si>
  <si>
    <t>% of Phase</t>
  </si>
  <si>
    <t>Project?</t>
  </si>
  <si>
    <t>Phase 1</t>
  </si>
  <si>
    <t>Topic 0: Welcome</t>
  </si>
  <si>
    <t>Topic 1: Getting Started with Data Science</t>
  </si>
  <si>
    <t>Topic 2: Bash and Git</t>
  </si>
  <si>
    <t>Topic 3: Data Analysis in Base Python</t>
  </si>
  <si>
    <t>Topic 4: Data Analysis in Pandas</t>
  </si>
  <si>
    <t>Topic 5: Data Cleaning in Pandas</t>
  </si>
  <si>
    <t>Topic 6: Getting Started with SQL</t>
  </si>
  <si>
    <t>Topic 7: SQL Table Relations</t>
  </si>
  <si>
    <t>Topic 8: Other Database Structures</t>
  </si>
  <si>
    <t>Topic 9: APIs</t>
  </si>
  <si>
    <t>Topic 10: HTML, CSS and Web Scraping</t>
  </si>
  <si>
    <t>Phase 2</t>
  </si>
  <si>
    <t>Topic 11: Combinatorics and Probability</t>
  </si>
  <si>
    <t>Topic 12: Statistical Distributions</t>
  </si>
  <si>
    <t>Topic 13: CLT and Confidence Intervals</t>
  </si>
  <si>
    <t>Topic 14: Hypothesis Testing</t>
  </si>
  <si>
    <t>Topic 15: Statistical Power and ANOVA</t>
  </si>
  <si>
    <t>Topic 16: AB Testing</t>
  </si>
  <si>
    <t>Topic 18: Introduction to Linear Regression</t>
  </si>
  <si>
    <t>Topic 19: Multiple Regression and Model Validation</t>
  </si>
  <si>
    <t>Topic 20: Extensions to Linear Models</t>
  </si>
  <si>
    <t>Phase 3</t>
  </si>
  <si>
    <t>Topic 21: Object-Oriented Programming</t>
  </si>
  <si>
    <t>Topic 22: Linear Algebra</t>
  </si>
  <si>
    <t>Topic 23: Calculus, Cost Function and Gradient Descent</t>
  </si>
  <si>
    <t>Topic 24: Feature Selection, Ridge and Lasso</t>
  </si>
  <si>
    <t>Topic 25: Introduction to Logistic Regression</t>
  </si>
  <si>
    <t>Topic 26: MLE and Logistic Regression</t>
  </si>
  <si>
    <t>Topic 27: K Nearest Neighbors</t>
  </si>
  <si>
    <t>Topic 28: Bayes Classification</t>
  </si>
  <si>
    <t>Topic 29: Decision Trees</t>
  </si>
  <si>
    <t>Topic 30: Ensemble Methods</t>
  </si>
  <si>
    <t>Topic 31: Support Vector Machines</t>
  </si>
  <si>
    <t>Topic 32: Building a Machine Learning Pipeline</t>
  </si>
  <si>
    <t>Phase 4</t>
  </si>
  <si>
    <t>Topic 33: Principal Component Analysis</t>
  </si>
  <si>
    <t>Topic 34: Clustering</t>
  </si>
  <si>
    <t>Topic 35: Big Data in PySpark</t>
  </si>
  <si>
    <t>Topic 36: Recommendation Systems</t>
  </si>
  <si>
    <t>Topic 37: Exploring Time Series Data</t>
  </si>
  <si>
    <t>Topic 38: Time Series Models</t>
  </si>
  <si>
    <t>Topic 39: Natural Language Processing</t>
  </si>
  <si>
    <t>Topic 40: Neural Networks</t>
  </si>
  <si>
    <t>Topic 41: Deep Neural Networks</t>
  </si>
  <si>
    <t>Topic 42: Tuning Neural Networks</t>
  </si>
  <si>
    <t>Topic 43: Operationalizing Code and AWS</t>
  </si>
  <si>
    <t>Capstone</t>
  </si>
  <si>
    <t>Capstone Project Idea</t>
  </si>
  <si>
    <t>Capstone Data Collection &amp; Project Proposal</t>
  </si>
  <si>
    <t>Capstone Minimum Viable Project</t>
  </si>
  <si>
    <t>Capstone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</si>
</sst>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"/>
    <numFmt numFmtId="166" formatCode="dddd&quot;, &quot;mmmm&quot; &quot;d"/>
  </numFmts>
  <fonts count="26">
    <font>
      <sz val="10.0"/>
      <color rgb="FF000000"/>
      <name val="Arial"/>
    </font>
    <font/>
    <font>
      <b/>
      <sz val="10.0"/>
      <color rgb="FFFFFFFF"/>
      <name val="Arial"/>
    </font>
    <font>
      <color rgb="FFFFFFFF"/>
      <name val="Arial"/>
    </font>
    <font>
      <b/>
    </font>
    <font>
      <b/>
      <u/>
      <color rgb="FF1155CC"/>
    </font>
    <font>
      <u/>
      <color rgb="FF1155CC"/>
    </font>
    <font>
      <b/>
      <sz val="11.0"/>
      <name val="Arial"/>
    </font>
    <font>
      <sz val="11.0"/>
    </font>
    <font>
      <b/>
      <sz val="11.0"/>
    </font>
    <font>
      <sz val="11.0"/>
      <name val="Arial"/>
    </font>
    <font>
      <b/>
      <sz val="10.0"/>
      <name val="Arial"/>
    </font>
    <font>
      <name val="Arial"/>
    </font>
    <font>
      <b/>
      <sz val="24.0"/>
      <color rgb="FFFFFFFF"/>
      <name val="Arial"/>
    </font>
    <font>
      <b/>
      <sz val="18.0"/>
      <name val="Arial"/>
    </font>
    <font>
      <b/>
      <sz val="14.0"/>
      <name val="Arial"/>
    </font>
    <font>
      <sz val="11.0"/>
      <color rgb="FF000000"/>
      <name val="Inconsolata"/>
    </font>
    <font>
      <sz val="10.0"/>
      <name val="Arial"/>
    </font>
    <font>
      <sz val="12.0"/>
    </font>
    <font>
      <b/>
      <sz val="12.0"/>
    </font>
    <font>
      <b/>
      <sz val="12.0"/>
      <name val="Arial"/>
    </font>
    <font>
      <sz val="10.0"/>
    </font>
    <font>
      <b/>
      <sz val="10.0"/>
    </font>
    <font>
      <sz val="10.0"/>
      <color rgb="FF303F9F"/>
      <name val="Arial"/>
    </font>
    <font>
      <b/>
      <sz val="12.0"/>
      <color rgb="FFFFFFFF"/>
    </font>
    <font>
      <b/>
      <sz val="12.0"/>
      <color rgb="FFFFFFFF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CCCCCC"/>
      </left>
      <bottom style="thin">
        <color rgb="FFCCCCCC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bottom"/>
    </xf>
    <xf borderId="1" fillId="2" fontId="3" numFmtId="164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horizontal="center"/>
    </xf>
    <xf borderId="0" fillId="3" fontId="4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4" xfId="0" applyAlignment="1" applyFont="1" applyNumberFormat="1">
      <alignment horizontal="center" readingOrder="0"/>
    </xf>
    <xf borderId="0" fillId="0" fontId="4" numFmtId="0" xfId="0" applyFont="1"/>
    <xf borderId="0" fillId="5" fontId="1" numFmtId="0" xfId="0" applyAlignment="1" applyFill="1" applyFont="1">
      <alignment horizontal="center" readingOrder="0"/>
    </xf>
    <xf borderId="0" fillId="5" fontId="1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4" xfId="0" applyAlignment="1" applyFont="1" applyNumberForma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1" numFmtId="164" xfId="0" applyAlignment="1" applyFont="1" applyNumberFormat="1">
      <alignment horizontal="center" readingOrder="0"/>
    </xf>
    <xf borderId="0" fillId="6" fontId="4" numFmtId="0" xfId="0" applyAlignment="1" applyFon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7" fontId="1" numFmtId="164" xfId="0" applyAlignment="1" applyFont="1" applyNumberFormat="1">
      <alignment horizontal="center" readingOrder="0"/>
    </xf>
    <xf borderId="0" fillId="7" fontId="4" numFmtId="0" xfId="0" applyAlignment="1" applyFont="1">
      <alignment horizontal="center" readingOrder="0"/>
    </xf>
    <xf borderId="0" fillId="7" fontId="4" numFmtId="164" xfId="0" applyAlignment="1" applyFont="1" applyNumberForma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8" fontId="1" numFmtId="164" xfId="0" applyAlignment="1" applyFont="1" applyNumberFormat="1">
      <alignment horizontal="center" readingOrder="0"/>
    </xf>
    <xf borderId="0" fillId="8" fontId="4" numFmtId="0" xfId="0" applyAlignment="1" applyFont="1">
      <alignment horizontal="center" readingOrder="0"/>
    </xf>
    <xf borderId="0" fillId="8" fontId="4" numFmtId="164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2" fillId="9" fontId="7" numFmtId="0" xfId="0" applyAlignment="1" applyBorder="1" applyFill="1" applyFont="1">
      <alignment readingOrder="0" vertical="bottom"/>
    </xf>
    <xf borderId="3" fillId="0" fontId="1" numFmtId="0" xfId="0" applyBorder="1" applyFont="1"/>
    <xf borderId="4" fillId="0" fontId="1" numFmtId="0" xfId="0" applyBorder="1" applyFont="1"/>
    <xf borderId="0" fillId="0" fontId="8" numFmtId="0" xfId="0" applyFont="1"/>
    <xf borderId="5" fillId="0" fontId="9" numFmtId="0" xfId="0" applyAlignment="1" applyBorder="1" applyFont="1">
      <alignment readingOrder="0"/>
    </xf>
    <xf borderId="6" fillId="0" fontId="1" numFmtId="0" xfId="0" applyBorder="1" applyFont="1"/>
    <xf borderId="5" fillId="0" fontId="7" numFmtId="0" xfId="0" applyAlignment="1" applyBorder="1" applyFont="1">
      <alignment readingOrder="0" vertical="bottom"/>
    </xf>
    <xf borderId="7" fillId="0" fontId="1" numFmtId="0" xfId="0" applyBorder="1" applyFont="1"/>
    <xf borderId="8" fillId="0" fontId="10" numFmtId="0" xfId="0" applyAlignment="1" applyBorder="1" applyFont="1">
      <alignment horizontal="right" vertical="bottom"/>
    </xf>
    <xf borderId="8" fillId="0" fontId="8" numFmtId="4" xfId="0" applyBorder="1" applyFont="1" applyNumberFormat="1"/>
    <xf borderId="9" fillId="9" fontId="10" numFmtId="164" xfId="0" applyAlignment="1" applyBorder="1" applyFont="1" applyNumberFormat="1">
      <alignment horizontal="right" readingOrder="0" vertical="bottom"/>
    </xf>
    <xf borderId="10" fillId="0" fontId="1" numFmtId="0" xfId="0" applyBorder="1" applyFont="1"/>
    <xf borderId="11" fillId="0" fontId="1" numFmtId="0" xfId="0" applyBorder="1" applyFont="1"/>
    <xf borderId="5" fillId="0" fontId="8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5" fillId="0" fontId="7" numFmtId="0" xfId="0" applyAlignment="1" applyBorder="1" applyFont="1">
      <alignment vertical="bottom"/>
    </xf>
    <xf borderId="8" fillId="0" fontId="10" numFmtId="4" xfId="0" applyAlignment="1" applyBorder="1" applyFont="1" applyNumberFormat="1">
      <alignment horizontal="right" vertical="bottom"/>
    </xf>
    <xf borderId="8" fillId="0" fontId="8" numFmtId="0" xfId="0" applyBorder="1" applyFont="1"/>
    <xf borderId="2" fillId="10" fontId="11" numFmtId="0" xfId="0" applyAlignment="1" applyBorder="1" applyFill="1" applyFont="1">
      <alignment vertical="bottom"/>
    </xf>
    <xf borderId="3" fillId="11" fontId="11" numFmtId="0" xfId="0" applyAlignment="1" applyBorder="1" applyFill="1" applyFont="1">
      <alignment vertical="bottom"/>
    </xf>
    <xf borderId="3" fillId="12" fontId="11" numFmtId="0" xfId="0" applyAlignment="1" applyBorder="1" applyFill="1" applyFont="1">
      <alignment vertical="bottom"/>
    </xf>
    <xf borderId="3" fillId="13" fontId="11" numFmtId="0" xfId="0" applyAlignment="1" applyBorder="1" applyFill="1" applyFont="1">
      <alignment vertical="bottom"/>
    </xf>
    <xf borderId="3" fillId="14" fontId="11" numFmtId="0" xfId="0" applyAlignment="1" applyBorder="1" applyFill="1" applyFont="1">
      <alignment vertical="bottom"/>
    </xf>
    <xf borderId="3" fillId="9" fontId="11" numFmtId="0" xfId="0" applyAlignment="1" applyBorder="1" applyFont="1">
      <alignment vertical="bottom"/>
    </xf>
    <xf borderId="9" fillId="10" fontId="12" numFmtId="164" xfId="0" applyAlignment="1" applyBorder="1" applyFont="1" applyNumberFormat="1">
      <alignment horizontal="right" readingOrder="0" vertical="bottom"/>
    </xf>
    <xf borderId="10" fillId="11" fontId="12" numFmtId="164" xfId="0" applyAlignment="1" applyBorder="1" applyFont="1" applyNumberFormat="1">
      <alignment horizontal="right" vertical="bottom"/>
    </xf>
    <xf borderId="10" fillId="12" fontId="12" numFmtId="164" xfId="0" applyAlignment="1" applyBorder="1" applyFont="1" applyNumberFormat="1">
      <alignment horizontal="right" vertical="bottom"/>
    </xf>
    <xf borderId="10" fillId="13" fontId="12" numFmtId="164" xfId="0" applyAlignment="1" applyBorder="1" applyFont="1" applyNumberFormat="1">
      <alignment horizontal="right" vertical="bottom"/>
    </xf>
    <xf borderId="10" fillId="14" fontId="12" numFmtId="164" xfId="0" applyAlignment="1" applyBorder="1" applyFont="1" applyNumberFormat="1">
      <alignment horizontal="right" vertical="bottom"/>
    </xf>
    <xf borderId="10" fillId="9" fontId="12" numFmtId="164" xfId="0" applyAlignment="1" applyBorder="1" applyFont="1" applyNumberFormat="1">
      <alignment horizontal="right" vertical="bottom"/>
    </xf>
    <xf borderId="0" fillId="0" fontId="12" numFmtId="0" xfId="0" applyAlignment="1" applyFont="1">
      <alignment horizontal="center" vertical="bottom"/>
    </xf>
    <xf borderId="0" fillId="15" fontId="13" numFmtId="0" xfId="0" applyAlignment="1" applyFill="1" applyFont="1">
      <alignment horizontal="center" shrinkToFit="0" wrapText="1"/>
    </xf>
    <xf borderId="0" fillId="0" fontId="14" numFmtId="164" xfId="0" applyAlignment="1" applyFont="1" applyNumberFormat="1">
      <alignment horizontal="center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16" fontId="15" numFmtId="0" xfId="0" applyAlignment="1" applyFill="1" applyFont="1">
      <alignment horizontal="center" shrinkToFit="0" wrapText="1"/>
    </xf>
    <xf borderId="12" fillId="16" fontId="15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right" vertical="bottom"/>
    </xf>
    <xf borderId="0" fillId="0" fontId="12" numFmtId="164" xfId="0" applyAlignment="1" applyFont="1" applyNumberFormat="1">
      <alignment horizontal="right" vertical="bottom"/>
    </xf>
    <xf borderId="0" fillId="0" fontId="12" numFmtId="165" xfId="0" applyAlignment="1" applyFont="1" applyNumberFormat="1">
      <alignment horizontal="center"/>
    </xf>
    <xf borderId="0" fillId="3" fontId="16" numFmtId="165" xfId="0" applyAlignment="1" applyFont="1" applyNumberFormat="1">
      <alignment horizontal="center"/>
    </xf>
    <xf borderId="0" fillId="0" fontId="12" numFmtId="14" xfId="0" applyAlignment="1" applyFont="1" applyNumberFormat="1">
      <alignment horizontal="right" vertical="bottom"/>
    </xf>
    <xf borderId="0" fillId="3" fontId="16" numFmtId="0" xfId="0" applyFont="1"/>
    <xf borderId="0" fillId="0" fontId="12" numFmtId="164" xfId="0" applyAlignment="1" applyFont="1" applyNumberFormat="1">
      <alignment horizontal="center" vertical="bottom"/>
    </xf>
    <xf borderId="0" fillId="0" fontId="12" numFmtId="0" xfId="0" applyAlignment="1" applyFont="1">
      <alignment shrinkToFit="0" vertical="bottom" wrapText="0"/>
    </xf>
    <xf borderId="0" fillId="0" fontId="12" numFmtId="164" xfId="0" applyAlignment="1" applyFont="1" applyNumberFormat="1">
      <alignment vertical="bottom"/>
    </xf>
    <xf borderId="0" fillId="0" fontId="12" numFmtId="0" xfId="0" applyAlignment="1" applyFont="1">
      <alignment horizontal="center" vertical="bottom"/>
    </xf>
    <xf borderId="0" fillId="0" fontId="12" numFmtId="166" xfId="0" applyAlignment="1" applyFont="1" applyNumberFormat="1">
      <alignment horizontal="right" vertical="bottom"/>
    </xf>
    <xf borderId="0" fillId="0" fontId="12" numFmtId="0" xfId="0" applyAlignment="1" applyFont="1">
      <alignment horizontal="right" readingOrder="0" vertical="bottom"/>
    </xf>
    <xf borderId="0" fillId="16" fontId="15" numFmtId="0" xfId="0" applyAlignment="1" applyFont="1">
      <alignment horizontal="center" shrinkToFit="0" wrapText="1"/>
    </xf>
    <xf borderId="0" fillId="0" fontId="12" numFmtId="166" xfId="0" applyFont="1" applyNumberFormat="1"/>
    <xf borderId="0" fillId="0" fontId="12" numFmtId="14" xfId="0" applyAlignment="1" applyFont="1" applyNumberFormat="1">
      <alignment vertical="bottom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center"/>
    </xf>
    <xf borderId="5" fillId="0" fontId="8" numFmtId="0" xfId="0" applyBorder="1" applyFont="1"/>
    <xf borderId="0" fillId="0" fontId="1" numFmtId="0" xfId="0" applyAlignment="1" applyFont="1">
      <alignment horizontal="center" shrinkToFit="0" wrapText="0"/>
    </xf>
    <xf borderId="0" fillId="0" fontId="17" numFmtId="0" xfId="0" applyAlignment="1" applyFont="1">
      <alignment horizontal="center"/>
    </xf>
    <xf borderId="0" fillId="0" fontId="17" numFmtId="0" xfId="0" applyAlignment="1" applyFont="1">
      <alignment readingOrder="0" vertical="bottom"/>
    </xf>
    <xf borderId="0" fillId="0" fontId="17" numFmtId="0" xfId="0" applyFont="1"/>
    <xf borderId="0" fillId="0" fontId="17" numFmtId="4" xfId="0" applyAlignment="1" applyFont="1" applyNumberFormat="1">
      <alignment horizontal="right" vertical="bottom"/>
    </xf>
    <xf borderId="0" fillId="0" fontId="17" numFmtId="14" xfId="0" applyAlignment="1" applyFont="1" applyNumberFormat="1">
      <alignment horizontal="right" vertical="bottom"/>
    </xf>
    <xf borderId="0" fillId="0" fontId="17" numFmtId="0" xfId="0" applyAlignment="1" applyFont="1">
      <alignment horizontal="right"/>
    </xf>
    <xf borderId="0" fillId="0" fontId="17" numFmtId="4" xfId="0" applyAlignment="1" applyFont="1" applyNumberFormat="1">
      <alignment horizontal="right"/>
    </xf>
    <xf borderId="0" fillId="0" fontId="18" numFmtId="0" xfId="0" applyAlignment="1" applyFont="1">
      <alignment horizontal="center"/>
    </xf>
    <xf borderId="2" fillId="10" fontId="19" numFmtId="0" xfId="0" applyAlignment="1" applyBorder="1" applyFont="1">
      <alignment readingOrder="0"/>
    </xf>
    <xf borderId="0" fillId="0" fontId="20" numFmtId="0" xfId="0" applyAlignment="1" applyFont="1">
      <alignment readingOrder="0" vertical="bottom"/>
    </xf>
    <xf borderId="2" fillId="9" fontId="19" numFmtId="0" xfId="0" applyAlignment="1" applyBorder="1" applyFont="1">
      <alignment readingOrder="0"/>
    </xf>
    <xf borderId="2" fillId="0" fontId="19" numFmtId="0" xfId="0" applyAlignment="1" applyBorder="1" applyFont="1">
      <alignment readingOrder="0" shrinkToFit="0" wrapText="0"/>
    </xf>
    <xf borderId="0" fillId="0" fontId="2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1" numFmtId="0" xfId="0" applyAlignment="1" applyFont="1">
      <alignment readingOrder="0" shrinkToFit="0" wrapText="0"/>
    </xf>
    <xf borderId="9" fillId="10" fontId="18" numFmtId="164" xfId="0" applyAlignment="1" applyBorder="1" applyFont="1" applyNumberFormat="1">
      <alignment readingOrder="0"/>
    </xf>
    <xf borderId="9" fillId="9" fontId="18" numFmtId="164" xfId="0" applyAlignment="1" applyBorder="1" applyFont="1" applyNumberFormat="1">
      <alignment readingOrder="0"/>
    </xf>
    <xf borderId="9" fillId="0" fontId="18" numFmtId="0" xfId="0" applyAlignment="1" applyBorder="1" applyFont="1">
      <alignment readingOrder="0" shrinkToFit="0" wrapText="0"/>
    </xf>
    <xf borderId="0" fillId="3" fontId="0" numFmtId="0" xfId="0" applyAlignment="1" applyFont="1">
      <alignment horizontal="left" shrinkToFit="0" wrapText="1"/>
    </xf>
    <xf borderId="0" fillId="3" fontId="0" numFmtId="0" xfId="0" applyAlignment="1" applyFont="1">
      <alignment horizontal="left" shrinkToFit="0" wrapText="0"/>
    </xf>
    <xf borderId="0" fillId="3" fontId="0" numFmtId="10" xfId="0" applyAlignment="1" applyFont="1" applyNumberFormat="1">
      <alignment horizontal="right" shrinkToFit="0" wrapText="1"/>
    </xf>
    <xf borderId="0" fillId="0" fontId="4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2" fillId="0" fontId="11" numFmtId="0" xfId="0" applyAlignment="1" applyBorder="1" applyFont="1">
      <alignment vertical="bottom"/>
    </xf>
    <xf borderId="2" fillId="0" fontId="11" numFmtId="0" xfId="0" applyAlignment="1" applyBorder="1" applyFont="1">
      <alignment readingOrder="0" vertical="bottom"/>
    </xf>
    <xf borderId="5" fillId="0" fontId="22" numFmtId="0" xfId="0" applyAlignment="1" applyBorder="1" applyFont="1">
      <alignment readingOrder="0"/>
    </xf>
    <xf borderId="8" fillId="0" fontId="11" numFmtId="4" xfId="0" applyAlignment="1" applyBorder="1" applyFont="1" applyNumberFormat="1">
      <alignment readingOrder="0" vertical="bottom"/>
    </xf>
    <xf borderId="2" fillId="0" fontId="4" numFmtId="0" xfId="0" applyAlignment="1" applyBorder="1" applyFont="1">
      <alignment readingOrder="0"/>
    </xf>
    <xf borderId="9" fillId="0" fontId="12" numFmtId="164" xfId="0" applyAlignment="1" applyBorder="1" applyFont="1" applyNumberFormat="1">
      <alignment horizontal="right" readingOrder="0" vertical="bottom"/>
    </xf>
    <xf borderId="5" fillId="0" fontId="11" numFmtId="0" xfId="0" applyAlignment="1" applyBorder="1" applyFont="1">
      <alignment readingOrder="0" vertical="bottom"/>
    </xf>
    <xf borderId="8" fillId="0" fontId="4" numFmtId="4" xfId="0" applyBorder="1" applyFont="1" applyNumberFormat="1"/>
    <xf borderId="9" fillId="0" fontId="22" numFmtId="0" xfId="0" applyAlignment="1" applyBorder="1" applyFont="1">
      <alignment horizontal="right"/>
    </xf>
    <xf borderId="0" fillId="0" fontId="17" numFmtId="164" xfId="0" applyAlignment="1" applyFont="1" applyNumberFormat="1">
      <alignment horizontal="right" vertical="bottom"/>
    </xf>
    <xf borderId="3" fillId="4" fontId="11" numFmtId="0" xfId="0" applyAlignment="1" applyBorder="1" applyFont="1">
      <alignment readingOrder="0" vertical="bottom"/>
    </xf>
    <xf borderId="3" fillId="5" fontId="11" numFmtId="0" xfId="0" applyAlignment="1" applyBorder="1" applyFont="1">
      <alignment readingOrder="0" vertical="bottom"/>
    </xf>
    <xf borderId="3" fillId="6" fontId="11" numFmtId="0" xfId="0" applyAlignment="1" applyBorder="1" applyFont="1">
      <alignment readingOrder="0" vertical="bottom"/>
    </xf>
    <xf borderId="3" fillId="7" fontId="11" numFmtId="0" xfId="0" applyAlignment="1" applyBorder="1" applyFont="1">
      <alignment readingOrder="0" vertical="bottom"/>
    </xf>
    <xf borderId="3" fillId="8" fontId="11" numFmtId="0" xfId="0" applyAlignment="1" applyBorder="1" applyFont="1">
      <alignment readingOrder="0" vertical="bottom"/>
    </xf>
    <xf borderId="9" fillId="0" fontId="1" numFmtId="10" xfId="0" applyBorder="1" applyFont="1" applyNumberFormat="1"/>
    <xf borderId="10" fillId="4" fontId="12" numFmtId="10" xfId="0" applyAlignment="1" applyBorder="1" applyFont="1" applyNumberFormat="1">
      <alignment horizontal="right" vertical="bottom"/>
    </xf>
    <xf borderId="10" fillId="5" fontId="12" numFmtId="10" xfId="0" applyAlignment="1" applyBorder="1" applyFont="1" applyNumberFormat="1">
      <alignment horizontal="right" vertical="bottom"/>
    </xf>
    <xf borderId="10" fillId="6" fontId="12" numFmtId="10" xfId="0" applyAlignment="1" applyBorder="1" applyFont="1" applyNumberFormat="1">
      <alignment horizontal="right" vertical="bottom"/>
    </xf>
    <xf borderId="10" fillId="7" fontId="12" numFmtId="10" xfId="0" applyAlignment="1" applyBorder="1" applyFont="1" applyNumberFormat="1">
      <alignment horizontal="right" vertical="bottom"/>
    </xf>
    <xf borderId="10" fillId="8" fontId="12" numFmtId="10" xfId="0" applyAlignment="1" applyBorder="1" applyFont="1" applyNumberFormat="1">
      <alignment horizontal="right" vertical="bottom"/>
    </xf>
    <xf borderId="0" fillId="0" fontId="1" numFmtId="4" xfId="0" applyFont="1" applyNumberFormat="1"/>
    <xf borderId="0" fillId="0" fontId="1" numFmtId="0" xfId="0" applyAlignment="1" applyFont="1">
      <alignment shrinkToFit="0" wrapText="0"/>
    </xf>
    <xf borderId="0" fillId="0" fontId="17" numFmtId="0" xfId="0" applyAlignment="1" applyFont="1">
      <alignment vertical="bottom"/>
    </xf>
    <xf borderId="0" fillId="0" fontId="11" numFmtId="0" xfId="0" applyAlignment="1" applyFont="1">
      <alignment vertical="bottom"/>
    </xf>
    <xf borderId="9" fillId="3" fontId="0" numFmtId="0" xfId="0" applyBorder="1" applyFont="1"/>
    <xf borderId="10" fillId="17" fontId="12" numFmtId="164" xfId="0" applyAlignment="1" applyBorder="1" applyFill="1" applyFont="1" applyNumberFormat="1">
      <alignment horizontal="right" vertical="bottom"/>
    </xf>
    <xf borderId="0" fillId="3" fontId="17" numFmtId="4" xfId="0" applyAlignment="1" applyFont="1" applyNumberFormat="1">
      <alignment horizontal="right"/>
    </xf>
    <xf borderId="0" fillId="3" fontId="16" numFmtId="4" xfId="0" applyFont="1" applyNumberFormat="1"/>
    <xf borderId="0" fillId="0" fontId="11" numFmtId="164" xfId="0" applyAlignment="1" applyFont="1" applyNumberFormat="1">
      <alignment vertical="bottom"/>
    </xf>
    <xf borderId="0" fillId="0" fontId="11" numFmtId="4" xfId="0" applyAlignment="1" applyFont="1" applyNumberFormat="1">
      <alignment horizontal="right" readingOrder="0" shrinkToFit="0" wrapText="0"/>
    </xf>
    <xf borderId="13" fillId="16" fontId="15" numFmtId="0" xfId="0" applyAlignment="1" applyBorder="1" applyFont="1">
      <alignment horizontal="center" shrinkToFit="0" wrapText="1"/>
    </xf>
    <xf borderId="0" fillId="0" fontId="17" numFmtId="166" xfId="0" applyAlignment="1" applyFont="1" applyNumberFormat="1">
      <alignment horizontal="right" vertical="bottom"/>
    </xf>
    <xf borderId="0" fillId="0" fontId="17" numFmtId="0" xfId="0" applyAlignment="1" applyFont="1">
      <alignment horizontal="right" vertical="bottom"/>
    </xf>
    <xf borderId="0" fillId="0" fontId="0" numFmtId="0" xfId="0" applyAlignment="1" applyFont="1">
      <alignment horizontal="left" shrinkToFit="0" wrapText="1"/>
    </xf>
    <xf borderId="0" fillId="0" fontId="12" numFmtId="165" xfId="0" applyAlignment="1" applyFont="1" applyNumberFormat="1">
      <alignment vertical="bottom"/>
    </xf>
    <xf borderId="0" fillId="0" fontId="23" numFmtId="0" xfId="0" applyAlignment="1" applyFont="1">
      <alignment horizontal="right" readingOrder="0" shrinkToFit="0" wrapText="1"/>
    </xf>
    <xf borderId="0" fillId="15" fontId="24" numFmtId="0" xfId="0" applyAlignment="1" applyFont="1">
      <alignment horizontal="center" readingOrder="0"/>
    </xf>
    <xf borderId="0" fillId="15" fontId="25" numFmtId="10" xfId="0" applyAlignment="1" applyFont="1" applyNumberFormat="1">
      <alignment horizontal="center" readingOrder="0" shrinkToFit="0" wrapText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7" numFmtId="10" xfId="0" applyFont="1" applyNumberFormat="1"/>
    <xf borderId="0" fillId="4" fontId="1" numFmtId="0" xfId="0" applyAlignment="1" applyFont="1">
      <alignment horizontal="center"/>
    </xf>
    <xf borderId="0" fillId="11" fontId="1" numFmtId="0" xfId="0" applyAlignment="1" applyFont="1">
      <alignment readingOrder="0"/>
    </xf>
    <xf borderId="0" fillId="11" fontId="1" numFmtId="0" xfId="0" applyFont="1"/>
    <xf borderId="0" fillId="11" fontId="17" numFmtId="10" xfId="0" applyAlignment="1" applyFont="1" applyNumberFormat="1">
      <alignment readingOrder="0"/>
    </xf>
    <xf borderId="0" fillId="11" fontId="1" numFmtId="0" xfId="0" applyAlignment="1" applyFont="1">
      <alignment horizontal="center"/>
    </xf>
    <xf borderId="0" fillId="5" fontId="1" numFmtId="0" xfId="0" applyAlignment="1" applyFont="1">
      <alignment readingOrder="0"/>
    </xf>
    <xf borderId="0" fillId="5" fontId="1" numFmtId="0" xfId="0" applyFont="1"/>
    <xf borderId="0" fillId="5" fontId="0" numFmtId="10" xfId="0" applyFont="1" applyNumberFormat="1"/>
    <xf borderId="0" fillId="5" fontId="1" numFmtId="0" xfId="0" applyAlignment="1" applyFont="1">
      <alignment horizontal="center"/>
    </xf>
    <xf borderId="0" fillId="12" fontId="1" numFmtId="0" xfId="0" applyAlignment="1" applyFont="1">
      <alignment readingOrder="0"/>
    </xf>
    <xf borderId="0" fillId="12" fontId="1" numFmtId="0" xfId="0" applyFont="1"/>
    <xf borderId="0" fillId="12" fontId="17" numFmtId="10" xfId="0" applyAlignment="1" applyFont="1" applyNumberFormat="1">
      <alignment readingOrder="0"/>
    </xf>
    <xf borderId="0" fillId="12" fontId="1" numFmtId="0" xfId="0" applyAlignment="1" applyFont="1">
      <alignment horizontal="center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0" numFmtId="10" xfId="0" applyFont="1" applyNumberFormat="1"/>
    <xf borderId="0" fillId="6" fontId="1" numFmtId="0" xfId="0" applyAlignment="1" applyFont="1">
      <alignment horizontal="center"/>
    </xf>
    <xf borderId="0" fillId="13" fontId="1" numFmtId="0" xfId="0" applyAlignment="1" applyFont="1">
      <alignment readingOrder="0"/>
    </xf>
    <xf borderId="0" fillId="13" fontId="1" numFmtId="0" xfId="0" applyFont="1"/>
    <xf borderId="0" fillId="13" fontId="17" numFmtId="10" xfId="0" applyAlignment="1" applyFont="1" applyNumberFormat="1">
      <alignment readingOrder="0"/>
    </xf>
    <xf borderId="0" fillId="13" fontId="1" numFmtId="0" xfId="0" applyAlignment="1" applyFont="1">
      <alignment horizontal="center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0" numFmtId="10" xfId="0" applyFont="1" applyNumberFormat="1"/>
    <xf borderId="0" fillId="7" fontId="1" numFmtId="0" xfId="0" applyAlignment="1" applyFont="1">
      <alignment horizontal="center"/>
    </xf>
    <xf borderId="0" fillId="17" fontId="1" numFmtId="0" xfId="0" applyAlignment="1" applyFont="1">
      <alignment readingOrder="0"/>
    </xf>
    <xf borderId="0" fillId="17" fontId="1" numFmtId="0" xfId="0" applyFont="1"/>
    <xf borderId="0" fillId="17" fontId="17" numFmtId="10" xfId="0" applyAlignment="1" applyFont="1" applyNumberFormat="1">
      <alignment readingOrder="0"/>
    </xf>
    <xf borderId="0" fillId="17" fontId="1" numFmtId="0" xfId="0" applyAlignment="1" applyFont="1">
      <alignment horizontal="center"/>
    </xf>
    <xf borderId="0" fillId="8" fontId="1" numFmtId="0" xfId="0" applyAlignment="1" applyFont="1">
      <alignment readingOrder="0"/>
    </xf>
    <xf borderId="0" fillId="8" fontId="17" numFmtId="10" xfId="0" applyAlignment="1" applyFont="1" applyNumberFormat="1">
      <alignment readingOrder="0"/>
    </xf>
    <xf borderId="0" fillId="8" fontId="1" numFmtId="0" xfId="0" applyAlignment="1" applyFont="1">
      <alignment horizontal="center"/>
    </xf>
    <xf borderId="0" fillId="8" fontId="1" numFmtId="0" xfId="0" applyFont="1"/>
    <xf borderId="0" fillId="9" fontId="1" numFmtId="0" xfId="0" applyAlignment="1" applyFont="1">
      <alignment readingOrder="0"/>
    </xf>
    <xf borderId="0" fillId="9" fontId="1" numFmtId="0" xfId="0" applyFont="1"/>
    <xf borderId="0" fillId="9" fontId="17" numFmtId="10" xfId="0" applyAlignment="1" applyFont="1" applyNumberFormat="1">
      <alignment readingOrder="0"/>
    </xf>
    <xf borderId="0" fillId="9" fontId="1" numFmtId="0" xfId="0" applyAlignment="1" applyFont="1">
      <alignment horizontal="center"/>
    </xf>
    <xf borderId="0" fillId="0" fontId="17" numFmtId="10" xfId="0" applyFont="1" applyNumberFormat="1"/>
  </cellXfs>
  <cellStyles count="1">
    <cellStyle xfId="0" name="Normal" builtinId="0"/>
  </cellStyles>
  <dxfs count="13">
    <dxf>
      <font>
        <b/>
        <color rgb="FFFF0000"/>
      </font>
      <fill>
        <patternFill patternType="none"/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ase.flatironschool.com/milestones" TargetMode="External"/><Relationship Id="rId2" Type="http://schemas.openxmlformats.org/officeDocument/2006/relationships/hyperlink" Target="https://docs.google.com/spreadsheets/d/16_yqlgbO_uLco9W2n6mGn0AMkEaWinaGSYUk48Hx_iI/edit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ase.flatironschool.com/milestones" TargetMode="External"/><Relationship Id="rId2" Type="http://schemas.openxmlformats.org/officeDocument/2006/relationships/hyperlink" Target="https://docs.google.com/spreadsheets/d/16_yqlgbO_uLco9W2n6mGn0AMkEaWinaGSYUk48Hx_iI/edit?usp=sharing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52.0"/>
    <col customWidth="1" min="3" max="5" width="25.57"/>
    <col customWidth="1" hidden="1" min="6" max="8" width="29.14"/>
  </cols>
  <sheetData>
    <row r="1">
      <c r="A1" s="1"/>
      <c r="B1" s="2" t="s">
        <v>0</v>
      </c>
      <c r="F1" s="1"/>
      <c r="G1" s="1"/>
      <c r="H1" s="1"/>
    </row>
    <row r="2">
      <c r="A2" s="1"/>
      <c r="B2" s="3">
        <v>44417.0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1" t="s">
        <v>6</v>
      </c>
      <c r="G4" s="1" t="s">
        <v>7</v>
      </c>
      <c r="H4" s="1" t="s">
        <v>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1.0</v>
      </c>
      <c r="B5" s="6" t="s">
        <v>9</v>
      </c>
      <c r="C5" s="7">
        <f t="shared" ref="C5:E5" si="1">$B$2+F5</f>
        <v>44421</v>
      </c>
      <c r="D5" s="7">
        <f t="shared" si="1"/>
        <v>44425</v>
      </c>
      <c r="E5" s="7">
        <f t="shared" si="1"/>
        <v>44429</v>
      </c>
      <c r="F5" s="1">
        <v>4.0</v>
      </c>
      <c r="G5" s="1">
        <v>8.0</v>
      </c>
      <c r="H5" s="1">
        <v>12.0</v>
      </c>
    </row>
    <row r="6">
      <c r="A6" s="1">
        <v>2.0</v>
      </c>
      <c r="B6" s="6" t="s">
        <v>10</v>
      </c>
      <c r="C6" s="7">
        <f t="shared" ref="C6:E6" si="2">$B$2+F6</f>
        <v>44426</v>
      </c>
      <c r="D6" s="7">
        <f t="shared" si="2"/>
        <v>44435</v>
      </c>
      <c r="E6" s="7">
        <f t="shared" si="2"/>
        <v>44444</v>
      </c>
      <c r="F6" s="1">
        <v>9.0</v>
      </c>
      <c r="G6" s="1">
        <v>18.0</v>
      </c>
      <c r="H6" s="1">
        <v>27.0</v>
      </c>
    </row>
    <row r="7">
      <c r="A7" s="1">
        <v>3.0</v>
      </c>
      <c r="B7" s="6" t="s">
        <v>11</v>
      </c>
      <c r="C7" s="7">
        <f t="shared" ref="C7:E7" si="3">$B$2+F7</f>
        <v>44428</v>
      </c>
      <c r="D7" s="7">
        <f t="shared" si="3"/>
        <v>44439</v>
      </c>
      <c r="E7" s="7">
        <f t="shared" si="3"/>
        <v>44450</v>
      </c>
      <c r="F7" s="1">
        <v>11.0</v>
      </c>
      <c r="G7" s="1">
        <v>22.0</v>
      </c>
      <c r="H7" s="1">
        <v>33.0</v>
      </c>
    </row>
    <row r="8">
      <c r="A8" s="1">
        <v>4.0</v>
      </c>
      <c r="B8" s="6" t="s">
        <v>12</v>
      </c>
      <c r="C8" s="7">
        <f t="shared" ref="C8:E8" si="4">$B$2+F8</f>
        <v>44432</v>
      </c>
      <c r="D8" s="7">
        <f t="shared" si="4"/>
        <v>44447</v>
      </c>
      <c r="E8" s="7">
        <f t="shared" si="4"/>
        <v>44462</v>
      </c>
      <c r="F8" s="1">
        <v>15.0</v>
      </c>
      <c r="G8" s="1">
        <v>30.0</v>
      </c>
      <c r="H8" s="1">
        <v>45.0</v>
      </c>
    </row>
    <row r="9">
      <c r="A9" s="1">
        <v>5.0</v>
      </c>
      <c r="B9" s="6" t="s">
        <v>13</v>
      </c>
      <c r="C9" s="7">
        <f t="shared" ref="C9:E9" si="5">$B$2+F9</f>
        <v>44434</v>
      </c>
      <c r="D9" s="7">
        <f t="shared" si="5"/>
        <v>44451</v>
      </c>
      <c r="E9" s="7">
        <f t="shared" si="5"/>
        <v>44468</v>
      </c>
      <c r="F9" s="1">
        <v>17.0</v>
      </c>
      <c r="G9" s="1">
        <v>34.0</v>
      </c>
      <c r="H9" s="1">
        <v>51.0</v>
      </c>
    </row>
    <row r="10">
      <c r="A10" s="8">
        <v>6.0</v>
      </c>
      <c r="B10" s="9" t="s">
        <v>14</v>
      </c>
      <c r="C10" s="10">
        <f t="shared" ref="C10:E10" si="6">$B$2+F10</f>
        <v>44443</v>
      </c>
      <c r="D10" s="10">
        <f t="shared" si="6"/>
        <v>44469</v>
      </c>
      <c r="E10" s="10">
        <f t="shared" si="6"/>
        <v>44495</v>
      </c>
      <c r="F10" s="8">
        <v>26.0</v>
      </c>
      <c r="G10" s="8">
        <v>52.0</v>
      </c>
      <c r="H10" s="8">
        <v>78.0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8">
        <v>7.0</v>
      </c>
      <c r="B11" s="9" t="s">
        <v>15</v>
      </c>
      <c r="C11" s="10">
        <f t="shared" ref="C11:E11" si="7">$B$2+F11</f>
        <v>44445</v>
      </c>
      <c r="D11" s="10">
        <f t="shared" si="7"/>
        <v>44473</v>
      </c>
      <c r="E11" s="10">
        <f t="shared" si="7"/>
        <v>44501</v>
      </c>
      <c r="F11" s="8">
        <v>28.0</v>
      </c>
      <c r="G11" s="8">
        <v>56.0</v>
      </c>
      <c r="H11" s="8">
        <v>84.0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">
        <v>8.0</v>
      </c>
      <c r="B12" s="12" t="s">
        <v>16</v>
      </c>
      <c r="C12" s="13">
        <f t="shared" ref="C12:E12" si="8">$B$2+F12</f>
        <v>44453</v>
      </c>
      <c r="D12" s="13">
        <f t="shared" si="8"/>
        <v>44489</v>
      </c>
      <c r="E12" s="13">
        <f t="shared" si="8"/>
        <v>44525</v>
      </c>
      <c r="F12" s="1">
        <v>36.0</v>
      </c>
      <c r="G12" s="1">
        <v>72.0</v>
      </c>
      <c r="H12" s="1">
        <v>108.0</v>
      </c>
    </row>
    <row r="13">
      <c r="A13" s="1">
        <v>9.0</v>
      </c>
      <c r="B13" s="12" t="s">
        <v>17</v>
      </c>
      <c r="C13" s="13">
        <f t="shared" ref="C13:E13" si="9">$B$2+F13</f>
        <v>44455</v>
      </c>
      <c r="D13" s="13">
        <f t="shared" si="9"/>
        <v>44493</v>
      </c>
      <c r="E13" s="13">
        <f t="shared" si="9"/>
        <v>44531</v>
      </c>
      <c r="F13" s="1">
        <v>38.0</v>
      </c>
      <c r="G13" s="1">
        <v>76.0</v>
      </c>
      <c r="H13" s="1">
        <v>114.0</v>
      </c>
    </row>
    <row r="14">
      <c r="A14" s="1">
        <v>10.0</v>
      </c>
      <c r="B14" s="12" t="s">
        <v>18</v>
      </c>
      <c r="C14" s="13">
        <f t="shared" ref="C14:E14" si="10">$B$2+F14</f>
        <v>44462</v>
      </c>
      <c r="D14" s="13">
        <f t="shared" si="10"/>
        <v>44507</v>
      </c>
      <c r="E14" s="13">
        <f t="shared" si="10"/>
        <v>44552</v>
      </c>
      <c r="F14" s="1">
        <v>45.0</v>
      </c>
      <c r="G14" s="1">
        <v>90.0</v>
      </c>
      <c r="H14" s="1">
        <v>135.0</v>
      </c>
    </row>
    <row r="15">
      <c r="A15" s="1">
        <v>11.0</v>
      </c>
      <c r="B15" s="12" t="s">
        <v>19</v>
      </c>
      <c r="C15" s="13">
        <f t="shared" ref="C15:E15" si="11">$B$2+F15</f>
        <v>44464</v>
      </c>
      <c r="D15" s="13">
        <f t="shared" si="11"/>
        <v>44511</v>
      </c>
      <c r="E15" s="13">
        <f t="shared" si="11"/>
        <v>44558</v>
      </c>
      <c r="F15" s="1">
        <v>47.0</v>
      </c>
      <c r="G15" s="1">
        <v>94.0</v>
      </c>
      <c r="H15" s="1">
        <v>141.0</v>
      </c>
    </row>
    <row r="16">
      <c r="A16" s="8">
        <v>12.0</v>
      </c>
      <c r="B16" s="14" t="s">
        <v>20</v>
      </c>
      <c r="C16" s="15">
        <f t="shared" ref="C16:E16" si="12">$B$2+F16</f>
        <v>44471</v>
      </c>
      <c r="D16" s="15">
        <f t="shared" si="12"/>
        <v>44525</v>
      </c>
      <c r="E16" s="15">
        <f t="shared" si="12"/>
        <v>44579</v>
      </c>
      <c r="F16" s="8">
        <v>54.0</v>
      </c>
      <c r="G16" s="8">
        <v>108.0</v>
      </c>
      <c r="H16" s="8">
        <v>162.0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8">
        <v>13.0</v>
      </c>
      <c r="B17" s="14" t="s">
        <v>21</v>
      </c>
      <c r="C17" s="15">
        <f t="shared" ref="C17:E17" si="13">$B$2+F17</f>
        <v>44473</v>
      </c>
      <c r="D17" s="15">
        <f t="shared" si="13"/>
        <v>44529</v>
      </c>
      <c r="E17" s="15">
        <f t="shared" si="13"/>
        <v>44585</v>
      </c>
      <c r="F17" s="8">
        <v>56.0</v>
      </c>
      <c r="G17" s="8">
        <v>112.0</v>
      </c>
      <c r="H17" s="8">
        <v>168.0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">
        <v>14.0</v>
      </c>
      <c r="B18" s="16" t="s">
        <v>22</v>
      </c>
      <c r="C18" s="17">
        <f t="shared" ref="C18:E18" si="14">$B$2+F18</f>
        <v>44477</v>
      </c>
      <c r="D18" s="17">
        <f t="shared" si="14"/>
        <v>44537</v>
      </c>
      <c r="E18" s="17">
        <f t="shared" si="14"/>
        <v>44597</v>
      </c>
      <c r="F18" s="1">
        <v>60.0</v>
      </c>
      <c r="G18" s="1">
        <v>120.0</v>
      </c>
      <c r="H18" s="1">
        <v>180.0</v>
      </c>
    </row>
    <row r="19">
      <c r="A19" s="1">
        <v>15.0</v>
      </c>
      <c r="B19" s="16" t="s">
        <v>23</v>
      </c>
      <c r="C19" s="17">
        <f t="shared" ref="C19:E19" si="15">$B$2+F19</f>
        <v>44482</v>
      </c>
      <c r="D19" s="17">
        <f t="shared" si="15"/>
        <v>44547</v>
      </c>
      <c r="E19" s="17">
        <f t="shared" si="15"/>
        <v>44612</v>
      </c>
      <c r="F19" s="1">
        <v>65.0</v>
      </c>
      <c r="G19" s="1">
        <v>130.0</v>
      </c>
      <c r="H19" s="1">
        <v>195.0</v>
      </c>
    </row>
    <row r="20">
      <c r="A20" s="1">
        <v>16.0</v>
      </c>
      <c r="B20" s="16" t="s">
        <v>24</v>
      </c>
      <c r="C20" s="17">
        <f t="shared" ref="C20:E20" si="16">$B$2+F20</f>
        <v>44488</v>
      </c>
      <c r="D20" s="17">
        <f t="shared" si="16"/>
        <v>44559</v>
      </c>
      <c r="E20" s="17">
        <f t="shared" si="16"/>
        <v>44630</v>
      </c>
      <c r="F20" s="1">
        <v>71.0</v>
      </c>
      <c r="G20" s="1">
        <v>142.0</v>
      </c>
      <c r="H20" s="1">
        <v>213.0</v>
      </c>
    </row>
    <row r="21">
      <c r="A21" s="8">
        <v>17.0</v>
      </c>
      <c r="B21" s="18" t="s">
        <v>25</v>
      </c>
      <c r="C21" s="19">
        <f t="shared" ref="C21:E21" si="17">$B$2+F21</f>
        <v>44499</v>
      </c>
      <c r="D21" s="19">
        <f t="shared" si="17"/>
        <v>44581</v>
      </c>
      <c r="E21" s="19">
        <f t="shared" si="17"/>
        <v>44663</v>
      </c>
      <c r="F21" s="8">
        <v>82.0</v>
      </c>
      <c r="G21" s="8">
        <v>164.0</v>
      </c>
      <c r="H21" s="8">
        <v>246.0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8">
        <v>18.0</v>
      </c>
      <c r="B22" s="18" t="s">
        <v>26</v>
      </c>
      <c r="C22" s="19">
        <f t="shared" ref="C22:E22" si="18">$B$2+F22</f>
        <v>44501</v>
      </c>
      <c r="D22" s="19">
        <f t="shared" si="18"/>
        <v>44585</v>
      </c>
      <c r="E22" s="19">
        <f t="shared" si="18"/>
        <v>44669</v>
      </c>
      <c r="F22" s="8">
        <v>84.0</v>
      </c>
      <c r="G22" s="8">
        <v>168.0</v>
      </c>
      <c r="H22" s="8">
        <v>252.0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">
        <v>19.0</v>
      </c>
      <c r="B23" s="20" t="s">
        <v>27</v>
      </c>
      <c r="C23" s="21">
        <f t="shared" ref="C23:E23" si="19">$B$2+F23</f>
        <v>44503</v>
      </c>
      <c r="D23" s="21">
        <f t="shared" si="19"/>
        <v>44589</v>
      </c>
      <c r="E23" s="21">
        <f t="shared" si="19"/>
        <v>44675</v>
      </c>
      <c r="F23" s="1">
        <v>86.0</v>
      </c>
      <c r="G23" s="1">
        <v>172.0</v>
      </c>
      <c r="H23" s="1">
        <v>258.0</v>
      </c>
    </row>
    <row r="24">
      <c r="A24" s="1">
        <v>20.0</v>
      </c>
      <c r="B24" s="20" t="s">
        <v>28</v>
      </c>
      <c r="C24" s="21">
        <f t="shared" ref="C24:E24" si="20">$B$2+F24</f>
        <v>44505</v>
      </c>
      <c r="D24" s="21">
        <f t="shared" si="20"/>
        <v>44593</v>
      </c>
      <c r="E24" s="21">
        <f t="shared" si="20"/>
        <v>44681</v>
      </c>
      <c r="F24" s="1">
        <v>88.0</v>
      </c>
      <c r="G24" s="1">
        <v>176.0</v>
      </c>
      <c r="H24" s="1">
        <v>264.0</v>
      </c>
    </row>
    <row r="25">
      <c r="A25" s="1">
        <v>21.0</v>
      </c>
      <c r="B25" s="20" t="s">
        <v>29</v>
      </c>
      <c r="C25" s="21">
        <f t="shared" ref="C25:E25" si="21">$B$2+F25</f>
        <v>44511</v>
      </c>
      <c r="D25" s="21">
        <f t="shared" si="21"/>
        <v>44605</v>
      </c>
      <c r="E25" s="21">
        <f t="shared" si="21"/>
        <v>44699</v>
      </c>
      <c r="F25" s="1">
        <v>94.0</v>
      </c>
      <c r="G25" s="1">
        <v>188.0</v>
      </c>
      <c r="H25" s="1">
        <v>282.0</v>
      </c>
    </row>
    <row r="26">
      <c r="A26" s="1">
        <v>22.0</v>
      </c>
      <c r="B26" s="20" t="s">
        <v>30</v>
      </c>
      <c r="C26" s="21">
        <f t="shared" ref="C26:E26" si="22">$B$2+F26</f>
        <v>44513</v>
      </c>
      <c r="D26" s="21">
        <f t="shared" si="22"/>
        <v>44609</v>
      </c>
      <c r="E26" s="21">
        <f t="shared" si="22"/>
        <v>44705</v>
      </c>
      <c r="F26" s="1">
        <v>96.0</v>
      </c>
      <c r="G26" s="1">
        <v>192.0</v>
      </c>
      <c r="H26" s="1">
        <v>288.0</v>
      </c>
    </row>
    <row r="27">
      <c r="A27" s="8">
        <v>23.0</v>
      </c>
      <c r="B27" s="22" t="s">
        <v>31</v>
      </c>
      <c r="C27" s="23">
        <f t="shared" ref="C27:E27" si="23">$B$2+F27</f>
        <v>44527</v>
      </c>
      <c r="D27" s="23">
        <f t="shared" si="23"/>
        <v>44637</v>
      </c>
      <c r="E27" s="23">
        <f t="shared" si="23"/>
        <v>44747</v>
      </c>
      <c r="F27" s="8">
        <v>110.0</v>
      </c>
      <c r="G27" s="8">
        <v>220.0</v>
      </c>
      <c r="H27" s="8">
        <v>330.0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8">
        <v>24.0</v>
      </c>
      <c r="B28" s="22" t="s">
        <v>32</v>
      </c>
      <c r="C28" s="23">
        <f t="shared" ref="C28:E28" si="24">$B$2+F28</f>
        <v>44529</v>
      </c>
      <c r="D28" s="23">
        <f t="shared" si="24"/>
        <v>44641</v>
      </c>
      <c r="E28" s="23">
        <f t="shared" si="24"/>
        <v>44753</v>
      </c>
      <c r="F28" s="8">
        <v>112.0</v>
      </c>
      <c r="G28" s="8">
        <v>224.0</v>
      </c>
      <c r="H28" s="8">
        <v>336.0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">
        <v>25.0</v>
      </c>
      <c r="B29" s="24" t="s">
        <v>33</v>
      </c>
      <c r="C29" s="25">
        <f t="shared" ref="C29:E29" si="25">$B$2+F29</f>
        <v>44537</v>
      </c>
      <c r="D29" s="25">
        <f t="shared" si="25"/>
        <v>44657</v>
      </c>
      <c r="E29" s="25">
        <f t="shared" si="25"/>
        <v>44777</v>
      </c>
      <c r="F29" s="1">
        <v>120.0</v>
      </c>
      <c r="G29" s="1">
        <v>240.0</v>
      </c>
      <c r="H29" s="1">
        <v>360.0</v>
      </c>
    </row>
    <row r="30">
      <c r="A30" s="1">
        <v>26.0</v>
      </c>
      <c r="B30" s="24" t="s">
        <v>34</v>
      </c>
      <c r="C30" s="25">
        <f t="shared" ref="C30:E30" si="26">$B$2+F30</f>
        <v>44544</v>
      </c>
      <c r="D30" s="25">
        <f t="shared" si="26"/>
        <v>44671</v>
      </c>
      <c r="E30" s="25">
        <f t="shared" si="26"/>
        <v>44798</v>
      </c>
      <c r="F30" s="1">
        <v>127.0</v>
      </c>
      <c r="G30" s="1">
        <v>254.0</v>
      </c>
      <c r="H30" s="1">
        <v>381.0</v>
      </c>
    </row>
    <row r="31">
      <c r="A31" s="1">
        <v>27.0</v>
      </c>
      <c r="B31" s="24" t="s">
        <v>35</v>
      </c>
      <c r="C31" s="25">
        <f t="shared" ref="C31:E31" si="27">$B$2+F31</f>
        <v>44555</v>
      </c>
      <c r="D31" s="25">
        <f t="shared" si="27"/>
        <v>44693</v>
      </c>
      <c r="E31" s="25">
        <f t="shared" si="27"/>
        <v>44831</v>
      </c>
      <c r="F31" s="1">
        <v>138.0</v>
      </c>
      <c r="G31" s="1">
        <v>276.0</v>
      </c>
      <c r="H31" s="1">
        <v>414.0</v>
      </c>
    </row>
    <row r="32">
      <c r="A32" s="8">
        <v>28.0</v>
      </c>
      <c r="B32" s="26" t="s">
        <v>36</v>
      </c>
      <c r="C32" s="27">
        <f t="shared" ref="C32:E32" si="28">$B$2+F32</f>
        <v>44557</v>
      </c>
      <c r="D32" s="27">
        <f t="shared" si="28"/>
        <v>44697</v>
      </c>
      <c r="E32" s="27">
        <f t="shared" si="28"/>
        <v>44837</v>
      </c>
      <c r="F32" s="8">
        <v>140.0</v>
      </c>
      <c r="G32" s="8">
        <v>280.0</v>
      </c>
      <c r="H32" s="8">
        <v>420.0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4"/>
      <c r="B33" s="4"/>
      <c r="C33" s="4"/>
      <c r="D33" s="4"/>
      <c r="E33" s="4"/>
      <c r="F33" s="4"/>
      <c r="G33" s="4"/>
      <c r="H33" s="4"/>
    </row>
    <row r="34">
      <c r="A34" s="4"/>
      <c r="B34" s="4"/>
      <c r="C34" s="4"/>
      <c r="D34" s="4"/>
      <c r="E34" s="4"/>
      <c r="F34" s="4"/>
      <c r="G34" s="4"/>
      <c r="H34" s="4"/>
    </row>
    <row r="35">
      <c r="A35" s="4"/>
      <c r="B35" s="4"/>
      <c r="C35" s="4"/>
      <c r="D35" s="4"/>
      <c r="E35" s="4"/>
      <c r="F35" s="4"/>
      <c r="G35" s="4"/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  <row r="40">
      <c r="A40" s="4"/>
      <c r="B40" s="4"/>
      <c r="C40" s="4"/>
      <c r="D40" s="4"/>
      <c r="E40" s="4"/>
      <c r="F40" s="4"/>
      <c r="G40" s="4"/>
      <c r="H40" s="4"/>
    </row>
    <row r="41">
      <c r="A41" s="4"/>
      <c r="B41" s="4"/>
      <c r="C41" s="4"/>
      <c r="D41" s="4"/>
      <c r="E41" s="4"/>
      <c r="F41" s="4"/>
      <c r="G41" s="4"/>
      <c r="H41" s="4"/>
    </row>
    <row r="42">
      <c r="A42" s="4"/>
      <c r="B42" s="4"/>
      <c r="C42" s="4"/>
      <c r="D42" s="4"/>
      <c r="E42" s="4"/>
      <c r="F42" s="4"/>
      <c r="G42" s="4"/>
      <c r="H42" s="4"/>
    </row>
    <row r="43">
      <c r="A43" s="4"/>
      <c r="B43" s="4"/>
      <c r="C43" s="4"/>
      <c r="D43" s="4"/>
      <c r="E43" s="4"/>
      <c r="F43" s="4"/>
      <c r="G43" s="4"/>
      <c r="H43" s="4"/>
    </row>
    <row r="44">
      <c r="A44" s="4"/>
      <c r="B44" s="4"/>
      <c r="C44" s="4"/>
      <c r="D44" s="4"/>
      <c r="E44" s="4"/>
      <c r="F44" s="4"/>
      <c r="G44" s="4"/>
      <c r="H44" s="4"/>
    </row>
    <row r="45">
      <c r="A45" s="4"/>
      <c r="B45" s="4"/>
      <c r="C45" s="4"/>
      <c r="D45" s="4"/>
      <c r="E45" s="4"/>
      <c r="F45" s="4"/>
      <c r="G45" s="4"/>
      <c r="H45" s="4"/>
    </row>
    <row r="46">
      <c r="A46" s="4"/>
      <c r="B46" s="4"/>
      <c r="C46" s="4"/>
      <c r="D46" s="4"/>
      <c r="E46" s="4"/>
      <c r="F46" s="4"/>
      <c r="G46" s="4"/>
      <c r="H46" s="4"/>
    </row>
    <row r="47">
      <c r="A47" s="4"/>
      <c r="B47" s="4"/>
      <c r="C47" s="4"/>
      <c r="D47" s="4"/>
      <c r="E47" s="4"/>
      <c r="F47" s="4"/>
      <c r="G47" s="4"/>
      <c r="H47" s="4"/>
    </row>
    <row r="48">
      <c r="A48" s="4"/>
      <c r="B48" s="4"/>
      <c r="C48" s="4"/>
      <c r="D48" s="4"/>
      <c r="E48" s="4"/>
      <c r="F48" s="4"/>
      <c r="G48" s="4"/>
      <c r="H48" s="4"/>
    </row>
    <row r="49">
      <c r="A49" s="4"/>
      <c r="B49" s="4"/>
      <c r="C49" s="4"/>
      <c r="D49" s="4"/>
      <c r="E49" s="4"/>
      <c r="F49" s="4"/>
      <c r="G49" s="4"/>
      <c r="H49" s="4"/>
    </row>
    <row r="50">
      <c r="A50" s="4"/>
      <c r="B50" s="4"/>
      <c r="C50" s="4"/>
      <c r="D50" s="4"/>
      <c r="E50" s="4"/>
      <c r="F50" s="4"/>
      <c r="G50" s="4"/>
      <c r="H50" s="4"/>
    </row>
    <row r="51">
      <c r="A51" s="4"/>
      <c r="B51" s="4"/>
      <c r="C51" s="4"/>
      <c r="D51" s="4"/>
      <c r="E51" s="4"/>
      <c r="F51" s="4"/>
      <c r="G51" s="4"/>
      <c r="H51" s="4"/>
    </row>
    <row r="52">
      <c r="A52" s="4"/>
      <c r="B52" s="4"/>
      <c r="C52" s="4"/>
      <c r="D52" s="4"/>
      <c r="E52" s="4"/>
      <c r="F52" s="4"/>
      <c r="G52" s="4"/>
      <c r="H52" s="4"/>
    </row>
    <row r="53">
      <c r="A53" s="4"/>
      <c r="B53" s="4"/>
      <c r="C53" s="4"/>
      <c r="D53" s="4"/>
      <c r="E53" s="4"/>
      <c r="F53" s="4"/>
      <c r="G53" s="4"/>
      <c r="H53" s="4"/>
    </row>
    <row r="54">
      <c r="A54" s="4"/>
      <c r="B54" s="4"/>
      <c r="C54" s="4"/>
      <c r="D54" s="4"/>
      <c r="E54" s="4"/>
      <c r="F54" s="4"/>
      <c r="G54" s="4"/>
      <c r="H54" s="4"/>
    </row>
    <row r="55">
      <c r="A55" s="4"/>
      <c r="B55" s="4"/>
      <c r="C55" s="4"/>
      <c r="D55" s="4"/>
      <c r="E55" s="4"/>
      <c r="F55" s="4"/>
      <c r="G55" s="4"/>
      <c r="H55" s="4"/>
    </row>
    <row r="56">
      <c r="A56" s="4"/>
      <c r="B56" s="4"/>
      <c r="C56" s="4"/>
      <c r="D56" s="4"/>
      <c r="E56" s="4"/>
      <c r="F56" s="4"/>
      <c r="G56" s="4"/>
      <c r="H56" s="4"/>
    </row>
    <row r="57">
      <c r="A57" s="4"/>
      <c r="B57" s="4"/>
      <c r="C57" s="4"/>
      <c r="D57" s="4"/>
      <c r="E57" s="4"/>
      <c r="F57" s="4"/>
      <c r="G57" s="4"/>
      <c r="H57" s="4"/>
    </row>
    <row r="58">
      <c r="A58" s="4"/>
      <c r="B58" s="4"/>
      <c r="C58" s="4"/>
      <c r="D58" s="4"/>
      <c r="E58" s="4"/>
      <c r="F58" s="4"/>
      <c r="G58" s="4"/>
      <c r="H58" s="4"/>
    </row>
    <row r="59">
      <c r="A59" s="4"/>
      <c r="B59" s="4"/>
      <c r="C59" s="4"/>
      <c r="D59" s="4"/>
      <c r="E59" s="4"/>
      <c r="F59" s="4"/>
      <c r="G59" s="4"/>
      <c r="H59" s="4"/>
    </row>
    <row r="60">
      <c r="A60" s="4"/>
      <c r="B60" s="4"/>
      <c r="C60" s="4"/>
      <c r="D60" s="4"/>
      <c r="E60" s="4"/>
      <c r="F60" s="4"/>
      <c r="G60" s="4"/>
      <c r="H60" s="4"/>
    </row>
    <row r="61">
      <c r="A61" s="4"/>
      <c r="B61" s="4"/>
      <c r="C61" s="4"/>
      <c r="D61" s="4"/>
      <c r="E61" s="4"/>
      <c r="F61" s="4"/>
      <c r="G61" s="4"/>
      <c r="H61" s="4"/>
    </row>
    <row r="62">
      <c r="A62" s="4"/>
      <c r="B62" s="4"/>
      <c r="C62" s="4"/>
      <c r="D62" s="4"/>
      <c r="E62" s="4"/>
      <c r="F62" s="4"/>
      <c r="G62" s="4"/>
      <c r="H62" s="4"/>
    </row>
    <row r="63">
      <c r="A63" s="4"/>
      <c r="B63" s="4"/>
      <c r="C63" s="4"/>
      <c r="D63" s="4"/>
      <c r="E63" s="4"/>
      <c r="F63" s="4"/>
      <c r="G63" s="4"/>
      <c r="H63" s="4"/>
    </row>
    <row r="64">
      <c r="A64" s="4"/>
      <c r="B64" s="4"/>
      <c r="C64" s="4"/>
      <c r="D64" s="4"/>
      <c r="E64" s="4"/>
      <c r="F64" s="4"/>
      <c r="G64" s="4"/>
      <c r="H64" s="4"/>
    </row>
    <row r="65">
      <c r="A65" s="4"/>
      <c r="B65" s="4"/>
      <c r="C65" s="4"/>
      <c r="D65" s="4"/>
      <c r="E65" s="4"/>
      <c r="F65" s="4"/>
      <c r="G65" s="4"/>
      <c r="H65" s="4"/>
    </row>
    <row r="66">
      <c r="A66" s="4"/>
      <c r="B66" s="4"/>
      <c r="C66" s="4"/>
      <c r="D66" s="4"/>
      <c r="E66" s="4"/>
      <c r="F66" s="4"/>
      <c r="G66" s="4"/>
      <c r="H66" s="4"/>
    </row>
    <row r="67">
      <c r="A67" s="4"/>
      <c r="B67" s="4"/>
      <c r="C67" s="4"/>
      <c r="D67" s="4"/>
      <c r="E67" s="4"/>
      <c r="F67" s="4"/>
      <c r="G67" s="4"/>
      <c r="H67" s="4"/>
    </row>
    <row r="68">
      <c r="A68" s="4"/>
      <c r="B68" s="4"/>
      <c r="C68" s="4"/>
      <c r="D68" s="4"/>
      <c r="E68" s="4"/>
      <c r="F68" s="4"/>
      <c r="G68" s="4"/>
      <c r="H68" s="4"/>
    </row>
    <row r="69">
      <c r="A69" s="4"/>
      <c r="B69" s="4"/>
      <c r="C69" s="4"/>
      <c r="D69" s="4"/>
      <c r="E69" s="4"/>
      <c r="F69" s="4"/>
      <c r="G69" s="4"/>
      <c r="H69" s="4"/>
    </row>
    <row r="70">
      <c r="A70" s="4"/>
      <c r="B70" s="4"/>
      <c r="C70" s="4"/>
      <c r="D70" s="4"/>
      <c r="E70" s="4"/>
      <c r="F70" s="4"/>
      <c r="G70" s="4"/>
      <c r="H70" s="4"/>
    </row>
    <row r="71">
      <c r="A71" s="4"/>
      <c r="B71" s="4"/>
      <c r="C71" s="4"/>
      <c r="D71" s="4"/>
      <c r="E71" s="4"/>
      <c r="F71" s="4"/>
      <c r="G71" s="4"/>
      <c r="H71" s="4"/>
    </row>
    <row r="72">
      <c r="A72" s="4"/>
      <c r="B72" s="4"/>
      <c r="C72" s="4"/>
      <c r="D72" s="4"/>
      <c r="E72" s="4"/>
      <c r="F72" s="4"/>
      <c r="G72" s="4"/>
      <c r="H72" s="4"/>
    </row>
    <row r="73">
      <c r="A73" s="4"/>
      <c r="B73" s="4"/>
      <c r="C73" s="4"/>
      <c r="D73" s="4"/>
      <c r="E73" s="4"/>
      <c r="F73" s="4"/>
      <c r="G73" s="4"/>
      <c r="H73" s="4"/>
    </row>
    <row r="74">
      <c r="A74" s="4"/>
      <c r="B74" s="4"/>
      <c r="C74" s="4"/>
      <c r="D74" s="4"/>
      <c r="E74" s="4"/>
      <c r="F74" s="4"/>
      <c r="G74" s="4"/>
      <c r="H74" s="4"/>
    </row>
    <row r="75">
      <c r="A75" s="4"/>
      <c r="B75" s="4"/>
      <c r="C75" s="4"/>
      <c r="D75" s="4"/>
      <c r="E75" s="4"/>
      <c r="F75" s="4"/>
      <c r="G75" s="4"/>
      <c r="H75" s="4"/>
    </row>
    <row r="76">
      <c r="A76" s="4"/>
      <c r="B76" s="4"/>
      <c r="C76" s="4"/>
      <c r="D76" s="4"/>
      <c r="E76" s="4"/>
      <c r="F76" s="4"/>
      <c r="G76" s="4"/>
      <c r="H76" s="4"/>
    </row>
    <row r="77">
      <c r="A77" s="4"/>
      <c r="B77" s="4"/>
      <c r="C77" s="4"/>
      <c r="D77" s="4"/>
      <c r="E77" s="4"/>
      <c r="F77" s="4"/>
      <c r="G77" s="4"/>
      <c r="H77" s="4"/>
    </row>
    <row r="78">
      <c r="A78" s="4"/>
      <c r="B78" s="4"/>
      <c r="C78" s="4"/>
      <c r="D78" s="4"/>
      <c r="E78" s="4"/>
      <c r="F78" s="4"/>
      <c r="G78" s="4"/>
      <c r="H78" s="4"/>
    </row>
    <row r="79">
      <c r="A79" s="4"/>
      <c r="B79" s="4"/>
      <c r="C79" s="4"/>
      <c r="D79" s="4"/>
      <c r="E79" s="4"/>
      <c r="F79" s="4"/>
      <c r="G79" s="4"/>
      <c r="H79" s="4"/>
    </row>
    <row r="80">
      <c r="A80" s="4"/>
      <c r="B80" s="4"/>
      <c r="C80" s="4"/>
      <c r="D80" s="4"/>
      <c r="E80" s="4"/>
      <c r="F80" s="4"/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4"/>
      <c r="B82" s="4"/>
      <c r="C82" s="4"/>
      <c r="D82" s="4"/>
      <c r="E82" s="4"/>
      <c r="F82" s="4"/>
      <c r="G82" s="4"/>
      <c r="H82" s="4"/>
    </row>
    <row r="83">
      <c r="A83" s="4"/>
      <c r="B83" s="4"/>
      <c r="C83" s="4"/>
      <c r="D83" s="4"/>
      <c r="E83" s="4"/>
      <c r="F83" s="4"/>
      <c r="G83" s="4"/>
      <c r="H83" s="4"/>
    </row>
    <row r="84">
      <c r="A84" s="4"/>
      <c r="B84" s="4"/>
      <c r="C84" s="4"/>
      <c r="D84" s="4"/>
      <c r="E84" s="4"/>
      <c r="F84" s="4"/>
      <c r="G84" s="4"/>
      <c r="H84" s="4"/>
    </row>
    <row r="85">
      <c r="A85" s="4"/>
      <c r="B85" s="4"/>
      <c r="C85" s="4"/>
      <c r="D85" s="4"/>
      <c r="E85" s="4"/>
      <c r="F85" s="4"/>
      <c r="G85" s="4"/>
      <c r="H85" s="4"/>
    </row>
    <row r="86">
      <c r="A86" s="4"/>
      <c r="B86" s="4"/>
      <c r="C86" s="4"/>
      <c r="D86" s="4"/>
      <c r="E86" s="4"/>
      <c r="F86" s="4"/>
      <c r="G86" s="4"/>
      <c r="H86" s="4"/>
    </row>
    <row r="87">
      <c r="A87" s="4"/>
      <c r="B87" s="4"/>
      <c r="C87" s="4"/>
      <c r="D87" s="4"/>
      <c r="E87" s="4"/>
      <c r="F87" s="4"/>
      <c r="G87" s="4"/>
      <c r="H87" s="4"/>
    </row>
    <row r="88">
      <c r="A88" s="4"/>
      <c r="B88" s="4"/>
      <c r="C88" s="4"/>
      <c r="D88" s="4"/>
      <c r="E88" s="4"/>
      <c r="F88" s="4"/>
      <c r="G88" s="4"/>
      <c r="H88" s="4"/>
    </row>
    <row r="89">
      <c r="A89" s="4"/>
      <c r="B89" s="4"/>
      <c r="C89" s="4"/>
      <c r="D89" s="4"/>
      <c r="E89" s="4"/>
      <c r="F89" s="4"/>
      <c r="G89" s="4"/>
      <c r="H89" s="4"/>
    </row>
    <row r="90">
      <c r="A90" s="4"/>
      <c r="B90" s="4"/>
      <c r="C90" s="4"/>
      <c r="D90" s="4"/>
      <c r="E90" s="4"/>
      <c r="F90" s="4"/>
      <c r="G90" s="4"/>
      <c r="H90" s="4"/>
    </row>
    <row r="91">
      <c r="A91" s="4"/>
      <c r="B91" s="4"/>
      <c r="C91" s="4"/>
      <c r="D91" s="4"/>
      <c r="E91" s="4"/>
      <c r="F91" s="4"/>
      <c r="G91" s="4"/>
      <c r="H91" s="4"/>
    </row>
    <row r="92">
      <c r="A92" s="4"/>
      <c r="B92" s="4"/>
      <c r="C92" s="4"/>
      <c r="D92" s="4"/>
      <c r="E92" s="4"/>
      <c r="F92" s="4"/>
      <c r="G92" s="4"/>
      <c r="H92" s="4"/>
    </row>
    <row r="93">
      <c r="A93" s="4"/>
      <c r="B93" s="4"/>
      <c r="C93" s="4"/>
      <c r="D93" s="4"/>
      <c r="E93" s="4"/>
      <c r="F93" s="4"/>
      <c r="G93" s="4"/>
      <c r="H93" s="4"/>
    </row>
    <row r="94">
      <c r="A94" s="4"/>
      <c r="B94" s="4"/>
      <c r="C94" s="4"/>
      <c r="D94" s="4"/>
      <c r="E94" s="4"/>
      <c r="F94" s="4"/>
      <c r="G94" s="4"/>
      <c r="H94" s="4"/>
    </row>
    <row r="95">
      <c r="A95" s="4"/>
      <c r="B95" s="4"/>
      <c r="C95" s="4"/>
      <c r="D95" s="4"/>
      <c r="E95" s="4"/>
      <c r="F95" s="4"/>
      <c r="G95" s="4"/>
      <c r="H95" s="4"/>
    </row>
    <row r="96">
      <c r="A96" s="4"/>
      <c r="B96" s="4"/>
      <c r="C96" s="4"/>
      <c r="D96" s="4"/>
      <c r="E96" s="4"/>
      <c r="F96" s="4"/>
      <c r="G96" s="4"/>
      <c r="H96" s="4"/>
    </row>
    <row r="97">
      <c r="A97" s="4"/>
      <c r="B97" s="4"/>
      <c r="C97" s="4"/>
      <c r="D97" s="4"/>
      <c r="E97" s="4"/>
      <c r="F97" s="4"/>
      <c r="G97" s="4"/>
      <c r="H97" s="4"/>
    </row>
    <row r="98">
      <c r="A98" s="4"/>
      <c r="B98" s="4"/>
      <c r="C98" s="4"/>
      <c r="D98" s="4"/>
      <c r="E98" s="4"/>
      <c r="F98" s="4"/>
      <c r="G98" s="4"/>
      <c r="H98" s="4"/>
    </row>
    <row r="99">
      <c r="A99" s="4"/>
      <c r="B99" s="4"/>
      <c r="C99" s="4"/>
      <c r="D99" s="4"/>
      <c r="E99" s="4"/>
      <c r="F99" s="4"/>
      <c r="G99" s="4"/>
      <c r="H99" s="4"/>
    </row>
    <row r="100">
      <c r="A100" s="4"/>
      <c r="B100" s="4"/>
      <c r="C100" s="4"/>
      <c r="D100" s="4"/>
      <c r="E100" s="4"/>
      <c r="F100" s="4"/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4"/>
      <c r="B102" s="4"/>
      <c r="C102" s="4"/>
      <c r="D102" s="4"/>
      <c r="E102" s="4"/>
      <c r="F102" s="4"/>
      <c r="G102" s="4"/>
      <c r="H102" s="4"/>
    </row>
    <row r="103">
      <c r="A103" s="4"/>
      <c r="B103" s="4"/>
      <c r="C103" s="4"/>
      <c r="D103" s="4"/>
      <c r="E103" s="4"/>
      <c r="F103" s="4"/>
      <c r="G103" s="4"/>
      <c r="H103" s="4"/>
    </row>
    <row r="104">
      <c r="A104" s="4"/>
      <c r="B104" s="4"/>
      <c r="C104" s="4"/>
      <c r="D104" s="4"/>
      <c r="E104" s="4"/>
      <c r="F104" s="4"/>
      <c r="G104" s="4"/>
      <c r="H104" s="4"/>
    </row>
    <row r="105">
      <c r="A105" s="4"/>
      <c r="B105" s="4"/>
      <c r="C105" s="4"/>
      <c r="D105" s="4"/>
      <c r="E105" s="4"/>
      <c r="F105" s="4"/>
      <c r="G105" s="4"/>
      <c r="H105" s="4"/>
    </row>
    <row r="106">
      <c r="A106" s="4"/>
      <c r="B106" s="4"/>
      <c r="C106" s="4"/>
      <c r="D106" s="4"/>
      <c r="E106" s="4"/>
      <c r="F106" s="4"/>
      <c r="G106" s="4"/>
      <c r="H106" s="4"/>
    </row>
    <row r="107">
      <c r="A107" s="4"/>
      <c r="B107" s="4"/>
      <c r="C107" s="4"/>
      <c r="D107" s="4"/>
      <c r="E107" s="4"/>
      <c r="F107" s="4"/>
      <c r="G107" s="4"/>
      <c r="H107" s="4"/>
    </row>
    <row r="108">
      <c r="A108" s="4"/>
      <c r="B108" s="4"/>
      <c r="C108" s="4"/>
      <c r="D108" s="4"/>
      <c r="E108" s="4"/>
      <c r="F108" s="4"/>
      <c r="G108" s="4"/>
      <c r="H108" s="4"/>
    </row>
    <row r="109">
      <c r="A109" s="4"/>
      <c r="B109" s="4"/>
      <c r="C109" s="4"/>
      <c r="D109" s="4"/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4"/>
      <c r="B160" s="4"/>
      <c r="C160" s="4"/>
      <c r="D160" s="4"/>
      <c r="E160" s="4"/>
      <c r="F160" s="4"/>
      <c r="G160" s="4"/>
      <c r="H160" s="4"/>
    </row>
    <row r="161">
      <c r="A161" s="4"/>
      <c r="B161" s="4"/>
      <c r="C161" s="4"/>
      <c r="D161" s="4"/>
      <c r="E161" s="4"/>
      <c r="F161" s="4"/>
      <c r="G161" s="4"/>
      <c r="H161" s="4"/>
    </row>
    <row r="162">
      <c r="A162" s="4"/>
      <c r="B162" s="4"/>
      <c r="C162" s="4"/>
      <c r="D162" s="4"/>
      <c r="E162" s="4"/>
      <c r="F162" s="4"/>
      <c r="G162" s="4"/>
      <c r="H162" s="4"/>
    </row>
    <row r="163">
      <c r="A163" s="4"/>
      <c r="B163" s="4"/>
      <c r="C163" s="4"/>
      <c r="D163" s="4"/>
      <c r="E163" s="4"/>
      <c r="F163" s="4"/>
      <c r="G163" s="4"/>
      <c r="H163" s="4"/>
    </row>
    <row r="164">
      <c r="A164" s="4"/>
      <c r="B164" s="4"/>
      <c r="C164" s="4"/>
      <c r="D164" s="4"/>
      <c r="E164" s="4"/>
      <c r="F164" s="4"/>
      <c r="G164" s="4"/>
      <c r="H164" s="4"/>
    </row>
    <row r="165">
      <c r="A165" s="4"/>
      <c r="B165" s="4"/>
      <c r="C165" s="4"/>
      <c r="D165" s="4"/>
      <c r="E165" s="4"/>
      <c r="F165" s="4"/>
      <c r="G165" s="4"/>
      <c r="H165" s="4"/>
    </row>
    <row r="166">
      <c r="A166" s="4"/>
      <c r="B166" s="4"/>
      <c r="C166" s="4"/>
      <c r="D166" s="4"/>
      <c r="E166" s="4"/>
      <c r="F166" s="4"/>
      <c r="G166" s="4"/>
      <c r="H166" s="4"/>
    </row>
    <row r="167">
      <c r="A167" s="4"/>
      <c r="B167" s="4"/>
      <c r="C167" s="4"/>
      <c r="D167" s="4"/>
      <c r="E167" s="4"/>
      <c r="F167" s="4"/>
      <c r="G167" s="4"/>
      <c r="H167" s="4"/>
    </row>
    <row r="168">
      <c r="A168" s="4"/>
      <c r="B168" s="4"/>
      <c r="C168" s="4"/>
      <c r="D168" s="4"/>
      <c r="E168" s="4"/>
      <c r="F168" s="4"/>
      <c r="G168" s="4"/>
      <c r="H168" s="4"/>
    </row>
    <row r="169">
      <c r="A169" s="4"/>
      <c r="B169" s="4"/>
      <c r="C169" s="4"/>
      <c r="D169" s="4"/>
      <c r="E169" s="4"/>
      <c r="F169" s="4"/>
      <c r="G169" s="4"/>
      <c r="H169" s="4"/>
    </row>
    <row r="170">
      <c r="A170" s="4"/>
      <c r="B170" s="4"/>
      <c r="C170" s="4"/>
      <c r="D170" s="4"/>
      <c r="E170" s="4"/>
      <c r="F170" s="4"/>
      <c r="G170" s="4"/>
      <c r="H170" s="4"/>
    </row>
    <row r="171">
      <c r="A171" s="4"/>
      <c r="B171" s="4"/>
      <c r="C171" s="4"/>
      <c r="D171" s="4"/>
      <c r="E171" s="4"/>
      <c r="F171" s="4"/>
      <c r="G171" s="4"/>
      <c r="H171" s="4"/>
    </row>
    <row r="172">
      <c r="A172" s="4"/>
      <c r="B172" s="4"/>
      <c r="C172" s="4"/>
      <c r="D172" s="4"/>
      <c r="E172" s="4"/>
      <c r="F172" s="4"/>
      <c r="G172" s="4"/>
      <c r="H172" s="4"/>
    </row>
    <row r="173">
      <c r="A173" s="4"/>
      <c r="B173" s="4"/>
      <c r="C173" s="4"/>
      <c r="D173" s="4"/>
      <c r="E173" s="4"/>
      <c r="F173" s="4"/>
      <c r="G173" s="4"/>
      <c r="H173" s="4"/>
    </row>
    <row r="174">
      <c r="A174" s="4"/>
      <c r="B174" s="4"/>
      <c r="C174" s="4"/>
      <c r="D174" s="4"/>
      <c r="E174" s="4"/>
      <c r="F174" s="4"/>
      <c r="G174" s="4"/>
      <c r="H174" s="4"/>
    </row>
    <row r="175">
      <c r="A175" s="4"/>
      <c r="B175" s="4"/>
      <c r="C175" s="4"/>
      <c r="D175" s="4"/>
      <c r="E175" s="4"/>
      <c r="F175" s="4"/>
      <c r="G175" s="4"/>
      <c r="H175" s="4"/>
    </row>
    <row r="176">
      <c r="A176" s="4"/>
      <c r="B176" s="4"/>
      <c r="C176" s="4"/>
      <c r="D176" s="4"/>
      <c r="E176" s="4"/>
      <c r="F176" s="4"/>
      <c r="G176" s="4"/>
      <c r="H176" s="4"/>
    </row>
    <row r="177">
      <c r="A177" s="4"/>
      <c r="B177" s="4"/>
      <c r="C177" s="4"/>
      <c r="D177" s="4"/>
      <c r="E177" s="4"/>
      <c r="F177" s="4"/>
      <c r="G177" s="4"/>
      <c r="H177" s="4"/>
    </row>
    <row r="178">
      <c r="A178" s="4"/>
      <c r="B178" s="4"/>
      <c r="C178" s="4"/>
      <c r="D178" s="4"/>
      <c r="E178" s="4"/>
      <c r="F178" s="4"/>
      <c r="G178" s="4"/>
      <c r="H178" s="4"/>
    </row>
    <row r="179">
      <c r="A179" s="4"/>
      <c r="B179" s="4"/>
      <c r="C179" s="4"/>
      <c r="D179" s="4"/>
      <c r="E179" s="4"/>
      <c r="F179" s="4"/>
      <c r="G179" s="4"/>
      <c r="H179" s="4"/>
    </row>
    <row r="180">
      <c r="A180" s="4"/>
      <c r="B180" s="4"/>
      <c r="C180" s="4"/>
      <c r="D180" s="4"/>
      <c r="E180" s="4"/>
      <c r="F180" s="4"/>
      <c r="G180" s="4"/>
      <c r="H180" s="4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4"/>
      <c r="B184" s="4"/>
      <c r="C184" s="4"/>
      <c r="D184" s="4"/>
      <c r="E184" s="4"/>
      <c r="F184" s="4"/>
      <c r="G184" s="4"/>
      <c r="H184" s="4"/>
    </row>
    <row r="185">
      <c r="A185" s="4"/>
      <c r="B185" s="4"/>
      <c r="C185" s="4"/>
      <c r="D185" s="4"/>
      <c r="E185" s="4"/>
      <c r="F185" s="4"/>
      <c r="G185" s="4"/>
      <c r="H185" s="4"/>
    </row>
    <row r="186">
      <c r="A186" s="4"/>
      <c r="B186" s="4"/>
      <c r="C186" s="4"/>
      <c r="D186" s="4"/>
      <c r="E186" s="4"/>
      <c r="F186" s="4"/>
      <c r="G186" s="4"/>
      <c r="H186" s="4"/>
    </row>
    <row r="187">
      <c r="A187" s="4"/>
      <c r="B187" s="4"/>
      <c r="C187" s="4"/>
      <c r="D187" s="4"/>
      <c r="E187" s="4"/>
      <c r="F187" s="4"/>
      <c r="G187" s="4"/>
      <c r="H187" s="4"/>
    </row>
    <row r="188">
      <c r="A188" s="4"/>
      <c r="B188" s="4"/>
      <c r="C188" s="4"/>
      <c r="D188" s="4"/>
      <c r="E188" s="4"/>
      <c r="F188" s="4"/>
      <c r="G188" s="4"/>
      <c r="H188" s="4"/>
    </row>
    <row r="189">
      <c r="A189" s="4"/>
      <c r="B189" s="4"/>
      <c r="C189" s="4"/>
      <c r="D189" s="4"/>
      <c r="E189" s="4"/>
      <c r="F189" s="4"/>
      <c r="G189" s="4"/>
      <c r="H189" s="4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>
      <c r="A192" s="4"/>
      <c r="B192" s="4"/>
      <c r="C192" s="4"/>
      <c r="D192" s="4"/>
      <c r="E192" s="4"/>
      <c r="F192" s="4"/>
      <c r="G192" s="4"/>
      <c r="H192" s="4"/>
    </row>
    <row r="193">
      <c r="A193" s="4"/>
      <c r="B193" s="4"/>
      <c r="C193" s="4"/>
      <c r="D193" s="4"/>
      <c r="E193" s="4"/>
      <c r="F193" s="4"/>
      <c r="G193" s="4"/>
      <c r="H193" s="4"/>
    </row>
    <row r="194">
      <c r="A194" s="4"/>
      <c r="B194" s="4"/>
      <c r="C194" s="4"/>
      <c r="D194" s="4"/>
      <c r="E194" s="4"/>
      <c r="F194" s="4"/>
      <c r="G194" s="4"/>
      <c r="H194" s="4"/>
    </row>
    <row r="195">
      <c r="A195" s="4"/>
      <c r="B195" s="4"/>
      <c r="C195" s="4"/>
      <c r="D195" s="4"/>
      <c r="E195" s="4"/>
      <c r="F195" s="4"/>
      <c r="G195" s="4"/>
      <c r="H195" s="4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4"/>
      <c r="B197" s="4"/>
      <c r="C197" s="4"/>
      <c r="D197" s="4"/>
      <c r="E197" s="4"/>
      <c r="F197" s="4"/>
      <c r="G197" s="4"/>
      <c r="H197" s="4"/>
    </row>
    <row r="198">
      <c r="A198" s="4"/>
      <c r="B198" s="4"/>
      <c r="C198" s="4"/>
      <c r="D198" s="4"/>
      <c r="E198" s="4"/>
      <c r="F198" s="4"/>
      <c r="G198" s="4"/>
      <c r="H198" s="4"/>
    </row>
    <row r="199">
      <c r="A199" s="4"/>
      <c r="B199" s="4"/>
      <c r="C199" s="4"/>
      <c r="D199" s="4"/>
      <c r="E199" s="4"/>
      <c r="F199" s="4"/>
      <c r="G199" s="4"/>
      <c r="H199" s="4"/>
    </row>
    <row r="200">
      <c r="A200" s="4"/>
      <c r="B200" s="4"/>
      <c r="C200" s="4"/>
      <c r="D200" s="4"/>
      <c r="E200" s="4"/>
      <c r="F200" s="4"/>
      <c r="G200" s="4"/>
      <c r="H200" s="4"/>
    </row>
    <row r="201">
      <c r="A201" s="4"/>
      <c r="B201" s="4"/>
      <c r="C201" s="4"/>
      <c r="D201" s="4"/>
      <c r="E201" s="4"/>
      <c r="F201" s="4"/>
      <c r="G201" s="4"/>
      <c r="H201" s="4"/>
    </row>
    <row r="202">
      <c r="A202" s="4"/>
      <c r="B202" s="4"/>
      <c r="C202" s="4"/>
      <c r="D202" s="4"/>
      <c r="E202" s="4"/>
      <c r="F202" s="4"/>
      <c r="G202" s="4"/>
      <c r="H202" s="4"/>
    </row>
    <row r="203">
      <c r="A203" s="4"/>
      <c r="B203" s="4"/>
      <c r="C203" s="4"/>
      <c r="D203" s="4"/>
      <c r="E203" s="4"/>
      <c r="F203" s="4"/>
      <c r="G203" s="4"/>
      <c r="H203" s="4"/>
    </row>
    <row r="204">
      <c r="A204" s="4"/>
      <c r="B204" s="4"/>
      <c r="C204" s="4"/>
      <c r="D204" s="4"/>
      <c r="E204" s="4"/>
      <c r="F204" s="4"/>
      <c r="G204" s="4"/>
      <c r="H204" s="4"/>
    </row>
    <row r="205">
      <c r="A205" s="4"/>
      <c r="B205" s="4"/>
      <c r="C205" s="4"/>
      <c r="D205" s="4"/>
      <c r="E205" s="4"/>
      <c r="F205" s="4"/>
      <c r="G205" s="4"/>
      <c r="H205" s="4"/>
    </row>
    <row r="206">
      <c r="A206" s="4"/>
      <c r="B206" s="4"/>
      <c r="C206" s="4"/>
      <c r="D206" s="4"/>
      <c r="E206" s="4"/>
      <c r="F206" s="4"/>
      <c r="G206" s="4"/>
      <c r="H206" s="4"/>
    </row>
    <row r="207">
      <c r="A207" s="4"/>
      <c r="B207" s="4"/>
      <c r="C207" s="4"/>
      <c r="D207" s="4"/>
      <c r="E207" s="4"/>
      <c r="F207" s="4"/>
      <c r="G207" s="4"/>
      <c r="H207" s="4"/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  <row r="993">
      <c r="A993" s="4"/>
      <c r="B993" s="4"/>
      <c r="C993" s="4"/>
      <c r="D993" s="4"/>
      <c r="E993" s="4"/>
      <c r="F993" s="4"/>
      <c r="G993" s="4"/>
      <c r="H993" s="4"/>
    </row>
    <row r="994">
      <c r="A994" s="4"/>
      <c r="B994" s="4"/>
      <c r="C994" s="4"/>
      <c r="D994" s="4"/>
      <c r="E994" s="4"/>
      <c r="F994" s="4"/>
      <c r="G994" s="4"/>
      <c r="H994" s="4"/>
    </row>
    <row r="995">
      <c r="A995" s="4"/>
      <c r="B995" s="4"/>
      <c r="C995" s="4"/>
      <c r="D995" s="4"/>
      <c r="E995" s="4"/>
      <c r="F995" s="4"/>
      <c r="G995" s="4"/>
      <c r="H995" s="4"/>
    </row>
    <row r="996">
      <c r="A996" s="4"/>
      <c r="B996" s="4"/>
      <c r="C996" s="4"/>
      <c r="D996" s="4"/>
      <c r="E996" s="4"/>
      <c r="F996" s="4"/>
      <c r="G996" s="4"/>
      <c r="H996" s="4"/>
    </row>
    <row r="997">
      <c r="A997" s="4"/>
      <c r="B997" s="4"/>
      <c r="C997" s="4"/>
      <c r="D997" s="4"/>
      <c r="E997" s="4"/>
      <c r="F997" s="4"/>
      <c r="G997" s="4"/>
      <c r="H997" s="4"/>
    </row>
    <row r="998">
      <c r="A998" s="4"/>
      <c r="B998" s="4"/>
      <c r="C998" s="4"/>
      <c r="D998" s="4"/>
      <c r="E998" s="4"/>
      <c r="F998" s="4"/>
      <c r="G998" s="4"/>
      <c r="H998" s="4"/>
    </row>
    <row r="999">
      <c r="A999" s="4"/>
      <c r="B999" s="4"/>
      <c r="C999" s="4"/>
      <c r="D999" s="4"/>
      <c r="E999" s="4"/>
      <c r="F999" s="4"/>
      <c r="G999" s="4"/>
      <c r="H999" s="4"/>
    </row>
    <row r="1000">
      <c r="A1000" s="4"/>
      <c r="B1000" s="4"/>
      <c r="C1000" s="4"/>
      <c r="D1000" s="4"/>
      <c r="E1000" s="4"/>
      <c r="F1000" s="4"/>
      <c r="G1000" s="4"/>
      <c r="H1000" s="4"/>
    </row>
    <row r="1001">
      <c r="A1001" s="4"/>
      <c r="B1001" s="4"/>
      <c r="C1001" s="4"/>
      <c r="D1001" s="4"/>
      <c r="E1001" s="4"/>
      <c r="F1001" s="4"/>
      <c r="G1001" s="4"/>
      <c r="H1001" s="4"/>
    </row>
    <row r="1002">
      <c r="A1002" s="4"/>
      <c r="B1002" s="4"/>
      <c r="C1002" s="4"/>
      <c r="D1002" s="4"/>
      <c r="E1002" s="4"/>
      <c r="F1002" s="4"/>
      <c r="G1002" s="4"/>
      <c r="H1002" s="4"/>
    </row>
    <row r="1003">
      <c r="A1003" s="4"/>
      <c r="B1003" s="4"/>
      <c r="C1003" s="4"/>
      <c r="D1003" s="4"/>
      <c r="E1003" s="4"/>
      <c r="F1003" s="4"/>
      <c r="G1003" s="4"/>
      <c r="H1003" s="4"/>
    </row>
  </sheetData>
  <autoFilter ref="$A$4:$H$32"/>
  <dataValidations>
    <dataValidation type="custom" allowBlank="1" showDropDown="1" showInputMessage="1" showErrorMessage="1" prompt="Please choose a Monday as your start date." sqref="B2">
      <formula1>WEEKDAY($B$2)=2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4" width="7.0"/>
    <col customWidth="1" min="25" max="25" width="3.14"/>
    <col customWidth="1" hidden="1" min="26" max="26" width="3.14"/>
    <col customWidth="1" hidden="1" min="27" max="27" width="28.14"/>
    <col customWidth="1" hidden="1" min="28" max="28" width="14.71"/>
    <col customWidth="1" hidden="1" min="29" max="29" width="14.43"/>
    <col customWidth="1" hidden="1" min="30" max="30" width="22.43"/>
    <col customWidth="1" hidden="1" min="31" max="31" width="14.43"/>
    <col customWidth="1" hidden="1" min="32" max="32" width="16.29"/>
    <col customWidth="1" hidden="1" min="33" max="33" width="10.71"/>
    <col customWidth="1" hidden="1" min="34" max="34" width="10.57"/>
    <col customWidth="1" hidden="1" min="35" max="35" width="12.43"/>
    <col customWidth="1" hidden="1" min="36" max="37" width="5.43"/>
  </cols>
  <sheetData>
    <row r="1">
      <c r="B1" s="28" t="s">
        <v>37</v>
      </c>
      <c r="C1" s="29"/>
      <c r="AA1" s="30"/>
    </row>
    <row r="2">
      <c r="C2" s="29"/>
      <c r="AA2" s="30" t="s">
        <v>38</v>
      </c>
    </row>
    <row r="3">
      <c r="B3" s="31" t="s">
        <v>39</v>
      </c>
      <c r="C3" s="32"/>
      <c r="D3" s="32"/>
      <c r="E3" s="33"/>
      <c r="F3" s="34"/>
      <c r="G3" s="35" t="s">
        <v>40</v>
      </c>
      <c r="H3" s="36"/>
      <c r="J3" s="37" t="s">
        <v>41</v>
      </c>
      <c r="K3" s="38"/>
      <c r="L3" s="38"/>
      <c r="M3" s="38"/>
      <c r="N3" s="38"/>
      <c r="O3" s="36"/>
      <c r="P3" s="39">
        <f>DATEDIF(B7, B4+1, "D")</f>
        <v>281</v>
      </c>
      <c r="R3" s="35" t="s">
        <v>42</v>
      </c>
      <c r="S3" s="38"/>
      <c r="T3" s="38"/>
      <c r="U3" s="38"/>
      <c r="V3" s="38"/>
      <c r="W3" s="36"/>
      <c r="X3" s="40">
        <f>(P4-X4)/11</f>
        <v>3.831818182</v>
      </c>
    </row>
    <row r="4">
      <c r="B4" s="41">
        <f>B7+(G4*7)</f>
        <v>44697</v>
      </c>
      <c r="C4" s="42"/>
      <c r="D4" s="42"/>
      <c r="E4" s="43"/>
      <c r="F4" s="34"/>
      <c r="G4" s="44">
        <v>40.0</v>
      </c>
      <c r="H4" s="45" t="s">
        <v>43</v>
      </c>
      <c r="J4" s="46" t="s">
        <v>44</v>
      </c>
      <c r="K4" s="38"/>
      <c r="L4" s="38"/>
      <c r="M4" s="38"/>
      <c r="N4" s="38"/>
      <c r="O4" s="36"/>
      <c r="P4" s="47">
        <f>P3/5</f>
        <v>56.2</v>
      </c>
      <c r="R4" s="37" t="s">
        <v>45</v>
      </c>
      <c r="S4" s="38"/>
      <c r="T4" s="38"/>
      <c r="U4" s="38"/>
      <c r="V4" s="38"/>
      <c r="W4" s="36"/>
      <c r="X4" s="48">
        <f>P4/4</f>
        <v>14.05</v>
      </c>
    </row>
    <row r="5">
      <c r="C5" s="29"/>
    </row>
    <row r="6">
      <c r="B6" s="49" t="s">
        <v>46</v>
      </c>
      <c r="C6" s="32"/>
      <c r="D6" s="32"/>
      <c r="E6" s="50" t="s">
        <v>47</v>
      </c>
      <c r="F6" s="32"/>
      <c r="G6" s="32"/>
      <c r="H6" s="32"/>
      <c r="I6" s="51" t="s">
        <v>48</v>
      </c>
      <c r="J6" s="32"/>
      <c r="K6" s="32"/>
      <c r="L6" s="32"/>
      <c r="M6" s="52" t="s">
        <v>49</v>
      </c>
      <c r="N6" s="32"/>
      <c r="O6" s="32"/>
      <c r="P6" s="32"/>
      <c r="Q6" s="53" t="s">
        <v>50</v>
      </c>
      <c r="R6" s="32"/>
      <c r="S6" s="32"/>
      <c r="T6" s="32"/>
      <c r="U6" s="54" t="s">
        <v>51</v>
      </c>
      <c r="V6" s="32"/>
      <c r="W6" s="32"/>
      <c r="X6" s="33"/>
    </row>
    <row r="7">
      <c r="B7" s="55">
        <v>44417.0</v>
      </c>
      <c r="C7" s="42"/>
      <c r="D7" s="42"/>
      <c r="E7" s="56">
        <f>B7+(P4*1)</f>
        <v>44473.2</v>
      </c>
      <c r="F7" s="42"/>
      <c r="G7" s="42"/>
      <c r="H7" s="42"/>
      <c r="I7" s="57">
        <f>B7+(P4*2)</f>
        <v>44529.4</v>
      </c>
      <c r="J7" s="42"/>
      <c r="K7" s="42"/>
      <c r="L7" s="42"/>
      <c r="M7" s="58">
        <f>B7+(P4*3)</f>
        <v>44585.6</v>
      </c>
      <c r="N7" s="42"/>
      <c r="O7" s="42"/>
      <c r="P7" s="42"/>
      <c r="Q7" s="59">
        <f>B7+(P4*4)</f>
        <v>44641.8</v>
      </c>
      <c r="R7" s="42"/>
      <c r="S7" s="42"/>
      <c r="T7" s="42"/>
      <c r="U7" s="60">
        <f>B4</f>
        <v>44697</v>
      </c>
      <c r="V7" s="42"/>
      <c r="W7" s="42"/>
      <c r="X7" s="43"/>
    </row>
    <row r="8">
      <c r="A8" s="4"/>
      <c r="B8" s="4"/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1"/>
      <c r="B9" s="62" t="str">
        <f>AC17&amp;" "&amp;AG17</f>
        <v>August 2021</v>
      </c>
      <c r="I9" s="61"/>
      <c r="J9" s="62" t="str">
        <f>AC18&amp;" "&amp;AG18</f>
        <v>September 2021</v>
      </c>
      <c r="Q9" s="61"/>
      <c r="R9" s="62" t="str">
        <f>AC19&amp;" "&amp;AG19</f>
        <v>October 2021</v>
      </c>
      <c r="Y9" s="63"/>
      <c r="Z9" s="63"/>
      <c r="AA9" s="64"/>
      <c r="AB9" s="65" t="s">
        <v>52</v>
      </c>
      <c r="AC9" s="65" t="s">
        <v>53</v>
      </c>
      <c r="AD9" s="65" t="s">
        <v>54</v>
      </c>
      <c r="AE9" s="65" t="s">
        <v>55</v>
      </c>
      <c r="AF9" s="65" t="s">
        <v>56</v>
      </c>
      <c r="AG9" s="65"/>
      <c r="AH9" s="65"/>
      <c r="AI9" s="65"/>
      <c r="AJ9" s="64"/>
      <c r="AK9" s="64"/>
    </row>
    <row r="10">
      <c r="A10" s="61"/>
      <c r="B10" s="66" t="str">
        <f>TEXT(1, "DDD")</f>
        <v>Sun</v>
      </c>
      <c r="C10" s="66" t="str">
        <f>TEXT(2, "DDD")</f>
        <v>Mon</v>
      </c>
      <c r="D10" s="66" t="str">
        <f>TEXT(3, "DDD")</f>
        <v>Tue</v>
      </c>
      <c r="E10" s="66" t="str">
        <f>TEXT(4, "DDD")</f>
        <v>Wed</v>
      </c>
      <c r="F10" s="66" t="str">
        <f>TEXT(5, "DDD")</f>
        <v>Thu</v>
      </c>
      <c r="G10" s="66" t="str">
        <f>TEXT(6, "DDD")</f>
        <v>Fri</v>
      </c>
      <c r="H10" s="66" t="str">
        <f>TEXT(7, "DDD")</f>
        <v>Sat</v>
      </c>
      <c r="I10" s="61"/>
      <c r="J10" s="66" t="s">
        <v>57</v>
      </c>
      <c r="K10" s="66" t="s">
        <v>58</v>
      </c>
      <c r="L10" s="66" t="s">
        <v>59</v>
      </c>
      <c r="M10" s="66" t="s">
        <v>60</v>
      </c>
      <c r="N10" s="66" t="s">
        <v>61</v>
      </c>
      <c r="O10" s="66" t="s">
        <v>62</v>
      </c>
      <c r="P10" s="66" t="s">
        <v>63</v>
      </c>
      <c r="Q10" s="61"/>
      <c r="R10" s="66" t="s">
        <v>57</v>
      </c>
      <c r="S10" s="66" t="s">
        <v>58</v>
      </c>
      <c r="T10" s="66" t="s">
        <v>59</v>
      </c>
      <c r="U10" s="66" t="s">
        <v>60</v>
      </c>
      <c r="V10" s="66" t="s">
        <v>61</v>
      </c>
      <c r="W10" s="66" t="s">
        <v>62</v>
      </c>
      <c r="X10" s="67" t="s">
        <v>63</v>
      </c>
      <c r="Y10" s="63"/>
      <c r="Z10" s="63"/>
      <c r="AA10" s="64" t="s">
        <v>64</v>
      </c>
      <c r="AB10" s="68">
        <f>IFERROR(__xludf.DUMMYFUNCTION("INDEX(SPLIT(B$7,""/""),0,1)"),8.0)</f>
        <v>8</v>
      </c>
      <c r="AC10" s="69">
        <f>E$7-$X$4</f>
        <v>44459.15</v>
      </c>
      <c r="AD10" s="69">
        <f>I$7-$X$4</f>
        <v>44515.35</v>
      </c>
      <c r="AE10" s="69">
        <f>M$7-$X$4</f>
        <v>44571.55</v>
      </c>
      <c r="AF10" s="69">
        <f>Q$7-$X$4</f>
        <v>44627.75</v>
      </c>
      <c r="AG10" s="68"/>
      <c r="AH10" s="68"/>
      <c r="AI10" s="68"/>
      <c r="AK10" s="64"/>
    </row>
    <row r="11">
      <c r="A11" s="61"/>
      <c r="B11" s="70">
        <f>IF(B10=AE17,AD17,)</f>
        <v>44409</v>
      </c>
      <c r="C11" s="70">
        <f t="shared" ref="C11:H11" si="1">IF(B11&gt;0,B11+1, IF(C10=$AE$17,$AD$17,))</f>
        <v>44410</v>
      </c>
      <c r="D11" s="70">
        <f t="shared" si="1"/>
        <v>44411</v>
      </c>
      <c r="E11" s="70">
        <f t="shared" si="1"/>
        <v>44412</v>
      </c>
      <c r="F11" s="70">
        <f t="shared" si="1"/>
        <v>44413</v>
      </c>
      <c r="G11" s="70">
        <f t="shared" si="1"/>
        <v>44414</v>
      </c>
      <c r="H11" s="70">
        <f t="shared" si="1"/>
        <v>44415</v>
      </c>
      <c r="I11" s="61"/>
      <c r="J11" s="71" t="str">
        <f>IF(J10=AE18,AD18,)</f>
        <v/>
      </c>
      <c r="K11" s="70" t="str">
        <f t="shared" ref="K11:P11" si="2">if(J11&gt;0,J11+1, IF(K10=$AE$18,$AD$18,))</f>
        <v/>
      </c>
      <c r="L11" s="70" t="str">
        <f t="shared" si="2"/>
        <v/>
      </c>
      <c r="M11" s="70">
        <f t="shared" si="2"/>
        <v>44440</v>
      </c>
      <c r="N11" s="70">
        <f t="shared" si="2"/>
        <v>44441</v>
      </c>
      <c r="O11" s="70">
        <f t="shared" si="2"/>
        <v>44442</v>
      </c>
      <c r="P11" s="70">
        <f t="shared" si="2"/>
        <v>44443</v>
      </c>
      <c r="Q11" s="61"/>
      <c r="R11" s="70" t="str">
        <f>IF(R10=AE19,AD19,)</f>
        <v/>
      </c>
      <c r="S11" s="70" t="str">
        <f t="shared" ref="S11:X11" si="3">if(R11&gt;0,R11+1, IF(S10=$AE$19,$AD$19,))</f>
        <v/>
      </c>
      <c r="T11" s="70" t="str">
        <f t="shared" si="3"/>
        <v/>
      </c>
      <c r="U11" s="70" t="str">
        <f t="shared" si="3"/>
        <v/>
      </c>
      <c r="V11" s="70" t="str">
        <f t="shared" si="3"/>
        <v/>
      </c>
      <c r="W11" s="70">
        <f t="shared" si="3"/>
        <v>44470</v>
      </c>
      <c r="X11" s="70">
        <f t="shared" si="3"/>
        <v>44471</v>
      </c>
      <c r="Z11" s="63"/>
      <c r="AA11" s="64" t="s">
        <v>65</v>
      </c>
      <c r="AB11" s="68">
        <f>IFERROR(__xludf.DUMMYFUNCTION("INDEX(SPLIT(B$7,""/""),0,2)"),9.0)</f>
        <v>9</v>
      </c>
      <c r="AC11" s="68"/>
      <c r="AD11" s="68"/>
      <c r="AE11" s="68"/>
      <c r="AF11" s="68"/>
      <c r="AG11" s="68"/>
      <c r="AH11" s="68"/>
      <c r="AI11" s="68"/>
      <c r="AK11" s="64"/>
    </row>
    <row r="12">
      <c r="A12" s="61"/>
      <c r="B12" s="70">
        <f t="shared" ref="B12:B16" si="7">if(OR(H11&gt;=$AF$17, H11=""),,H11+1)</f>
        <v>44416</v>
      </c>
      <c r="C12" s="70">
        <f t="shared" ref="C12:H12" si="4">if(OR(B12&gt;=$AF$17, B12=""),,B12+1)</f>
        <v>44417</v>
      </c>
      <c r="D12" s="70">
        <f t="shared" si="4"/>
        <v>44418</v>
      </c>
      <c r="E12" s="70">
        <f t="shared" si="4"/>
        <v>44419</v>
      </c>
      <c r="F12" s="70">
        <f t="shared" si="4"/>
        <v>44420</v>
      </c>
      <c r="G12" s="70">
        <f t="shared" si="4"/>
        <v>44421</v>
      </c>
      <c r="H12" s="70">
        <f t="shared" si="4"/>
        <v>44422</v>
      </c>
      <c r="I12" s="61"/>
      <c r="J12" s="70">
        <f t="shared" ref="J12:J16" si="9">if(OR(P11&gt;=$AF$18, P11=""),,P11+1)</f>
        <v>44444</v>
      </c>
      <c r="K12" s="70">
        <f t="shared" ref="K12:P12" si="5">if(OR(J12&gt;=$AF$18, J12=""),,J12+1)</f>
        <v>44445</v>
      </c>
      <c r="L12" s="70">
        <f t="shared" si="5"/>
        <v>44446</v>
      </c>
      <c r="M12" s="70">
        <f t="shared" si="5"/>
        <v>44447</v>
      </c>
      <c r="N12" s="70">
        <f t="shared" si="5"/>
        <v>44448</v>
      </c>
      <c r="O12" s="70">
        <f t="shared" si="5"/>
        <v>44449</v>
      </c>
      <c r="P12" s="70">
        <f t="shared" si="5"/>
        <v>44450</v>
      </c>
      <c r="Q12" s="61"/>
      <c r="R12" s="70">
        <f t="shared" ref="R12:R16" si="11">if(OR(X11&gt;=$AF$19, X11=""),,X11+1)</f>
        <v>44472</v>
      </c>
      <c r="S12" s="70">
        <f t="shared" ref="S12:X12" si="6">if(OR(R12&gt;=$AF$19, R12=""),,R12+1)</f>
        <v>44473</v>
      </c>
      <c r="T12" s="70">
        <f t="shared" si="6"/>
        <v>44474</v>
      </c>
      <c r="U12" s="70">
        <f t="shared" si="6"/>
        <v>44475</v>
      </c>
      <c r="V12" s="70">
        <f t="shared" si="6"/>
        <v>44476</v>
      </c>
      <c r="W12" s="70">
        <f t="shared" si="6"/>
        <v>44477</v>
      </c>
      <c r="X12" s="70">
        <f t="shared" si="6"/>
        <v>44478</v>
      </c>
      <c r="Z12" s="63"/>
      <c r="AA12" s="64" t="s">
        <v>66</v>
      </c>
      <c r="AB12" s="68">
        <f>IFERROR(__xludf.DUMMYFUNCTION("INDEX(SPLIT(B$7,""/""),0,3)"),2021.0)</f>
        <v>2021</v>
      </c>
      <c r="AC12" s="68"/>
      <c r="AD12" s="68"/>
      <c r="AE12" s="68"/>
      <c r="AF12" s="68"/>
      <c r="AG12" s="68"/>
      <c r="AH12" s="68"/>
      <c r="AI12" s="68"/>
      <c r="AK12" s="64"/>
    </row>
    <row r="13">
      <c r="A13" s="61"/>
      <c r="B13" s="70">
        <f t="shared" si="7"/>
        <v>44423</v>
      </c>
      <c r="C13" s="70">
        <f t="shared" ref="C13:H13" si="8">if(OR(B13&gt;=$AF$17, B13=""),,B13+1)</f>
        <v>44424</v>
      </c>
      <c r="D13" s="70">
        <f t="shared" si="8"/>
        <v>44425</v>
      </c>
      <c r="E13" s="70">
        <f t="shared" si="8"/>
        <v>44426</v>
      </c>
      <c r="F13" s="70">
        <f t="shared" si="8"/>
        <v>44427</v>
      </c>
      <c r="G13" s="70">
        <f t="shared" si="8"/>
        <v>44428</v>
      </c>
      <c r="H13" s="70">
        <f t="shared" si="8"/>
        <v>44429</v>
      </c>
      <c r="I13" s="61"/>
      <c r="J13" s="70">
        <f t="shared" si="9"/>
        <v>44451</v>
      </c>
      <c r="K13" s="70">
        <f t="shared" ref="K13:P13" si="10">if(OR(J13&gt;=$AF$18, J13=""),,J13+1)</f>
        <v>44452</v>
      </c>
      <c r="L13" s="70">
        <f t="shared" si="10"/>
        <v>44453</v>
      </c>
      <c r="M13" s="70">
        <f t="shared" si="10"/>
        <v>44454</v>
      </c>
      <c r="N13" s="70">
        <f t="shared" si="10"/>
        <v>44455</v>
      </c>
      <c r="O13" s="70">
        <f t="shared" si="10"/>
        <v>44456</v>
      </c>
      <c r="P13" s="70">
        <f t="shared" si="10"/>
        <v>44457</v>
      </c>
      <c r="Q13" s="61"/>
      <c r="R13" s="70">
        <f t="shared" si="11"/>
        <v>44479</v>
      </c>
      <c r="S13" s="70">
        <f t="shared" ref="S13:X13" si="12">if(OR(R13&gt;=$AF$19, R13=""),,R13+1)</f>
        <v>44480</v>
      </c>
      <c r="T13" s="70">
        <f t="shared" si="12"/>
        <v>44481</v>
      </c>
      <c r="U13" s="70">
        <f t="shared" si="12"/>
        <v>44482</v>
      </c>
      <c r="V13" s="70">
        <f t="shared" si="12"/>
        <v>44483</v>
      </c>
      <c r="W13" s="70">
        <f t="shared" si="12"/>
        <v>44484</v>
      </c>
      <c r="X13" s="70">
        <f t="shared" si="12"/>
        <v>44485</v>
      </c>
      <c r="Y13" s="61"/>
      <c r="Z13" s="61"/>
      <c r="AA13" s="65" t="s">
        <v>67</v>
      </c>
      <c r="AB13" s="72">
        <f>DATE(AB12,AB10+1,1)-1</f>
        <v>44439</v>
      </c>
      <c r="AC13" s="72"/>
      <c r="AD13" s="72"/>
      <c r="AE13" s="72"/>
      <c r="AF13" s="72"/>
      <c r="AG13" s="72"/>
      <c r="AH13" s="72"/>
      <c r="AI13" s="72"/>
      <c r="AK13" s="64"/>
    </row>
    <row r="14">
      <c r="A14" s="61"/>
      <c r="B14" s="70">
        <f t="shared" si="7"/>
        <v>44430</v>
      </c>
      <c r="C14" s="70">
        <f t="shared" ref="C14:H14" si="13">if(OR(B14&gt;=$AF$17, B14=""),,B14+1)</f>
        <v>44431</v>
      </c>
      <c r="D14" s="70">
        <f t="shared" si="13"/>
        <v>44432</v>
      </c>
      <c r="E14" s="70">
        <f t="shared" si="13"/>
        <v>44433</v>
      </c>
      <c r="F14" s="70">
        <f t="shared" si="13"/>
        <v>44434</v>
      </c>
      <c r="G14" s="70">
        <f t="shared" si="13"/>
        <v>44435</v>
      </c>
      <c r="H14" s="70">
        <f t="shared" si="13"/>
        <v>44436</v>
      </c>
      <c r="I14" s="61"/>
      <c r="J14" s="70">
        <f t="shared" si="9"/>
        <v>44458</v>
      </c>
      <c r="K14" s="70">
        <f t="shared" ref="K14:P14" si="14">if(OR(J14&gt;=$AF$18, J14=""),,J14+1)</f>
        <v>44459</v>
      </c>
      <c r="L14" s="70">
        <f t="shared" si="14"/>
        <v>44460</v>
      </c>
      <c r="M14" s="70">
        <f t="shared" si="14"/>
        <v>44461</v>
      </c>
      <c r="N14" s="70">
        <f t="shared" si="14"/>
        <v>44462</v>
      </c>
      <c r="O14" s="70">
        <f t="shared" si="14"/>
        <v>44463</v>
      </c>
      <c r="P14" s="70">
        <f t="shared" si="14"/>
        <v>44464</v>
      </c>
      <c r="Q14" s="61"/>
      <c r="R14" s="70">
        <f t="shared" si="11"/>
        <v>44486</v>
      </c>
      <c r="S14" s="70">
        <f t="shared" ref="S14:X14" si="15">if(OR(R14&gt;=$AF$19, R14=""),,R14+1)</f>
        <v>44487</v>
      </c>
      <c r="T14" s="70">
        <f t="shared" si="15"/>
        <v>44488</v>
      </c>
      <c r="U14" s="70">
        <f t="shared" si="15"/>
        <v>44489</v>
      </c>
      <c r="V14" s="70">
        <f t="shared" si="15"/>
        <v>44490</v>
      </c>
      <c r="W14" s="70">
        <f t="shared" si="15"/>
        <v>44491</v>
      </c>
      <c r="X14" s="70">
        <f t="shared" si="15"/>
        <v>44492</v>
      </c>
      <c r="Y14" s="61"/>
      <c r="Z14" s="61"/>
      <c r="AA14" s="65" t="s">
        <v>68</v>
      </c>
      <c r="AB14" s="68">
        <f>DATEDIF(B7, B4, "M")</f>
        <v>9</v>
      </c>
      <c r="AC14" s="64"/>
      <c r="AD14" s="73"/>
      <c r="AE14" s="64"/>
      <c r="AF14" s="64"/>
      <c r="AG14" s="64"/>
      <c r="AH14" s="64"/>
      <c r="AI14" s="64"/>
      <c r="AJ14" s="64"/>
      <c r="AK14" s="64"/>
    </row>
    <row r="15">
      <c r="A15" s="61"/>
      <c r="B15" s="70">
        <f t="shared" si="7"/>
        <v>44437</v>
      </c>
      <c r="C15" s="70">
        <f t="shared" ref="C15:H15" si="16">if(OR(B15&gt;=$AF$17, B15=""),,B15+1)</f>
        <v>44438</v>
      </c>
      <c r="D15" s="70">
        <f t="shared" si="16"/>
        <v>44439</v>
      </c>
      <c r="E15" s="70" t="str">
        <f t="shared" si="16"/>
        <v/>
      </c>
      <c r="F15" s="70" t="str">
        <f t="shared" si="16"/>
        <v/>
      </c>
      <c r="G15" s="70" t="str">
        <f t="shared" si="16"/>
        <v/>
      </c>
      <c r="H15" s="70" t="str">
        <f t="shared" si="16"/>
        <v/>
      </c>
      <c r="I15" s="61"/>
      <c r="J15" s="70">
        <f t="shared" si="9"/>
        <v>44465</v>
      </c>
      <c r="K15" s="70">
        <f t="shared" ref="K15:P15" si="17">if(OR(J15&gt;=$AF$18, J15=""),,J15+1)</f>
        <v>44466</v>
      </c>
      <c r="L15" s="70">
        <f t="shared" si="17"/>
        <v>44467</v>
      </c>
      <c r="M15" s="70">
        <f t="shared" si="17"/>
        <v>44468</v>
      </c>
      <c r="N15" s="70">
        <f t="shared" si="17"/>
        <v>44469</v>
      </c>
      <c r="O15" s="70" t="str">
        <f t="shared" si="17"/>
        <v/>
      </c>
      <c r="P15" s="70" t="str">
        <f t="shared" si="17"/>
        <v/>
      </c>
      <c r="Q15" s="61"/>
      <c r="R15" s="70">
        <f t="shared" si="11"/>
        <v>44493</v>
      </c>
      <c r="S15" s="70">
        <f t="shared" ref="S15:X15" si="18">if(OR(R15&gt;=$AF$19, R15=""),,R15+1)</f>
        <v>44494</v>
      </c>
      <c r="T15" s="70">
        <f t="shared" si="18"/>
        <v>44495</v>
      </c>
      <c r="U15" s="70">
        <f t="shared" si="18"/>
        <v>44496</v>
      </c>
      <c r="V15" s="70">
        <f t="shared" si="18"/>
        <v>44497</v>
      </c>
      <c r="W15" s="70">
        <f t="shared" si="18"/>
        <v>44498</v>
      </c>
      <c r="X15" s="70">
        <f t="shared" si="18"/>
        <v>44499</v>
      </c>
      <c r="Y15" s="61"/>
      <c r="Z15" s="61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</row>
    <row r="16">
      <c r="A16" s="61"/>
      <c r="B16" s="70" t="str">
        <f t="shared" si="7"/>
        <v/>
      </c>
      <c r="C16" s="70" t="str">
        <f t="shared" ref="C16:H16" si="19">if(OR(B16&gt;=$AF$17, B16=""),,B16+1)</f>
        <v/>
      </c>
      <c r="D16" s="70" t="str">
        <f t="shared" si="19"/>
        <v/>
      </c>
      <c r="E16" s="70" t="str">
        <f t="shared" si="19"/>
        <v/>
      </c>
      <c r="F16" s="70" t="str">
        <f t="shared" si="19"/>
        <v/>
      </c>
      <c r="G16" s="70" t="str">
        <f t="shared" si="19"/>
        <v/>
      </c>
      <c r="H16" s="70" t="str">
        <f t="shared" si="19"/>
        <v/>
      </c>
      <c r="I16" s="74"/>
      <c r="J16" s="70" t="str">
        <f t="shared" si="9"/>
        <v/>
      </c>
      <c r="K16" s="70" t="str">
        <f t="shared" ref="K16:P16" si="20">if(OR(J16&gt;=$AF$18, J16=""),,J16+1)</f>
        <v/>
      </c>
      <c r="L16" s="70" t="str">
        <f t="shared" si="20"/>
        <v/>
      </c>
      <c r="M16" s="70" t="str">
        <f t="shared" si="20"/>
        <v/>
      </c>
      <c r="N16" s="70" t="str">
        <f t="shared" si="20"/>
        <v/>
      </c>
      <c r="O16" s="70" t="str">
        <f t="shared" si="20"/>
        <v/>
      </c>
      <c r="P16" s="70" t="str">
        <f t="shared" si="20"/>
        <v/>
      </c>
      <c r="Q16" s="61"/>
      <c r="R16" s="70">
        <f t="shared" si="11"/>
        <v>44500</v>
      </c>
      <c r="S16" s="70" t="str">
        <f t="shared" ref="S16:X16" si="21">if(OR(R16&gt;=$AF$19, R16=""),,R16+1)</f>
        <v/>
      </c>
      <c r="T16" s="70" t="str">
        <f t="shared" si="21"/>
        <v/>
      </c>
      <c r="U16" s="70" t="str">
        <f t="shared" si="21"/>
        <v/>
      </c>
      <c r="V16" s="70" t="str">
        <f t="shared" si="21"/>
        <v/>
      </c>
      <c r="W16" s="70" t="str">
        <f t="shared" si="21"/>
        <v/>
      </c>
      <c r="X16" s="70" t="str">
        <f t="shared" si="21"/>
        <v/>
      </c>
      <c r="Y16" s="61"/>
      <c r="Z16" s="61"/>
      <c r="AA16" s="75"/>
      <c r="AB16" s="64"/>
      <c r="AC16" s="76" t="s">
        <v>69</v>
      </c>
      <c r="AD16" s="76" t="s">
        <v>70</v>
      </c>
      <c r="AE16" s="64" t="s">
        <v>71</v>
      </c>
      <c r="AF16" s="64" t="s">
        <v>67</v>
      </c>
      <c r="AG16" s="64" t="s">
        <v>72</v>
      </c>
      <c r="AH16" s="65"/>
      <c r="AI16" s="65"/>
      <c r="AJ16" s="65"/>
      <c r="AK16" s="65"/>
    </row>
    <row r="17">
      <c r="A17" s="61"/>
      <c r="B17" s="61"/>
      <c r="C17" s="77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8"/>
      <c r="AB17" s="65"/>
      <c r="AC17" s="64" t="str">
        <f t="shared" ref="AC17:AC31" si="22">TEXT(AF17, "MMMM")</f>
        <v>August</v>
      </c>
      <c r="AD17" s="78">
        <f>DATE(AB$12,AB$10,1)</f>
        <v>44409</v>
      </c>
      <c r="AE17" s="64" t="str">
        <f t="shared" ref="AE17:AE31" si="23">TEXT(AD17, "DDD")</f>
        <v>Sun</v>
      </c>
      <c r="AF17" s="72">
        <f>EOMONTH($B$7, 0)</f>
        <v>44439</v>
      </c>
      <c r="AG17" s="68">
        <f t="shared" ref="AG17:AG31" si="24">YEAR(AF17)</f>
        <v>2021</v>
      </c>
      <c r="AH17" s="79"/>
      <c r="AI17" s="73"/>
      <c r="AJ17" s="73"/>
      <c r="AK17" s="68"/>
    </row>
    <row r="18">
      <c r="A18" s="61"/>
      <c r="B18" s="62" t="str">
        <f>AC20&amp;" "&amp;AG20</f>
        <v>November 2021</v>
      </c>
      <c r="I18" s="61"/>
      <c r="J18" s="62" t="str">
        <f>AC21&amp;" "&amp;AG21</f>
        <v>December 2021</v>
      </c>
      <c r="Q18" s="61"/>
      <c r="R18" s="62" t="str">
        <f>AC22&amp;" "&amp;AG22</f>
        <v>January 2022</v>
      </c>
      <c r="Y18" s="61"/>
      <c r="Z18" s="61"/>
      <c r="AA18" s="68"/>
      <c r="AB18" s="64"/>
      <c r="AC18" s="64" t="str">
        <f t="shared" si="22"/>
        <v>September</v>
      </c>
      <c r="AD18" s="78">
        <f>DATE(AB$12,AB$10+1,1)</f>
        <v>44440</v>
      </c>
      <c r="AE18" s="64" t="str">
        <f t="shared" si="23"/>
        <v>Wed</v>
      </c>
      <c r="AF18" s="72">
        <f>EOMONTH($B$7, 1)</f>
        <v>44469</v>
      </c>
      <c r="AG18" s="68">
        <f t="shared" si="24"/>
        <v>2021</v>
      </c>
      <c r="AH18" s="73"/>
      <c r="AI18" s="73"/>
      <c r="AJ18" s="73"/>
      <c r="AK18" s="68"/>
    </row>
    <row r="19">
      <c r="A19" s="61"/>
      <c r="B19" s="66" t="s">
        <v>57</v>
      </c>
      <c r="C19" s="80" t="s">
        <v>58</v>
      </c>
      <c r="D19" s="66" t="s">
        <v>59</v>
      </c>
      <c r="E19" s="66" t="s">
        <v>60</v>
      </c>
      <c r="F19" s="66" t="s">
        <v>61</v>
      </c>
      <c r="G19" s="66" t="s">
        <v>62</v>
      </c>
      <c r="H19" s="66" t="s">
        <v>63</v>
      </c>
      <c r="I19" s="61"/>
      <c r="J19" s="66" t="s">
        <v>57</v>
      </c>
      <c r="K19" s="66" t="s">
        <v>58</v>
      </c>
      <c r="L19" s="66" t="s">
        <v>59</v>
      </c>
      <c r="M19" s="66" t="s">
        <v>60</v>
      </c>
      <c r="N19" s="66" t="s">
        <v>61</v>
      </c>
      <c r="O19" s="66" t="s">
        <v>62</v>
      </c>
      <c r="P19" s="66" t="s">
        <v>63</v>
      </c>
      <c r="Q19" s="61"/>
      <c r="R19" s="66" t="s">
        <v>57</v>
      </c>
      <c r="S19" s="66" t="s">
        <v>58</v>
      </c>
      <c r="T19" s="66" t="s">
        <v>59</v>
      </c>
      <c r="U19" s="66" t="s">
        <v>60</v>
      </c>
      <c r="V19" s="66" t="s">
        <v>61</v>
      </c>
      <c r="W19" s="66" t="s">
        <v>62</v>
      </c>
      <c r="X19" s="66" t="s">
        <v>63</v>
      </c>
      <c r="Y19" s="61"/>
      <c r="Z19" s="61"/>
      <c r="AA19" s="68"/>
      <c r="AB19" s="64"/>
      <c r="AC19" s="64" t="str">
        <f t="shared" si="22"/>
        <v>October</v>
      </c>
      <c r="AD19" s="78">
        <f>DATE(AB$12,AB$10+2,1)</f>
        <v>44470</v>
      </c>
      <c r="AE19" s="64" t="str">
        <f t="shared" si="23"/>
        <v>Fri</v>
      </c>
      <c r="AF19" s="72">
        <f>EOMONTH($B$7, 2)</f>
        <v>44500</v>
      </c>
      <c r="AG19" s="68">
        <f t="shared" si="24"/>
        <v>2021</v>
      </c>
      <c r="AH19" s="73"/>
      <c r="AI19" s="73"/>
      <c r="AJ19" s="73"/>
      <c r="AK19" s="68"/>
    </row>
    <row r="20">
      <c r="A20" s="61"/>
      <c r="B20" s="70" t="str">
        <f>IF(B19=AE20,AD20,)</f>
        <v/>
      </c>
      <c r="C20" s="70">
        <f t="shared" ref="C20:H20" si="25">IF(B20&gt;0,B20+1, IF(C19=$AE$20,$AD$20,))</f>
        <v>44501</v>
      </c>
      <c r="D20" s="70">
        <f t="shared" si="25"/>
        <v>44502</v>
      </c>
      <c r="E20" s="70">
        <f t="shared" si="25"/>
        <v>44503</v>
      </c>
      <c r="F20" s="70">
        <f t="shared" si="25"/>
        <v>44504</v>
      </c>
      <c r="G20" s="70">
        <f t="shared" si="25"/>
        <v>44505</v>
      </c>
      <c r="H20" s="70">
        <f t="shared" si="25"/>
        <v>44506</v>
      </c>
      <c r="I20" s="61"/>
      <c r="J20" s="70" t="str">
        <f>IF(J19=AE21,AD21,)</f>
        <v/>
      </c>
      <c r="K20" s="70" t="str">
        <f t="shared" ref="K20:P20" si="26">if(J20&gt;0,J20+1, IF(K19=$AE$21,$AD$21,))</f>
        <v/>
      </c>
      <c r="L20" s="70" t="str">
        <f t="shared" si="26"/>
        <v/>
      </c>
      <c r="M20" s="70">
        <f t="shared" si="26"/>
        <v>44531</v>
      </c>
      <c r="N20" s="70">
        <f t="shared" si="26"/>
        <v>44532</v>
      </c>
      <c r="O20" s="70">
        <f t="shared" si="26"/>
        <v>44533</v>
      </c>
      <c r="P20" s="70">
        <f t="shared" si="26"/>
        <v>44534</v>
      </c>
      <c r="Q20" s="61"/>
      <c r="R20" s="70" t="str">
        <f>IF(R19=AE22,AD22,)</f>
        <v/>
      </c>
      <c r="S20" s="70" t="str">
        <f t="shared" ref="S20:X20" si="27">if(R20&gt;0,R20+1, IF(S19=$AE$22,$AD$22,))</f>
        <v/>
      </c>
      <c r="T20" s="70" t="str">
        <f t="shared" si="27"/>
        <v/>
      </c>
      <c r="U20" s="70" t="str">
        <f t="shared" si="27"/>
        <v/>
      </c>
      <c r="V20" s="70" t="str">
        <f t="shared" si="27"/>
        <v/>
      </c>
      <c r="W20" s="70" t="str">
        <f t="shared" si="27"/>
        <v/>
      </c>
      <c r="X20" s="70">
        <f t="shared" si="27"/>
        <v>44562</v>
      </c>
      <c r="Y20" s="61"/>
      <c r="Z20" s="61"/>
      <c r="AA20" s="68"/>
      <c r="AB20" s="64"/>
      <c r="AC20" s="64" t="str">
        <f t="shared" si="22"/>
        <v>November</v>
      </c>
      <c r="AD20" s="78">
        <f>DATE(AB$12,AB$10+3,1)</f>
        <v>44501</v>
      </c>
      <c r="AE20" s="64" t="str">
        <f t="shared" si="23"/>
        <v>Mon</v>
      </c>
      <c r="AF20" s="72">
        <f>EOMONTH($B$7, 3)</f>
        <v>44530</v>
      </c>
      <c r="AG20" s="68">
        <f t="shared" si="24"/>
        <v>2021</v>
      </c>
      <c r="AH20" s="73"/>
      <c r="AI20" s="73"/>
      <c r="AJ20" s="73"/>
      <c r="AK20" s="68"/>
    </row>
    <row r="21">
      <c r="A21" s="61"/>
      <c r="B21" s="70">
        <f t="shared" ref="B21:B25" si="31">if(OR(H20&gt;=$AF$20, H20=""),,H20+1)</f>
        <v>44507</v>
      </c>
      <c r="C21" s="70">
        <f t="shared" ref="C21:H21" si="28">if(OR(B21&gt;=$AF$20, B21=""),,B21+1)</f>
        <v>44508</v>
      </c>
      <c r="D21" s="70">
        <f t="shared" si="28"/>
        <v>44509</v>
      </c>
      <c r="E21" s="70">
        <f t="shared" si="28"/>
        <v>44510</v>
      </c>
      <c r="F21" s="70">
        <f t="shared" si="28"/>
        <v>44511</v>
      </c>
      <c r="G21" s="70">
        <f t="shared" si="28"/>
        <v>44512</v>
      </c>
      <c r="H21" s="70">
        <f t="shared" si="28"/>
        <v>44513</v>
      </c>
      <c r="I21" s="61"/>
      <c r="J21" s="70">
        <f t="shared" ref="J21:J25" si="33">if(OR(P20&gt;=$AF$21, P20=""),,P20+1)</f>
        <v>44535</v>
      </c>
      <c r="K21" s="70">
        <f t="shared" ref="K21:P21" si="29">if(OR(J21&gt;=$AF$21, J21=""),,J21+1)</f>
        <v>44536</v>
      </c>
      <c r="L21" s="70">
        <f t="shared" si="29"/>
        <v>44537</v>
      </c>
      <c r="M21" s="70">
        <f t="shared" si="29"/>
        <v>44538</v>
      </c>
      <c r="N21" s="70">
        <f t="shared" si="29"/>
        <v>44539</v>
      </c>
      <c r="O21" s="70">
        <f t="shared" si="29"/>
        <v>44540</v>
      </c>
      <c r="P21" s="70">
        <f t="shared" si="29"/>
        <v>44541</v>
      </c>
      <c r="Q21" s="61"/>
      <c r="R21" s="70">
        <f t="shared" ref="R21:R25" si="35">if(OR(X20&gt;=$AF$22, X20=""),,X20+1)</f>
        <v>44563</v>
      </c>
      <c r="S21" s="70">
        <f t="shared" ref="S21:X21" si="30">if(OR(R21&gt;=$AF$22, R21=""),,R21+1)</f>
        <v>44564</v>
      </c>
      <c r="T21" s="70">
        <f t="shared" si="30"/>
        <v>44565</v>
      </c>
      <c r="U21" s="70">
        <f t="shared" si="30"/>
        <v>44566</v>
      </c>
      <c r="V21" s="70">
        <f t="shared" si="30"/>
        <v>44567</v>
      </c>
      <c r="W21" s="70">
        <f t="shared" si="30"/>
        <v>44568</v>
      </c>
      <c r="X21" s="70">
        <f t="shared" si="30"/>
        <v>44569</v>
      </c>
      <c r="Y21" s="61"/>
      <c r="Z21" s="61"/>
      <c r="AA21" s="68"/>
      <c r="AB21" s="64"/>
      <c r="AC21" s="64" t="str">
        <f t="shared" si="22"/>
        <v>December</v>
      </c>
      <c r="AD21" s="78">
        <f>DATE(AB$12,AB$10+4,1)</f>
        <v>44531</v>
      </c>
      <c r="AE21" s="64" t="str">
        <f t="shared" si="23"/>
        <v>Wed</v>
      </c>
      <c r="AF21" s="72">
        <f>EOMONTH($B$7, 4)</f>
        <v>44561</v>
      </c>
      <c r="AG21" s="68">
        <f t="shared" si="24"/>
        <v>2021</v>
      </c>
      <c r="AH21" s="73"/>
      <c r="AI21" s="73"/>
      <c r="AJ21" s="73"/>
      <c r="AK21" s="68"/>
    </row>
    <row r="22">
      <c r="A22" s="61"/>
      <c r="B22" s="70">
        <f t="shared" si="31"/>
        <v>44514</v>
      </c>
      <c r="C22" s="70">
        <f t="shared" ref="C22:H22" si="32">if(OR(B22&gt;=$AF$20, B22=""),,B22+1)</f>
        <v>44515</v>
      </c>
      <c r="D22" s="70">
        <f t="shared" si="32"/>
        <v>44516</v>
      </c>
      <c r="E22" s="70">
        <f t="shared" si="32"/>
        <v>44517</v>
      </c>
      <c r="F22" s="70">
        <f t="shared" si="32"/>
        <v>44518</v>
      </c>
      <c r="G22" s="70">
        <f t="shared" si="32"/>
        <v>44519</v>
      </c>
      <c r="H22" s="70">
        <f t="shared" si="32"/>
        <v>44520</v>
      </c>
      <c r="I22" s="61"/>
      <c r="J22" s="70">
        <f t="shared" si="33"/>
        <v>44542</v>
      </c>
      <c r="K22" s="70">
        <f t="shared" ref="K22:P22" si="34">if(OR(J22&gt;=$AF$21, J22=""),,J22+1)</f>
        <v>44543</v>
      </c>
      <c r="L22" s="70">
        <f t="shared" si="34"/>
        <v>44544</v>
      </c>
      <c r="M22" s="70">
        <f t="shared" si="34"/>
        <v>44545</v>
      </c>
      <c r="N22" s="70">
        <f t="shared" si="34"/>
        <v>44546</v>
      </c>
      <c r="O22" s="70">
        <f t="shared" si="34"/>
        <v>44547</v>
      </c>
      <c r="P22" s="70">
        <f t="shared" si="34"/>
        <v>44548</v>
      </c>
      <c r="Q22" s="61"/>
      <c r="R22" s="70">
        <f t="shared" si="35"/>
        <v>44570</v>
      </c>
      <c r="S22" s="70">
        <f t="shared" ref="S22:X22" si="36">if(OR(R22&gt;=$AF$22, R22=""),,R22+1)</f>
        <v>44571</v>
      </c>
      <c r="T22" s="70">
        <f t="shared" si="36"/>
        <v>44572</v>
      </c>
      <c r="U22" s="70">
        <f t="shared" si="36"/>
        <v>44573</v>
      </c>
      <c r="V22" s="70">
        <f t="shared" si="36"/>
        <v>44574</v>
      </c>
      <c r="W22" s="70">
        <f t="shared" si="36"/>
        <v>44575</v>
      </c>
      <c r="X22" s="70">
        <f t="shared" si="36"/>
        <v>44576</v>
      </c>
      <c r="Y22" s="61"/>
      <c r="Z22" s="61"/>
      <c r="AA22" s="68"/>
      <c r="AB22" s="64"/>
      <c r="AC22" s="64" t="str">
        <f t="shared" si="22"/>
        <v>January</v>
      </c>
      <c r="AD22" s="78">
        <f>DATE(AB$12,AB$10+5,1)</f>
        <v>44562</v>
      </c>
      <c r="AE22" s="64" t="str">
        <f t="shared" si="23"/>
        <v>Sat</v>
      </c>
      <c r="AF22" s="72">
        <f>EOMONTH($B$7, 5)</f>
        <v>44592</v>
      </c>
      <c r="AG22" s="68">
        <f t="shared" si="24"/>
        <v>2022</v>
      </c>
      <c r="AH22" s="73"/>
      <c r="AI22" s="73"/>
      <c r="AJ22" s="73"/>
      <c r="AK22" s="68"/>
    </row>
    <row r="23">
      <c r="A23" s="61"/>
      <c r="B23" s="70">
        <f t="shared" si="31"/>
        <v>44521</v>
      </c>
      <c r="C23" s="70">
        <f t="shared" ref="C23:H23" si="37">if(OR(B23&gt;=$AF$20, B23=""),,B23+1)</f>
        <v>44522</v>
      </c>
      <c r="D23" s="70">
        <f t="shared" si="37"/>
        <v>44523</v>
      </c>
      <c r="E23" s="70">
        <f t="shared" si="37"/>
        <v>44524</v>
      </c>
      <c r="F23" s="70">
        <f t="shared" si="37"/>
        <v>44525</v>
      </c>
      <c r="G23" s="70">
        <f t="shared" si="37"/>
        <v>44526</v>
      </c>
      <c r="H23" s="70">
        <f t="shared" si="37"/>
        <v>44527</v>
      </c>
      <c r="I23" s="61"/>
      <c r="J23" s="70">
        <f t="shared" si="33"/>
        <v>44549</v>
      </c>
      <c r="K23" s="70">
        <f t="shared" ref="K23:P23" si="38">if(OR(J23&gt;=$AF$21, J23=""),,J23+1)</f>
        <v>44550</v>
      </c>
      <c r="L23" s="70">
        <f t="shared" si="38"/>
        <v>44551</v>
      </c>
      <c r="M23" s="70">
        <f t="shared" si="38"/>
        <v>44552</v>
      </c>
      <c r="N23" s="70">
        <f t="shared" si="38"/>
        <v>44553</v>
      </c>
      <c r="O23" s="70">
        <f t="shared" si="38"/>
        <v>44554</v>
      </c>
      <c r="P23" s="70">
        <f t="shared" si="38"/>
        <v>44555</v>
      </c>
      <c r="Q23" s="61"/>
      <c r="R23" s="70">
        <f t="shared" si="35"/>
        <v>44577</v>
      </c>
      <c r="S23" s="70">
        <f t="shared" ref="S23:X23" si="39">if(OR(R23&gt;=$AF$22, R23=""),,R23+1)</f>
        <v>44578</v>
      </c>
      <c r="T23" s="70">
        <f t="shared" si="39"/>
        <v>44579</v>
      </c>
      <c r="U23" s="70">
        <f t="shared" si="39"/>
        <v>44580</v>
      </c>
      <c r="V23" s="70">
        <f t="shared" si="39"/>
        <v>44581</v>
      </c>
      <c r="W23" s="70">
        <f t="shared" si="39"/>
        <v>44582</v>
      </c>
      <c r="X23" s="70">
        <f t="shared" si="39"/>
        <v>44583</v>
      </c>
      <c r="Y23" s="61"/>
      <c r="Z23" s="61"/>
      <c r="AA23" s="68"/>
      <c r="AB23" s="64"/>
      <c r="AC23" s="64" t="str">
        <f t="shared" si="22"/>
        <v>February</v>
      </c>
      <c r="AD23" s="78">
        <f>DATE(AB$12,AB$10+6,1)</f>
        <v>44593</v>
      </c>
      <c r="AE23" s="64" t="str">
        <f t="shared" si="23"/>
        <v>Tue</v>
      </c>
      <c r="AF23" s="72">
        <f>EOMONTH($B$7, 6)</f>
        <v>44620</v>
      </c>
      <c r="AG23" s="68">
        <f t="shared" si="24"/>
        <v>2022</v>
      </c>
      <c r="AH23" s="73"/>
      <c r="AI23" s="73"/>
      <c r="AJ23" s="73"/>
      <c r="AK23" s="68"/>
    </row>
    <row r="24">
      <c r="A24" s="61"/>
      <c r="B24" s="70">
        <f t="shared" si="31"/>
        <v>44528</v>
      </c>
      <c r="C24" s="70">
        <f t="shared" ref="C24:H24" si="40">if(OR(B24&gt;=$AF$20, B24=""),,B24+1)</f>
        <v>44529</v>
      </c>
      <c r="D24" s="70">
        <f t="shared" si="40"/>
        <v>44530</v>
      </c>
      <c r="E24" s="70" t="str">
        <f t="shared" si="40"/>
        <v/>
      </c>
      <c r="F24" s="70" t="str">
        <f t="shared" si="40"/>
        <v/>
      </c>
      <c r="G24" s="70" t="str">
        <f t="shared" si="40"/>
        <v/>
      </c>
      <c r="H24" s="70" t="str">
        <f t="shared" si="40"/>
        <v/>
      </c>
      <c r="I24" s="61"/>
      <c r="J24" s="70">
        <f t="shared" si="33"/>
        <v>44556</v>
      </c>
      <c r="K24" s="70">
        <f t="shared" ref="K24:P24" si="41">if(OR(J24&gt;=$AF$21, J24=""),,J24+1)</f>
        <v>44557</v>
      </c>
      <c r="L24" s="70">
        <f t="shared" si="41"/>
        <v>44558</v>
      </c>
      <c r="M24" s="70">
        <f t="shared" si="41"/>
        <v>44559</v>
      </c>
      <c r="N24" s="70">
        <f t="shared" si="41"/>
        <v>44560</v>
      </c>
      <c r="O24" s="70">
        <f t="shared" si="41"/>
        <v>44561</v>
      </c>
      <c r="P24" s="70" t="str">
        <f t="shared" si="41"/>
        <v/>
      </c>
      <c r="Q24" s="61"/>
      <c r="R24" s="70">
        <f t="shared" si="35"/>
        <v>44584</v>
      </c>
      <c r="S24" s="70">
        <f t="shared" ref="S24:X24" si="42">if(OR(R24&gt;=$AF$22, R24=""),,R24+1)</f>
        <v>44585</v>
      </c>
      <c r="T24" s="70">
        <f t="shared" si="42"/>
        <v>44586</v>
      </c>
      <c r="U24" s="70">
        <f t="shared" si="42"/>
        <v>44587</v>
      </c>
      <c r="V24" s="70">
        <f t="shared" si="42"/>
        <v>44588</v>
      </c>
      <c r="W24" s="70">
        <f t="shared" si="42"/>
        <v>44589</v>
      </c>
      <c r="X24" s="70">
        <f t="shared" si="42"/>
        <v>44590</v>
      </c>
      <c r="Y24" s="61"/>
      <c r="Z24" s="61"/>
      <c r="AA24" s="68"/>
      <c r="AB24" s="64"/>
      <c r="AC24" s="64" t="str">
        <f t="shared" si="22"/>
        <v>March</v>
      </c>
      <c r="AD24" s="78">
        <f>DATE(AB$12,AB$10+7,1)</f>
        <v>44621</v>
      </c>
      <c r="AE24" s="64" t="str">
        <f t="shared" si="23"/>
        <v>Tue</v>
      </c>
      <c r="AF24" s="72">
        <f>EOMONTH($B$7, 7)</f>
        <v>44651</v>
      </c>
      <c r="AG24" s="68">
        <f t="shared" si="24"/>
        <v>2022</v>
      </c>
      <c r="AH24" s="73"/>
      <c r="AI24" s="73"/>
      <c r="AJ24" s="73"/>
      <c r="AK24" s="68"/>
    </row>
    <row r="25">
      <c r="A25" s="61"/>
      <c r="B25" s="70" t="str">
        <f t="shared" si="31"/>
        <v/>
      </c>
      <c r="C25" s="70" t="str">
        <f t="shared" ref="C25:H25" si="43">if(OR(B25&gt;=$AF$20, B25=""),,B25+1)</f>
        <v/>
      </c>
      <c r="D25" s="70" t="str">
        <f t="shared" si="43"/>
        <v/>
      </c>
      <c r="E25" s="70" t="str">
        <f t="shared" si="43"/>
        <v/>
      </c>
      <c r="F25" s="70" t="str">
        <f t="shared" si="43"/>
        <v/>
      </c>
      <c r="G25" s="70" t="str">
        <f t="shared" si="43"/>
        <v/>
      </c>
      <c r="H25" s="70" t="str">
        <f t="shared" si="43"/>
        <v/>
      </c>
      <c r="I25" s="61"/>
      <c r="J25" s="70" t="str">
        <f t="shared" si="33"/>
        <v/>
      </c>
      <c r="K25" s="70" t="str">
        <f t="shared" ref="K25:P25" si="44">if(OR(J25&gt;=$AF$21, J25=""),,J25+1)</f>
        <v/>
      </c>
      <c r="L25" s="70" t="str">
        <f t="shared" si="44"/>
        <v/>
      </c>
      <c r="M25" s="70" t="str">
        <f t="shared" si="44"/>
        <v/>
      </c>
      <c r="N25" s="70" t="str">
        <f t="shared" si="44"/>
        <v/>
      </c>
      <c r="O25" s="70" t="str">
        <f t="shared" si="44"/>
        <v/>
      </c>
      <c r="P25" s="70" t="str">
        <f t="shared" si="44"/>
        <v/>
      </c>
      <c r="Q25" s="61"/>
      <c r="R25" s="70">
        <f t="shared" si="35"/>
        <v>44591</v>
      </c>
      <c r="S25" s="70">
        <f t="shared" ref="S25:X25" si="45">if(OR(R25&gt;=$AF$22, R25=""),,R25+1)</f>
        <v>44592</v>
      </c>
      <c r="T25" s="70" t="str">
        <f t="shared" si="45"/>
        <v/>
      </c>
      <c r="U25" s="70" t="str">
        <f t="shared" si="45"/>
        <v/>
      </c>
      <c r="V25" s="70" t="str">
        <f t="shared" si="45"/>
        <v/>
      </c>
      <c r="W25" s="70" t="str">
        <f t="shared" si="45"/>
        <v/>
      </c>
      <c r="X25" s="70" t="str">
        <f t="shared" si="45"/>
        <v/>
      </c>
      <c r="Y25" s="61"/>
      <c r="Z25" s="61"/>
      <c r="AA25" s="68"/>
      <c r="AB25" s="64"/>
      <c r="AC25" s="64" t="str">
        <f t="shared" si="22"/>
        <v>April</v>
      </c>
      <c r="AD25" s="78">
        <f>DATE(AB$12,AB$10+8,1)</f>
        <v>44652</v>
      </c>
      <c r="AE25" s="64" t="str">
        <f t="shared" si="23"/>
        <v>Fri</v>
      </c>
      <c r="AF25" s="72">
        <f>EOMONTH($B$7, 8)</f>
        <v>44681</v>
      </c>
      <c r="AG25" s="68">
        <f t="shared" si="24"/>
        <v>2022</v>
      </c>
      <c r="AH25" s="73"/>
      <c r="AI25" s="73"/>
      <c r="AJ25" s="73"/>
      <c r="AK25" s="68"/>
    </row>
    <row r="26">
      <c r="A26" s="61"/>
      <c r="B26" s="61"/>
      <c r="C26" s="77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8"/>
      <c r="AB26" s="64"/>
      <c r="AC26" s="64" t="str">
        <f t="shared" si="22"/>
        <v>May</v>
      </c>
      <c r="AD26" s="78">
        <f>DATE(AB$12,AB$10+9,1)</f>
        <v>44682</v>
      </c>
      <c r="AE26" s="64" t="str">
        <f t="shared" si="23"/>
        <v>Sun</v>
      </c>
      <c r="AF26" s="72">
        <f>EOMONTH($B$7, 9)</f>
        <v>44712</v>
      </c>
      <c r="AG26" s="68">
        <f t="shared" si="24"/>
        <v>2022</v>
      </c>
      <c r="AH26" s="73"/>
      <c r="AI26" s="73"/>
      <c r="AJ26" s="73"/>
      <c r="AK26" s="68"/>
    </row>
    <row r="27">
      <c r="A27" s="61"/>
      <c r="B27" s="62" t="str">
        <f>AC23&amp;" "&amp;AG23</f>
        <v>February 2022</v>
      </c>
      <c r="I27" s="61"/>
      <c r="J27" s="62" t="str">
        <f>AC24&amp;" "&amp;AG24</f>
        <v>March 2022</v>
      </c>
      <c r="Q27" s="61"/>
      <c r="R27" s="62" t="str">
        <f>AC25&amp;" "&amp;AG25</f>
        <v>April 2022</v>
      </c>
      <c r="Y27" s="61"/>
      <c r="Z27" s="61"/>
      <c r="AA27" s="68"/>
      <c r="AB27" s="64"/>
      <c r="AC27" s="64" t="str">
        <f t="shared" si="22"/>
        <v>June</v>
      </c>
      <c r="AD27" s="78">
        <f>DATE(AB$12,AB$10+10,1)</f>
        <v>44713</v>
      </c>
      <c r="AE27" s="64" t="str">
        <f t="shared" si="23"/>
        <v>Wed</v>
      </c>
      <c r="AF27" s="72">
        <f>EOMONTH($B$7, 10)</f>
        <v>44742</v>
      </c>
      <c r="AG27" s="68">
        <f t="shared" si="24"/>
        <v>2022</v>
      </c>
      <c r="AH27" s="73"/>
      <c r="AI27" s="73"/>
      <c r="AJ27" s="73"/>
      <c r="AK27" s="68"/>
    </row>
    <row r="28">
      <c r="A28" s="61"/>
      <c r="B28" s="66" t="s">
        <v>57</v>
      </c>
      <c r="C28" s="80" t="s">
        <v>58</v>
      </c>
      <c r="D28" s="66" t="s">
        <v>59</v>
      </c>
      <c r="E28" s="66" t="s">
        <v>60</v>
      </c>
      <c r="F28" s="66" t="s">
        <v>61</v>
      </c>
      <c r="G28" s="66" t="s">
        <v>62</v>
      </c>
      <c r="H28" s="66" t="s">
        <v>63</v>
      </c>
      <c r="I28" s="61"/>
      <c r="J28" s="66" t="s">
        <v>57</v>
      </c>
      <c r="K28" s="66" t="s">
        <v>58</v>
      </c>
      <c r="L28" s="66" t="s">
        <v>59</v>
      </c>
      <c r="M28" s="66" t="s">
        <v>60</v>
      </c>
      <c r="N28" s="66" t="s">
        <v>61</v>
      </c>
      <c r="O28" s="66" t="s">
        <v>62</v>
      </c>
      <c r="P28" s="66" t="s">
        <v>63</v>
      </c>
      <c r="Q28" s="61"/>
      <c r="R28" s="66" t="s">
        <v>57</v>
      </c>
      <c r="S28" s="66" t="s">
        <v>58</v>
      </c>
      <c r="T28" s="66" t="s">
        <v>59</v>
      </c>
      <c r="U28" s="66" t="s">
        <v>60</v>
      </c>
      <c r="V28" s="66" t="s">
        <v>61</v>
      </c>
      <c r="W28" s="66" t="s">
        <v>62</v>
      </c>
      <c r="X28" s="66" t="s">
        <v>63</v>
      </c>
      <c r="Y28" s="61"/>
      <c r="Z28" s="61"/>
      <c r="AA28" s="68"/>
      <c r="AB28" s="64"/>
      <c r="AC28" s="64" t="str">
        <f t="shared" si="22"/>
        <v>July</v>
      </c>
      <c r="AD28" s="78">
        <f>DATE(AB$12,AB$10+11,1)</f>
        <v>44743</v>
      </c>
      <c r="AE28" s="64" t="str">
        <f t="shared" si="23"/>
        <v>Fri</v>
      </c>
      <c r="AF28" s="72">
        <f>EOMONTH($B$7, 11)</f>
        <v>44773</v>
      </c>
      <c r="AG28" s="68">
        <f t="shared" si="24"/>
        <v>2022</v>
      </c>
      <c r="AH28" s="73"/>
      <c r="AI28" s="73"/>
      <c r="AJ28" s="73"/>
      <c r="AK28" s="68"/>
    </row>
    <row r="29">
      <c r="A29" s="61"/>
      <c r="B29" s="70" t="str">
        <f>IF(B28=AE23,AD23,)</f>
        <v/>
      </c>
      <c r="C29" s="70" t="str">
        <f t="shared" ref="C29:H29" si="46">IF(B29&gt;0,B29+1, IF(C28=$AE$23,$AD$23,))</f>
        <v/>
      </c>
      <c r="D29" s="70">
        <f t="shared" si="46"/>
        <v>44593</v>
      </c>
      <c r="E29" s="70">
        <f t="shared" si="46"/>
        <v>44594</v>
      </c>
      <c r="F29" s="70">
        <f t="shared" si="46"/>
        <v>44595</v>
      </c>
      <c r="G29" s="70">
        <f t="shared" si="46"/>
        <v>44596</v>
      </c>
      <c r="H29" s="70">
        <f t="shared" si="46"/>
        <v>44597</v>
      </c>
      <c r="I29" s="61"/>
      <c r="J29" s="70" t="str">
        <f>IF(J28=AE24,AD24,)</f>
        <v/>
      </c>
      <c r="K29" s="70" t="str">
        <f t="shared" ref="K29:P29" si="47">if(J29&gt;0,J29+1, IF(K28=$AE$24,$AD$24,))</f>
        <v/>
      </c>
      <c r="L29" s="70">
        <f t="shared" si="47"/>
        <v>44621</v>
      </c>
      <c r="M29" s="70">
        <f t="shared" si="47"/>
        <v>44622</v>
      </c>
      <c r="N29" s="70">
        <f t="shared" si="47"/>
        <v>44623</v>
      </c>
      <c r="O29" s="70">
        <f t="shared" si="47"/>
        <v>44624</v>
      </c>
      <c r="P29" s="70">
        <f t="shared" si="47"/>
        <v>44625</v>
      </c>
      <c r="Q29" s="61"/>
      <c r="R29" s="70" t="str">
        <f>IF(R28=AE25,AD25,)</f>
        <v/>
      </c>
      <c r="S29" s="70" t="str">
        <f t="shared" ref="S29:X29" si="48">if(R29&gt;0,R29+1, IF(S28=$AE$25,$AD$25,))</f>
        <v/>
      </c>
      <c r="T29" s="70" t="str">
        <f t="shared" si="48"/>
        <v/>
      </c>
      <c r="U29" s="70" t="str">
        <f t="shared" si="48"/>
        <v/>
      </c>
      <c r="V29" s="70" t="str">
        <f t="shared" si="48"/>
        <v/>
      </c>
      <c r="W29" s="70">
        <f t="shared" si="48"/>
        <v>44652</v>
      </c>
      <c r="X29" s="70">
        <f t="shared" si="48"/>
        <v>44653</v>
      </c>
      <c r="Y29" s="61"/>
      <c r="Z29" s="61"/>
      <c r="AA29" s="68"/>
      <c r="AB29" s="64"/>
      <c r="AC29" s="64" t="str">
        <f t="shared" si="22"/>
        <v>August</v>
      </c>
      <c r="AD29" s="78">
        <f>DATE(AB$12,AB$10+12,1)</f>
        <v>44774</v>
      </c>
      <c r="AE29" s="64" t="str">
        <f t="shared" si="23"/>
        <v>Mon</v>
      </c>
      <c r="AF29" s="72">
        <f>EOMONTH($B$7, 12)</f>
        <v>44804</v>
      </c>
      <c r="AG29" s="68">
        <f t="shared" si="24"/>
        <v>2022</v>
      </c>
      <c r="AH29" s="73"/>
      <c r="AI29" s="73"/>
      <c r="AJ29" s="73"/>
      <c r="AK29" s="68"/>
    </row>
    <row r="30">
      <c r="A30" s="61"/>
      <c r="B30" s="70">
        <f t="shared" ref="B30:B34" si="52">if(OR(H29&gt;=$AF$23, H29=""),,H29+1)</f>
        <v>44598</v>
      </c>
      <c r="C30" s="70">
        <f t="shared" ref="C30:H30" si="49">if(OR(B30&gt;=$AF$23, B30=""),,B30+1)</f>
        <v>44599</v>
      </c>
      <c r="D30" s="70">
        <f t="shared" si="49"/>
        <v>44600</v>
      </c>
      <c r="E30" s="70">
        <f t="shared" si="49"/>
        <v>44601</v>
      </c>
      <c r="F30" s="70">
        <f t="shared" si="49"/>
        <v>44602</v>
      </c>
      <c r="G30" s="70">
        <f t="shared" si="49"/>
        <v>44603</v>
      </c>
      <c r="H30" s="70">
        <f t="shared" si="49"/>
        <v>44604</v>
      </c>
      <c r="I30" s="70"/>
      <c r="J30" s="70">
        <f t="shared" ref="J30:J34" si="54">if(OR(P29&gt;=$AF$24, P29=""),,P29+1)</f>
        <v>44626</v>
      </c>
      <c r="K30" s="70">
        <f t="shared" ref="K30:P30" si="50">if(OR(J30&gt;=$AF$24, J30=""),,J30+1)</f>
        <v>44627</v>
      </c>
      <c r="L30" s="70">
        <f t="shared" si="50"/>
        <v>44628</v>
      </c>
      <c r="M30" s="70">
        <f t="shared" si="50"/>
        <v>44629</v>
      </c>
      <c r="N30" s="70">
        <f t="shared" si="50"/>
        <v>44630</v>
      </c>
      <c r="O30" s="70">
        <f t="shared" si="50"/>
        <v>44631</v>
      </c>
      <c r="P30" s="70">
        <f t="shared" si="50"/>
        <v>44632</v>
      </c>
      <c r="Q30" s="61"/>
      <c r="R30" s="70">
        <f t="shared" ref="R30:R34" si="56">if(OR(X29&gt;=$AF$25, X29=""),,X29+1)</f>
        <v>44654</v>
      </c>
      <c r="S30" s="70">
        <f t="shared" ref="S30:X30" si="51">if(OR(R30&gt;=$AF$25, R30=""),,R30+1)</f>
        <v>44655</v>
      </c>
      <c r="T30" s="70">
        <f t="shared" si="51"/>
        <v>44656</v>
      </c>
      <c r="U30" s="70">
        <f t="shared" si="51"/>
        <v>44657</v>
      </c>
      <c r="V30" s="70">
        <f t="shared" si="51"/>
        <v>44658</v>
      </c>
      <c r="W30" s="70">
        <f t="shared" si="51"/>
        <v>44659</v>
      </c>
      <c r="X30" s="70">
        <f t="shared" si="51"/>
        <v>44660</v>
      </c>
      <c r="Y30" s="61"/>
      <c r="Z30" s="61"/>
      <c r="AA30" s="68"/>
      <c r="AB30" s="64"/>
      <c r="AC30" s="64" t="str">
        <f t="shared" si="22"/>
        <v>September</v>
      </c>
      <c r="AD30" s="78">
        <f>DATE(AB$12,AB$10+13,1)</f>
        <v>44805</v>
      </c>
      <c r="AE30" s="64" t="str">
        <f t="shared" si="23"/>
        <v>Thu</v>
      </c>
      <c r="AF30" s="72">
        <f>EOMONTH($B$7, 13)</f>
        <v>44834</v>
      </c>
      <c r="AG30" s="68">
        <f t="shared" si="24"/>
        <v>2022</v>
      </c>
      <c r="AH30" s="73"/>
      <c r="AI30" s="73"/>
      <c r="AJ30" s="73"/>
      <c r="AK30" s="68"/>
    </row>
    <row r="31">
      <c r="A31" s="61"/>
      <c r="B31" s="70">
        <f t="shared" si="52"/>
        <v>44605</v>
      </c>
      <c r="C31" s="70">
        <f t="shared" ref="C31:H31" si="53">if(OR(B31&gt;=$AF$23, B31=""),,B31+1)</f>
        <v>44606</v>
      </c>
      <c r="D31" s="70">
        <f t="shared" si="53"/>
        <v>44607</v>
      </c>
      <c r="E31" s="70">
        <f t="shared" si="53"/>
        <v>44608</v>
      </c>
      <c r="F31" s="70">
        <f t="shared" si="53"/>
        <v>44609</v>
      </c>
      <c r="G31" s="70">
        <f t="shared" si="53"/>
        <v>44610</v>
      </c>
      <c r="H31" s="70">
        <f t="shared" si="53"/>
        <v>44611</v>
      </c>
      <c r="I31" s="61"/>
      <c r="J31" s="70">
        <f t="shared" si="54"/>
        <v>44633</v>
      </c>
      <c r="K31" s="70">
        <f t="shared" ref="K31:P31" si="55">if(OR(J31&gt;=$AF$24, J31=""),,J31+1)</f>
        <v>44634</v>
      </c>
      <c r="L31" s="70">
        <f t="shared" si="55"/>
        <v>44635</v>
      </c>
      <c r="M31" s="70">
        <f t="shared" si="55"/>
        <v>44636</v>
      </c>
      <c r="N31" s="70">
        <f t="shared" si="55"/>
        <v>44637</v>
      </c>
      <c r="O31" s="70">
        <f t="shared" si="55"/>
        <v>44638</v>
      </c>
      <c r="P31" s="70">
        <f t="shared" si="55"/>
        <v>44639</v>
      </c>
      <c r="Q31" s="61"/>
      <c r="R31" s="70">
        <f t="shared" si="56"/>
        <v>44661</v>
      </c>
      <c r="S31" s="70">
        <f t="shared" ref="S31:X31" si="57">if(OR(R31&gt;=$AF$25, R31=""),,R31+1)</f>
        <v>44662</v>
      </c>
      <c r="T31" s="70">
        <f t="shared" si="57"/>
        <v>44663</v>
      </c>
      <c r="U31" s="70">
        <f t="shared" si="57"/>
        <v>44664</v>
      </c>
      <c r="V31" s="70">
        <f t="shared" si="57"/>
        <v>44665</v>
      </c>
      <c r="W31" s="70">
        <f t="shared" si="57"/>
        <v>44666</v>
      </c>
      <c r="X31" s="70">
        <f t="shared" si="57"/>
        <v>44667</v>
      </c>
      <c r="Y31" s="61"/>
      <c r="Z31" s="61"/>
      <c r="AA31" s="68"/>
      <c r="AB31" s="64"/>
      <c r="AC31" s="64" t="str">
        <f t="shared" si="22"/>
        <v>October</v>
      </c>
      <c r="AD31" s="78">
        <f>DATE(AB$12,AB$10+14,1)</f>
        <v>44835</v>
      </c>
      <c r="AE31" s="64" t="str">
        <f t="shared" si="23"/>
        <v>Sat</v>
      </c>
      <c r="AF31" s="72">
        <f>EOMONTH($B$7, 14)</f>
        <v>44865</v>
      </c>
      <c r="AG31" s="68">
        <f t="shared" si="24"/>
        <v>2022</v>
      </c>
      <c r="AH31" s="73"/>
      <c r="AI31" s="73"/>
      <c r="AJ31" s="73"/>
      <c r="AK31" s="68"/>
    </row>
    <row r="32">
      <c r="A32" s="61"/>
      <c r="B32" s="70">
        <f t="shared" si="52"/>
        <v>44612</v>
      </c>
      <c r="C32" s="70">
        <f t="shared" ref="C32:H32" si="58">if(OR(B32&gt;=$AF$23, B32=""),,B32+1)</f>
        <v>44613</v>
      </c>
      <c r="D32" s="70">
        <f t="shared" si="58"/>
        <v>44614</v>
      </c>
      <c r="E32" s="70">
        <f t="shared" si="58"/>
        <v>44615</v>
      </c>
      <c r="F32" s="70">
        <f t="shared" si="58"/>
        <v>44616</v>
      </c>
      <c r="G32" s="70">
        <f t="shared" si="58"/>
        <v>44617</v>
      </c>
      <c r="H32" s="70">
        <f t="shared" si="58"/>
        <v>44618</v>
      </c>
      <c r="I32" s="61"/>
      <c r="J32" s="70">
        <f t="shared" si="54"/>
        <v>44640</v>
      </c>
      <c r="K32" s="70">
        <f t="shared" ref="K32:P32" si="59">if(OR(J32&gt;=$AF$24, J32=""),,J32+1)</f>
        <v>44641</v>
      </c>
      <c r="L32" s="70">
        <f t="shared" si="59"/>
        <v>44642</v>
      </c>
      <c r="M32" s="70">
        <f t="shared" si="59"/>
        <v>44643</v>
      </c>
      <c r="N32" s="70">
        <f t="shared" si="59"/>
        <v>44644</v>
      </c>
      <c r="O32" s="70">
        <f t="shared" si="59"/>
        <v>44645</v>
      </c>
      <c r="P32" s="70">
        <f t="shared" si="59"/>
        <v>44646</v>
      </c>
      <c r="Q32" s="61"/>
      <c r="R32" s="70">
        <f t="shared" si="56"/>
        <v>44668</v>
      </c>
      <c r="S32" s="70">
        <f t="shared" ref="S32:X32" si="60">if(OR(R32&gt;=$AF$25, R32=""),,R32+1)</f>
        <v>44669</v>
      </c>
      <c r="T32" s="70">
        <f t="shared" si="60"/>
        <v>44670</v>
      </c>
      <c r="U32" s="70">
        <f t="shared" si="60"/>
        <v>44671</v>
      </c>
      <c r="V32" s="70">
        <f t="shared" si="60"/>
        <v>44672</v>
      </c>
      <c r="W32" s="70">
        <f t="shared" si="60"/>
        <v>44673</v>
      </c>
      <c r="X32" s="70">
        <f t="shared" si="60"/>
        <v>44674</v>
      </c>
      <c r="Y32" s="61"/>
      <c r="Z32" s="61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</row>
    <row r="33">
      <c r="A33" s="61"/>
      <c r="B33" s="70">
        <f t="shared" si="52"/>
        <v>44619</v>
      </c>
      <c r="C33" s="70">
        <f t="shared" ref="C33:H33" si="61">if(OR(B33&gt;=$AF$23, B33=""),,B33+1)</f>
        <v>44620</v>
      </c>
      <c r="D33" s="70" t="str">
        <f t="shared" si="61"/>
        <v/>
      </c>
      <c r="E33" s="70" t="str">
        <f t="shared" si="61"/>
        <v/>
      </c>
      <c r="F33" s="70" t="str">
        <f t="shared" si="61"/>
        <v/>
      </c>
      <c r="G33" s="70" t="str">
        <f t="shared" si="61"/>
        <v/>
      </c>
      <c r="H33" s="70" t="str">
        <f t="shared" si="61"/>
        <v/>
      </c>
      <c r="I33" s="61"/>
      <c r="J33" s="70">
        <f t="shared" si="54"/>
        <v>44647</v>
      </c>
      <c r="K33" s="70">
        <f t="shared" ref="K33:P33" si="62">if(OR(J33&gt;=$AF$24, J33=""),,J33+1)</f>
        <v>44648</v>
      </c>
      <c r="L33" s="70">
        <f t="shared" si="62"/>
        <v>44649</v>
      </c>
      <c r="M33" s="70">
        <f t="shared" si="62"/>
        <v>44650</v>
      </c>
      <c r="N33" s="70">
        <f t="shared" si="62"/>
        <v>44651</v>
      </c>
      <c r="O33" s="70" t="str">
        <f t="shared" si="62"/>
        <v/>
      </c>
      <c r="P33" s="70" t="str">
        <f t="shared" si="62"/>
        <v/>
      </c>
      <c r="Q33" s="61"/>
      <c r="R33" s="70">
        <f t="shared" si="56"/>
        <v>44675</v>
      </c>
      <c r="S33" s="70">
        <f t="shared" ref="S33:X33" si="63">if(OR(R33&gt;=$AF$25, R33=""),,R33+1)</f>
        <v>44676</v>
      </c>
      <c r="T33" s="70">
        <f t="shared" si="63"/>
        <v>44677</v>
      </c>
      <c r="U33" s="70">
        <f t="shared" si="63"/>
        <v>44678</v>
      </c>
      <c r="V33" s="70">
        <f t="shared" si="63"/>
        <v>44679</v>
      </c>
      <c r="W33" s="70">
        <f t="shared" si="63"/>
        <v>44680</v>
      </c>
      <c r="X33" s="70">
        <f t="shared" si="63"/>
        <v>44681</v>
      </c>
      <c r="Y33" s="61"/>
      <c r="Z33" s="61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</row>
    <row r="34">
      <c r="A34" s="61"/>
      <c r="B34" s="70" t="str">
        <f t="shared" si="52"/>
        <v/>
      </c>
      <c r="C34" s="70" t="str">
        <f t="shared" ref="C34:H34" si="64">if(OR(B34&gt;=$AF$23, B34=""),,B34+1)</f>
        <v/>
      </c>
      <c r="D34" s="70" t="str">
        <f t="shared" si="64"/>
        <v/>
      </c>
      <c r="E34" s="70" t="str">
        <f t="shared" si="64"/>
        <v/>
      </c>
      <c r="F34" s="70" t="str">
        <f t="shared" si="64"/>
        <v/>
      </c>
      <c r="G34" s="70" t="str">
        <f t="shared" si="64"/>
        <v/>
      </c>
      <c r="H34" s="70" t="str">
        <f t="shared" si="64"/>
        <v/>
      </c>
      <c r="I34" s="61"/>
      <c r="J34" s="70" t="str">
        <f t="shared" si="54"/>
        <v/>
      </c>
      <c r="K34" s="70" t="str">
        <f t="shared" ref="K34:P34" si="65">if(OR(J34&gt;=$AF$24, J34=""),,J34+1)</f>
        <v/>
      </c>
      <c r="L34" s="70" t="str">
        <f t="shared" si="65"/>
        <v/>
      </c>
      <c r="M34" s="70" t="str">
        <f t="shared" si="65"/>
        <v/>
      </c>
      <c r="N34" s="70" t="str">
        <f t="shared" si="65"/>
        <v/>
      </c>
      <c r="O34" s="70" t="str">
        <f t="shared" si="65"/>
        <v/>
      </c>
      <c r="P34" s="70" t="str">
        <f t="shared" si="65"/>
        <v/>
      </c>
      <c r="Q34" s="61"/>
      <c r="R34" s="70" t="str">
        <f t="shared" si="56"/>
        <v/>
      </c>
      <c r="S34" s="70" t="str">
        <f t="shared" ref="S34:X34" si="66">if(OR(R34&gt;=$AF$25, R34=""),,R34+1)</f>
        <v/>
      </c>
      <c r="T34" s="70" t="str">
        <f t="shared" si="66"/>
        <v/>
      </c>
      <c r="U34" s="70" t="str">
        <f t="shared" si="66"/>
        <v/>
      </c>
      <c r="V34" s="70" t="str">
        <f t="shared" si="66"/>
        <v/>
      </c>
      <c r="W34" s="70" t="str">
        <f t="shared" si="66"/>
        <v/>
      </c>
      <c r="X34" s="70" t="str">
        <f t="shared" si="66"/>
        <v/>
      </c>
      <c r="Y34" s="61"/>
      <c r="Z34" s="61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</row>
    <row r="35">
      <c r="A35" s="61"/>
      <c r="B35" s="61"/>
      <c r="C35" s="77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4"/>
      <c r="AB35" s="64"/>
      <c r="AC35" s="64"/>
      <c r="AD35" s="81"/>
      <c r="AE35" s="64"/>
      <c r="AF35" s="82"/>
      <c r="AG35" s="64"/>
      <c r="AH35" s="64"/>
      <c r="AI35" s="64"/>
      <c r="AJ35" s="64"/>
      <c r="AK35" s="64"/>
    </row>
    <row r="36">
      <c r="A36" s="61"/>
      <c r="B36" s="62" t="str">
        <f>AC26&amp;" "&amp;AG26</f>
        <v>May 2022</v>
      </c>
      <c r="I36" s="61"/>
      <c r="J36" s="62" t="str">
        <f>AC27&amp;" "&amp;AG27</f>
        <v>June 2022</v>
      </c>
      <c r="Q36" s="61"/>
      <c r="R36" s="62" t="str">
        <f>AC28&amp;" "&amp;AG28</f>
        <v>July 2022</v>
      </c>
      <c r="Y36" s="61"/>
      <c r="Z36" s="61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</row>
    <row r="37">
      <c r="A37" s="61"/>
      <c r="B37" s="66" t="s">
        <v>57</v>
      </c>
      <c r="C37" s="80" t="s">
        <v>58</v>
      </c>
      <c r="D37" s="66" t="s">
        <v>59</v>
      </c>
      <c r="E37" s="66" t="s">
        <v>60</v>
      </c>
      <c r="F37" s="66" t="s">
        <v>61</v>
      </c>
      <c r="G37" s="66" t="s">
        <v>62</v>
      </c>
      <c r="H37" s="66" t="s">
        <v>63</v>
      </c>
      <c r="I37" s="61"/>
      <c r="J37" s="66" t="s">
        <v>57</v>
      </c>
      <c r="K37" s="66" t="s">
        <v>58</v>
      </c>
      <c r="L37" s="66" t="s">
        <v>59</v>
      </c>
      <c r="M37" s="66" t="s">
        <v>60</v>
      </c>
      <c r="N37" s="66" t="s">
        <v>61</v>
      </c>
      <c r="O37" s="66" t="s">
        <v>62</v>
      </c>
      <c r="P37" s="66" t="s">
        <v>63</v>
      </c>
      <c r="Q37" s="61"/>
      <c r="R37" s="66" t="s">
        <v>57</v>
      </c>
      <c r="S37" s="66" t="s">
        <v>58</v>
      </c>
      <c r="T37" s="66" t="s">
        <v>59</v>
      </c>
      <c r="U37" s="66" t="s">
        <v>60</v>
      </c>
      <c r="V37" s="66" t="s">
        <v>61</v>
      </c>
      <c r="W37" s="66" t="s">
        <v>62</v>
      </c>
      <c r="X37" s="66" t="s">
        <v>63</v>
      </c>
      <c r="Y37" s="61"/>
      <c r="Z37" s="61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</row>
    <row r="38">
      <c r="A38" s="61"/>
      <c r="B38" s="70">
        <f>IF(B37=AE26,AD26,)</f>
        <v>44682</v>
      </c>
      <c r="C38" s="70">
        <f t="shared" ref="C38:H38" si="67">IF(B38&gt;0,B38+1, IF(C37=$AE$26,$AD$26,))</f>
        <v>44683</v>
      </c>
      <c r="D38" s="70">
        <f t="shared" si="67"/>
        <v>44684</v>
      </c>
      <c r="E38" s="70">
        <f t="shared" si="67"/>
        <v>44685</v>
      </c>
      <c r="F38" s="70">
        <f t="shared" si="67"/>
        <v>44686</v>
      </c>
      <c r="G38" s="70">
        <f t="shared" si="67"/>
        <v>44687</v>
      </c>
      <c r="H38" s="70">
        <f t="shared" si="67"/>
        <v>44688</v>
      </c>
      <c r="I38" s="61"/>
      <c r="J38" s="70" t="str">
        <f>IF(J37=AE27,AD27,)</f>
        <v/>
      </c>
      <c r="K38" s="70" t="str">
        <f t="shared" ref="K38:P38" si="68">if(J38&gt;0,J38+1, IF(K37=$AE$27,$AD$27,))</f>
        <v/>
      </c>
      <c r="L38" s="70" t="str">
        <f t="shared" si="68"/>
        <v/>
      </c>
      <c r="M38" s="70">
        <f t="shared" si="68"/>
        <v>44713</v>
      </c>
      <c r="N38" s="70">
        <f t="shared" si="68"/>
        <v>44714</v>
      </c>
      <c r="O38" s="70">
        <f t="shared" si="68"/>
        <v>44715</v>
      </c>
      <c r="P38" s="70">
        <f t="shared" si="68"/>
        <v>44716</v>
      </c>
      <c r="Q38" s="61"/>
      <c r="R38" s="70" t="str">
        <f>IF(R37=AE28,AD28,)</f>
        <v/>
      </c>
      <c r="S38" s="70" t="str">
        <f t="shared" ref="S38:X38" si="69">if(R38&gt;0,R38+1, IF(S37=$AE$28,$AD$28,))</f>
        <v/>
      </c>
      <c r="T38" s="70" t="str">
        <f t="shared" si="69"/>
        <v/>
      </c>
      <c r="U38" s="70" t="str">
        <f t="shared" si="69"/>
        <v/>
      </c>
      <c r="V38" s="70" t="str">
        <f t="shared" si="69"/>
        <v/>
      </c>
      <c r="W38" s="70">
        <f t="shared" si="69"/>
        <v>44743</v>
      </c>
      <c r="X38" s="70">
        <f t="shared" si="69"/>
        <v>44744</v>
      </c>
      <c r="Y38" s="61"/>
      <c r="Z38" s="61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</row>
    <row r="39">
      <c r="A39" s="61"/>
      <c r="B39" s="70">
        <f t="shared" ref="B39:B43" si="73">if(OR(H38&gt;=$AF$26, H38=""),,H38+1)</f>
        <v>44689</v>
      </c>
      <c r="C39" s="70">
        <f t="shared" ref="C39:H39" si="70">if(OR(B39&gt;=$AF$26, B39=""),,B39+1)</f>
        <v>44690</v>
      </c>
      <c r="D39" s="70">
        <f t="shared" si="70"/>
        <v>44691</v>
      </c>
      <c r="E39" s="70">
        <f t="shared" si="70"/>
        <v>44692</v>
      </c>
      <c r="F39" s="70">
        <f t="shared" si="70"/>
        <v>44693</v>
      </c>
      <c r="G39" s="70">
        <f t="shared" si="70"/>
        <v>44694</v>
      </c>
      <c r="H39" s="70">
        <f t="shared" si="70"/>
        <v>44695</v>
      </c>
      <c r="I39" s="61"/>
      <c r="J39" s="70">
        <f t="shared" ref="J39:J43" si="75">if(OR(P38&gt;=$AF$27, P38=""),,P38+1)</f>
        <v>44717</v>
      </c>
      <c r="K39" s="70">
        <f t="shared" ref="K39:P39" si="71">if(OR(J39&gt;=$AF$27, J39=""),,J39+1)</f>
        <v>44718</v>
      </c>
      <c r="L39" s="70">
        <f t="shared" si="71"/>
        <v>44719</v>
      </c>
      <c r="M39" s="70">
        <f t="shared" si="71"/>
        <v>44720</v>
      </c>
      <c r="N39" s="70">
        <f t="shared" si="71"/>
        <v>44721</v>
      </c>
      <c r="O39" s="70">
        <f t="shared" si="71"/>
        <v>44722</v>
      </c>
      <c r="P39" s="70">
        <f t="shared" si="71"/>
        <v>44723</v>
      </c>
      <c r="Q39" s="61"/>
      <c r="R39" s="70">
        <f t="shared" ref="R39:R43" si="77">if(OR(X38&gt;=$AF$28, X38=""),,X38+1)</f>
        <v>44745</v>
      </c>
      <c r="S39" s="70">
        <f t="shared" ref="S39:X39" si="72">if(OR(R39&gt;=$AF$28, R39=""),,R39+1)</f>
        <v>44746</v>
      </c>
      <c r="T39" s="70">
        <f t="shared" si="72"/>
        <v>44747</v>
      </c>
      <c r="U39" s="70">
        <f t="shared" si="72"/>
        <v>44748</v>
      </c>
      <c r="V39" s="70">
        <f t="shared" si="72"/>
        <v>44749</v>
      </c>
      <c r="W39" s="70">
        <f t="shared" si="72"/>
        <v>44750</v>
      </c>
      <c r="X39" s="70">
        <f t="shared" si="72"/>
        <v>44751</v>
      </c>
      <c r="Y39" s="61"/>
      <c r="Z39" s="61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</row>
    <row r="40">
      <c r="A40" s="61"/>
      <c r="B40" s="70">
        <f t="shared" si="73"/>
        <v>44696</v>
      </c>
      <c r="C40" s="70">
        <f t="shared" ref="C40:H40" si="74">if(OR(B40&gt;=$AF$26, B40=""),,B40+1)</f>
        <v>44697</v>
      </c>
      <c r="D40" s="70">
        <f t="shared" si="74"/>
        <v>44698</v>
      </c>
      <c r="E40" s="70">
        <f t="shared" si="74"/>
        <v>44699</v>
      </c>
      <c r="F40" s="70">
        <f t="shared" si="74"/>
        <v>44700</v>
      </c>
      <c r="G40" s="70">
        <f t="shared" si="74"/>
        <v>44701</v>
      </c>
      <c r="H40" s="70">
        <f t="shared" si="74"/>
        <v>44702</v>
      </c>
      <c r="I40" s="61"/>
      <c r="J40" s="70">
        <f t="shared" si="75"/>
        <v>44724</v>
      </c>
      <c r="K40" s="70">
        <f t="shared" ref="K40:P40" si="76">if(OR(J40&gt;=$AF$27, J40=""),,J40+1)</f>
        <v>44725</v>
      </c>
      <c r="L40" s="70">
        <f t="shared" si="76"/>
        <v>44726</v>
      </c>
      <c r="M40" s="70">
        <f t="shared" si="76"/>
        <v>44727</v>
      </c>
      <c r="N40" s="70">
        <f t="shared" si="76"/>
        <v>44728</v>
      </c>
      <c r="O40" s="70">
        <f t="shared" si="76"/>
        <v>44729</v>
      </c>
      <c r="P40" s="70">
        <f t="shared" si="76"/>
        <v>44730</v>
      </c>
      <c r="Q40" s="61"/>
      <c r="R40" s="70">
        <f t="shared" si="77"/>
        <v>44752</v>
      </c>
      <c r="S40" s="70">
        <f t="shared" ref="S40:X40" si="78">if(OR(R40&gt;=$AF$28, R40=""),,R40+1)</f>
        <v>44753</v>
      </c>
      <c r="T40" s="70">
        <f t="shared" si="78"/>
        <v>44754</v>
      </c>
      <c r="U40" s="70">
        <f t="shared" si="78"/>
        <v>44755</v>
      </c>
      <c r="V40" s="70">
        <f t="shared" si="78"/>
        <v>44756</v>
      </c>
      <c r="W40" s="70">
        <f t="shared" si="78"/>
        <v>44757</v>
      </c>
      <c r="X40" s="70">
        <f t="shared" si="78"/>
        <v>44758</v>
      </c>
      <c r="Y40" s="61"/>
      <c r="Z40" s="61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</row>
    <row r="41">
      <c r="A41" s="61"/>
      <c r="B41" s="70">
        <f t="shared" si="73"/>
        <v>44703</v>
      </c>
      <c r="C41" s="70">
        <f t="shared" ref="C41:H41" si="79">if(OR(B41&gt;=$AF$26, B41=""),,B41+1)</f>
        <v>44704</v>
      </c>
      <c r="D41" s="70">
        <f t="shared" si="79"/>
        <v>44705</v>
      </c>
      <c r="E41" s="70">
        <f t="shared" si="79"/>
        <v>44706</v>
      </c>
      <c r="F41" s="70">
        <f t="shared" si="79"/>
        <v>44707</v>
      </c>
      <c r="G41" s="70">
        <f t="shared" si="79"/>
        <v>44708</v>
      </c>
      <c r="H41" s="70">
        <f t="shared" si="79"/>
        <v>44709</v>
      </c>
      <c r="I41" s="61"/>
      <c r="J41" s="70">
        <f t="shared" si="75"/>
        <v>44731</v>
      </c>
      <c r="K41" s="70">
        <f t="shared" ref="K41:P41" si="80">if(OR(J41&gt;=$AF$27, J41=""),,J41+1)</f>
        <v>44732</v>
      </c>
      <c r="L41" s="70">
        <f t="shared" si="80"/>
        <v>44733</v>
      </c>
      <c r="M41" s="70">
        <f t="shared" si="80"/>
        <v>44734</v>
      </c>
      <c r="N41" s="70">
        <f t="shared" si="80"/>
        <v>44735</v>
      </c>
      <c r="O41" s="70">
        <f t="shared" si="80"/>
        <v>44736</v>
      </c>
      <c r="P41" s="70">
        <f t="shared" si="80"/>
        <v>44737</v>
      </c>
      <c r="Q41" s="61"/>
      <c r="R41" s="70">
        <f t="shared" si="77"/>
        <v>44759</v>
      </c>
      <c r="S41" s="70">
        <f t="shared" ref="S41:X41" si="81">if(OR(R41&gt;=$AF$28, R41=""),,R41+1)</f>
        <v>44760</v>
      </c>
      <c r="T41" s="70">
        <f t="shared" si="81"/>
        <v>44761</v>
      </c>
      <c r="U41" s="70">
        <f t="shared" si="81"/>
        <v>44762</v>
      </c>
      <c r="V41" s="70">
        <f t="shared" si="81"/>
        <v>44763</v>
      </c>
      <c r="W41" s="70">
        <f t="shared" si="81"/>
        <v>44764</v>
      </c>
      <c r="X41" s="70">
        <f t="shared" si="81"/>
        <v>44765</v>
      </c>
      <c r="Y41" s="61"/>
      <c r="Z41" s="61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</row>
    <row r="42">
      <c r="A42" s="61"/>
      <c r="B42" s="70">
        <f t="shared" si="73"/>
        <v>44710</v>
      </c>
      <c r="C42" s="70">
        <f t="shared" ref="C42:H42" si="82">if(OR(B42&gt;=$AF$26, B42=""),,B42+1)</f>
        <v>44711</v>
      </c>
      <c r="D42" s="70">
        <f t="shared" si="82"/>
        <v>44712</v>
      </c>
      <c r="E42" s="70" t="str">
        <f t="shared" si="82"/>
        <v/>
      </c>
      <c r="F42" s="70" t="str">
        <f t="shared" si="82"/>
        <v/>
      </c>
      <c r="G42" s="70" t="str">
        <f t="shared" si="82"/>
        <v/>
      </c>
      <c r="H42" s="70" t="str">
        <f t="shared" si="82"/>
        <v/>
      </c>
      <c r="I42" s="61"/>
      <c r="J42" s="70">
        <f t="shared" si="75"/>
        <v>44738</v>
      </c>
      <c r="K42" s="70">
        <f t="shared" ref="K42:P42" si="83">if(OR(J42&gt;=$AF$27, J42=""),,J42+1)</f>
        <v>44739</v>
      </c>
      <c r="L42" s="70">
        <f t="shared" si="83"/>
        <v>44740</v>
      </c>
      <c r="M42" s="70">
        <f t="shared" si="83"/>
        <v>44741</v>
      </c>
      <c r="N42" s="70">
        <f t="shared" si="83"/>
        <v>44742</v>
      </c>
      <c r="O42" s="70" t="str">
        <f t="shared" si="83"/>
        <v/>
      </c>
      <c r="P42" s="70" t="str">
        <f t="shared" si="83"/>
        <v/>
      </c>
      <c r="Q42" s="61"/>
      <c r="R42" s="70">
        <f t="shared" si="77"/>
        <v>44766</v>
      </c>
      <c r="S42" s="70">
        <f t="shared" ref="S42:X42" si="84">if(OR(R42&gt;=$AF$28, R42=""),,R42+1)</f>
        <v>44767</v>
      </c>
      <c r="T42" s="70">
        <f t="shared" si="84"/>
        <v>44768</v>
      </c>
      <c r="U42" s="70">
        <f t="shared" si="84"/>
        <v>44769</v>
      </c>
      <c r="V42" s="70">
        <f t="shared" si="84"/>
        <v>44770</v>
      </c>
      <c r="W42" s="70">
        <f t="shared" si="84"/>
        <v>44771</v>
      </c>
      <c r="X42" s="70">
        <f t="shared" si="84"/>
        <v>44772</v>
      </c>
      <c r="Y42" s="61"/>
      <c r="Z42" s="61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</row>
    <row r="43">
      <c r="A43" s="61"/>
      <c r="B43" s="70" t="str">
        <f t="shared" si="73"/>
        <v/>
      </c>
      <c r="C43" s="70" t="str">
        <f t="shared" ref="C43:H43" si="85">if(OR(B43&gt;=$AF$26, B43=""),,B43+1)</f>
        <v/>
      </c>
      <c r="D43" s="70" t="str">
        <f t="shared" si="85"/>
        <v/>
      </c>
      <c r="E43" s="70" t="str">
        <f t="shared" si="85"/>
        <v/>
      </c>
      <c r="F43" s="70" t="str">
        <f t="shared" si="85"/>
        <v/>
      </c>
      <c r="G43" s="70" t="str">
        <f t="shared" si="85"/>
        <v/>
      </c>
      <c r="H43" s="70" t="str">
        <f t="shared" si="85"/>
        <v/>
      </c>
      <c r="I43" s="61"/>
      <c r="J43" s="70" t="str">
        <f t="shared" si="75"/>
        <v/>
      </c>
      <c r="K43" s="70" t="str">
        <f t="shared" ref="K43:P43" si="86">if(OR(J43&gt;=$AF$27, J43=""),,J43+1)</f>
        <v/>
      </c>
      <c r="L43" s="70" t="str">
        <f t="shared" si="86"/>
        <v/>
      </c>
      <c r="M43" s="70" t="str">
        <f t="shared" si="86"/>
        <v/>
      </c>
      <c r="N43" s="70" t="str">
        <f t="shared" si="86"/>
        <v/>
      </c>
      <c r="O43" s="70" t="str">
        <f t="shared" si="86"/>
        <v/>
      </c>
      <c r="P43" s="70" t="str">
        <f t="shared" si="86"/>
        <v/>
      </c>
      <c r="Q43" s="61"/>
      <c r="R43" s="70">
        <f t="shared" si="77"/>
        <v>44773</v>
      </c>
      <c r="S43" s="70" t="str">
        <f t="shared" ref="S43:X43" si="87">if(OR(R43&gt;=$AF$28, R43=""),,R43+1)</f>
        <v/>
      </c>
      <c r="T43" s="70" t="str">
        <f t="shared" si="87"/>
        <v/>
      </c>
      <c r="U43" s="70" t="str">
        <f t="shared" si="87"/>
        <v/>
      </c>
      <c r="V43" s="70" t="str">
        <f t="shared" si="87"/>
        <v/>
      </c>
      <c r="W43" s="70" t="str">
        <f t="shared" si="87"/>
        <v/>
      </c>
      <c r="X43" s="70" t="str">
        <f t="shared" si="87"/>
        <v/>
      </c>
      <c r="Y43" s="61"/>
      <c r="Z43" s="61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</row>
    <row r="44">
      <c r="A44" s="61"/>
      <c r="B44" s="83"/>
      <c r="C44" s="84"/>
      <c r="D44" s="83"/>
      <c r="E44" s="83"/>
      <c r="F44" s="83"/>
      <c r="G44" s="83"/>
      <c r="H44" s="83"/>
      <c r="I44" s="61"/>
      <c r="J44" s="83"/>
      <c r="K44" s="83"/>
      <c r="L44" s="83"/>
      <c r="M44" s="83"/>
      <c r="N44" s="83"/>
      <c r="O44" s="83"/>
      <c r="P44" s="83"/>
      <c r="Q44" s="61"/>
      <c r="R44" s="83"/>
      <c r="S44" s="83"/>
      <c r="T44" s="83"/>
      <c r="U44" s="83"/>
      <c r="V44" s="83"/>
      <c r="W44" s="83"/>
      <c r="X44" s="83"/>
      <c r="Y44" s="61"/>
      <c r="Z44" s="61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</row>
    <row r="45">
      <c r="A45" s="61"/>
      <c r="B45" s="62" t="str">
        <f>AC29&amp;" "&amp;AG29</f>
        <v>August 2022</v>
      </c>
      <c r="I45" s="61"/>
      <c r="J45" s="62" t="str">
        <f>AC30&amp;" "&amp;AG30</f>
        <v>September 2022</v>
      </c>
      <c r="Q45" s="61"/>
      <c r="R45" s="62" t="str">
        <f>AC31&amp;" "&amp;AG31</f>
        <v>October 2022</v>
      </c>
      <c r="Y45" s="61"/>
      <c r="Z45" s="61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</row>
    <row r="46">
      <c r="A46" s="61"/>
      <c r="B46" s="66" t="s">
        <v>57</v>
      </c>
      <c r="C46" s="80" t="s">
        <v>58</v>
      </c>
      <c r="D46" s="66" t="s">
        <v>59</v>
      </c>
      <c r="E46" s="66" t="s">
        <v>60</v>
      </c>
      <c r="F46" s="66" t="s">
        <v>61</v>
      </c>
      <c r="G46" s="66" t="s">
        <v>62</v>
      </c>
      <c r="H46" s="66" t="s">
        <v>63</v>
      </c>
      <c r="I46" s="61"/>
      <c r="J46" s="66" t="s">
        <v>57</v>
      </c>
      <c r="K46" s="66" t="s">
        <v>58</v>
      </c>
      <c r="L46" s="66" t="s">
        <v>59</v>
      </c>
      <c r="M46" s="66" t="s">
        <v>60</v>
      </c>
      <c r="N46" s="66" t="s">
        <v>61</v>
      </c>
      <c r="O46" s="66" t="s">
        <v>62</v>
      </c>
      <c r="P46" s="66" t="s">
        <v>63</v>
      </c>
      <c r="Q46" s="61"/>
      <c r="R46" s="66" t="s">
        <v>57</v>
      </c>
      <c r="S46" s="66" t="s">
        <v>58</v>
      </c>
      <c r="T46" s="66" t="s">
        <v>59</v>
      </c>
      <c r="U46" s="66" t="s">
        <v>60</v>
      </c>
      <c r="V46" s="66" t="s">
        <v>61</v>
      </c>
      <c r="W46" s="66" t="s">
        <v>62</v>
      </c>
      <c r="X46" s="66" t="s">
        <v>63</v>
      </c>
      <c r="Y46" s="61"/>
      <c r="Z46" s="61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</row>
    <row r="47">
      <c r="A47" s="61"/>
      <c r="B47" s="70" t="str">
        <f>IF(B46=AE29,AD29,)</f>
        <v/>
      </c>
      <c r="C47" s="70">
        <f t="shared" ref="C47:H47" si="88">IF(B47&gt;0,B47+1, IF(C46=$AE$29,$AD$29,))</f>
        <v>44774</v>
      </c>
      <c r="D47" s="70">
        <f t="shared" si="88"/>
        <v>44775</v>
      </c>
      <c r="E47" s="70">
        <f t="shared" si="88"/>
        <v>44776</v>
      </c>
      <c r="F47" s="70">
        <f t="shared" si="88"/>
        <v>44777</v>
      </c>
      <c r="G47" s="70">
        <f t="shared" si="88"/>
        <v>44778</v>
      </c>
      <c r="H47" s="70">
        <f t="shared" si="88"/>
        <v>44779</v>
      </c>
      <c r="I47" s="61"/>
      <c r="J47" s="70" t="str">
        <f>IF(J46=AE30,AD30,)</f>
        <v/>
      </c>
      <c r="K47" s="70" t="str">
        <f t="shared" ref="K47:P47" si="89">if(J47&gt;0,J47+1, IF(K46=$AE$30,$AD$30,))</f>
        <v/>
      </c>
      <c r="L47" s="70" t="str">
        <f t="shared" si="89"/>
        <v/>
      </c>
      <c r="M47" s="70" t="str">
        <f t="shared" si="89"/>
        <v/>
      </c>
      <c r="N47" s="70">
        <f t="shared" si="89"/>
        <v>44805</v>
      </c>
      <c r="O47" s="70">
        <f t="shared" si="89"/>
        <v>44806</v>
      </c>
      <c r="P47" s="70">
        <f t="shared" si="89"/>
        <v>44807</v>
      </c>
      <c r="Q47" s="61"/>
      <c r="R47" s="70" t="str">
        <f>IF(R46=AE31,AD31,)</f>
        <v/>
      </c>
      <c r="S47" s="70" t="str">
        <f t="shared" ref="S47:X47" si="90">if(R47&gt;0,R47+1, IF(S46=$AE$31,$AD$31,))</f>
        <v/>
      </c>
      <c r="T47" s="70" t="str">
        <f t="shared" si="90"/>
        <v/>
      </c>
      <c r="U47" s="70" t="str">
        <f t="shared" si="90"/>
        <v/>
      </c>
      <c r="V47" s="70" t="str">
        <f t="shared" si="90"/>
        <v/>
      </c>
      <c r="W47" s="70" t="str">
        <f t="shared" si="90"/>
        <v/>
      </c>
      <c r="X47" s="70">
        <f t="shared" si="90"/>
        <v>44835</v>
      </c>
      <c r="Y47" s="61"/>
      <c r="Z47" s="61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</row>
    <row r="48">
      <c r="A48" s="61"/>
      <c r="B48" s="70">
        <f t="shared" ref="B48:B52" si="94">if(OR(H47&gt;=$AF$29, H47=""),,H47+1)</f>
        <v>44780</v>
      </c>
      <c r="C48" s="70">
        <f t="shared" ref="C48:H48" si="91">if(OR(B48&gt;=$AF$29, B48=""),,B48+1)</f>
        <v>44781</v>
      </c>
      <c r="D48" s="70">
        <f t="shared" si="91"/>
        <v>44782</v>
      </c>
      <c r="E48" s="70">
        <f t="shared" si="91"/>
        <v>44783</v>
      </c>
      <c r="F48" s="70">
        <f t="shared" si="91"/>
        <v>44784</v>
      </c>
      <c r="G48" s="70">
        <f t="shared" si="91"/>
        <v>44785</v>
      </c>
      <c r="H48" s="70">
        <f t="shared" si="91"/>
        <v>44786</v>
      </c>
      <c r="I48" s="61"/>
      <c r="J48" s="70">
        <f t="shared" ref="J48:J52" si="96">if(OR(P47&gt;=$AF$30, P47=""),,P47+1)</f>
        <v>44808</v>
      </c>
      <c r="K48" s="70">
        <f t="shared" ref="K48:P48" si="92">if(OR(J48&gt;=$AF$30, J48=""),,J48+1)</f>
        <v>44809</v>
      </c>
      <c r="L48" s="70">
        <f t="shared" si="92"/>
        <v>44810</v>
      </c>
      <c r="M48" s="70">
        <f t="shared" si="92"/>
        <v>44811</v>
      </c>
      <c r="N48" s="70">
        <f t="shared" si="92"/>
        <v>44812</v>
      </c>
      <c r="O48" s="70">
        <f t="shared" si="92"/>
        <v>44813</v>
      </c>
      <c r="P48" s="70">
        <f t="shared" si="92"/>
        <v>44814</v>
      </c>
      <c r="Q48" s="61"/>
      <c r="R48" s="70">
        <f t="shared" ref="R48:R52" si="98">if(OR(X47&gt;=$AF$31, X47=""),,X47+1)</f>
        <v>44836</v>
      </c>
      <c r="S48" s="70">
        <f t="shared" ref="S48:X48" si="93">if(OR(R48&gt;=$AF$31, R48=""),,R48+1)</f>
        <v>44837</v>
      </c>
      <c r="T48" s="70">
        <f t="shared" si="93"/>
        <v>44838</v>
      </c>
      <c r="U48" s="70">
        <f t="shared" si="93"/>
        <v>44839</v>
      </c>
      <c r="V48" s="70">
        <f t="shared" si="93"/>
        <v>44840</v>
      </c>
      <c r="W48" s="70">
        <f t="shared" si="93"/>
        <v>44841</v>
      </c>
      <c r="X48" s="70">
        <f t="shared" si="93"/>
        <v>44842</v>
      </c>
      <c r="Y48" s="61"/>
      <c r="Z48" s="61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</row>
    <row r="49">
      <c r="A49" s="61"/>
      <c r="B49" s="70">
        <f t="shared" si="94"/>
        <v>44787</v>
      </c>
      <c r="C49" s="70">
        <f t="shared" ref="C49:H49" si="95">if(OR(B49&gt;=$AF$29, B49=""),,B49+1)</f>
        <v>44788</v>
      </c>
      <c r="D49" s="70">
        <f t="shared" si="95"/>
        <v>44789</v>
      </c>
      <c r="E49" s="70">
        <f t="shared" si="95"/>
        <v>44790</v>
      </c>
      <c r="F49" s="70">
        <f t="shared" si="95"/>
        <v>44791</v>
      </c>
      <c r="G49" s="70">
        <f t="shared" si="95"/>
        <v>44792</v>
      </c>
      <c r="H49" s="70">
        <f t="shared" si="95"/>
        <v>44793</v>
      </c>
      <c r="I49" s="61"/>
      <c r="J49" s="70">
        <f t="shared" si="96"/>
        <v>44815</v>
      </c>
      <c r="K49" s="70">
        <f t="shared" ref="K49:P49" si="97">if(OR(J49&gt;=$AF$30, J49=""),,J49+1)</f>
        <v>44816</v>
      </c>
      <c r="L49" s="70">
        <f t="shared" si="97"/>
        <v>44817</v>
      </c>
      <c r="M49" s="70">
        <f t="shared" si="97"/>
        <v>44818</v>
      </c>
      <c r="N49" s="70">
        <f t="shared" si="97"/>
        <v>44819</v>
      </c>
      <c r="O49" s="70">
        <f t="shared" si="97"/>
        <v>44820</v>
      </c>
      <c r="P49" s="70">
        <f t="shared" si="97"/>
        <v>44821</v>
      </c>
      <c r="Q49" s="61"/>
      <c r="R49" s="70">
        <f t="shared" si="98"/>
        <v>44843</v>
      </c>
      <c r="S49" s="70">
        <f t="shared" ref="S49:X49" si="99">if(OR(R49&gt;=$AF$31, R49=""),,R49+1)</f>
        <v>44844</v>
      </c>
      <c r="T49" s="70">
        <f t="shared" si="99"/>
        <v>44845</v>
      </c>
      <c r="U49" s="70">
        <f t="shared" si="99"/>
        <v>44846</v>
      </c>
      <c r="V49" s="70">
        <f t="shared" si="99"/>
        <v>44847</v>
      </c>
      <c r="W49" s="70">
        <f t="shared" si="99"/>
        <v>44848</v>
      </c>
      <c r="X49" s="70">
        <f t="shared" si="99"/>
        <v>44849</v>
      </c>
      <c r="Y49" s="61"/>
      <c r="Z49" s="61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</row>
    <row r="50">
      <c r="A50" s="61"/>
      <c r="B50" s="70">
        <f t="shared" si="94"/>
        <v>44794</v>
      </c>
      <c r="C50" s="70">
        <f t="shared" ref="C50:H50" si="100">if(OR(B50&gt;=$AF$29, B50=""),,B50+1)</f>
        <v>44795</v>
      </c>
      <c r="D50" s="70">
        <f t="shared" si="100"/>
        <v>44796</v>
      </c>
      <c r="E50" s="70">
        <f t="shared" si="100"/>
        <v>44797</v>
      </c>
      <c r="F50" s="70">
        <f t="shared" si="100"/>
        <v>44798</v>
      </c>
      <c r="G50" s="70">
        <f t="shared" si="100"/>
        <v>44799</v>
      </c>
      <c r="H50" s="70">
        <f t="shared" si="100"/>
        <v>44800</v>
      </c>
      <c r="I50" s="61"/>
      <c r="J50" s="70">
        <f t="shared" si="96"/>
        <v>44822</v>
      </c>
      <c r="K50" s="70">
        <f t="shared" ref="K50:P50" si="101">if(OR(J50&gt;=$AF$30, J50=""),,J50+1)</f>
        <v>44823</v>
      </c>
      <c r="L50" s="70">
        <f t="shared" si="101"/>
        <v>44824</v>
      </c>
      <c r="M50" s="70">
        <f t="shared" si="101"/>
        <v>44825</v>
      </c>
      <c r="N50" s="70">
        <f t="shared" si="101"/>
        <v>44826</v>
      </c>
      <c r="O50" s="70">
        <f t="shared" si="101"/>
        <v>44827</v>
      </c>
      <c r="P50" s="70">
        <f t="shared" si="101"/>
        <v>44828</v>
      </c>
      <c r="Q50" s="61"/>
      <c r="R50" s="70">
        <f t="shared" si="98"/>
        <v>44850</v>
      </c>
      <c r="S50" s="70">
        <f t="shared" ref="S50:X50" si="102">if(OR(R50&gt;=$AF$31, R50=""),,R50+1)</f>
        <v>44851</v>
      </c>
      <c r="T50" s="70">
        <f t="shared" si="102"/>
        <v>44852</v>
      </c>
      <c r="U50" s="70">
        <f t="shared" si="102"/>
        <v>44853</v>
      </c>
      <c r="V50" s="70">
        <f t="shared" si="102"/>
        <v>44854</v>
      </c>
      <c r="W50" s="70">
        <f t="shared" si="102"/>
        <v>44855</v>
      </c>
      <c r="X50" s="70">
        <f t="shared" si="102"/>
        <v>44856</v>
      </c>
      <c r="Y50" s="61"/>
      <c r="Z50" s="61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</row>
    <row r="51">
      <c r="A51" s="61"/>
      <c r="B51" s="70">
        <f t="shared" si="94"/>
        <v>44801</v>
      </c>
      <c r="C51" s="70">
        <f t="shared" ref="C51:H51" si="103">if(OR(B51&gt;=$AF$29, B51=""),,B51+1)</f>
        <v>44802</v>
      </c>
      <c r="D51" s="70">
        <f t="shared" si="103"/>
        <v>44803</v>
      </c>
      <c r="E51" s="70">
        <f t="shared" si="103"/>
        <v>44804</v>
      </c>
      <c r="F51" s="70" t="str">
        <f t="shared" si="103"/>
        <v/>
      </c>
      <c r="G51" s="70" t="str">
        <f t="shared" si="103"/>
        <v/>
      </c>
      <c r="H51" s="70" t="str">
        <f t="shared" si="103"/>
        <v/>
      </c>
      <c r="I51" s="61"/>
      <c r="J51" s="70">
        <f t="shared" si="96"/>
        <v>44829</v>
      </c>
      <c r="K51" s="70">
        <f t="shared" ref="K51:P51" si="104">if(OR(J51&gt;=$AF$30, J51=""),,J51+1)</f>
        <v>44830</v>
      </c>
      <c r="L51" s="70">
        <f t="shared" si="104"/>
        <v>44831</v>
      </c>
      <c r="M51" s="70">
        <f t="shared" si="104"/>
        <v>44832</v>
      </c>
      <c r="N51" s="70">
        <f t="shared" si="104"/>
        <v>44833</v>
      </c>
      <c r="O51" s="70">
        <f t="shared" si="104"/>
        <v>44834</v>
      </c>
      <c r="P51" s="70" t="str">
        <f t="shared" si="104"/>
        <v/>
      </c>
      <c r="Q51" s="61"/>
      <c r="R51" s="70">
        <f t="shared" si="98"/>
        <v>44857</v>
      </c>
      <c r="S51" s="70">
        <f t="shared" ref="S51:X51" si="105">if(OR(R51&gt;=$AF$31, R51=""),,R51+1)</f>
        <v>44858</v>
      </c>
      <c r="T51" s="70">
        <f t="shared" si="105"/>
        <v>44859</v>
      </c>
      <c r="U51" s="70">
        <f t="shared" si="105"/>
        <v>44860</v>
      </c>
      <c r="V51" s="70">
        <f t="shared" si="105"/>
        <v>44861</v>
      </c>
      <c r="W51" s="70">
        <f t="shared" si="105"/>
        <v>44862</v>
      </c>
      <c r="X51" s="70">
        <f t="shared" si="105"/>
        <v>44863</v>
      </c>
      <c r="Y51" s="61"/>
      <c r="Z51" s="61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</row>
    <row r="52">
      <c r="A52" s="61"/>
      <c r="B52" s="70" t="str">
        <f t="shared" si="94"/>
        <v/>
      </c>
      <c r="C52" s="70" t="str">
        <f t="shared" ref="C52:H52" si="106">if(OR(B52&gt;=$AF$29, B52=""),,B52+1)</f>
        <v/>
      </c>
      <c r="D52" s="70" t="str">
        <f t="shared" si="106"/>
        <v/>
      </c>
      <c r="E52" s="70" t="str">
        <f t="shared" si="106"/>
        <v/>
      </c>
      <c r="F52" s="70" t="str">
        <f t="shared" si="106"/>
        <v/>
      </c>
      <c r="G52" s="70" t="str">
        <f t="shared" si="106"/>
        <v/>
      </c>
      <c r="H52" s="70" t="str">
        <f t="shared" si="106"/>
        <v/>
      </c>
      <c r="I52" s="61"/>
      <c r="J52" s="70" t="str">
        <f t="shared" si="96"/>
        <v/>
      </c>
      <c r="K52" s="70" t="str">
        <f t="shared" ref="K52:P52" si="107">if(OR(J52&gt;=$AF$30, J52=""),,J52+1)</f>
        <v/>
      </c>
      <c r="L52" s="70" t="str">
        <f t="shared" si="107"/>
        <v/>
      </c>
      <c r="M52" s="70" t="str">
        <f t="shared" si="107"/>
        <v/>
      </c>
      <c r="N52" s="70" t="str">
        <f t="shared" si="107"/>
        <v/>
      </c>
      <c r="O52" s="70" t="str">
        <f t="shared" si="107"/>
        <v/>
      </c>
      <c r="P52" s="70" t="str">
        <f t="shared" si="107"/>
        <v/>
      </c>
      <c r="Q52" s="61"/>
      <c r="R52" s="70">
        <f t="shared" si="98"/>
        <v>44864</v>
      </c>
      <c r="S52" s="70">
        <f t="shared" ref="S52:X52" si="108">if(OR(R52&gt;=$AF$31, R52=""),,R52+1)</f>
        <v>44865</v>
      </c>
      <c r="T52" s="70" t="str">
        <f t="shared" si="108"/>
        <v/>
      </c>
      <c r="U52" s="70" t="str">
        <f t="shared" si="108"/>
        <v/>
      </c>
      <c r="V52" s="70" t="str">
        <f t="shared" si="108"/>
        <v/>
      </c>
      <c r="W52" s="70" t="str">
        <f t="shared" si="108"/>
        <v/>
      </c>
      <c r="X52" s="70" t="str">
        <f t="shared" si="108"/>
        <v/>
      </c>
      <c r="Y52" s="61"/>
      <c r="Z52" s="61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</row>
    <row r="53">
      <c r="A53" s="61"/>
      <c r="B53" s="83"/>
      <c r="C53" s="84"/>
      <c r="D53" s="83"/>
      <c r="E53" s="83"/>
      <c r="F53" s="83"/>
      <c r="G53" s="83"/>
      <c r="H53" s="83"/>
      <c r="I53" s="61"/>
      <c r="J53" s="83"/>
      <c r="K53" s="83"/>
      <c r="L53" s="83"/>
      <c r="M53" s="83"/>
      <c r="N53" s="83"/>
      <c r="O53" s="83"/>
      <c r="P53" s="83"/>
      <c r="Q53" s="61"/>
      <c r="R53" s="83"/>
      <c r="S53" s="83"/>
      <c r="T53" s="83"/>
      <c r="U53" s="83"/>
      <c r="V53" s="83"/>
      <c r="W53" s="83"/>
      <c r="X53" s="83"/>
      <c r="Y53" s="61"/>
      <c r="Z53" s="61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</row>
  </sheetData>
  <mergeCells count="35">
    <mergeCell ref="B3:E3"/>
    <mergeCell ref="G3:H3"/>
    <mergeCell ref="J3:O3"/>
    <mergeCell ref="R3:W3"/>
    <mergeCell ref="B4:E4"/>
    <mergeCell ref="J4:O4"/>
    <mergeCell ref="R4:W4"/>
    <mergeCell ref="M7:P7"/>
    <mergeCell ref="Q7:T7"/>
    <mergeCell ref="Y10:Y12"/>
    <mergeCell ref="B6:D6"/>
    <mergeCell ref="E6:H6"/>
    <mergeCell ref="I6:L6"/>
    <mergeCell ref="M6:P6"/>
    <mergeCell ref="Q6:T6"/>
    <mergeCell ref="U6:X6"/>
    <mergeCell ref="B7:D7"/>
    <mergeCell ref="U7:X7"/>
    <mergeCell ref="E7:H7"/>
    <mergeCell ref="I7:L7"/>
    <mergeCell ref="B9:H9"/>
    <mergeCell ref="J9:P9"/>
    <mergeCell ref="R9:X9"/>
    <mergeCell ref="J18:P18"/>
    <mergeCell ref="R18:X18"/>
    <mergeCell ref="B45:H45"/>
    <mergeCell ref="J45:P45"/>
    <mergeCell ref="R45:X45"/>
    <mergeCell ref="B18:H18"/>
    <mergeCell ref="B27:H27"/>
    <mergeCell ref="J27:P27"/>
    <mergeCell ref="R27:X27"/>
    <mergeCell ref="B36:H36"/>
    <mergeCell ref="J36:P36"/>
    <mergeCell ref="R36:X36"/>
  </mergeCells>
  <conditionalFormatting sqref="P3">
    <cfRule type="cellIs" dxfId="0" priority="1" operator="greaterThan">
      <formula>420</formula>
    </cfRule>
  </conditionalFormatting>
  <conditionalFormatting sqref="P3">
    <cfRule type="cellIs" dxfId="0" priority="2" operator="lessThan">
      <formula>137</formula>
    </cfRule>
  </conditionalFormatting>
  <conditionalFormatting sqref="B11:H16">
    <cfRule type="expression" dxfId="1" priority="3">
      <formula>B11=$B$7</formula>
    </cfRule>
  </conditionalFormatting>
  <conditionalFormatting sqref="B11:H16 J11:P16 R11:X16 B20:H25 J20:P25 R20:X25 B29:H34 J29:P34 R29:X34 B38:H43 J38:P43 R38:X43 B47:H52 J47:P52 R47:X52">
    <cfRule type="expression" dxfId="2" priority="4">
      <formula>B11=$B$4</formula>
    </cfRule>
  </conditionalFormatting>
  <conditionalFormatting sqref="B11:H16 J11:P16 R11:X16 B20:H25 J20:P25 R20:X25 B29:H34 J29:P34 R29:X34 B38:H43 J38:P43 R38:X43 B47:H52 J47:P52 R47:X52">
    <cfRule type="expression" dxfId="3" priority="5">
      <formula>AND(B11&gt;=$AC$10, B11&lt;=$E$7)</formula>
    </cfRule>
  </conditionalFormatting>
  <conditionalFormatting sqref="B11:H16 J11:P16 R11:X16 B20:H25 J20:P25 R20:X25 B29:H34 J29:P34 R29:X34">
    <cfRule type="expression" dxfId="4" priority="6">
      <formula>AND(B11&gt;$B$7, B11&lt;=$E$7)</formula>
    </cfRule>
  </conditionalFormatting>
  <conditionalFormatting sqref="B11:H16 J11:P16 R11:X16 B20:H25 J20:P25 R20:X25 B29:H34 J29:P34 R29:X34 B38:H43 J38:P43 R38:X43 B47:H52 J47:P52 R47:X52">
    <cfRule type="expression" dxfId="5" priority="7">
      <formula>AND(B11&gt;=$AD$10, B11&lt;=$I$7)</formula>
    </cfRule>
  </conditionalFormatting>
  <conditionalFormatting sqref="B11:H16 J11:P16 R11:X16 B20:H25 J20:P25 R20:X25 B29:H34 J29:P34 R29:X34 B38:H43 J38:P43 R38:X43 B47:H52 J47:P52 R47:X52">
    <cfRule type="expression" dxfId="6" priority="8">
      <formula>AND(B11&gt;$E$7, B11&lt;=$I$7)</formula>
    </cfRule>
  </conditionalFormatting>
  <conditionalFormatting sqref="B11:H16 J11:P16 R11:X16 B20:H25 J20:P25 R20:X25 B29:H34 J29:P34 R29:X34 B38:H43 J38:P43 R38:X43 B47:H52 J47:P52 R47:X52">
    <cfRule type="expression" dxfId="7" priority="9">
      <formula>AND(B11&gt;=$AE$10, B11&lt;=$M$7)</formula>
    </cfRule>
  </conditionalFormatting>
  <conditionalFormatting sqref="B11:H16 J11:P16 R11:X16 B20:H25 J20:P25 R20:X25 B29:H34 J29:P34 R29:X34 B38:H43 J38:P43 R38:X43 B47:H52 J47:P52 R47:X52">
    <cfRule type="expression" dxfId="8" priority="10">
      <formula>AND(B11&gt;$I$7, B11&lt;=$M$7)</formula>
    </cfRule>
  </conditionalFormatting>
  <conditionalFormatting sqref="B11:H16 J11:P16 R11:X16 B20:H25 J20:P25 R20:X25 B29:H34 J29:P34 R29:X34 B38:H43 J38:P43 R38:X43 B47:H52 J47:P52 R47:X52">
    <cfRule type="expression" dxfId="9" priority="11">
      <formula>AND(B11&gt;=$AF$10, B11&lt;=$Q$7)</formula>
    </cfRule>
  </conditionalFormatting>
  <conditionalFormatting sqref="B11:H16 J11:P16 R11:X16 B20:H25 J20:P25 R20:X25 B29:H34 J29:P34 R29:X34 B38:H43 J38:P43 R38:X43 B47:H52 J47:P52 R47:X52">
    <cfRule type="expression" dxfId="10" priority="12">
      <formula>AND(B11&gt;$M$7, B11&lt;=$Q$7)</formula>
    </cfRule>
  </conditionalFormatting>
  <conditionalFormatting sqref="B11:H16 J11:P16 R11:X16 B20:H25 J20:P25 R20:X25 B29:H34 J29:P34 R29:X34 B38:H43 J38:P43 R38:X43 B47:H52 J47:P52 R47:X52">
    <cfRule type="expression" dxfId="11" priority="13">
      <formula>AND(B11&gt;$Q$7, B11&lt;=$U$7)</formula>
    </cfRule>
  </conditionalFormatting>
  <dataValidations>
    <dataValidation type="list" allowBlank="1" sqref="G4">
      <formula1>"20,40,60"</formula1>
    </dataValidation>
    <dataValidation type="custom" allowBlank="1" showDropDown="1" showInputMessage="1" showErrorMessage="1" prompt="Please choose a Monday as your start date." sqref="B7">
      <formula1>WEEKDAY($B$7)=2</formula1>
    </dataValidation>
  </dataValidations>
  <hyperlinks>
    <hyperlink r:id="rId1" ref="B1"/>
    <hyperlink r:id="rId2" ref="AA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4" width="7.0"/>
    <col customWidth="1" min="25" max="25" width="3.14"/>
    <col customWidth="1" hidden="1" min="26" max="26" width="3.14"/>
    <col customWidth="1" hidden="1" min="27" max="27" width="28.14"/>
    <col customWidth="1" hidden="1" min="28" max="28" width="14.71"/>
    <col customWidth="1" hidden="1" min="29" max="29" width="14.43"/>
    <col customWidth="1" hidden="1" min="30" max="30" width="22.43"/>
    <col customWidth="1" hidden="1" min="31" max="31" width="14.43"/>
    <col customWidth="1" hidden="1" min="32" max="32" width="16.29"/>
    <col customWidth="1" hidden="1" min="33" max="33" width="10.71"/>
    <col customWidth="1" hidden="1" min="34" max="34" width="10.57"/>
    <col customWidth="1" hidden="1" min="35" max="35" width="12.43"/>
    <col customWidth="1" hidden="1" min="36" max="37" width="5.43"/>
  </cols>
  <sheetData>
    <row r="1">
      <c r="B1" s="28" t="s">
        <v>37</v>
      </c>
      <c r="C1" s="29"/>
      <c r="AA1" s="30"/>
    </row>
    <row r="2">
      <c r="C2" s="29"/>
      <c r="AA2" s="30" t="s">
        <v>38</v>
      </c>
    </row>
    <row r="3">
      <c r="B3" s="31" t="s">
        <v>39</v>
      </c>
      <c r="C3" s="32"/>
      <c r="D3" s="32"/>
      <c r="E3" s="33"/>
      <c r="F3" s="34"/>
      <c r="G3" s="35" t="s">
        <v>40</v>
      </c>
      <c r="H3" s="36"/>
      <c r="J3" s="37" t="s">
        <v>41</v>
      </c>
      <c r="K3" s="38"/>
      <c r="L3" s="38"/>
      <c r="M3" s="38"/>
      <c r="N3" s="38"/>
      <c r="O3" s="36"/>
      <c r="P3" s="39">
        <f>DATEDIF(B7, B4+1, "D")</f>
        <v>78</v>
      </c>
      <c r="R3" s="35" t="s">
        <v>42</v>
      </c>
      <c r="S3" s="38"/>
      <c r="T3" s="38"/>
      <c r="U3" s="38"/>
      <c r="V3" s="38"/>
      <c r="W3" s="36"/>
      <c r="X3" s="40">
        <f>(P4-X4)/11</f>
        <v>1.063636364</v>
      </c>
    </row>
    <row r="4">
      <c r="B4" s="41">
        <v>44536.0</v>
      </c>
      <c r="C4" s="42"/>
      <c r="D4" s="42"/>
      <c r="E4" s="43"/>
      <c r="F4" s="34"/>
      <c r="G4" s="85" t="str">
        <f>ROUNDUP((B4-B7)/7) &amp; " Weeks"</f>
        <v>11 Weeks</v>
      </c>
      <c r="H4" s="36"/>
      <c r="J4" s="46" t="s">
        <v>44</v>
      </c>
      <c r="K4" s="38"/>
      <c r="L4" s="38"/>
      <c r="M4" s="38"/>
      <c r="N4" s="38"/>
      <c r="O4" s="36"/>
      <c r="P4" s="47">
        <f>P3/5</f>
        <v>15.6</v>
      </c>
      <c r="R4" s="37" t="s">
        <v>45</v>
      </c>
      <c r="S4" s="38"/>
      <c r="T4" s="38"/>
      <c r="U4" s="38"/>
      <c r="V4" s="38"/>
      <c r="W4" s="36"/>
      <c r="X4" s="48">
        <f>P4/4</f>
        <v>3.9</v>
      </c>
    </row>
    <row r="5">
      <c r="C5" s="29"/>
    </row>
    <row r="6">
      <c r="B6" s="49" t="s">
        <v>46</v>
      </c>
      <c r="C6" s="32"/>
      <c r="D6" s="32"/>
      <c r="E6" s="50" t="s">
        <v>47</v>
      </c>
      <c r="F6" s="32"/>
      <c r="G6" s="32"/>
      <c r="H6" s="32"/>
      <c r="I6" s="51" t="s">
        <v>48</v>
      </c>
      <c r="J6" s="32"/>
      <c r="K6" s="32"/>
      <c r="L6" s="32"/>
      <c r="M6" s="52" t="s">
        <v>49</v>
      </c>
      <c r="N6" s="32"/>
      <c r="O6" s="32"/>
      <c r="P6" s="32"/>
      <c r="Q6" s="53" t="s">
        <v>50</v>
      </c>
      <c r="R6" s="32"/>
      <c r="S6" s="32"/>
      <c r="T6" s="32"/>
      <c r="U6" s="54" t="s">
        <v>51</v>
      </c>
      <c r="V6" s="32"/>
      <c r="W6" s="32"/>
      <c r="X6" s="33"/>
    </row>
    <row r="7">
      <c r="B7" s="55">
        <v>44459.0</v>
      </c>
      <c r="C7" s="42"/>
      <c r="D7" s="42"/>
      <c r="E7" s="56">
        <f>B7+(P4*1)</f>
        <v>44474.6</v>
      </c>
      <c r="F7" s="42"/>
      <c r="G7" s="42"/>
      <c r="H7" s="42"/>
      <c r="I7" s="57">
        <f>B7+(P4*2)</f>
        <v>44490.2</v>
      </c>
      <c r="J7" s="42"/>
      <c r="K7" s="42"/>
      <c r="L7" s="42"/>
      <c r="M7" s="58">
        <f>B7+(P4*3)</f>
        <v>44505.8</v>
      </c>
      <c r="N7" s="42"/>
      <c r="O7" s="42"/>
      <c r="P7" s="42"/>
      <c r="Q7" s="59">
        <f>B7+(P4*4)</f>
        <v>44521.4</v>
      </c>
      <c r="R7" s="42"/>
      <c r="S7" s="42"/>
      <c r="T7" s="42"/>
      <c r="U7" s="60">
        <f>B4</f>
        <v>44536</v>
      </c>
      <c r="V7" s="42"/>
      <c r="W7" s="42"/>
      <c r="X7" s="43"/>
    </row>
    <row r="8">
      <c r="A8" s="4"/>
      <c r="B8" s="4"/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1"/>
      <c r="B9" s="62" t="str">
        <f>AC17&amp;" "&amp;AG17</f>
        <v>September 2021</v>
      </c>
      <c r="I9" s="61"/>
      <c r="J9" s="62" t="str">
        <f>AC18&amp;" "&amp;AG18</f>
        <v>October 2021</v>
      </c>
      <c r="Q9" s="61"/>
      <c r="R9" s="62" t="str">
        <f>AC19&amp;" "&amp;AG19</f>
        <v>November 2021</v>
      </c>
      <c r="Y9" s="63"/>
      <c r="Z9" s="63"/>
      <c r="AA9" s="64"/>
      <c r="AB9" s="65" t="s">
        <v>52</v>
      </c>
      <c r="AC9" s="65" t="s">
        <v>53</v>
      </c>
      <c r="AD9" s="65" t="s">
        <v>54</v>
      </c>
      <c r="AE9" s="65" t="s">
        <v>55</v>
      </c>
      <c r="AF9" s="65" t="s">
        <v>56</v>
      </c>
      <c r="AG9" s="65"/>
      <c r="AH9" s="65"/>
      <c r="AI9" s="65"/>
      <c r="AJ9" s="64"/>
      <c r="AK9" s="64"/>
    </row>
    <row r="10">
      <c r="A10" s="61"/>
      <c r="B10" s="66" t="str">
        <f>TEXT(1, "DDD")</f>
        <v>Sun</v>
      </c>
      <c r="C10" s="66" t="str">
        <f>TEXT(2, "DDD")</f>
        <v>Mon</v>
      </c>
      <c r="D10" s="66" t="str">
        <f>TEXT(3, "DDD")</f>
        <v>Tue</v>
      </c>
      <c r="E10" s="66" t="str">
        <f>TEXT(4, "DDD")</f>
        <v>Wed</v>
      </c>
      <c r="F10" s="66" t="str">
        <f>TEXT(5, "DDD")</f>
        <v>Thu</v>
      </c>
      <c r="G10" s="66" t="str">
        <f>TEXT(6, "DDD")</f>
        <v>Fri</v>
      </c>
      <c r="H10" s="66" t="str">
        <f>TEXT(7, "DDD")</f>
        <v>Sat</v>
      </c>
      <c r="I10" s="61"/>
      <c r="J10" s="66" t="s">
        <v>57</v>
      </c>
      <c r="K10" s="66" t="s">
        <v>58</v>
      </c>
      <c r="L10" s="66" t="s">
        <v>59</v>
      </c>
      <c r="M10" s="66" t="s">
        <v>60</v>
      </c>
      <c r="N10" s="66" t="s">
        <v>61</v>
      </c>
      <c r="O10" s="66" t="s">
        <v>62</v>
      </c>
      <c r="P10" s="66" t="s">
        <v>63</v>
      </c>
      <c r="Q10" s="61"/>
      <c r="R10" s="66" t="s">
        <v>57</v>
      </c>
      <c r="S10" s="66" t="s">
        <v>58</v>
      </c>
      <c r="T10" s="66" t="s">
        <v>59</v>
      </c>
      <c r="U10" s="66" t="s">
        <v>60</v>
      </c>
      <c r="V10" s="66" t="s">
        <v>61</v>
      </c>
      <c r="W10" s="66" t="s">
        <v>62</v>
      </c>
      <c r="X10" s="67" t="s">
        <v>63</v>
      </c>
      <c r="Y10" s="63"/>
      <c r="Z10" s="63"/>
      <c r="AA10" s="64" t="s">
        <v>64</v>
      </c>
      <c r="AB10" s="68">
        <f>IFERROR(__xludf.DUMMYFUNCTION("INDEX(SPLIT(B$7,""/""),0,1)"),9.0)</f>
        <v>9</v>
      </c>
      <c r="AC10" s="69">
        <f>E$7-$X$4</f>
        <v>44470.7</v>
      </c>
      <c r="AD10" s="69">
        <f>I$7-$X$4</f>
        <v>44486.3</v>
      </c>
      <c r="AE10" s="69">
        <f>M$7-$X$4</f>
        <v>44501.9</v>
      </c>
      <c r="AF10" s="69">
        <f>Q$7-$X$4</f>
        <v>44517.5</v>
      </c>
      <c r="AG10" s="68"/>
      <c r="AH10" s="68"/>
      <c r="AI10" s="68"/>
      <c r="AK10" s="64"/>
    </row>
    <row r="11">
      <c r="A11" s="61"/>
      <c r="B11" s="70" t="str">
        <f>IF(B10=AE17,AD17,)</f>
        <v/>
      </c>
      <c r="C11" s="70" t="str">
        <f t="shared" ref="C11:H11" si="1">IF(B11&gt;0,B11+1, IF(C10=$AE$17,$AD$17,))</f>
        <v/>
      </c>
      <c r="D11" s="70" t="str">
        <f t="shared" si="1"/>
        <v/>
      </c>
      <c r="E11" s="70">
        <f t="shared" si="1"/>
        <v>44440</v>
      </c>
      <c r="F11" s="70">
        <f t="shared" si="1"/>
        <v>44441</v>
      </c>
      <c r="G11" s="70">
        <f t="shared" si="1"/>
        <v>44442</v>
      </c>
      <c r="H11" s="70">
        <f t="shared" si="1"/>
        <v>44443</v>
      </c>
      <c r="I11" s="61"/>
      <c r="J11" s="71" t="str">
        <f>IF(J10=AE18,AD18,)</f>
        <v/>
      </c>
      <c r="K11" s="70" t="str">
        <f t="shared" ref="K11:P11" si="2">if(J11&gt;0,J11+1, IF(K10=$AE$18,$AD$18,))</f>
        <v/>
      </c>
      <c r="L11" s="70" t="str">
        <f t="shared" si="2"/>
        <v/>
      </c>
      <c r="M11" s="70" t="str">
        <f t="shared" si="2"/>
        <v/>
      </c>
      <c r="N11" s="70" t="str">
        <f t="shared" si="2"/>
        <v/>
      </c>
      <c r="O11" s="70">
        <f t="shared" si="2"/>
        <v>44470</v>
      </c>
      <c r="P11" s="70">
        <f t="shared" si="2"/>
        <v>44471</v>
      </c>
      <c r="Q11" s="61"/>
      <c r="R11" s="70" t="str">
        <f>IF(R10=AE19,AD19,)</f>
        <v/>
      </c>
      <c r="S11" s="70">
        <f t="shared" ref="S11:X11" si="3">if(R11&gt;0,R11+1, IF(S10=$AE$19,$AD$19,))</f>
        <v>44501</v>
      </c>
      <c r="T11" s="70">
        <f t="shared" si="3"/>
        <v>44502</v>
      </c>
      <c r="U11" s="70">
        <f t="shared" si="3"/>
        <v>44503</v>
      </c>
      <c r="V11" s="70">
        <f t="shared" si="3"/>
        <v>44504</v>
      </c>
      <c r="W11" s="70">
        <f t="shared" si="3"/>
        <v>44505</v>
      </c>
      <c r="X11" s="70">
        <f t="shared" si="3"/>
        <v>44506</v>
      </c>
      <c r="Z11" s="63"/>
      <c r="AA11" s="64" t="s">
        <v>65</v>
      </c>
      <c r="AB11" s="68">
        <f>IFERROR(__xludf.DUMMYFUNCTION("INDEX(SPLIT(B$7,""/""),0,2)"),20.0)</f>
        <v>20</v>
      </c>
      <c r="AC11" s="68"/>
      <c r="AD11" s="68"/>
      <c r="AE11" s="68"/>
      <c r="AF11" s="68"/>
      <c r="AG11" s="68"/>
      <c r="AH11" s="68"/>
      <c r="AI11" s="68"/>
      <c r="AK11" s="64"/>
    </row>
    <row r="12">
      <c r="A12" s="61"/>
      <c r="B12" s="70">
        <f t="shared" ref="B12:B16" si="7">if(OR(H11&gt;=$AF$17, H11=""),,H11+1)</f>
        <v>44444</v>
      </c>
      <c r="C12" s="70">
        <f t="shared" ref="C12:H12" si="4">if(OR(B12&gt;=$AF$17, B12=""),,B12+1)</f>
        <v>44445</v>
      </c>
      <c r="D12" s="70">
        <f t="shared" si="4"/>
        <v>44446</v>
      </c>
      <c r="E12" s="70">
        <f t="shared" si="4"/>
        <v>44447</v>
      </c>
      <c r="F12" s="70">
        <f t="shared" si="4"/>
        <v>44448</v>
      </c>
      <c r="G12" s="70">
        <f t="shared" si="4"/>
        <v>44449</v>
      </c>
      <c r="H12" s="70">
        <f t="shared" si="4"/>
        <v>44450</v>
      </c>
      <c r="I12" s="61"/>
      <c r="J12" s="70">
        <f t="shared" ref="J12:J16" si="9">if(OR(P11&gt;=$AF$18, P11=""),,P11+1)</f>
        <v>44472</v>
      </c>
      <c r="K12" s="70">
        <f t="shared" ref="K12:P12" si="5">if(OR(J12&gt;=$AF$18, J12=""),,J12+1)</f>
        <v>44473</v>
      </c>
      <c r="L12" s="70">
        <f t="shared" si="5"/>
        <v>44474</v>
      </c>
      <c r="M12" s="70">
        <f t="shared" si="5"/>
        <v>44475</v>
      </c>
      <c r="N12" s="70">
        <f t="shared" si="5"/>
        <v>44476</v>
      </c>
      <c r="O12" s="70">
        <f t="shared" si="5"/>
        <v>44477</v>
      </c>
      <c r="P12" s="70">
        <f t="shared" si="5"/>
        <v>44478</v>
      </c>
      <c r="Q12" s="61"/>
      <c r="R12" s="70">
        <f t="shared" ref="R12:R16" si="11">if(OR(X11&gt;=$AF$19, X11=""),,X11+1)</f>
        <v>44507</v>
      </c>
      <c r="S12" s="70">
        <f t="shared" ref="S12:X12" si="6">if(OR(R12&gt;=$AF$19, R12=""),,R12+1)</f>
        <v>44508</v>
      </c>
      <c r="T12" s="70">
        <f t="shared" si="6"/>
        <v>44509</v>
      </c>
      <c r="U12" s="70">
        <f t="shared" si="6"/>
        <v>44510</v>
      </c>
      <c r="V12" s="70">
        <f t="shared" si="6"/>
        <v>44511</v>
      </c>
      <c r="W12" s="70">
        <f t="shared" si="6"/>
        <v>44512</v>
      </c>
      <c r="X12" s="70">
        <f t="shared" si="6"/>
        <v>44513</v>
      </c>
      <c r="Z12" s="63"/>
      <c r="AA12" s="64" t="s">
        <v>66</v>
      </c>
      <c r="AB12" s="68">
        <f>IFERROR(__xludf.DUMMYFUNCTION("INDEX(SPLIT(B$7,""/""),0,3)"),2021.0)</f>
        <v>2021</v>
      </c>
      <c r="AC12" s="68"/>
      <c r="AD12" s="68"/>
      <c r="AE12" s="68"/>
      <c r="AF12" s="68"/>
      <c r="AG12" s="68"/>
      <c r="AH12" s="68"/>
      <c r="AI12" s="68"/>
      <c r="AK12" s="64"/>
    </row>
    <row r="13">
      <c r="A13" s="61"/>
      <c r="B13" s="70">
        <f t="shared" si="7"/>
        <v>44451</v>
      </c>
      <c r="C13" s="70">
        <f t="shared" ref="C13:H13" si="8">if(OR(B13&gt;=$AF$17, B13=""),,B13+1)</f>
        <v>44452</v>
      </c>
      <c r="D13" s="70">
        <f t="shared" si="8"/>
        <v>44453</v>
      </c>
      <c r="E13" s="70">
        <f t="shared" si="8"/>
        <v>44454</v>
      </c>
      <c r="F13" s="70">
        <f t="shared" si="8"/>
        <v>44455</v>
      </c>
      <c r="G13" s="70">
        <f t="shared" si="8"/>
        <v>44456</v>
      </c>
      <c r="H13" s="70">
        <f t="shared" si="8"/>
        <v>44457</v>
      </c>
      <c r="I13" s="61"/>
      <c r="J13" s="70">
        <f t="shared" si="9"/>
        <v>44479</v>
      </c>
      <c r="K13" s="70">
        <f t="shared" ref="K13:P13" si="10">if(OR(J13&gt;=$AF$18, J13=""),,J13+1)</f>
        <v>44480</v>
      </c>
      <c r="L13" s="70">
        <f t="shared" si="10"/>
        <v>44481</v>
      </c>
      <c r="M13" s="70">
        <f t="shared" si="10"/>
        <v>44482</v>
      </c>
      <c r="N13" s="70">
        <f t="shared" si="10"/>
        <v>44483</v>
      </c>
      <c r="O13" s="70">
        <f t="shared" si="10"/>
        <v>44484</v>
      </c>
      <c r="P13" s="70">
        <f t="shared" si="10"/>
        <v>44485</v>
      </c>
      <c r="Q13" s="61"/>
      <c r="R13" s="70">
        <f t="shared" si="11"/>
        <v>44514</v>
      </c>
      <c r="S13" s="70">
        <f t="shared" ref="S13:X13" si="12">if(OR(R13&gt;=$AF$19, R13=""),,R13+1)</f>
        <v>44515</v>
      </c>
      <c r="T13" s="70">
        <f t="shared" si="12"/>
        <v>44516</v>
      </c>
      <c r="U13" s="70">
        <f t="shared" si="12"/>
        <v>44517</v>
      </c>
      <c r="V13" s="70">
        <f t="shared" si="12"/>
        <v>44518</v>
      </c>
      <c r="W13" s="70">
        <f t="shared" si="12"/>
        <v>44519</v>
      </c>
      <c r="X13" s="70">
        <f t="shared" si="12"/>
        <v>44520</v>
      </c>
      <c r="Y13" s="61"/>
      <c r="Z13" s="61"/>
      <c r="AA13" s="65" t="s">
        <v>67</v>
      </c>
      <c r="AB13" s="72">
        <f>DATE(AB12,AB10+1,1)-1</f>
        <v>44469</v>
      </c>
      <c r="AC13" s="72"/>
      <c r="AD13" s="72"/>
      <c r="AE13" s="72"/>
      <c r="AF13" s="72"/>
      <c r="AG13" s="72"/>
      <c r="AH13" s="72"/>
      <c r="AI13" s="72"/>
      <c r="AK13" s="64"/>
    </row>
    <row r="14">
      <c r="A14" s="61"/>
      <c r="B14" s="70">
        <f t="shared" si="7"/>
        <v>44458</v>
      </c>
      <c r="C14" s="70">
        <f t="shared" ref="C14:H14" si="13">if(OR(B14&gt;=$AF$17, B14=""),,B14+1)</f>
        <v>44459</v>
      </c>
      <c r="D14" s="70">
        <f t="shared" si="13"/>
        <v>44460</v>
      </c>
      <c r="E14" s="70">
        <f t="shared" si="13"/>
        <v>44461</v>
      </c>
      <c r="F14" s="70">
        <f t="shared" si="13"/>
        <v>44462</v>
      </c>
      <c r="G14" s="70">
        <f t="shared" si="13"/>
        <v>44463</v>
      </c>
      <c r="H14" s="70">
        <f t="shared" si="13"/>
        <v>44464</v>
      </c>
      <c r="I14" s="61"/>
      <c r="J14" s="70">
        <f t="shared" si="9"/>
        <v>44486</v>
      </c>
      <c r="K14" s="70">
        <f t="shared" ref="K14:P14" si="14">if(OR(J14&gt;=$AF$18, J14=""),,J14+1)</f>
        <v>44487</v>
      </c>
      <c r="L14" s="70">
        <f t="shared" si="14"/>
        <v>44488</v>
      </c>
      <c r="M14" s="70">
        <f t="shared" si="14"/>
        <v>44489</v>
      </c>
      <c r="N14" s="70">
        <f t="shared" si="14"/>
        <v>44490</v>
      </c>
      <c r="O14" s="70">
        <f t="shared" si="14"/>
        <v>44491</v>
      </c>
      <c r="P14" s="70">
        <f t="shared" si="14"/>
        <v>44492</v>
      </c>
      <c r="Q14" s="61"/>
      <c r="R14" s="70">
        <f t="shared" si="11"/>
        <v>44521</v>
      </c>
      <c r="S14" s="70">
        <f t="shared" ref="S14:X14" si="15">if(OR(R14&gt;=$AF$19, R14=""),,R14+1)</f>
        <v>44522</v>
      </c>
      <c r="T14" s="70">
        <f t="shared" si="15"/>
        <v>44523</v>
      </c>
      <c r="U14" s="70">
        <f t="shared" si="15"/>
        <v>44524</v>
      </c>
      <c r="V14" s="70">
        <f t="shared" si="15"/>
        <v>44525</v>
      </c>
      <c r="W14" s="70">
        <f t="shared" si="15"/>
        <v>44526</v>
      </c>
      <c r="X14" s="70">
        <f t="shared" si="15"/>
        <v>44527</v>
      </c>
      <c r="Y14" s="61"/>
      <c r="Z14" s="61"/>
      <c r="AA14" s="65" t="s">
        <v>68</v>
      </c>
      <c r="AB14" s="68">
        <f>DATEDIF(B7, B4, "M")</f>
        <v>2</v>
      </c>
      <c r="AC14" s="64"/>
      <c r="AD14" s="73"/>
      <c r="AE14" s="64"/>
      <c r="AF14" s="64"/>
      <c r="AG14" s="64"/>
      <c r="AH14" s="64"/>
      <c r="AI14" s="64"/>
      <c r="AJ14" s="64"/>
      <c r="AK14" s="64"/>
    </row>
    <row r="15">
      <c r="A15" s="61"/>
      <c r="B15" s="70">
        <f t="shared" si="7"/>
        <v>44465</v>
      </c>
      <c r="C15" s="70">
        <f t="shared" ref="C15:H15" si="16">if(OR(B15&gt;=$AF$17, B15=""),,B15+1)</f>
        <v>44466</v>
      </c>
      <c r="D15" s="70">
        <f t="shared" si="16"/>
        <v>44467</v>
      </c>
      <c r="E15" s="70">
        <f t="shared" si="16"/>
        <v>44468</v>
      </c>
      <c r="F15" s="70">
        <f t="shared" si="16"/>
        <v>44469</v>
      </c>
      <c r="G15" s="70" t="str">
        <f t="shared" si="16"/>
        <v/>
      </c>
      <c r="H15" s="70" t="str">
        <f t="shared" si="16"/>
        <v/>
      </c>
      <c r="I15" s="61"/>
      <c r="J15" s="70">
        <f t="shared" si="9"/>
        <v>44493</v>
      </c>
      <c r="K15" s="70">
        <f t="shared" ref="K15:P15" si="17">if(OR(J15&gt;=$AF$18, J15=""),,J15+1)</f>
        <v>44494</v>
      </c>
      <c r="L15" s="70">
        <f t="shared" si="17"/>
        <v>44495</v>
      </c>
      <c r="M15" s="70">
        <f t="shared" si="17"/>
        <v>44496</v>
      </c>
      <c r="N15" s="70">
        <f t="shared" si="17"/>
        <v>44497</v>
      </c>
      <c r="O15" s="70">
        <f t="shared" si="17"/>
        <v>44498</v>
      </c>
      <c r="P15" s="70">
        <f t="shared" si="17"/>
        <v>44499</v>
      </c>
      <c r="Q15" s="61"/>
      <c r="R15" s="70">
        <f t="shared" si="11"/>
        <v>44528</v>
      </c>
      <c r="S15" s="70">
        <f t="shared" ref="S15:X15" si="18">if(OR(R15&gt;=$AF$19, R15=""),,R15+1)</f>
        <v>44529</v>
      </c>
      <c r="T15" s="70">
        <f t="shared" si="18"/>
        <v>44530</v>
      </c>
      <c r="U15" s="70" t="str">
        <f t="shared" si="18"/>
        <v/>
      </c>
      <c r="V15" s="70" t="str">
        <f t="shared" si="18"/>
        <v/>
      </c>
      <c r="W15" s="70" t="str">
        <f t="shared" si="18"/>
        <v/>
      </c>
      <c r="X15" s="70" t="str">
        <f t="shared" si="18"/>
        <v/>
      </c>
      <c r="Y15" s="61"/>
      <c r="Z15" s="61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</row>
    <row r="16">
      <c r="A16" s="61"/>
      <c r="B16" s="70" t="str">
        <f t="shared" si="7"/>
        <v/>
      </c>
      <c r="C16" s="70" t="str">
        <f t="shared" ref="C16:H16" si="19">if(OR(B16&gt;=$AF$17, B16=""),,B16+1)</f>
        <v/>
      </c>
      <c r="D16" s="70" t="str">
        <f t="shared" si="19"/>
        <v/>
      </c>
      <c r="E16" s="70" t="str">
        <f t="shared" si="19"/>
        <v/>
      </c>
      <c r="F16" s="70" t="str">
        <f t="shared" si="19"/>
        <v/>
      </c>
      <c r="G16" s="70" t="str">
        <f t="shared" si="19"/>
        <v/>
      </c>
      <c r="H16" s="70" t="str">
        <f t="shared" si="19"/>
        <v/>
      </c>
      <c r="I16" s="74"/>
      <c r="J16" s="70">
        <f t="shared" si="9"/>
        <v>44500</v>
      </c>
      <c r="K16" s="70" t="str">
        <f t="shared" ref="K16:P16" si="20">if(OR(J16&gt;=$AF$18, J16=""),,J16+1)</f>
        <v/>
      </c>
      <c r="L16" s="70" t="str">
        <f t="shared" si="20"/>
        <v/>
      </c>
      <c r="M16" s="70" t="str">
        <f t="shared" si="20"/>
        <v/>
      </c>
      <c r="N16" s="70" t="str">
        <f t="shared" si="20"/>
        <v/>
      </c>
      <c r="O16" s="70" t="str">
        <f t="shared" si="20"/>
        <v/>
      </c>
      <c r="P16" s="70" t="str">
        <f t="shared" si="20"/>
        <v/>
      </c>
      <c r="Q16" s="61"/>
      <c r="R16" s="70" t="str">
        <f t="shared" si="11"/>
        <v/>
      </c>
      <c r="S16" s="70" t="str">
        <f t="shared" ref="S16:X16" si="21">if(OR(R16&gt;=$AF$19, R16=""),,R16+1)</f>
        <v/>
      </c>
      <c r="T16" s="70" t="str">
        <f t="shared" si="21"/>
        <v/>
      </c>
      <c r="U16" s="70" t="str">
        <f t="shared" si="21"/>
        <v/>
      </c>
      <c r="V16" s="70" t="str">
        <f t="shared" si="21"/>
        <v/>
      </c>
      <c r="W16" s="70" t="str">
        <f t="shared" si="21"/>
        <v/>
      </c>
      <c r="X16" s="70" t="str">
        <f t="shared" si="21"/>
        <v/>
      </c>
      <c r="Y16" s="61"/>
      <c r="Z16" s="61"/>
      <c r="AA16" s="75"/>
      <c r="AB16" s="64"/>
      <c r="AC16" s="76" t="s">
        <v>69</v>
      </c>
      <c r="AD16" s="76" t="s">
        <v>70</v>
      </c>
      <c r="AE16" s="64" t="s">
        <v>71</v>
      </c>
      <c r="AF16" s="64" t="s">
        <v>67</v>
      </c>
      <c r="AG16" s="64" t="s">
        <v>72</v>
      </c>
      <c r="AH16" s="65"/>
      <c r="AI16" s="65"/>
      <c r="AJ16" s="65"/>
      <c r="AK16" s="65"/>
    </row>
    <row r="17">
      <c r="A17" s="61"/>
      <c r="B17" s="61"/>
      <c r="C17" s="77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8"/>
      <c r="AB17" s="65"/>
      <c r="AC17" s="64" t="str">
        <f t="shared" ref="AC17:AC31" si="22">TEXT(AF17, "MMMM")</f>
        <v>September</v>
      </c>
      <c r="AD17" s="78">
        <f>DATE(AB$12,AB$10,1)</f>
        <v>44440</v>
      </c>
      <c r="AE17" s="64" t="str">
        <f t="shared" ref="AE17:AE31" si="23">TEXT(AD17, "DDD")</f>
        <v>Wed</v>
      </c>
      <c r="AF17" s="72">
        <f>EOMONTH($B$7, 0)</f>
        <v>44469</v>
      </c>
      <c r="AG17" s="68">
        <f t="shared" ref="AG17:AG31" si="24">YEAR(AF17)</f>
        <v>2021</v>
      </c>
      <c r="AH17" s="79"/>
      <c r="AI17" s="73"/>
      <c r="AJ17" s="73"/>
      <c r="AK17" s="68"/>
    </row>
    <row r="18">
      <c r="A18" s="61"/>
      <c r="B18" s="62" t="str">
        <f>AC20&amp;" "&amp;AG20</f>
        <v>December 2021</v>
      </c>
      <c r="I18" s="61"/>
      <c r="J18" s="62" t="str">
        <f>AC21&amp;" "&amp;AG21</f>
        <v>January 2022</v>
      </c>
      <c r="Q18" s="61"/>
      <c r="R18" s="62" t="str">
        <f>AC22&amp;" "&amp;AG22</f>
        <v>February 2022</v>
      </c>
      <c r="Y18" s="61"/>
      <c r="Z18" s="61"/>
      <c r="AA18" s="68"/>
      <c r="AB18" s="64"/>
      <c r="AC18" s="64" t="str">
        <f t="shared" si="22"/>
        <v>October</v>
      </c>
      <c r="AD18" s="78">
        <f>DATE(AB$12,AB$10+1,1)</f>
        <v>44470</v>
      </c>
      <c r="AE18" s="64" t="str">
        <f t="shared" si="23"/>
        <v>Fri</v>
      </c>
      <c r="AF18" s="72">
        <f>EOMONTH($B$7, 1)</f>
        <v>44500</v>
      </c>
      <c r="AG18" s="68">
        <f t="shared" si="24"/>
        <v>2021</v>
      </c>
      <c r="AH18" s="73"/>
      <c r="AI18" s="73"/>
      <c r="AJ18" s="73"/>
      <c r="AK18" s="68"/>
    </row>
    <row r="19">
      <c r="A19" s="61"/>
      <c r="B19" s="66" t="s">
        <v>57</v>
      </c>
      <c r="C19" s="80" t="s">
        <v>58</v>
      </c>
      <c r="D19" s="66" t="s">
        <v>59</v>
      </c>
      <c r="E19" s="66" t="s">
        <v>60</v>
      </c>
      <c r="F19" s="66" t="s">
        <v>61</v>
      </c>
      <c r="G19" s="66" t="s">
        <v>62</v>
      </c>
      <c r="H19" s="66" t="s">
        <v>63</v>
      </c>
      <c r="I19" s="61"/>
      <c r="J19" s="66" t="s">
        <v>57</v>
      </c>
      <c r="K19" s="66" t="s">
        <v>58</v>
      </c>
      <c r="L19" s="66" t="s">
        <v>59</v>
      </c>
      <c r="M19" s="66" t="s">
        <v>60</v>
      </c>
      <c r="N19" s="66" t="s">
        <v>61</v>
      </c>
      <c r="O19" s="66" t="s">
        <v>62</v>
      </c>
      <c r="P19" s="66" t="s">
        <v>63</v>
      </c>
      <c r="Q19" s="61"/>
      <c r="R19" s="66" t="s">
        <v>57</v>
      </c>
      <c r="S19" s="66" t="s">
        <v>58</v>
      </c>
      <c r="T19" s="66" t="s">
        <v>59</v>
      </c>
      <c r="U19" s="66" t="s">
        <v>60</v>
      </c>
      <c r="V19" s="66" t="s">
        <v>61</v>
      </c>
      <c r="W19" s="66" t="s">
        <v>62</v>
      </c>
      <c r="X19" s="66" t="s">
        <v>63</v>
      </c>
      <c r="Y19" s="61"/>
      <c r="Z19" s="61"/>
      <c r="AA19" s="68"/>
      <c r="AB19" s="64"/>
      <c r="AC19" s="64" t="str">
        <f t="shared" si="22"/>
        <v>November</v>
      </c>
      <c r="AD19" s="78">
        <f>DATE(AB$12,AB$10+2,1)</f>
        <v>44501</v>
      </c>
      <c r="AE19" s="64" t="str">
        <f t="shared" si="23"/>
        <v>Mon</v>
      </c>
      <c r="AF19" s="72">
        <f>EOMONTH($B$7, 2)</f>
        <v>44530</v>
      </c>
      <c r="AG19" s="68">
        <f t="shared" si="24"/>
        <v>2021</v>
      </c>
      <c r="AH19" s="73"/>
      <c r="AI19" s="73"/>
      <c r="AJ19" s="73"/>
      <c r="AK19" s="68"/>
    </row>
    <row r="20">
      <c r="A20" s="61"/>
      <c r="B20" s="70" t="str">
        <f>IF(B19=AE20,AD20,)</f>
        <v/>
      </c>
      <c r="C20" s="70" t="str">
        <f t="shared" ref="C20:H20" si="25">IF(B20&gt;0,B20+1, IF(C19=$AE$20,$AD$20,))</f>
        <v/>
      </c>
      <c r="D20" s="70" t="str">
        <f t="shared" si="25"/>
        <v/>
      </c>
      <c r="E20" s="70">
        <f t="shared" si="25"/>
        <v>44531</v>
      </c>
      <c r="F20" s="70">
        <f t="shared" si="25"/>
        <v>44532</v>
      </c>
      <c r="G20" s="70">
        <f t="shared" si="25"/>
        <v>44533</v>
      </c>
      <c r="H20" s="70">
        <f t="shared" si="25"/>
        <v>44534</v>
      </c>
      <c r="I20" s="61"/>
      <c r="J20" s="70" t="str">
        <f>IF(J19=AE21,AD21,)</f>
        <v/>
      </c>
      <c r="K20" s="70" t="str">
        <f t="shared" ref="K20:P20" si="26">if(J20&gt;0,J20+1, IF(K19=$AE$21,$AD$21,))</f>
        <v/>
      </c>
      <c r="L20" s="70" t="str">
        <f t="shared" si="26"/>
        <v/>
      </c>
      <c r="M20" s="70" t="str">
        <f t="shared" si="26"/>
        <v/>
      </c>
      <c r="N20" s="70" t="str">
        <f t="shared" si="26"/>
        <v/>
      </c>
      <c r="O20" s="70" t="str">
        <f t="shared" si="26"/>
        <v/>
      </c>
      <c r="P20" s="70">
        <f t="shared" si="26"/>
        <v>44562</v>
      </c>
      <c r="Q20" s="61"/>
      <c r="R20" s="70" t="str">
        <f>IF(R19=AE22,AD22,)</f>
        <v/>
      </c>
      <c r="S20" s="70" t="str">
        <f t="shared" ref="S20:X20" si="27">if(R20&gt;0,R20+1, IF(S19=$AE$22,$AD$22,))</f>
        <v/>
      </c>
      <c r="T20" s="70">
        <f t="shared" si="27"/>
        <v>44593</v>
      </c>
      <c r="U20" s="70">
        <f t="shared" si="27"/>
        <v>44594</v>
      </c>
      <c r="V20" s="70">
        <f t="shared" si="27"/>
        <v>44595</v>
      </c>
      <c r="W20" s="70">
        <f t="shared" si="27"/>
        <v>44596</v>
      </c>
      <c r="X20" s="70">
        <f t="shared" si="27"/>
        <v>44597</v>
      </c>
      <c r="Y20" s="61"/>
      <c r="Z20" s="61"/>
      <c r="AA20" s="68"/>
      <c r="AB20" s="64"/>
      <c r="AC20" s="64" t="str">
        <f t="shared" si="22"/>
        <v>December</v>
      </c>
      <c r="AD20" s="78">
        <f>DATE(AB$12,AB$10+3,1)</f>
        <v>44531</v>
      </c>
      <c r="AE20" s="64" t="str">
        <f t="shared" si="23"/>
        <v>Wed</v>
      </c>
      <c r="AF20" s="72">
        <f>EOMONTH($B$7, 3)</f>
        <v>44561</v>
      </c>
      <c r="AG20" s="68">
        <f t="shared" si="24"/>
        <v>2021</v>
      </c>
      <c r="AH20" s="73"/>
      <c r="AI20" s="73"/>
      <c r="AJ20" s="73"/>
      <c r="AK20" s="68"/>
    </row>
    <row r="21">
      <c r="A21" s="61"/>
      <c r="B21" s="70">
        <f t="shared" ref="B21:B25" si="31">if(OR(H20&gt;=$AF$20, H20=""),,H20+1)</f>
        <v>44535</v>
      </c>
      <c r="C21" s="70">
        <f t="shared" ref="C21:H21" si="28">if(OR(B21&gt;=$AF$20, B21=""),,B21+1)</f>
        <v>44536</v>
      </c>
      <c r="D21" s="70">
        <f t="shared" si="28"/>
        <v>44537</v>
      </c>
      <c r="E21" s="70">
        <f t="shared" si="28"/>
        <v>44538</v>
      </c>
      <c r="F21" s="70">
        <f t="shared" si="28"/>
        <v>44539</v>
      </c>
      <c r="G21" s="70">
        <f t="shared" si="28"/>
        <v>44540</v>
      </c>
      <c r="H21" s="70">
        <f t="shared" si="28"/>
        <v>44541</v>
      </c>
      <c r="I21" s="61"/>
      <c r="J21" s="70">
        <f t="shared" ref="J21:J25" si="33">if(OR(P20&gt;=$AF$21, P20=""),,P20+1)</f>
        <v>44563</v>
      </c>
      <c r="K21" s="70">
        <f t="shared" ref="K21:P21" si="29">if(OR(J21&gt;=$AF$21, J21=""),,J21+1)</f>
        <v>44564</v>
      </c>
      <c r="L21" s="70">
        <f t="shared" si="29"/>
        <v>44565</v>
      </c>
      <c r="M21" s="70">
        <f t="shared" si="29"/>
        <v>44566</v>
      </c>
      <c r="N21" s="70">
        <f t="shared" si="29"/>
        <v>44567</v>
      </c>
      <c r="O21" s="70">
        <f t="shared" si="29"/>
        <v>44568</v>
      </c>
      <c r="P21" s="70">
        <f t="shared" si="29"/>
        <v>44569</v>
      </c>
      <c r="Q21" s="61"/>
      <c r="R21" s="70">
        <f t="shared" ref="R21:R25" si="35">if(OR(X20&gt;=$AF$22, X20=""),,X20+1)</f>
        <v>44598</v>
      </c>
      <c r="S21" s="70">
        <f t="shared" ref="S21:X21" si="30">if(OR(R21&gt;=$AF$22, R21=""),,R21+1)</f>
        <v>44599</v>
      </c>
      <c r="T21" s="70">
        <f t="shared" si="30"/>
        <v>44600</v>
      </c>
      <c r="U21" s="70">
        <f t="shared" si="30"/>
        <v>44601</v>
      </c>
      <c r="V21" s="70">
        <f t="shared" si="30"/>
        <v>44602</v>
      </c>
      <c r="W21" s="70">
        <f t="shared" si="30"/>
        <v>44603</v>
      </c>
      <c r="X21" s="70">
        <f t="shared" si="30"/>
        <v>44604</v>
      </c>
      <c r="Y21" s="61"/>
      <c r="Z21" s="61"/>
      <c r="AA21" s="68"/>
      <c r="AB21" s="64"/>
      <c r="AC21" s="64" t="str">
        <f t="shared" si="22"/>
        <v>January</v>
      </c>
      <c r="AD21" s="78">
        <f>DATE(AB$12,AB$10+4,1)</f>
        <v>44562</v>
      </c>
      <c r="AE21" s="64" t="str">
        <f t="shared" si="23"/>
        <v>Sat</v>
      </c>
      <c r="AF21" s="72">
        <f>EOMONTH($B$7, 4)</f>
        <v>44592</v>
      </c>
      <c r="AG21" s="68">
        <f t="shared" si="24"/>
        <v>2022</v>
      </c>
      <c r="AH21" s="73"/>
      <c r="AI21" s="73"/>
      <c r="AJ21" s="73"/>
      <c r="AK21" s="68"/>
    </row>
    <row r="22">
      <c r="A22" s="61"/>
      <c r="B22" s="70">
        <f t="shared" si="31"/>
        <v>44542</v>
      </c>
      <c r="C22" s="70">
        <f t="shared" ref="C22:H22" si="32">if(OR(B22&gt;=$AF$20, B22=""),,B22+1)</f>
        <v>44543</v>
      </c>
      <c r="D22" s="70">
        <f t="shared" si="32"/>
        <v>44544</v>
      </c>
      <c r="E22" s="70">
        <f t="shared" si="32"/>
        <v>44545</v>
      </c>
      <c r="F22" s="70">
        <f t="shared" si="32"/>
        <v>44546</v>
      </c>
      <c r="G22" s="70">
        <f t="shared" si="32"/>
        <v>44547</v>
      </c>
      <c r="H22" s="70">
        <f t="shared" si="32"/>
        <v>44548</v>
      </c>
      <c r="I22" s="61"/>
      <c r="J22" s="70">
        <f t="shared" si="33"/>
        <v>44570</v>
      </c>
      <c r="K22" s="70">
        <f t="shared" ref="K22:P22" si="34">if(OR(J22&gt;=$AF$21, J22=""),,J22+1)</f>
        <v>44571</v>
      </c>
      <c r="L22" s="70">
        <f t="shared" si="34"/>
        <v>44572</v>
      </c>
      <c r="M22" s="70">
        <f t="shared" si="34"/>
        <v>44573</v>
      </c>
      <c r="N22" s="70">
        <f t="shared" si="34"/>
        <v>44574</v>
      </c>
      <c r="O22" s="70">
        <f t="shared" si="34"/>
        <v>44575</v>
      </c>
      <c r="P22" s="70">
        <f t="shared" si="34"/>
        <v>44576</v>
      </c>
      <c r="Q22" s="61"/>
      <c r="R22" s="70">
        <f t="shared" si="35"/>
        <v>44605</v>
      </c>
      <c r="S22" s="70">
        <f t="shared" ref="S22:X22" si="36">if(OR(R22&gt;=$AF$22, R22=""),,R22+1)</f>
        <v>44606</v>
      </c>
      <c r="T22" s="70">
        <f t="shared" si="36"/>
        <v>44607</v>
      </c>
      <c r="U22" s="70">
        <f t="shared" si="36"/>
        <v>44608</v>
      </c>
      <c r="V22" s="70">
        <f t="shared" si="36"/>
        <v>44609</v>
      </c>
      <c r="W22" s="70">
        <f t="shared" si="36"/>
        <v>44610</v>
      </c>
      <c r="X22" s="70">
        <f t="shared" si="36"/>
        <v>44611</v>
      </c>
      <c r="Y22" s="61"/>
      <c r="Z22" s="61"/>
      <c r="AA22" s="68"/>
      <c r="AB22" s="64"/>
      <c r="AC22" s="64" t="str">
        <f t="shared" si="22"/>
        <v>February</v>
      </c>
      <c r="AD22" s="78">
        <f>DATE(AB$12,AB$10+5,1)</f>
        <v>44593</v>
      </c>
      <c r="AE22" s="64" t="str">
        <f t="shared" si="23"/>
        <v>Tue</v>
      </c>
      <c r="AF22" s="72">
        <f>EOMONTH($B$7, 5)</f>
        <v>44620</v>
      </c>
      <c r="AG22" s="68">
        <f t="shared" si="24"/>
        <v>2022</v>
      </c>
      <c r="AH22" s="73"/>
      <c r="AI22" s="73"/>
      <c r="AJ22" s="73"/>
      <c r="AK22" s="68"/>
    </row>
    <row r="23">
      <c r="A23" s="61"/>
      <c r="B23" s="70">
        <f t="shared" si="31"/>
        <v>44549</v>
      </c>
      <c r="C23" s="70">
        <f t="shared" ref="C23:H23" si="37">if(OR(B23&gt;=$AF$20, B23=""),,B23+1)</f>
        <v>44550</v>
      </c>
      <c r="D23" s="70">
        <f t="shared" si="37"/>
        <v>44551</v>
      </c>
      <c r="E23" s="70">
        <f t="shared" si="37"/>
        <v>44552</v>
      </c>
      <c r="F23" s="70">
        <f t="shared" si="37"/>
        <v>44553</v>
      </c>
      <c r="G23" s="70">
        <f t="shared" si="37"/>
        <v>44554</v>
      </c>
      <c r="H23" s="70">
        <f t="shared" si="37"/>
        <v>44555</v>
      </c>
      <c r="I23" s="61"/>
      <c r="J23" s="70">
        <f t="shared" si="33"/>
        <v>44577</v>
      </c>
      <c r="K23" s="70">
        <f t="shared" ref="K23:P23" si="38">if(OR(J23&gt;=$AF$21, J23=""),,J23+1)</f>
        <v>44578</v>
      </c>
      <c r="L23" s="70">
        <f t="shared" si="38"/>
        <v>44579</v>
      </c>
      <c r="M23" s="70">
        <f t="shared" si="38"/>
        <v>44580</v>
      </c>
      <c r="N23" s="70">
        <f t="shared" si="38"/>
        <v>44581</v>
      </c>
      <c r="O23" s="70">
        <f t="shared" si="38"/>
        <v>44582</v>
      </c>
      <c r="P23" s="70">
        <f t="shared" si="38"/>
        <v>44583</v>
      </c>
      <c r="Q23" s="61"/>
      <c r="R23" s="70">
        <f t="shared" si="35"/>
        <v>44612</v>
      </c>
      <c r="S23" s="70">
        <f t="shared" ref="S23:X23" si="39">if(OR(R23&gt;=$AF$22, R23=""),,R23+1)</f>
        <v>44613</v>
      </c>
      <c r="T23" s="70">
        <f t="shared" si="39"/>
        <v>44614</v>
      </c>
      <c r="U23" s="70">
        <f t="shared" si="39"/>
        <v>44615</v>
      </c>
      <c r="V23" s="70">
        <f t="shared" si="39"/>
        <v>44616</v>
      </c>
      <c r="W23" s="70">
        <f t="shared" si="39"/>
        <v>44617</v>
      </c>
      <c r="X23" s="70">
        <f t="shared" si="39"/>
        <v>44618</v>
      </c>
      <c r="Y23" s="61"/>
      <c r="Z23" s="61"/>
      <c r="AA23" s="68"/>
      <c r="AB23" s="64"/>
      <c r="AC23" s="64" t="str">
        <f t="shared" si="22"/>
        <v>March</v>
      </c>
      <c r="AD23" s="78">
        <f>DATE(AB$12,AB$10+6,1)</f>
        <v>44621</v>
      </c>
      <c r="AE23" s="64" t="str">
        <f t="shared" si="23"/>
        <v>Tue</v>
      </c>
      <c r="AF23" s="72">
        <f>EOMONTH($B$7, 6)</f>
        <v>44651</v>
      </c>
      <c r="AG23" s="68">
        <f t="shared" si="24"/>
        <v>2022</v>
      </c>
      <c r="AH23" s="73"/>
      <c r="AI23" s="73"/>
      <c r="AJ23" s="73"/>
      <c r="AK23" s="68"/>
    </row>
    <row r="24">
      <c r="A24" s="61"/>
      <c r="B24" s="70">
        <f t="shared" si="31"/>
        <v>44556</v>
      </c>
      <c r="C24" s="70">
        <f t="shared" ref="C24:H24" si="40">if(OR(B24&gt;=$AF$20, B24=""),,B24+1)</f>
        <v>44557</v>
      </c>
      <c r="D24" s="70">
        <f t="shared" si="40"/>
        <v>44558</v>
      </c>
      <c r="E24" s="70">
        <f t="shared" si="40"/>
        <v>44559</v>
      </c>
      <c r="F24" s="70">
        <f t="shared" si="40"/>
        <v>44560</v>
      </c>
      <c r="G24" s="70">
        <f t="shared" si="40"/>
        <v>44561</v>
      </c>
      <c r="H24" s="70" t="str">
        <f t="shared" si="40"/>
        <v/>
      </c>
      <c r="I24" s="61"/>
      <c r="J24" s="70">
        <f t="shared" si="33"/>
        <v>44584</v>
      </c>
      <c r="K24" s="70">
        <f t="shared" ref="K24:P24" si="41">if(OR(J24&gt;=$AF$21, J24=""),,J24+1)</f>
        <v>44585</v>
      </c>
      <c r="L24" s="70">
        <f t="shared" si="41"/>
        <v>44586</v>
      </c>
      <c r="M24" s="70">
        <f t="shared" si="41"/>
        <v>44587</v>
      </c>
      <c r="N24" s="70">
        <f t="shared" si="41"/>
        <v>44588</v>
      </c>
      <c r="O24" s="70">
        <f t="shared" si="41"/>
        <v>44589</v>
      </c>
      <c r="P24" s="70">
        <f t="shared" si="41"/>
        <v>44590</v>
      </c>
      <c r="Q24" s="61"/>
      <c r="R24" s="70">
        <f t="shared" si="35"/>
        <v>44619</v>
      </c>
      <c r="S24" s="70">
        <f t="shared" ref="S24:X24" si="42">if(OR(R24&gt;=$AF$22, R24=""),,R24+1)</f>
        <v>44620</v>
      </c>
      <c r="T24" s="70" t="str">
        <f t="shared" si="42"/>
        <v/>
      </c>
      <c r="U24" s="70" t="str">
        <f t="shared" si="42"/>
        <v/>
      </c>
      <c r="V24" s="70" t="str">
        <f t="shared" si="42"/>
        <v/>
      </c>
      <c r="W24" s="70" t="str">
        <f t="shared" si="42"/>
        <v/>
      </c>
      <c r="X24" s="70" t="str">
        <f t="shared" si="42"/>
        <v/>
      </c>
      <c r="Y24" s="61"/>
      <c r="Z24" s="61"/>
      <c r="AA24" s="68"/>
      <c r="AB24" s="64"/>
      <c r="AC24" s="64" t="str">
        <f t="shared" si="22"/>
        <v>April</v>
      </c>
      <c r="AD24" s="78">
        <f>DATE(AB$12,AB$10+7,1)</f>
        <v>44652</v>
      </c>
      <c r="AE24" s="64" t="str">
        <f t="shared" si="23"/>
        <v>Fri</v>
      </c>
      <c r="AF24" s="72">
        <f>EOMONTH($B$7, 7)</f>
        <v>44681</v>
      </c>
      <c r="AG24" s="68">
        <f t="shared" si="24"/>
        <v>2022</v>
      </c>
      <c r="AH24" s="73"/>
      <c r="AI24" s="73"/>
      <c r="AJ24" s="73"/>
      <c r="AK24" s="68"/>
    </row>
    <row r="25">
      <c r="A25" s="61"/>
      <c r="B25" s="70" t="str">
        <f t="shared" si="31"/>
        <v/>
      </c>
      <c r="C25" s="70" t="str">
        <f t="shared" ref="C25:H25" si="43">if(OR(B25&gt;=$AF$20, B25=""),,B25+1)</f>
        <v/>
      </c>
      <c r="D25" s="70" t="str">
        <f t="shared" si="43"/>
        <v/>
      </c>
      <c r="E25" s="70" t="str">
        <f t="shared" si="43"/>
        <v/>
      </c>
      <c r="F25" s="70" t="str">
        <f t="shared" si="43"/>
        <v/>
      </c>
      <c r="G25" s="70" t="str">
        <f t="shared" si="43"/>
        <v/>
      </c>
      <c r="H25" s="70" t="str">
        <f t="shared" si="43"/>
        <v/>
      </c>
      <c r="I25" s="61"/>
      <c r="J25" s="70">
        <f t="shared" si="33"/>
        <v>44591</v>
      </c>
      <c r="K25" s="70">
        <f t="shared" ref="K25:P25" si="44">if(OR(J25&gt;=$AF$21, J25=""),,J25+1)</f>
        <v>44592</v>
      </c>
      <c r="L25" s="70" t="str">
        <f t="shared" si="44"/>
        <v/>
      </c>
      <c r="M25" s="70" t="str">
        <f t="shared" si="44"/>
        <v/>
      </c>
      <c r="N25" s="70" t="str">
        <f t="shared" si="44"/>
        <v/>
      </c>
      <c r="O25" s="70" t="str">
        <f t="shared" si="44"/>
        <v/>
      </c>
      <c r="P25" s="70" t="str">
        <f t="shared" si="44"/>
        <v/>
      </c>
      <c r="Q25" s="61"/>
      <c r="R25" s="70" t="str">
        <f t="shared" si="35"/>
        <v/>
      </c>
      <c r="S25" s="70" t="str">
        <f t="shared" ref="S25:X25" si="45">if(OR(R25&gt;=$AF$22, R25=""),,R25+1)</f>
        <v/>
      </c>
      <c r="T25" s="70" t="str">
        <f t="shared" si="45"/>
        <v/>
      </c>
      <c r="U25" s="70" t="str">
        <f t="shared" si="45"/>
        <v/>
      </c>
      <c r="V25" s="70" t="str">
        <f t="shared" si="45"/>
        <v/>
      </c>
      <c r="W25" s="70" t="str">
        <f t="shared" si="45"/>
        <v/>
      </c>
      <c r="X25" s="70" t="str">
        <f t="shared" si="45"/>
        <v/>
      </c>
      <c r="Y25" s="61"/>
      <c r="Z25" s="61"/>
      <c r="AA25" s="68"/>
      <c r="AB25" s="64"/>
      <c r="AC25" s="64" t="str">
        <f t="shared" si="22"/>
        <v>May</v>
      </c>
      <c r="AD25" s="78">
        <f>DATE(AB$12,AB$10+8,1)</f>
        <v>44682</v>
      </c>
      <c r="AE25" s="64" t="str">
        <f t="shared" si="23"/>
        <v>Sun</v>
      </c>
      <c r="AF25" s="72">
        <f>EOMONTH($B$7, 8)</f>
        <v>44712</v>
      </c>
      <c r="AG25" s="68">
        <f t="shared" si="24"/>
        <v>2022</v>
      </c>
      <c r="AH25" s="73"/>
      <c r="AI25" s="73"/>
      <c r="AJ25" s="73"/>
      <c r="AK25" s="68"/>
    </row>
    <row r="26">
      <c r="A26" s="61"/>
      <c r="B26" s="61"/>
      <c r="C26" s="77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8"/>
      <c r="AB26" s="64"/>
      <c r="AC26" s="64" t="str">
        <f t="shared" si="22"/>
        <v>June</v>
      </c>
      <c r="AD26" s="78">
        <f>DATE(AB$12,AB$10+9,1)</f>
        <v>44713</v>
      </c>
      <c r="AE26" s="64" t="str">
        <f t="shared" si="23"/>
        <v>Wed</v>
      </c>
      <c r="AF26" s="72">
        <f>EOMONTH($B$7, 9)</f>
        <v>44742</v>
      </c>
      <c r="AG26" s="68">
        <f t="shared" si="24"/>
        <v>2022</v>
      </c>
      <c r="AH26" s="73"/>
      <c r="AI26" s="73"/>
      <c r="AJ26" s="73"/>
      <c r="AK26" s="68"/>
    </row>
    <row r="27">
      <c r="A27" s="61"/>
      <c r="B27" s="62" t="str">
        <f>AC23&amp;" "&amp;AG23</f>
        <v>March 2022</v>
      </c>
      <c r="I27" s="61"/>
      <c r="J27" s="62" t="str">
        <f>AC24&amp;" "&amp;AG24</f>
        <v>April 2022</v>
      </c>
      <c r="Q27" s="61"/>
      <c r="R27" s="62" t="str">
        <f>AC25&amp;" "&amp;AG25</f>
        <v>May 2022</v>
      </c>
      <c r="Y27" s="61"/>
      <c r="Z27" s="61"/>
      <c r="AA27" s="68"/>
      <c r="AB27" s="64"/>
      <c r="AC27" s="64" t="str">
        <f t="shared" si="22"/>
        <v>July</v>
      </c>
      <c r="AD27" s="78">
        <f>DATE(AB$12,AB$10+10,1)</f>
        <v>44743</v>
      </c>
      <c r="AE27" s="64" t="str">
        <f t="shared" si="23"/>
        <v>Fri</v>
      </c>
      <c r="AF27" s="72">
        <f>EOMONTH($B$7, 10)</f>
        <v>44773</v>
      </c>
      <c r="AG27" s="68">
        <f t="shared" si="24"/>
        <v>2022</v>
      </c>
      <c r="AH27" s="73"/>
      <c r="AI27" s="73"/>
      <c r="AJ27" s="73"/>
      <c r="AK27" s="68"/>
    </row>
    <row r="28">
      <c r="A28" s="61"/>
      <c r="B28" s="66" t="s">
        <v>57</v>
      </c>
      <c r="C28" s="80" t="s">
        <v>58</v>
      </c>
      <c r="D28" s="66" t="s">
        <v>59</v>
      </c>
      <c r="E28" s="66" t="s">
        <v>60</v>
      </c>
      <c r="F28" s="66" t="s">
        <v>61</v>
      </c>
      <c r="G28" s="66" t="s">
        <v>62</v>
      </c>
      <c r="H28" s="66" t="s">
        <v>63</v>
      </c>
      <c r="I28" s="61"/>
      <c r="J28" s="66" t="s">
        <v>57</v>
      </c>
      <c r="K28" s="66" t="s">
        <v>58</v>
      </c>
      <c r="L28" s="66" t="s">
        <v>59</v>
      </c>
      <c r="M28" s="66" t="s">
        <v>60</v>
      </c>
      <c r="N28" s="66" t="s">
        <v>61</v>
      </c>
      <c r="O28" s="66" t="s">
        <v>62</v>
      </c>
      <c r="P28" s="66" t="s">
        <v>63</v>
      </c>
      <c r="Q28" s="61"/>
      <c r="R28" s="66" t="s">
        <v>57</v>
      </c>
      <c r="S28" s="66" t="s">
        <v>58</v>
      </c>
      <c r="T28" s="66" t="s">
        <v>59</v>
      </c>
      <c r="U28" s="66" t="s">
        <v>60</v>
      </c>
      <c r="V28" s="66" t="s">
        <v>61</v>
      </c>
      <c r="W28" s="66" t="s">
        <v>62</v>
      </c>
      <c r="X28" s="66" t="s">
        <v>63</v>
      </c>
      <c r="Y28" s="61"/>
      <c r="Z28" s="61"/>
      <c r="AA28" s="68"/>
      <c r="AB28" s="64"/>
      <c r="AC28" s="64" t="str">
        <f t="shared" si="22"/>
        <v>August</v>
      </c>
      <c r="AD28" s="78">
        <f>DATE(AB$12,AB$10+11,1)</f>
        <v>44774</v>
      </c>
      <c r="AE28" s="64" t="str">
        <f t="shared" si="23"/>
        <v>Mon</v>
      </c>
      <c r="AF28" s="72">
        <f>EOMONTH($B$7, 11)</f>
        <v>44804</v>
      </c>
      <c r="AG28" s="68">
        <f t="shared" si="24"/>
        <v>2022</v>
      </c>
      <c r="AH28" s="73"/>
      <c r="AI28" s="73"/>
      <c r="AJ28" s="73"/>
      <c r="AK28" s="68"/>
    </row>
    <row r="29">
      <c r="A29" s="61"/>
      <c r="B29" s="70" t="str">
        <f>IF(B28=AE23,AD23,)</f>
        <v/>
      </c>
      <c r="C29" s="70" t="str">
        <f t="shared" ref="C29:H29" si="46">IF(B29&gt;0,B29+1, IF(C28=$AE$23,$AD$23,))</f>
        <v/>
      </c>
      <c r="D29" s="70">
        <f t="shared" si="46"/>
        <v>44621</v>
      </c>
      <c r="E29" s="70">
        <f t="shared" si="46"/>
        <v>44622</v>
      </c>
      <c r="F29" s="70">
        <f t="shared" si="46"/>
        <v>44623</v>
      </c>
      <c r="G29" s="70">
        <f t="shared" si="46"/>
        <v>44624</v>
      </c>
      <c r="H29" s="70">
        <f t="shared" si="46"/>
        <v>44625</v>
      </c>
      <c r="I29" s="61"/>
      <c r="J29" s="70" t="str">
        <f>IF(J28=AE24,AD24,)</f>
        <v/>
      </c>
      <c r="K29" s="70" t="str">
        <f t="shared" ref="K29:P29" si="47">if(J29&gt;0,J29+1, IF(K28=$AE$24,$AD$24,))</f>
        <v/>
      </c>
      <c r="L29" s="70" t="str">
        <f t="shared" si="47"/>
        <v/>
      </c>
      <c r="M29" s="70" t="str">
        <f t="shared" si="47"/>
        <v/>
      </c>
      <c r="N29" s="70" t="str">
        <f t="shared" si="47"/>
        <v/>
      </c>
      <c r="O29" s="70">
        <f t="shared" si="47"/>
        <v>44652</v>
      </c>
      <c r="P29" s="70">
        <f t="shared" si="47"/>
        <v>44653</v>
      </c>
      <c r="Q29" s="61"/>
      <c r="R29" s="70">
        <f>IF(R28=AE25,AD25,)</f>
        <v>44682</v>
      </c>
      <c r="S29" s="70">
        <f t="shared" ref="S29:X29" si="48">if(R29&gt;0,R29+1, IF(S28=$AE$25,$AD$25,))</f>
        <v>44683</v>
      </c>
      <c r="T29" s="70">
        <f t="shared" si="48"/>
        <v>44684</v>
      </c>
      <c r="U29" s="70">
        <f t="shared" si="48"/>
        <v>44685</v>
      </c>
      <c r="V29" s="70">
        <f t="shared" si="48"/>
        <v>44686</v>
      </c>
      <c r="W29" s="70">
        <f t="shared" si="48"/>
        <v>44687</v>
      </c>
      <c r="X29" s="70">
        <f t="shared" si="48"/>
        <v>44688</v>
      </c>
      <c r="Y29" s="61"/>
      <c r="Z29" s="61"/>
      <c r="AA29" s="68"/>
      <c r="AB29" s="64"/>
      <c r="AC29" s="64" t="str">
        <f t="shared" si="22"/>
        <v>September</v>
      </c>
      <c r="AD29" s="78">
        <f>DATE(AB$12,AB$10+12,1)</f>
        <v>44805</v>
      </c>
      <c r="AE29" s="64" t="str">
        <f t="shared" si="23"/>
        <v>Thu</v>
      </c>
      <c r="AF29" s="72">
        <f>EOMONTH($B$7, 12)</f>
        <v>44834</v>
      </c>
      <c r="AG29" s="68">
        <f t="shared" si="24"/>
        <v>2022</v>
      </c>
      <c r="AH29" s="73"/>
      <c r="AI29" s="73"/>
      <c r="AJ29" s="73"/>
      <c r="AK29" s="68"/>
    </row>
    <row r="30">
      <c r="A30" s="61"/>
      <c r="B30" s="70">
        <f t="shared" ref="B30:B34" si="52">if(OR(H29&gt;=$AF$23, H29=""),,H29+1)</f>
        <v>44626</v>
      </c>
      <c r="C30" s="70">
        <f t="shared" ref="C30:H30" si="49">if(OR(B30&gt;=$AF$23, B30=""),,B30+1)</f>
        <v>44627</v>
      </c>
      <c r="D30" s="70">
        <f t="shared" si="49"/>
        <v>44628</v>
      </c>
      <c r="E30" s="70">
        <f t="shared" si="49"/>
        <v>44629</v>
      </c>
      <c r="F30" s="70">
        <f t="shared" si="49"/>
        <v>44630</v>
      </c>
      <c r="G30" s="70">
        <f t="shared" si="49"/>
        <v>44631</v>
      </c>
      <c r="H30" s="70">
        <f t="shared" si="49"/>
        <v>44632</v>
      </c>
      <c r="I30" s="70"/>
      <c r="J30" s="70">
        <f t="shared" ref="J30:J34" si="54">if(OR(P29&gt;=$AF$24, P29=""),,P29+1)</f>
        <v>44654</v>
      </c>
      <c r="K30" s="70">
        <f t="shared" ref="K30:P30" si="50">if(OR(J30&gt;=$AF$24, J30=""),,J30+1)</f>
        <v>44655</v>
      </c>
      <c r="L30" s="70">
        <f t="shared" si="50"/>
        <v>44656</v>
      </c>
      <c r="M30" s="70">
        <f t="shared" si="50"/>
        <v>44657</v>
      </c>
      <c r="N30" s="70">
        <f t="shared" si="50"/>
        <v>44658</v>
      </c>
      <c r="O30" s="70">
        <f t="shared" si="50"/>
        <v>44659</v>
      </c>
      <c r="P30" s="70">
        <f t="shared" si="50"/>
        <v>44660</v>
      </c>
      <c r="Q30" s="61"/>
      <c r="R30" s="70">
        <f t="shared" ref="R30:R34" si="56">if(OR(X29&gt;=$AF$25, X29=""),,X29+1)</f>
        <v>44689</v>
      </c>
      <c r="S30" s="70">
        <f t="shared" ref="S30:X30" si="51">if(OR(R30&gt;=$AF$25, R30=""),,R30+1)</f>
        <v>44690</v>
      </c>
      <c r="T30" s="70">
        <f t="shared" si="51"/>
        <v>44691</v>
      </c>
      <c r="U30" s="70">
        <f t="shared" si="51"/>
        <v>44692</v>
      </c>
      <c r="V30" s="70">
        <f t="shared" si="51"/>
        <v>44693</v>
      </c>
      <c r="W30" s="70">
        <f t="shared" si="51"/>
        <v>44694</v>
      </c>
      <c r="X30" s="70">
        <f t="shared" si="51"/>
        <v>44695</v>
      </c>
      <c r="Y30" s="61"/>
      <c r="Z30" s="61"/>
      <c r="AA30" s="68"/>
      <c r="AB30" s="64"/>
      <c r="AC30" s="64" t="str">
        <f t="shared" si="22"/>
        <v>October</v>
      </c>
      <c r="AD30" s="78">
        <f>DATE(AB$12,AB$10+13,1)</f>
        <v>44835</v>
      </c>
      <c r="AE30" s="64" t="str">
        <f t="shared" si="23"/>
        <v>Sat</v>
      </c>
      <c r="AF30" s="72">
        <f>EOMONTH($B$7, 13)</f>
        <v>44865</v>
      </c>
      <c r="AG30" s="68">
        <f t="shared" si="24"/>
        <v>2022</v>
      </c>
      <c r="AH30" s="73"/>
      <c r="AI30" s="73"/>
      <c r="AJ30" s="73"/>
      <c r="AK30" s="68"/>
    </row>
    <row r="31">
      <c r="A31" s="61"/>
      <c r="B31" s="70">
        <f t="shared" si="52"/>
        <v>44633</v>
      </c>
      <c r="C31" s="70">
        <f t="shared" ref="C31:H31" si="53">if(OR(B31&gt;=$AF$23, B31=""),,B31+1)</f>
        <v>44634</v>
      </c>
      <c r="D31" s="70">
        <f t="shared" si="53"/>
        <v>44635</v>
      </c>
      <c r="E31" s="70">
        <f t="shared" si="53"/>
        <v>44636</v>
      </c>
      <c r="F31" s="70">
        <f t="shared" si="53"/>
        <v>44637</v>
      </c>
      <c r="G31" s="70">
        <f t="shared" si="53"/>
        <v>44638</v>
      </c>
      <c r="H31" s="70">
        <f t="shared" si="53"/>
        <v>44639</v>
      </c>
      <c r="I31" s="61"/>
      <c r="J31" s="70">
        <f t="shared" si="54"/>
        <v>44661</v>
      </c>
      <c r="K31" s="70">
        <f t="shared" ref="K31:P31" si="55">if(OR(J31&gt;=$AF$24, J31=""),,J31+1)</f>
        <v>44662</v>
      </c>
      <c r="L31" s="70">
        <f t="shared" si="55"/>
        <v>44663</v>
      </c>
      <c r="M31" s="70">
        <f t="shared" si="55"/>
        <v>44664</v>
      </c>
      <c r="N31" s="70">
        <f t="shared" si="55"/>
        <v>44665</v>
      </c>
      <c r="O31" s="70">
        <f t="shared" si="55"/>
        <v>44666</v>
      </c>
      <c r="P31" s="70">
        <f t="shared" si="55"/>
        <v>44667</v>
      </c>
      <c r="Q31" s="61"/>
      <c r="R31" s="70">
        <f t="shared" si="56"/>
        <v>44696</v>
      </c>
      <c r="S31" s="70">
        <f t="shared" ref="S31:X31" si="57">if(OR(R31&gt;=$AF$25, R31=""),,R31+1)</f>
        <v>44697</v>
      </c>
      <c r="T31" s="70">
        <f t="shared" si="57"/>
        <v>44698</v>
      </c>
      <c r="U31" s="70">
        <f t="shared" si="57"/>
        <v>44699</v>
      </c>
      <c r="V31" s="70">
        <f t="shared" si="57"/>
        <v>44700</v>
      </c>
      <c r="W31" s="70">
        <f t="shared" si="57"/>
        <v>44701</v>
      </c>
      <c r="X31" s="70">
        <f t="shared" si="57"/>
        <v>44702</v>
      </c>
      <c r="Y31" s="61"/>
      <c r="Z31" s="61"/>
      <c r="AA31" s="68"/>
      <c r="AB31" s="64"/>
      <c r="AC31" s="64" t="str">
        <f t="shared" si="22"/>
        <v>November</v>
      </c>
      <c r="AD31" s="78">
        <f>DATE(AB$12,AB$10+14,1)</f>
        <v>44866</v>
      </c>
      <c r="AE31" s="64" t="str">
        <f t="shared" si="23"/>
        <v>Tue</v>
      </c>
      <c r="AF31" s="72">
        <f>EOMONTH($B$7, 14)</f>
        <v>44895</v>
      </c>
      <c r="AG31" s="68">
        <f t="shared" si="24"/>
        <v>2022</v>
      </c>
      <c r="AH31" s="73"/>
      <c r="AI31" s="73"/>
      <c r="AJ31" s="73"/>
      <c r="AK31" s="68"/>
    </row>
    <row r="32">
      <c r="A32" s="61"/>
      <c r="B32" s="70">
        <f t="shared" si="52"/>
        <v>44640</v>
      </c>
      <c r="C32" s="70">
        <f t="shared" ref="C32:H32" si="58">if(OR(B32&gt;=$AF$23, B32=""),,B32+1)</f>
        <v>44641</v>
      </c>
      <c r="D32" s="70">
        <f t="shared" si="58"/>
        <v>44642</v>
      </c>
      <c r="E32" s="70">
        <f t="shared" si="58"/>
        <v>44643</v>
      </c>
      <c r="F32" s="70">
        <f t="shared" si="58"/>
        <v>44644</v>
      </c>
      <c r="G32" s="70">
        <f t="shared" si="58"/>
        <v>44645</v>
      </c>
      <c r="H32" s="70">
        <f t="shared" si="58"/>
        <v>44646</v>
      </c>
      <c r="I32" s="61"/>
      <c r="J32" s="70">
        <f t="shared" si="54"/>
        <v>44668</v>
      </c>
      <c r="K32" s="70">
        <f t="shared" ref="K32:P32" si="59">if(OR(J32&gt;=$AF$24, J32=""),,J32+1)</f>
        <v>44669</v>
      </c>
      <c r="L32" s="70">
        <f t="shared" si="59"/>
        <v>44670</v>
      </c>
      <c r="M32" s="70">
        <f t="shared" si="59"/>
        <v>44671</v>
      </c>
      <c r="N32" s="70">
        <f t="shared" si="59"/>
        <v>44672</v>
      </c>
      <c r="O32" s="70">
        <f t="shared" si="59"/>
        <v>44673</v>
      </c>
      <c r="P32" s="70">
        <f t="shared" si="59"/>
        <v>44674</v>
      </c>
      <c r="Q32" s="61"/>
      <c r="R32" s="70">
        <f t="shared" si="56"/>
        <v>44703</v>
      </c>
      <c r="S32" s="70">
        <f t="shared" ref="S32:X32" si="60">if(OR(R32&gt;=$AF$25, R32=""),,R32+1)</f>
        <v>44704</v>
      </c>
      <c r="T32" s="70">
        <f t="shared" si="60"/>
        <v>44705</v>
      </c>
      <c r="U32" s="70">
        <f t="shared" si="60"/>
        <v>44706</v>
      </c>
      <c r="V32" s="70">
        <f t="shared" si="60"/>
        <v>44707</v>
      </c>
      <c r="W32" s="70">
        <f t="shared" si="60"/>
        <v>44708</v>
      </c>
      <c r="X32" s="70">
        <f t="shared" si="60"/>
        <v>44709</v>
      </c>
      <c r="Y32" s="61"/>
      <c r="Z32" s="61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</row>
    <row r="33">
      <c r="A33" s="61"/>
      <c r="B33" s="70">
        <f t="shared" si="52"/>
        <v>44647</v>
      </c>
      <c r="C33" s="70">
        <f t="shared" ref="C33:H33" si="61">if(OR(B33&gt;=$AF$23, B33=""),,B33+1)</f>
        <v>44648</v>
      </c>
      <c r="D33" s="70">
        <f t="shared" si="61"/>
        <v>44649</v>
      </c>
      <c r="E33" s="70">
        <f t="shared" si="61"/>
        <v>44650</v>
      </c>
      <c r="F33" s="70">
        <f t="shared" si="61"/>
        <v>44651</v>
      </c>
      <c r="G33" s="70" t="str">
        <f t="shared" si="61"/>
        <v/>
      </c>
      <c r="H33" s="70" t="str">
        <f t="shared" si="61"/>
        <v/>
      </c>
      <c r="I33" s="61"/>
      <c r="J33" s="70">
        <f t="shared" si="54"/>
        <v>44675</v>
      </c>
      <c r="K33" s="70">
        <f t="shared" ref="K33:P33" si="62">if(OR(J33&gt;=$AF$24, J33=""),,J33+1)</f>
        <v>44676</v>
      </c>
      <c r="L33" s="70">
        <f t="shared" si="62"/>
        <v>44677</v>
      </c>
      <c r="M33" s="70">
        <f t="shared" si="62"/>
        <v>44678</v>
      </c>
      <c r="N33" s="70">
        <f t="shared" si="62"/>
        <v>44679</v>
      </c>
      <c r="O33" s="70">
        <f t="shared" si="62"/>
        <v>44680</v>
      </c>
      <c r="P33" s="70">
        <f t="shared" si="62"/>
        <v>44681</v>
      </c>
      <c r="Q33" s="61"/>
      <c r="R33" s="70">
        <f t="shared" si="56"/>
        <v>44710</v>
      </c>
      <c r="S33" s="70">
        <f t="shared" ref="S33:X33" si="63">if(OR(R33&gt;=$AF$25, R33=""),,R33+1)</f>
        <v>44711</v>
      </c>
      <c r="T33" s="70">
        <f t="shared" si="63"/>
        <v>44712</v>
      </c>
      <c r="U33" s="70" t="str">
        <f t="shared" si="63"/>
        <v/>
      </c>
      <c r="V33" s="70" t="str">
        <f t="shared" si="63"/>
        <v/>
      </c>
      <c r="W33" s="70" t="str">
        <f t="shared" si="63"/>
        <v/>
      </c>
      <c r="X33" s="70" t="str">
        <f t="shared" si="63"/>
        <v/>
      </c>
      <c r="Y33" s="61"/>
      <c r="Z33" s="61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</row>
    <row r="34">
      <c r="A34" s="61"/>
      <c r="B34" s="70" t="str">
        <f t="shared" si="52"/>
        <v/>
      </c>
      <c r="C34" s="70" t="str">
        <f t="shared" ref="C34:H34" si="64">if(OR(B34&gt;=$AF$23, B34=""),,B34+1)</f>
        <v/>
      </c>
      <c r="D34" s="70" t="str">
        <f t="shared" si="64"/>
        <v/>
      </c>
      <c r="E34" s="70" t="str">
        <f t="shared" si="64"/>
        <v/>
      </c>
      <c r="F34" s="70" t="str">
        <f t="shared" si="64"/>
        <v/>
      </c>
      <c r="G34" s="70" t="str">
        <f t="shared" si="64"/>
        <v/>
      </c>
      <c r="H34" s="70" t="str">
        <f t="shared" si="64"/>
        <v/>
      </c>
      <c r="I34" s="61"/>
      <c r="J34" s="70" t="str">
        <f t="shared" si="54"/>
        <v/>
      </c>
      <c r="K34" s="70" t="str">
        <f t="shared" ref="K34:P34" si="65">if(OR(J34&gt;=$AF$24, J34=""),,J34+1)</f>
        <v/>
      </c>
      <c r="L34" s="70" t="str">
        <f t="shared" si="65"/>
        <v/>
      </c>
      <c r="M34" s="70" t="str">
        <f t="shared" si="65"/>
        <v/>
      </c>
      <c r="N34" s="70" t="str">
        <f t="shared" si="65"/>
        <v/>
      </c>
      <c r="O34" s="70" t="str">
        <f t="shared" si="65"/>
        <v/>
      </c>
      <c r="P34" s="70" t="str">
        <f t="shared" si="65"/>
        <v/>
      </c>
      <c r="Q34" s="61"/>
      <c r="R34" s="70" t="str">
        <f t="shared" si="56"/>
        <v/>
      </c>
      <c r="S34" s="70" t="str">
        <f t="shared" ref="S34:X34" si="66">if(OR(R34&gt;=$AF$25, R34=""),,R34+1)</f>
        <v/>
      </c>
      <c r="T34" s="70" t="str">
        <f t="shared" si="66"/>
        <v/>
      </c>
      <c r="U34" s="70" t="str">
        <f t="shared" si="66"/>
        <v/>
      </c>
      <c r="V34" s="70" t="str">
        <f t="shared" si="66"/>
        <v/>
      </c>
      <c r="W34" s="70" t="str">
        <f t="shared" si="66"/>
        <v/>
      </c>
      <c r="X34" s="70" t="str">
        <f t="shared" si="66"/>
        <v/>
      </c>
      <c r="Y34" s="61"/>
      <c r="Z34" s="61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</row>
    <row r="35">
      <c r="A35" s="61"/>
      <c r="B35" s="61"/>
      <c r="C35" s="77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4"/>
      <c r="AB35" s="64"/>
      <c r="AC35" s="64"/>
      <c r="AD35" s="81"/>
      <c r="AE35" s="64"/>
      <c r="AF35" s="82"/>
      <c r="AG35" s="64"/>
      <c r="AH35" s="64"/>
      <c r="AI35" s="64"/>
      <c r="AJ35" s="64"/>
      <c r="AK35" s="64"/>
    </row>
    <row r="36">
      <c r="A36" s="61"/>
      <c r="B36" s="62" t="str">
        <f>AC26&amp;" "&amp;AG26</f>
        <v>June 2022</v>
      </c>
      <c r="I36" s="61"/>
      <c r="J36" s="62" t="str">
        <f>AC27&amp;" "&amp;AG27</f>
        <v>July 2022</v>
      </c>
      <c r="Q36" s="61"/>
      <c r="R36" s="62" t="str">
        <f>AC28&amp;" "&amp;AG28</f>
        <v>August 2022</v>
      </c>
      <c r="Y36" s="61"/>
      <c r="Z36" s="61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</row>
    <row r="37">
      <c r="A37" s="61"/>
      <c r="B37" s="66" t="s">
        <v>57</v>
      </c>
      <c r="C37" s="80" t="s">
        <v>58</v>
      </c>
      <c r="D37" s="66" t="s">
        <v>59</v>
      </c>
      <c r="E37" s="66" t="s">
        <v>60</v>
      </c>
      <c r="F37" s="66" t="s">
        <v>61</v>
      </c>
      <c r="G37" s="66" t="s">
        <v>62</v>
      </c>
      <c r="H37" s="66" t="s">
        <v>63</v>
      </c>
      <c r="I37" s="61"/>
      <c r="J37" s="66" t="s">
        <v>57</v>
      </c>
      <c r="K37" s="66" t="s">
        <v>58</v>
      </c>
      <c r="L37" s="66" t="s">
        <v>59</v>
      </c>
      <c r="M37" s="66" t="s">
        <v>60</v>
      </c>
      <c r="N37" s="66" t="s">
        <v>61</v>
      </c>
      <c r="O37" s="66" t="s">
        <v>62</v>
      </c>
      <c r="P37" s="66" t="s">
        <v>63</v>
      </c>
      <c r="Q37" s="61"/>
      <c r="R37" s="66" t="s">
        <v>57</v>
      </c>
      <c r="S37" s="66" t="s">
        <v>58</v>
      </c>
      <c r="T37" s="66" t="s">
        <v>59</v>
      </c>
      <c r="U37" s="66" t="s">
        <v>60</v>
      </c>
      <c r="V37" s="66" t="s">
        <v>61</v>
      </c>
      <c r="W37" s="66" t="s">
        <v>62</v>
      </c>
      <c r="X37" s="66" t="s">
        <v>63</v>
      </c>
      <c r="Y37" s="61"/>
      <c r="Z37" s="61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</row>
    <row r="38">
      <c r="A38" s="61"/>
      <c r="B38" s="70" t="str">
        <f>IF(B37=AE26,AD26,)</f>
        <v/>
      </c>
      <c r="C38" s="70" t="str">
        <f t="shared" ref="C38:H38" si="67">IF(B38&gt;0,B38+1, IF(C37=$AE$26,$AD$26,))</f>
        <v/>
      </c>
      <c r="D38" s="70" t="str">
        <f t="shared" si="67"/>
        <v/>
      </c>
      <c r="E38" s="70">
        <f t="shared" si="67"/>
        <v>44713</v>
      </c>
      <c r="F38" s="70">
        <f t="shared" si="67"/>
        <v>44714</v>
      </c>
      <c r="G38" s="70">
        <f t="shared" si="67"/>
        <v>44715</v>
      </c>
      <c r="H38" s="70">
        <f t="shared" si="67"/>
        <v>44716</v>
      </c>
      <c r="I38" s="61"/>
      <c r="J38" s="70" t="str">
        <f>IF(J37=AE27,AD27,)</f>
        <v/>
      </c>
      <c r="K38" s="70" t="str">
        <f t="shared" ref="K38:P38" si="68">if(J38&gt;0,J38+1, IF(K37=$AE$27,$AD$27,))</f>
        <v/>
      </c>
      <c r="L38" s="70" t="str">
        <f t="shared" si="68"/>
        <v/>
      </c>
      <c r="M38" s="70" t="str">
        <f t="shared" si="68"/>
        <v/>
      </c>
      <c r="N38" s="70" t="str">
        <f t="shared" si="68"/>
        <v/>
      </c>
      <c r="O38" s="70">
        <f t="shared" si="68"/>
        <v>44743</v>
      </c>
      <c r="P38" s="70">
        <f t="shared" si="68"/>
        <v>44744</v>
      </c>
      <c r="Q38" s="61"/>
      <c r="R38" s="70" t="str">
        <f>IF(R37=AE28,AD28,)</f>
        <v/>
      </c>
      <c r="S38" s="70">
        <f t="shared" ref="S38:X38" si="69">if(R38&gt;0,R38+1, IF(S37=$AE$28,$AD$28,))</f>
        <v>44774</v>
      </c>
      <c r="T38" s="70">
        <f t="shared" si="69"/>
        <v>44775</v>
      </c>
      <c r="U38" s="70">
        <f t="shared" si="69"/>
        <v>44776</v>
      </c>
      <c r="V38" s="70">
        <f t="shared" si="69"/>
        <v>44777</v>
      </c>
      <c r="W38" s="70">
        <f t="shared" si="69"/>
        <v>44778</v>
      </c>
      <c r="X38" s="70">
        <f t="shared" si="69"/>
        <v>44779</v>
      </c>
      <c r="Y38" s="61"/>
      <c r="Z38" s="61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</row>
    <row r="39">
      <c r="A39" s="61"/>
      <c r="B39" s="70">
        <f t="shared" ref="B39:B43" si="73">if(OR(H38&gt;=$AF$26, H38=""),,H38+1)</f>
        <v>44717</v>
      </c>
      <c r="C39" s="70">
        <f t="shared" ref="C39:H39" si="70">if(OR(B39&gt;=$AF$26, B39=""),,B39+1)</f>
        <v>44718</v>
      </c>
      <c r="D39" s="70">
        <f t="shared" si="70"/>
        <v>44719</v>
      </c>
      <c r="E39" s="70">
        <f t="shared" si="70"/>
        <v>44720</v>
      </c>
      <c r="F39" s="70">
        <f t="shared" si="70"/>
        <v>44721</v>
      </c>
      <c r="G39" s="70">
        <f t="shared" si="70"/>
        <v>44722</v>
      </c>
      <c r="H39" s="70">
        <f t="shared" si="70"/>
        <v>44723</v>
      </c>
      <c r="I39" s="61"/>
      <c r="J39" s="70">
        <f t="shared" ref="J39:J43" si="75">if(OR(P38&gt;=$AF$27, P38=""),,P38+1)</f>
        <v>44745</v>
      </c>
      <c r="K39" s="70">
        <f t="shared" ref="K39:P39" si="71">if(OR(J39&gt;=$AF$27, J39=""),,J39+1)</f>
        <v>44746</v>
      </c>
      <c r="L39" s="70">
        <f t="shared" si="71"/>
        <v>44747</v>
      </c>
      <c r="M39" s="70">
        <f t="shared" si="71"/>
        <v>44748</v>
      </c>
      <c r="N39" s="70">
        <f t="shared" si="71"/>
        <v>44749</v>
      </c>
      <c r="O39" s="70">
        <f t="shared" si="71"/>
        <v>44750</v>
      </c>
      <c r="P39" s="70">
        <f t="shared" si="71"/>
        <v>44751</v>
      </c>
      <c r="Q39" s="61"/>
      <c r="R39" s="70">
        <f t="shared" ref="R39:R43" si="77">if(OR(X38&gt;=$AF$28, X38=""),,X38+1)</f>
        <v>44780</v>
      </c>
      <c r="S39" s="70">
        <f t="shared" ref="S39:X39" si="72">if(OR(R39&gt;=$AF$28, R39=""),,R39+1)</f>
        <v>44781</v>
      </c>
      <c r="T39" s="70">
        <f t="shared" si="72"/>
        <v>44782</v>
      </c>
      <c r="U39" s="70">
        <f t="shared" si="72"/>
        <v>44783</v>
      </c>
      <c r="V39" s="70">
        <f t="shared" si="72"/>
        <v>44784</v>
      </c>
      <c r="W39" s="70">
        <f t="shared" si="72"/>
        <v>44785</v>
      </c>
      <c r="X39" s="70">
        <f t="shared" si="72"/>
        <v>44786</v>
      </c>
      <c r="Y39" s="61"/>
      <c r="Z39" s="61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</row>
    <row r="40">
      <c r="A40" s="61"/>
      <c r="B40" s="70">
        <f t="shared" si="73"/>
        <v>44724</v>
      </c>
      <c r="C40" s="70">
        <f t="shared" ref="C40:H40" si="74">if(OR(B40&gt;=$AF$26, B40=""),,B40+1)</f>
        <v>44725</v>
      </c>
      <c r="D40" s="70">
        <f t="shared" si="74"/>
        <v>44726</v>
      </c>
      <c r="E40" s="70">
        <f t="shared" si="74"/>
        <v>44727</v>
      </c>
      <c r="F40" s="70">
        <f t="shared" si="74"/>
        <v>44728</v>
      </c>
      <c r="G40" s="70">
        <f t="shared" si="74"/>
        <v>44729</v>
      </c>
      <c r="H40" s="70">
        <f t="shared" si="74"/>
        <v>44730</v>
      </c>
      <c r="I40" s="61"/>
      <c r="J40" s="70">
        <f t="shared" si="75"/>
        <v>44752</v>
      </c>
      <c r="K40" s="70">
        <f t="shared" ref="K40:P40" si="76">if(OR(J40&gt;=$AF$27, J40=""),,J40+1)</f>
        <v>44753</v>
      </c>
      <c r="L40" s="70">
        <f t="shared" si="76"/>
        <v>44754</v>
      </c>
      <c r="M40" s="70">
        <f t="shared" si="76"/>
        <v>44755</v>
      </c>
      <c r="N40" s="70">
        <f t="shared" si="76"/>
        <v>44756</v>
      </c>
      <c r="O40" s="70">
        <f t="shared" si="76"/>
        <v>44757</v>
      </c>
      <c r="P40" s="70">
        <f t="shared" si="76"/>
        <v>44758</v>
      </c>
      <c r="Q40" s="61"/>
      <c r="R40" s="70">
        <f t="shared" si="77"/>
        <v>44787</v>
      </c>
      <c r="S40" s="70">
        <f t="shared" ref="S40:X40" si="78">if(OR(R40&gt;=$AF$28, R40=""),,R40+1)</f>
        <v>44788</v>
      </c>
      <c r="T40" s="70">
        <f t="shared" si="78"/>
        <v>44789</v>
      </c>
      <c r="U40" s="70">
        <f t="shared" si="78"/>
        <v>44790</v>
      </c>
      <c r="V40" s="70">
        <f t="shared" si="78"/>
        <v>44791</v>
      </c>
      <c r="W40" s="70">
        <f t="shared" si="78"/>
        <v>44792</v>
      </c>
      <c r="X40" s="70">
        <f t="shared" si="78"/>
        <v>44793</v>
      </c>
      <c r="Y40" s="61"/>
      <c r="Z40" s="61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</row>
    <row r="41">
      <c r="A41" s="61"/>
      <c r="B41" s="70">
        <f t="shared" si="73"/>
        <v>44731</v>
      </c>
      <c r="C41" s="70">
        <f t="shared" ref="C41:H41" si="79">if(OR(B41&gt;=$AF$26, B41=""),,B41+1)</f>
        <v>44732</v>
      </c>
      <c r="D41" s="70">
        <f t="shared" si="79"/>
        <v>44733</v>
      </c>
      <c r="E41" s="70">
        <f t="shared" si="79"/>
        <v>44734</v>
      </c>
      <c r="F41" s="70">
        <f t="shared" si="79"/>
        <v>44735</v>
      </c>
      <c r="G41" s="70">
        <f t="shared" si="79"/>
        <v>44736</v>
      </c>
      <c r="H41" s="70">
        <f t="shared" si="79"/>
        <v>44737</v>
      </c>
      <c r="I41" s="61"/>
      <c r="J41" s="70">
        <f t="shared" si="75"/>
        <v>44759</v>
      </c>
      <c r="K41" s="70">
        <f t="shared" ref="K41:P41" si="80">if(OR(J41&gt;=$AF$27, J41=""),,J41+1)</f>
        <v>44760</v>
      </c>
      <c r="L41" s="70">
        <f t="shared" si="80"/>
        <v>44761</v>
      </c>
      <c r="M41" s="70">
        <f t="shared" si="80"/>
        <v>44762</v>
      </c>
      <c r="N41" s="70">
        <f t="shared" si="80"/>
        <v>44763</v>
      </c>
      <c r="O41" s="70">
        <f t="shared" si="80"/>
        <v>44764</v>
      </c>
      <c r="P41" s="70">
        <f t="shared" si="80"/>
        <v>44765</v>
      </c>
      <c r="Q41" s="61"/>
      <c r="R41" s="70">
        <f t="shared" si="77"/>
        <v>44794</v>
      </c>
      <c r="S41" s="70">
        <f t="shared" ref="S41:X41" si="81">if(OR(R41&gt;=$AF$28, R41=""),,R41+1)</f>
        <v>44795</v>
      </c>
      <c r="T41" s="70">
        <f t="shared" si="81"/>
        <v>44796</v>
      </c>
      <c r="U41" s="70">
        <f t="shared" si="81"/>
        <v>44797</v>
      </c>
      <c r="V41" s="70">
        <f t="shared" si="81"/>
        <v>44798</v>
      </c>
      <c r="W41" s="70">
        <f t="shared" si="81"/>
        <v>44799</v>
      </c>
      <c r="X41" s="70">
        <f t="shared" si="81"/>
        <v>44800</v>
      </c>
      <c r="Y41" s="61"/>
      <c r="Z41" s="61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</row>
    <row r="42">
      <c r="A42" s="61"/>
      <c r="B42" s="70">
        <f t="shared" si="73"/>
        <v>44738</v>
      </c>
      <c r="C42" s="70">
        <f t="shared" ref="C42:H42" si="82">if(OR(B42&gt;=$AF$26, B42=""),,B42+1)</f>
        <v>44739</v>
      </c>
      <c r="D42" s="70">
        <f t="shared" si="82"/>
        <v>44740</v>
      </c>
      <c r="E42" s="70">
        <f t="shared" si="82"/>
        <v>44741</v>
      </c>
      <c r="F42" s="70">
        <f t="shared" si="82"/>
        <v>44742</v>
      </c>
      <c r="G42" s="70" t="str">
        <f t="shared" si="82"/>
        <v/>
      </c>
      <c r="H42" s="70" t="str">
        <f t="shared" si="82"/>
        <v/>
      </c>
      <c r="I42" s="61"/>
      <c r="J42" s="70">
        <f t="shared" si="75"/>
        <v>44766</v>
      </c>
      <c r="K42" s="70">
        <f t="shared" ref="K42:P42" si="83">if(OR(J42&gt;=$AF$27, J42=""),,J42+1)</f>
        <v>44767</v>
      </c>
      <c r="L42" s="70">
        <f t="shared" si="83"/>
        <v>44768</v>
      </c>
      <c r="M42" s="70">
        <f t="shared" si="83"/>
        <v>44769</v>
      </c>
      <c r="N42" s="70">
        <f t="shared" si="83"/>
        <v>44770</v>
      </c>
      <c r="O42" s="70">
        <f t="shared" si="83"/>
        <v>44771</v>
      </c>
      <c r="P42" s="70">
        <f t="shared" si="83"/>
        <v>44772</v>
      </c>
      <c r="Q42" s="61"/>
      <c r="R42" s="70">
        <f t="shared" si="77"/>
        <v>44801</v>
      </c>
      <c r="S42" s="70">
        <f t="shared" ref="S42:X42" si="84">if(OR(R42&gt;=$AF$28, R42=""),,R42+1)</f>
        <v>44802</v>
      </c>
      <c r="T42" s="70">
        <f t="shared" si="84"/>
        <v>44803</v>
      </c>
      <c r="U42" s="70">
        <f t="shared" si="84"/>
        <v>44804</v>
      </c>
      <c r="V42" s="70" t="str">
        <f t="shared" si="84"/>
        <v/>
      </c>
      <c r="W42" s="70" t="str">
        <f t="shared" si="84"/>
        <v/>
      </c>
      <c r="X42" s="70" t="str">
        <f t="shared" si="84"/>
        <v/>
      </c>
      <c r="Y42" s="61"/>
      <c r="Z42" s="61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</row>
    <row r="43">
      <c r="A43" s="61"/>
      <c r="B43" s="70" t="str">
        <f t="shared" si="73"/>
        <v/>
      </c>
      <c r="C43" s="70" t="str">
        <f t="shared" ref="C43:H43" si="85">if(OR(B43&gt;=$AF$26, B43=""),,B43+1)</f>
        <v/>
      </c>
      <c r="D43" s="70" t="str">
        <f t="shared" si="85"/>
        <v/>
      </c>
      <c r="E43" s="70" t="str">
        <f t="shared" si="85"/>
        <v/>
      </c>
      <c r="F43" s="70" t="str">
        <f t="shared" si="85"/>
        <v/>
      </c>
      <c r="G43" s="70" t="str">
        <f t="shared" si="85"/>
        <v/>
      </c>
      <c r="H43" s="70" t="str">
        <f t="shared" si="85"/>
        <v/>
      </c>
      <c r="I43" s="61"/>
      <c r="J43" s="70">
        <f t="shared" si="75"/>
        <v>44773</v>
      </c>
      <c r="K43" s="70" t="str">
        <f t="shared" ref="K43:P43" si="86">if(OR(J43&gt;=$AF$27, J43=""),,J43+1)</f>
        <v/>
      </c>
      <c r="L43" s="70" t="str">
        <f t="shared" si="86"/>
        <v/>
      </c>
      <c r="M43" s="70" t="str">
        <f t="shared" si="86"/>
        <v/>
      </c>
      <c r="N43" s="70" t="str">
        <f t="shared" si="86"/>
        <v/>
      </c>
      <c r="O43" s="70" t="str">
        <f t="shared" si="86"/>
        <v/>
      </c>
      <c r="P43" s="70" t="str">
        <f t="shared" si="86"/>
        <v/>
      </c>
      <c r="Q43" s="61"/>
      <c r="R43" s="70" t="str">
        <f t="shared" si="77"/>
        <v/>
      </c>
      <c r="S43" s="70" t="str">
        <f t="shared" ref="S43:X43" si="87">if(OR(R43&gt;=$AF$28, R43=""),,R43+1)</f>
        <v/>
      </c>
      <c r="T43" s="70" t="str">
        <f t="shared" si="87"/>
        <v/>
      </c>
      <c r="U43" s="70" t="str">
        <f t="shared" si="87"/>
        <v/>
      </c>
      <c r="V43" s="70" t="str">
        <f t="shared" si="87"/>
        <v/>
      </c>
      <c r="W43" s="70" t="str">
        <f t="shared" si="87"/>
        <v/>
      </c>
      <c r="X43" s="70" t="str">
        <f t="shared" si="87"/>
        <v/>
      </c>
      <c r="Y43" s="61"/>
      <c r="Z43" s="61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</row>
    <row r="44">
      <c r="A44" s="61"/>
      <c r="B44" s="83"/>
      <c r="C44" s="84"/>
      <c r="D44" s="83"/>
      <c r="E44" s="83"/>
      <c r="F44" s="83"/>
      <c r="G44" s="83"/>
      <c r="H44" s="83"/>
      <c r="I44" s="61"/>
      <c r="J44" s="83"/>
      <c r="K44" s="83"/>
      <c r="L44" s="83"/>
      <c r="M44" s="83"/>
      <c r="N44" s="83"/>
      <c r="O44" s="83"/>
      <c r="P44" s="83"/>
      <c r="Q44" s="61"/>
      <c r="R44" s="83"/>
      <c r="S44" s="83"/>
      <c r="T44" s="83"/>
      <c r="U44" s="83"/>
      <c r="V44" s="83"/>
      <c r="W44" s="83"/>
      <c r="X44" s="83"/>
      <c r="Y44" s="61"/>
      <c r="Z44" s="61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</row>
    <row r="45">
      <c r="A45" s="61"/>
      <c r="B45" s="62" t="str">
        <f>AC29&amp;" "&amp;AG29</f>
        <v>September 2022</v>
      </c>
      <c r="I45" s="61"/>
      <c r="J45" s="62" t="str">
        <f>AC30&amp;" "&amp;AG30</f>
        <v>October 2022</v>
      </c>
      <c r="Q45" s="61"/>
      <c r="R45" s="62" t="str">
        <f>AC31&amp;" "&amp;AG31</f>
        <v>November 2022</v>
      </c>
      <c r="Y45" s="61"/>
      <c r="Z45" s="61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</row>
    <row r="46">
      <c r="A46" s="61"/>
      <c r="B46" s="66" t="s">
        <v>57</v>
      </c>
      <c r="C46" s="80" t="s">
        <v>58</v>
      </c>
      <c r="D46" s="66" t="s">
        <v>59</v>
      </c>
      <c r="E46" s="66" t="s">
        <v>60</v>
      </c>
      <c r="F46" s="66" t="s">
        <v>61</v>
      </c>
      <c r="G46" s="66" t="s">
        <v>62</v>
      </c>
      <c r="H46" s="66" t="s">
        <v>63</v>
      </c>
      <c r="I46" s="61"/>
      <c r="J46" s="66" t="s">
        <v>57</v>
      </c>
      <c r="K46" s="66" t="s">
        <v>58</v>
      </c>
      <c r="L46" s="66" t="s">
        <v>59</v>
      </c>
      <c r="M46" s="66" t="s">
        <v>60</v>
      </c>
      <c r="N46" s="66" t="s">
        <v>61</v>
      </c>
      <c r="O46" s="66" t="s">
        <v>62</v>
      </c>
      <c r="P46" s="66" t="s">
        <v>63</v>
      </c>
      <c r="Q46" s="61"/>
      <c r="R46" s="66" t="s">
        <v>57</v>
      </c>
      <c r="S46" s="66" t="s">
        <v>58</v>
      </c>
      <c r="T46" s="66" t="s">
        <v>59</v>
      </c>
      <c r="U46" s="66" t="s">
        <v>60</v>
      </c>
      <c r="V46" s="66" t="s">
        <v>61</v>
      </c>
      <c r="W46" s="66" t="s">
        <v>62</v>
      </c>
      <c r="X46" s="66" t="s">
        <v>63</v>
      </c>
      <c r="Y46" s="61"/>
      <c r="Z46" s="61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</row>
    <row r="47">
      <c r="A47" s="61"/>
      <c r="B47" s="70" t="str">
        <f>IF(B46=AE29,AD29,)</f>
        <v/>
      </c>
      <c r="C47" s="70" t="str">
        <f t="shared" ref="C47:H47" si="88">IF(B47&gt;0,B47+1, IF(C46=$AE$29,$AD$29,))</f>
        <v/>
      </c>
      <c r="D47" s="70" t="str">
        <f t="shared" si="88"/>
        <v/>
      </c>
      <c r="E47" s="70" t="str">
        <f t="shared" si="88"/>
        <v/>
      </c>
      <c r="F47" s="70">
        <f t="shared" si="88"/>
        <v>44805</v>
      </c>
      <c r="G47" s="70">
        <f t="shared" si="88"/>
        <v>44806</v>
      </c>
      <c r="H47" s="70">
        <f t="shared" si="88"/>
        <v>44807</v>
      </c>
      <c r="I47" s="61"/>
      <c r="J47" s="70" t="str">
        <f>IF(J46=AE30,AD30,)</f>
        <v/>
      </c>
      <c r="K47" s="70" t="str">
        <f t="shared" ref="K47:P47" si="89">if(J47&gt;0,J47+1, IF(K46=$AE$30,$AD$30,))</f>
        <v/>
      </c>
      <c r="L47" s="70" t="str">
        <f t="shared" si="89"/>
        <v/>
      </c>
      <c r="M47" s="70" t="str">
        <f t="shared" si="89"/>
        <v/>
      </c>
      <c r="N47" s="70" t="str">
        <f t="shared" si="89"/>
        <v/>
      </c>
      <c r="O47" s="70" t="str">
        <f t="shared" si="89"/>
        <v/>
      </c>
      <c r="P47" s="70">
        <f t="shared" si="89"/>
        <v>44835</v>
      </c>
      <c r="Q47" s="61"/>
      <c r="R47" s="70" t="str">
        <f>IF(R46=AE31,AD31,)</f>
        <v/>
      </c>
      <c r="S47" s="70" t="str">
        <f t="shared" ref="S47:X47" si="90">if(R47&gt;0,R47+1, IF(S46=$AE$31,$AD$31,))</f>
        <v/>
      </c>
      <c r="T47" s="70">
        <f t="shared" si="90"/>
        <v>44866</v>
      </c>
      <c r="U47" s="70">
        <f t="shared" si="90"/>
        <v>44867</v>
      </c>
      <c r="V47" s="70">
        <f t="shared" si="90"/>
        <v>44868</v>
      </c>
      <c r="W47" s="70">
        <f t="shared" si="90"/>
        <v>44869</v>
      </c>
      <c r="X47" s="70">
        <f t="shared" si="90"/>
        <v>44870</v>
      </c>
      <c r="Y47" s="61"/>
      <c r="Z47" s="61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</row>
    <row r="48">
      <c r="A48" s="61"/>
      <c r="B48" s="70">
        <f t="shared" ref="B48:B52" si="94">if(OR(H47&gt;=$AF$29, H47=""),,H47+1)</f>
        <v>44808</v>
      </c>
      <c r="C48" s="70">
        <f t="shared" ref="C48:H48" si="91">if(OR(B48&gt;=$AF$29, B48=""),,B48+1)</f>
        <v>44809</v>
      </c>
      <c r="D48" s="70">
        <f t="shared" si="91"/>
        <v>44810</v>
      </c>
      <c r="E48" s="70">
        <f t="shared" si="91"/>
        <v>44811</v>
      </c>
      <c r="F48" s="70">
        <f t="shared" si="91"/>
        <v>44812</v>
      </c>
      <c r="G48" s="70">
        <f t="shared" si="91"/>
        <v>44813</v>
      </c>
      <c r="H48" s="70">
        <f t="shared" si="91"/>
        <v>44814</v>
      </c>
      <c r="I48" s="61"/>
      <c r="J48" s="70">
        <f t="shared" ref="J48:J52" si="96">if(OR(P47&gt;=$AF$30, P47=""),,P47+1)</f>
        <v>44836</v>
      </c>
      <c r="K48" s="70">
        <f t="shared" ref="K48:P48" si="92">if(OR(J48&gt;=$AF$30, J48=""),,J48+1)</f>
        <v>44837</v>
      </c>
      <c r="L48" s="70">
        <f t="shared" si="92"/>
        <v>44838</v>
      </c>
      <c r="M48" s="70">
        <f t="shared" si="92"/>
        <v>44839</v>
      </c>
      <c r="N48" s="70">
        <f t="shared" si="92"/>
        <v>44840</v>
      </c>
      <c r="O48" s="70">
        <f t="shared" si="92"/>
        <v>44841</v>
      </c>
      <c r="P48" s="70">
        <f t="shared" si="92"/>
        <v>44842</v>
      </c>
      <c r="Q48" s="61"/>
      <c r="R48" s="70">
        <f t="shared" ref="R48:R52" si="98">if(OR(X47&gt;=$AF$31, X47=""),,X47+1)</f>
        <v>44871</v>
      </c>
      <c r="S48" s="70">
        <f t="shared" ref="S48:X48" si="93">if(OR(R48&gt;=$AF$31, R48=""),,R48+1)</f>
        <v>44872</v>
      </c>
      <c r="T48" s="70">
        <f t="shared" si="93"/>
        <v>44873</v>
      </c>
      <c r="U48" s="70">
        <f t="shared" si="93"/>
        <v>44874</v>
      </c>
      <c r="V48" s="70">
        <f t="shared" si="93"/>
        <v>44875</v>
      </c>
      <c r="W48" s="70">
        <f t="shared" si="93"/>
        <v>44876</v>
      </c>
      <c r="X48" s="70">
        <f t="shared" si="93"/>
        <v>44877</v>
      </c>
      <c r="Y48" s="61"/>
      <c r="Z48" s="61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</row>
    <row r="49">
      <c r="A49" s="61"/>
      <c r="B49" s="70">
        <f t="shared" si="94"/>
        <v>44815</v>
      </c>
      <c r="C49" s="70">
        <f t="shared" ref="C49:H49" si="95">if(OR(B49&gt;=$AF$29, B49=""),,B49+1)</f>
        <v>44816</v>
      </c>
      <c r="D49" s="70">
        <f t="shared" si="95"/>
        <v>44817</v>
      </c>
      <c r="E49" s="70">
        <f t="shared" si="95"/>
        <v>44818</v>
      </c>
      <c r="F49" s="70">
        <f t="shared" si="95"/>
        <v>44819</v>
      </c>
      <c r="G49" s="70">
        <f t="shared" si="95"/>
        <v>44820</v>
      </c>
      <c r="H49" s="70">
        <f t="shared" si="95"/>
        <v>44821</v>
      </c>
      <c r="I49" s="61"/>
      <c r="J49" s="70">
        <f t="shared" si="96"/>
        <v>44843</v>
      </c>
      <c r="K49" s="70">
        <f t="shared" ref="K49:P49" si="97">if(OR(J49&gt;=$AF$30, J49=""),,J49+1)</f>
        <v>44844</v>
      </c>
      <c r="L49" s="70">
        <f t="shared" si="97"/>
        <v>44845</v>
      </c>
      <c r="M49" s="70">
        <f t="shared" si="97"/>
        <v>44846</v>
      </c>
      <c r="N49" s="70">
        <f t="shared" si="97"/>
        <v>44847</v>
      </c>
      <c r="O49" s="70">
        <f t="shared" si="97"/>
        <v>44848</v>
      </c>
      <c r="P49" s="70">
        <f t="shared" si="97"/>
        <v>44849</v>
      </c>
      <c r="Q49" s="61"/>
      <c r="R49" s="70">
        <f t="shared" si="98"/>
        <v>44878</v>
      </c>
      <c r="S49" s="70">
        <f t="shared" ref="S49:X49" si="99">if(OR(R49&gt;=$AF$31, R49=""),,R49+1)</f>
        <v>44879</v>
      </c>
      <c r="T49" s="70">
        <f t="shared" si="99"/>
        <v>44880</v>
      </c>
      <c r="U49" s="70">
        <f t="shared" si="99"/>
        <v>44881</v>
      </c>
      <c r="V49" s="70">
        <f t="shared" si="99"/>
        <v>44882</v>
      </c>
      <c r="W49" s="70">
        <f t="shared" si="99"/>
        <v>44883</v>
      </c>
      <c r="X49" s="70">
        <f t="shared" si="99"/>
        <v>44884</v>
      </c>
      <c r="Y49" s="61"/>
      <c r="Z49" s="61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</row>
    <row r="50">
      <c r="A50" s="61"/>
      <c r="B50" s="70">
        <f t="shared" si="94"/>
        <v>44822</v>
      </c>
      <c r="C50" s="70">
        <f t="shared" ref="C50:H50" si="100">if(OR(B50&gt;=$AF$29, B50=""),,B50+1)</f>
        <v>44823</v>
      </c>
      <c r="D50" s="70">
        <f t="shared" si="100"/>
        <v>44824</v>
      </c>
      <c r="E50" s="70">
        <f t="shared" si="100"/>
        <v>44825</v>
      </c>
      <c r="F50" s="70">
        <f t="shared" si="100"/>
        <v>44826</v>
      </c>
      <c r="G50" s="70">
        <f t="shared" si="100"/>
        <v>44827</v>
      </c>
      <c r="H50" s="70">
        <f t="shared" si="100"/>
        <v>44828</v>
      </c>
      <c r="I50" s="61"/>
      <c r="J50" s="70">
        <f t="shared" si="96"/>
        <v>44850</v>
      </c>
      <c r="K50" s="70">
        <f t="shared" ref="K50:P50" si="101">if(OR(J50&gt;=$AF$30, J50=""),,J50+1)</f>
        <v>44851</v>
      </c>
      <c r="L50" s="70">
        <f t="shared" si="101"/>
        <v>44852</v>
      </c>
      <c r="M50" s="70">
        <f t="shared" si="101"/>
        <v>44853</v>
      </c>
      <c r="N50" s="70">
        <f t="shared" si="101"/>
        <v>44854</v>
      </c>
      <c r="O50" s="70">
        <f t="shared" si="101"/>
        <v>44855</v>
      </c>
      <c r="P50" s="70">
        <f t="shared" si="101"/>
        <v>44856</v>
      </c>
      <c r="Q50" s="61"/>
      <c r="R50" s="70">
        <f t="shared" si="98"/>
        <v>44885</v>
      </c>
      <c r="S50" s="70">
        <f t="shared" ref="S50:X50" si="102">if(OR(R50&gt;=$AF$31, R50=""),,R50+1)</f>
        <v>44886</v>
      </c>
      <c r="T50" s="70">
        <f t="shared" si="102"/>
        <v>44887</v>
      </c>
      <c r="U50" s="70">
        <f t="shared" si="102"/>
        <v>44888</v>
      </c>
      <c r="V50" s="70">
        <f t="shared" si="102"/>
        <v>44889</v>
      </c>
      <c r="W50" s="70">
        <f t="shared" si="102"/>
        <v>44890</v>
      </c>
      <c r="X50" s="70">
        <f t="shared" si="102"/>
        <v>44891</v>
      </c>
      <c r="Y50" s="61"/>
      <c r="Z50" s="61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</row>
    <row r="51">
      <c r="A51" s="61"/>
      <c r="B51" s="70">
        <f t="shared" si="94"/>
        <v>44829</v>
      </c>
      <c r="C51" s="70">
        <f t="shared" ref="C51:H51" si="103">if(OR(B51&gt;=$AF$29, B51=""),,B51+1)</f>
        <v>44830</v>
      </c>
      <c r="D51" s="70">
        <f t="shared" si="103"/>
        <v>44831</v>
      </c>
      <c r="E51" s="70">
        <f t="shared" si="103"/>
        <v>44832</v>
      </c>
      <c r="F51" s="70">
        <f t="shared" si="103"/>
        <v>44833</v>
      </c>
      <c r="G51" s="70">
        <f t="shared" si="103"/>
        <v>44834</v>
      </c>
      <c r="H51" s="70" t="str">
        <f t="shared" si="103"/>
        <v/>
      </c>
      <c r="I51" s="61"/>
      <c r="J51" s="70">
        <f t="shared" si="96"/>
        <v>44857</v>
      </c>
      <c r="K51" s="70">
        <f t="shared" ref="K51:P51" si="104">if(OR(J51&gt;=$AF$30, J51=""),,J51+1)</f>
        <v>44858</v>
      </c>
      <c r="L51" s="70">
        <f t="shared" si="104"/>
        <v>44859</v>
      </c>
      <c r="M51" s="70">
        <f t="shared" si="104"/>
        <v>44860</v>
      </c>
      <c r="N51" s="70">
        <f t="shared" si="104"/>
        <v>44861</v>
      </c>
      <c r="O51" s="70">
        <f t="shared" si="104"/>
        <v>44862</v>
      </c>
      <c r="P51" s="70">
        <f t="shared" si="104"/>
        <v>44863</v>
      </c>
      <c r="Q51" s="61"/>
      <c r="R51" s="70">
        <f t="shared" si="98"/>
        <v>44892</v>
      </c>
      <c r="S51" s="70">
        <f t="shared" ref="S51:X51" si="105">if(OR(R51&gt;=$AF$31, R51=""),,R51+1)</f>
        <v>44893</v>
      </c>
      <c r="T51" s="70">
        <f t="shared" si="105"/>
        <v>44894</v>
      </c>
      <c r="U51" s="70">
        <f t="shared" si="105"/>
        <v>44895</v>
      </c>
      <c r="V51" s="70" t="str">
        <f t="shared" si="105"/>
        <v/>
      </c>
      <c r="W51" s="70" t="str">
        <f t="shared" si="105"/>
        <v/>
      </c>
      <c r="X51" s="70" t="str">
        <f t="shared" si="105"/>
        <v/>
      </c>
      <c r="Y51" s="61"/>
      <c r="Z51" s="61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</row>
    <row r="52">
      <c r="A52" s="61"/>
      <c r="B52" s="70" t="str">
        <f t="shared" si="94"/>
        <v/>
      </c>
      <c r="C52" s="70" t="str">
        <f t="shared" ref="C52:H52" si="106">if(OR(B52&gt;=$AF$29, B52=""),,B52+1)</f>
        <v/>
      </c>
      <c r="D52" s="70" t="str">
        <f t="shared" si="106"/>
        <v/>
      </c>
      <c r="E52" s="70" t="str">
        <f t="shared" si="106"/>
        <v/>
      </c>
      <c r="F52" s="70" t="str">
        <f t="shared" si="106"/>
        <v/>
      </c>
      <c r="G52" s="70" t="str">
        <f t="shared" si="106"/>
        <v/>
      </c>
      <c r="H52" s="70" t="str">
        <f t="shared" si="106"/>
        <v/>
      </c>
      <c r="I52" s="61"/>
      <c r="J52" s="70">
        <f t="shared" si="96"/>
        <v>44864</v>
      </c>
      <c r="K52" s="70">
        <f t="shared" ref="K52:P52" si="107">if(OR(J52&gt;=$AF$30, J52=""),,J52+1)</f>
        <v>44865</v>
      </c>
      <c r="L52" s="70" t="str">
        <f t="shared" si="107"/>
        <v/>
      </c>
      <c r="M52" s="70" t="str">
        <f t="shared" si="107"/>
        <v/>
      </c>
      <c r="N52" s="70" t="str">
        <f t="shared" si="107"/>
        <v/>
      </c>
      <c r="O52" s="70" t="str">
        <f t="shared" si="107"/>
        <v/>
      </c>
      <c r="P52" s="70" t="str">
        <f t="shared" si="107"/>
        <v/>
      </c>
      <c r="Q52" s="61"/>
      <c r="R52" s="70" t="str">
        <f t="shared" si="98"/>
        <v/>
      </c>
      <c r="S52" s="70" t="str">
        <f t="shared" ref="S52:X52" si="108">if(OR(R52&gt;=$AF$31, R52=""),,R52+1)</f>
        <v/>
      </c>
      <c r="T52" s="70" t="str">
        <f t="shared" si="108"/>
        <v/>
      </c>
      <c r="U52" s="70" t="str">
        <f t="shared" si="108"/>
        <v/>
      </c>
      <c r="V52" s="70" t="str">
        <f t="shared" si="108"/>
        <v/>
      </c>
      <c r="W52" s="70" t="str">
        <f t="shared" si="108"/>
        <v/>
      </c>
      <c r="X52" s="70" t="str">
        <f t="shared" si="108"/>
        <v/>
      </c>
      <c r="Y52" s="61"/>
      <c r="Z52" s="61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</row>
    <row r="53">
      <c r="A53" s="61"/>
      <c r="B53" s="83"/>
      <c r="C53" s="84"/>
      <c r="D53" s="83"/>
      <c r="E53" s="83"/>
      <c r="F53" s="83"/>
      <c r="G53" s="83"/>
      <c r="H53" s="83"/>
      <c r="I53" s="61"/>
      <c r="J53" s="83"/>
      <c r="K53" s="83"/>
      <c r="L53" s="83"/>
      <c r="M53" s="83"/>
      <c r="N53" s="83"/>
      <c r="O53" s="83"/>
      <c r="P53" s="83"/>
      <c r="Q53" s="61"/>
      <c r="R53" s="83"/>
      <c r="S53" s="83"/>
      <c r="T53" s="83"/>
      <c r="U53" s="83"/>
      <c r="V53" s="83"/>
      <c r="W53" s="83"/>
      <c r="X53" s="83"/>
      <c r="Y53" s="61"/>
      <c r="Z53" s="61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</row>
  </sheetData>
  <mergeCells count="36">
    <mergeCell ref="B3:E3"/>
    <mergeCell ref="G3:H3"/>
    <mergeCell ref="J3:O3"/>
    <mergeCell ref="R3:W3"/>
    <mergeCell ref="G4:H4"/>
    <mergeCell ref="J4:O4"/>
    <mergeCell ref="R4:W4"/>
    <mergeCell ref="B4:E4"/>
    <mergeCell ref="B6:D6"/>
    <mergeCell ref="E6:H6"/>
    <mergeCell ref="I6:L6"/>
    <mergeCell ref="M6:P6"/>
    <mergeCell ref="Q6:T6"/>
    <mergeCell ref="U6:X6"/>
    <mergeCell ref="B7:D7"/>
    <mergeCell ref="E7:H7"/>
    <mergeCell ref="I7:L7"/>
    <mergeCell ref="M7:P7"/>
    <mergeCell ref="Q7:T7"/>
    <mergeCell ref="U7:X7"/>
    <mergeCell ref="B9:H9"/>
    <mergeCell ref="J27:P27"/>
    <mergeCell ref="R27:X27"/>
    <mergeCell ref="B36:H36"/>
    <mergeCell ref="J36:P36"/>
    <mergeCell ref="R36:X36"/>
    <mergeCell ref="B45:H45"/>
    <mergeCell ref="J45:P45"/>
    <mergeCell ref="R45:X45"/>
    <mergeCell ref="J9:P9"/>
    <mergeCell ref="R9:X9"/>
    <mergeCell ref="Y10:Y12"/>
    <mergeCell ref="B18:H18"/>
    <mergeCell ref="J18:P18"/>
    <mergeCell ref="R18:X18"/>
    <mergeCell ref="B27:H27"/>
  </mergeCells>
  <conditionalFormatting sqref="P3">
    <cfRule type="cellIs" dxfId="0" priority="1" operator="greaterThan">
      <formula>420</formula>
    </cfRule>
  </conditionalFormatting>
  <conditionalFormatting sqref="P3">
    <cfRule type="cellIs" dxfId="0" priority="2" operator="lessThan">
      <formula>137</formula>
    </cfRule>
  </conditionalFormatting>
  <conditionalFormatting sqref="B11:H16">
    <cfRule type="expression" dxfId="1" priority="3">
      <formula>B11=$B$7</formula>
    </cfRule>
  </conditionalFormatting>
  <conditionalFormatting sqref="B11:H16 J11:P16 R11:X16 B20:H25 J20:P25 R20:X25 B29:H34 J29:P34 R29:X34 B38:H43 J38:P43 R38:X43 B47:H52 J47:P52 R47:X52">
    <cfRule type="expression" dxfId="2" priority="4">
      <formula>B11=$B$4</formula>
    </cfRule>
  </conditionalFormatting>
  <conditionalFormatting sqref="B11:H16 J11:P16 R11:X16 B20:H25 J20:P25 R20:X25 B29:H34 J29:P34 R29:X34 B38:H43 J38:P43 R38:X43 B47:H52 J47:P52 R47:X52">
    <cfRule type="expression" dxfId="3" priority="5">
      <formula>AND(B11&gt;=$AC$10, B11&lt;=$E$7)</formula>
    </cfRule>
  </conditionalFormatting>
  <conditionalFormatting sqref="B11:H16 J11:P16 R11:X16 B20:H25 J20:P25 R20:X25 B29:H34 J29:P34 R29:X34">
    <cfRule type="expression" dxfId="4" priority="6">
      <formula>AND(B11&gt;$B$7, B11&lt;=$E$7)</formula>
    </cfRule>
  </conditionalFormatting>
  <conditionalFormatting sqref="B11:H16 J11:P16 R11:X16 B20:H25 J20:P25 R20:X25 B29:H34 J29:P34 R29:X34 B38:H43 J38:P43 R38:X43 B47:H52 J47:P52 R47:X52">
    <cfRule type="expression" dxfId="5" priority="7">
      <formula>AND(B11&gt;=$AD$10, B11&lt;=$I$7)</formula>
    </cfRule>
  </conditionalFormatting>
  <conditionalFormatting sqref="B11:H16 J11:P16 R11:X16 B20:H25 J20:P25 R20:X25 B29:H34 J29:P34 R29:X34 B38:H43 J38:P43 R38:X43 B47:H52 J47:P52 R47:X52">
    <cfRule type="expression" dxfId="6" priority="8">
      <formula>AND(B11&gt;$E$7, B11&lt;=$I$7)</formula>
    </cfRule>
  </conditionalFormatting>
  <conditionalFormatting sqref="B11:H16 J11:P16 R11:X16 B20:H25 J20:P25 R20:X25 B29:H34 J29:P34 R29:X34 B38:H43 J38:P43 R38:X43 B47:H52 J47:P52 R47:X52">
    <cfRule type="expression" dxfId="7" priority="9">
      <formula>AND(B11&gt;=$AE$10, B11&lt;=$M$7)</formula>
    </cfRule>
  </conditionalFormatting>
  <conditionalFormatting sqref="B11:H16 J11:P16 R11:X16 B20:H25 J20:P25 R20:X25 B29:H34 J29:P34 R29:X34 B38:H43 J38:P43 R38:X43 B47:H52 J47:P52 R47:X52">
    <cfRule type="expression" dxfId="8" priority="10">
      <formula>AND(B11&gt;$I$7, B11&lt;=$M$7)</formula>
    </cfRule>
  </conditionalFormatting>
  <conditionalFormatting sqref="B11:H16 J11:P16 R11:X16 B20:H25 J20:P25 R20:X25 B29:H34 J29:P34 R29:X34 B38:H43 J38:P43 R38:X43 B47:H52 J47:P52 R47:X52">
    <cfRule type="expression" dxfId="9" priority="11">
      <formula>AND(B11&gt;=$AF$10, B11&lt;=$Q$7)</formula>
    </cfRule>
  </conditionalFormatting>
  <conditionalFormatting sqref="B11:H16 J11:P16 R11:X16 B20:H25 J20:P25 R20:X25 B29:H34 J29:P34 R29:X34 B38:H43 J38:P43 R38:X43 B47:H52 J47:P52 R47:X52">
    <cfRule type="expression" dxfId="10" priority="12">
      <formula>AND(B11&gt;$M$7, B11&lt;=$Q$7)</formula>
    </cfRule>
  </conditionalFormatting>
  <conditionalFormatting sqref="B11:H16 J11:P16 R11:X16 B20:H25 J20:P25 R20:X25 B29:H34 J29:P34 R29:X34 B38:H43 J38:P43 R38:X43 B47:H52 J47:P52 R47:X52">
    <cfRule type="expression" dxfId="11" priority="13">
      <formula>AND(B11&gt;$Q$7, B11&lt;=$U$7)</formula>
    </cfRule>
  </conditionalFormatting>
  <dataValidations>
    <dataValidation type="custom" allowBlank="1" showDropDown="1" showInputMessage="1" showErrorMessage="1" prompt="Please choose a Monday as your start date." sqref="B7">
      <formula1>WEEKDAY($B$7)=2</formula1>
    </dataValidation>
  </dataValidations>
  <hyperlinks>
    <hyperlink r:id="rId1" ref="B1"/>
    <hyperlink r:id="rId2" ref="AA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4" width="7.0"/>
    <col customWidth="1" min="25" max="25" width="3.14"/>
    <col customWidth="1" hidden="1" min="26" max="26" width="3.14"/>
    <col customWidth="1" hidden="1" min="27" max="27" width="15.29"/>
    <col customWidth="1" hidden="1" min="28" max="28" width="22.43"/>
    <col customWidth="1" hidden="1" min="29" max="29" width="15.29"/>
    <col customWidth="1" hidden="1" min="30" max="30" width="17.57"/>
    <col customWidth="1" hidden="1" min="31" max="31" width="20.57"/>
    <col customWidth="1" hidden="1" min="32" max="32" width="3.14"/>
    <col customWidth="1" hidden="1" min="33" max="33" width="12.43"/>
    <col customWidth="1" hidden="1" min="34" max="34" width="48.43"/>
    <col customWidth="1" hidden="1" min="35" max="36" width="10.43"/>
    <col customWidth="1" hidden="1" min="37" max="37" width="7.0"/>
  </cols>
  <sheetData>
    <row r="1">
      <c r="A1" s="4"/>
      <c r="B1" s="86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87"/>
      <c r="AA1" s="88"/>
      <c r="AB1" s="89"/>
      <c r="AC1" s="89"/>
      <c r="AD1" s="89"/>
      <c r="AE1" s="90"/>
      <c r="AF1" s="91"/>
      <c r="AG1" s="91"/>
      <c r="AH1" s="91"/>
      <c r="AI1" s="92"/>
      <c r="AJ1" s="92"/>
      <c r="AK1" s="93"/>
    </row>
    <row r="2">
      <c r="A2" s="94"/>
      <c r="B2" s="95" t="s">
        <v>73</v>
      </c>
      <c r="C2" s="32"/>
      <c r="D2" s="33"/>
      <c r="E2" s="96"/>
      <c r="F2" s="97" t="s">
        <v>74</v>
      </c>
      <c r="G2" s="32"/>
      <c r="H2" s="32"/>
      <c r="I2" s="33"/>
      <c r="K2" s="98" t="s">
        <v>75</v>
      </c>
      <c r="L2" s="32"/>
      <c r="M2" s="32"/>
      <c r="N2" s="32"/>
      <c r="O2" s="32"/>
      <c r="P2" s="32"/>
      <c r="Q2" s="32"/>
      <c r="R2" s="32"/>
      <c r="S2" s="32"/>
      <c r="T2" s="33"/>
      <c r="U2" s="99"/>
      <c r="V2" s="99"/>
      <c r="W2" s="99"/>
      <c r="X2" s="99"/>
      <c r="Z2" s="87"/>
      <c r="AA2" s="100" t="s">
        <v>76</v>
      </c>
      <c r="AB2" s="100" t="s">
        <v>77</v>
      </c>
      <c r="AC2" s="100" t="s">
        <v>78</v>
      </c>
      <c r="AD2" s="100" t="s">
        <v>79</v>
      </c>
      <c r="AE2" s="100" t="s">
        <v>80</v>
      </c>
      <c r="AF2" s="91"/>
      <c r="AG2" s="101" t="s">
        <v>81</v>
      </c>
      <c r="AI2" s="101"/>
      <c r="AJ2" s="101"/>
      <c r="AK2" s="93"/>
    </row>
    <row r="3">
      <c r="A3" s="94"/>
      <c r="B3" s="102">
        <v>44511.0</v>
      </c>
      <c r="C3" s="42"/>
      <c r="D3" s="43"/>
      <c r="E3" s="96"/>
      <c r="F3" s="103">
        <v>44680.0</v>
      </c>
      <c r="G3" s="42"/>
      <c r="H3" s="42"/>
      <c r="I3" s="43"/>
      <c r="K3" s="104" t="s">
        <v>82</v>
      </c>
      <c r="L3" s="42"/>
      <c r="M3" s="42"/>
      <c r="N3" s="42"/>
      <c r="O3" s="42"/>
      <c r="P3" s="42"/>
      <c r="Q3" s="42"/>
      <c r="R3" s="42"/>
      <c r="S3" s="42"/>
      <c r="T3" s="43"/>
      <c r="Z3" s="87"/>
      <c r="AA3" s="89">
        <f>IF(E9=0, 0, E9/SUM(E9:X9)*B12)</f>
        <v>0</v>
      </c>
      <c r="AB3" s="89">
        <f>IF(I9=0, 0, I9/SUM(E9:X9)*B12)</f>
        <v>23.10071942</v>
      </c>
      <c r="AC3" s="89">
        <f>IF(M9=0, 0, M9/SUM(E9:X9)*B12)</f>
        <v>48.63309353</v>
      </c>
      <c r="AD3" s="89">
        <f>IF(Q9=0, 0, Q9/SUM(E9:X9)*B12)</f>
        <v>48.63309353</v>
      </c>
      <c r="AE3" s="89">
        <f>IF(U9=0, 0, U9/SUM(E9:X9)*B12)</f>
        <v>48.63309353</v>
      </c>
      <c r="AF3" s="91"/>
      <c r="AG3" s="105" t="str">
        <f t="array" ref="AG3">(index(Curriculum,match($K$3,TopicNames,0)+1,1))</f>
        <v>Phase 2</v>
      </c>
      <c r="AH3" s="106" t="str">
        <f t="array" ref="AH3">(index(Curriculum,match($K$3,TopicNames,0)+1,2))</f>
        <v>Topic 18: Introduction to Linear Regression</v>
      </c>
      <c r="AI3" s="107">
        <f t="array" ref="AI3">(index(Curriculum,match($K$3,TopicNames,0)+1,3))</f>
        <v>0.075</v>
      </c>
      <c r="AJ3" s="105">
        <f t="array" ref="AJ3">(index(Curriculum,match($K$3,TopicNames,0)+1,4))</f>
        <v>0</v>
      </c>
    </row>
    <row r="4">
      <c r="A4" s="4"/>
      <c r="B4" s="108"/>
      <c r="C4" s="108"/>
      <c r="D4" s="108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4"/>
      <c r="Z4" s="87"/>
      <c r="AA4" s="89"/>
      <c r="AB4" s="89"/>
      <c r="AC4" s="89"/>
      <c r="AD4" s="89"/>
      <c r="AE4" s="89"/>
      <c r="AF4" s="91"/>
      <c r="AG4" s="105" t="str">
        <f t="array" ref="AG4">(index(Curriculum,match($K$3,TopicNames,0)+2,1))</f>
        <v>Phase 2</v>
      </c>
      <c r="AH4" s="106" t="str">
        <f t="array" ref="AH4">(index(Curriculum,match($K$3,TopicNames,0)+2,2))</f>
        <v>Topic 19: Multiple Regression and Model Validation</v>
      </c>
      <c r="AI4" s="107">
        <f t="array" ref="AI4">(index(Curriculum,match($K$3,TopicNames,0)+2,3))</f>
        <v>0.075</v>
      </c>
      <c r="AJ4" s="105">
        <f t="array" ref="AJ4">(index(Curriculum,match($K$3,TopicNames,0)+2,4))</f>
        <v>0</v>
      </c>
    </row>
    <row r="5">
      <c r="A5" s="4"/>
      <c r="B5" s="110" t="s">
        <v>46</v>
      </c>
      <c r="C5" s="32"/>
      <c r="D5" s="33"/>
      <c r="F5" s="111" t="s">
        <v>83</v>
      </c>
      <c r="G5" s="32"/>
      <c r="H5" s="32"/>
      <c r="I5" s="33"/>
      <c r="J5" s="109"/>
      <c r="K5" s="112" t="s">
        <v>84</v>
      </c>
      <c r="L5" s="38"/>
      <c r="M5" s="38"/>
      <c r="N5" s="38"/>
      <c r="O5" s="113">
        <f>AVERAGE(AA9:AD9)</f>
        <v>3.334314367</v>
      </c>
      <c r="Q5" s="114" t="s">
        <v>85</v>
      </c>
      <c r="R5" s="32"/>
      <c r="S5" s="32"/>
      <c r="T5" s="33"/>
      <c r="U5" s="109"/>
      <c r="V5" s="109"/>
      <c r="W5" s="109"/>
      <c r="X5" s="109"/>
      <c r="Y5" s="4"/>
      <c r="Z5" s="87"/>
      <c r="AA5" s="88" t="s">
        <v>53</v>
      </c>
      <c r="AB5" s="88" t="s">
        <v>54</v>
      </c>
      <c r="AC5" s="88" t="s">
        <v>55</v>
      </c>
      <c r="AD5" s="88" t="s">
        <v>56</v>
      </c>
      <c r="AE5" s="89"/>
      <c r="AF5" s="91"/>
      <c r="AG5" s="105" t="str">
        <f t="array" ref="AG5">(index(Curriculum,match($K$3,TopicNames,0)+3,1))</f>
        <v>Phase 2</v>
      </c>
      <c r="AH5" s="106" t="str">
        <f t="array" ref="AH5">(index(Curriculum,match($K$3,TopicNames,0)+3,2))</f>
        <v>Topic 20: Extensions to Linear Models</v>
      </c>
      <c r="AI5" s="107">
        <f t="array" ref="AI5">(index(Curriculum,match($K$3,TopicNames,0)+3,3))</f>
        <v>0.075</v>
      </c>
      <c r="AJ5" s="105">
        <f t="array" ref="AJ5">(index(Curriculum,match($K$3,TopicNames,0)+3,4))</f>
        <v>0</v>
      </c>
    </row>
    <row r="6">
      <c r="A6" s="4"/>
      <c r="B6" s="115">
        <v>44396.0</v>
      </c>
      <c r="C6" s="42"/>
      <c r="D6" s="43"/>
      <c r="F6" s="115">
        <f>$B$6+(60*7)</f>
        <v>44816</v>
      </c>
      <c r="G6" s="42"/>
      <c r="H6" s="42"/>
      <c r="I6" s="43"/>
      <c r="J6" s="109"/>
      <c r="K6" s="116" t="s">
        <v>86</v>
      </c>
      <c r="L6" s="38"/>
      <c r="M6" s="38"/>
      <c r="N6" s="38"/>
      <c r="O6" s="117">
        <f>AVERAGE(AA12:AD12)</f>
        <v>12.15827338</v>
      </c>
      <c r="Q6" s="118" t="str">
        <f>ROUNDUP(($F$3-$B$3)/7) &amp; " Weeks"</f>
        <v>25 Weeks</v>
      </c>
      <c r="R6" s="42"/>
      <c r="S6" s="42"/>
      <c r="T6" s="43"/>
      <c r="U6" s="109"/>
      <c r="V6" s="109"/>
      <c r="W6" s="109"/>
      <c r="X6" s="109"/>
      <c r="Y6" s="4"/>
      <c r="Z6" s="87"/>
      <c r="AA6" s="119" t="str">
        <f>IFERROR($E$12-$AA$12, "N/A")</f>
        <v>N/A</v>
      </c>
      <c r="AB6" s="119">
        <f>IFERROR($I$12-$AB$12, "N/A")</f>
        <v>44521.94245</v>
      </c>
      <c r="AC6" s="119">
        <f>IFERROR($M$12-$AC$12, "N/A")</f>
        <v>44570.57554</v>
      </c>
      <c r="AD6" s="119">
        <f>IFERROR($Q$12-$AD$12, "N/A")</f>
        <v>44619.20863</v>
      </c>
      <c r="AE6" s="89"/>
      <c r="AF6" s="91"/>
      <c r="AG6" s="105" t="str">
        <f t="array" ref="AG6">(index(Curriculum,match($K$3,TopicNames,0)+4,1))</f>
        <v>Phase 2</v>
      </c>
      <c r="AH6" s="106" t="str">
        <f t="array" ref="AH6">(index(Curriculum,match($K$3,TopicNames,0)+4,2))</f>
        <v>Phase 2 Project</v>
      </c>
      <c r="AI6" s="107">
        <f t="array" ref="AI6">(index(Curriculum,match($K$3,TopicNames,0)+4,3))</f>
        <v>0.25</v>
      </c>
      <c r="AJ6" s="105">
        <f t="array" ref="AJ6">(index(Curriculum,match($K$3,TopicNames,0)+4,4))</f>
        <v>1</v>
      </c>
    </row>
    <row r="7">
      <c r="A7" s="4"/>
      <c r="B7" s="108"/>
      <c r="C7" s="108"/>
      <c r="D7" s="108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4"/>
      <c r="Z7" s="87"/>
      <c r="AA7" s="89"/>
      <c r="AB7" s="89"/>
      <c r="AC7" s="89"/>
      <c r="AD7" s="89"/>
      <c r="AE7" s="89"/>
      <c r="AF7" s="91"/>
      <c r="AG7" s="105" t="str">
        <f t="array" ref="AG7">(index(Curriculum,match($K$3,TopicNames,0)+5,1))</f>
        <v>Phase 3</v>
      </c>
      <c r="AH7" s="106" t="str">
        <f t="array" ref="AH7">(index(Curriculum,match($K$3,TopicNames,0)+5,2))</f>
        <v>Topic 21: Object-Oriented Programming</v>
      </c>
      <c r="AI7" s="107">
        <f t="array" ref="AI7">(index(Curriculum,match($K$3,TopicNames,0)+5,3))</f>
        <v>0.0625</v>
      </c>
      <c r="AJ7" s="105">
        <f t="array" ref="AJ7">(index(Curriculum,match($K$3,TopicNames,0)+5,4))</f>
        <v>0</v>
      </c>
    </row>
    <row r="8">
      <c r="A8" s="4"/>
      <c r="B8" s="114" t="s">
        <v>87</v>
      </c>
      <c r="C8" s="32"/>
      <c r="D8" s="33"/>
      <c r="E8" s="120" t="s">
        <v>88</v>
      </c>
      <c r="F8" s="32"/>
      <c r="G8" s="32"/>
      <c r="H8" s="32"/>
      <c r="I8" s="121" t="s">
        <v>89</v>
      </c>
      <c r="J8" s="32"/>
      <c r="K8" s="32"/>
      <c r="L8" s="32"/>
      <c r="M8" s="122" t="s">
        <v>90</v>
      </c>
      <c r="N8" s="32"/>
      <c r="O8" s="32"/>
      <c r="P8" s="32"/>
      <c r="Q8" s="123" t="s">
        <v>91</v>
      </c>
      <c r="R8" s="32"/>
      <c r="S8" s="32"/>
      <c r="T8" s="32"/>
      <c r="U8" s="124" t="s">
        <v>92</v>
      </c>
      <c r="V8" s="32"/>
      <c r="W8" s="32"/>
      <c r="X8" s="33"/>
      <c r="Y8" s="4"/>
      <c r="Z8" s="87"/>
      <c r="AA8" s="29" t="s">
        <v>93</v>
      </c>
      <c r="AB8" s="29" t="s">
        <v>94</v>
      </c>
      <c r="AC8" s="29" t="s">
        <v>95</v>
      </c>
      <c r="AD8" s="29" t="s">
        <v>96</v>
      </c>
      <c r="AE8" s="29" t="s">
        <v>97</v>
      </c>
      <c r="AF8" s="91"/>
      <c r="AG8" s="105" t="str">
        <f t="array" ref="AG8">(index(Curriculum,match($K$3,TopicNames,0)+6,1))</f>
        <v>Phase 3</v>
      </c>
      <c r="AH8" s="106" t="str">
        <f t="array" ref="AH8">(index(Curriculum,match($K$3,TopicNames,0)+6,2))</f>
        <v>Topic 22: Linear Algebra</v>
      </c>
      <c r="AI8" s="107">
        <f t="array" ref="AI8">(index(Curriculum,match($K$3,TopicNames,0)+6,3))</f>
        <v>0.0625</v>
      </c>
      <c r="AJ8" s="105">
        <f t="array" ref="AJ8">(index(Curriculum,match($K$3,TopicNames,0)+6,4))</f>
        <v>0</v>
      </c>
    </row>
    <row r="9">
      <c r="A9" s="4"/>
      <c r="B9" s="125">
        <f>SUM($E$9:$X$9)*0.2</f>
        <v>0.695</v>
      </c>
      <c r="C9" s="42"/>
      <c r="D9" s="43"/>
      <c r="E9" s="126">
        <f>SUMIF($AG:$AG, "Phase 1", $AI:$AI)</f>
        <v>0</v>
      </c>
      <c r="F9" s="42"/>
      <c r="G9" s="42"/>
      <c r="H9" s="42"/>
      <c r="I9" s="127">
        <f>SUMIF($AG:$AG, "Phase 2", $AI:$AI)</f>
        <v>0.475</v>
      </c>
      <c r="J9" s="42"/>
      <c r="K9" s="42"/>
      <c r="L9" s="42"/>
      <c r="M9" s="128">
        <f>SUMIF($AG:$AG, "Phase 3", $AI:$AI)</f>
        <v>1</v>
      </c>
      <c r="N9" s="42"/>
      <c r="O9" s="42"/>
      <c r="P9" s="42"/>
      <c r="Q9" s="129">
        <f>SUMIF($AG:$AG, "Phase 4", $AI:$AI)</f>
        <v>1</v>
      </c>
      <c r="R9" s="42"/>
      <c r="S9" s="42"/>
      <c r="T9" s="42"/>
      <c r="U9" s="130">
        <f>SUMIF($AG:$AG, "Capstone", $AI:$AI)</f>
        <v>1</v>
      </c>
      <c r="V9" s="42"/>
      <c r="W9" s="42"/>
      <c r="X9" s="43"/>
      <c r="Y9" s="4"/>
      <c r="Z9" s="87"/>
      <c r="AA9" s="93" t="str">
        <f>IFERROR(__xludf.DUMMYFUNCTION("IFERROR(FILTER(AI3:AI58, AG3:AG58=""Phase 1"", AJ3:AJ58=0)/$E$9*$AA$3, ""N/A"")"),"N/A")</f>
        <v>N/A</v>
      </c>
      <c r="AB9" s="93">
        <f>IFERROR(__xludf.DUMMYFUNCTION("IFERROR(FILTER(AI3:AI58, AG3:AG58=""Phase 2"", AJ3:AJ58=0)/$I$9*$AB$3, ""N/A"")"),3.647482014388489)</f>
        <v>3.647482014</v>
      </c>
      <c r="AC9" s="93">
        <f>IFERROR(__xludf.DUMMYFUNCTION("IFERROR(FILTER(AI3:AI58, AG3:AG58=""Phase 3"", AJ3:AJ58=0)/$M$9*$AC$3, ""N/A"")"),3.0395683453237416)</f>
        <v>3.039568345</v>
      </c>
      <c r="AD9" s="93">
        <f>IFERROR(__xludf.DUMMYFUNCTION("IFERROR(FILTER(AI3:AI58, AG3:AG58=""Phase 4"", AJ3:AJ58=0)/$Q$9*$AD$3, ""N/A"")"),3.3158927403531724)</f>
        <v>3.31589274</v>
      </c>
      <c r="AE9" s="131">
        <f>AVERAGE(AA9:AD9)</f>
        <v>3.334314367</v>
      </c>
      <c r="AF9" s="91"/>
      <c r="AG9" s="105" t="str">
        <f t="array" ref="AG9">(index(Curriculum,match($K$3,TopicNames,0)+7,1))</f>
        <v>Phase 3</v>
      </c>
      <c r="AH9" s="106" t="str">
        <f t="array" ref="AH9">(index(Curriculum,match($K$3,TopicNames,0)+7,2))</f>
        <v>Topic 23: Calculus, Cost Function and Gradient Descent</v>
      </c>
      <c r="AI9" s="107">
        <f t="array" ref="AI9">(index(Curriculum,match($K$3,TopicNames,0)+7,3))</f>
        <v>0.0625</v>
      </c>
      <c r="AJ9" s="105">
        <f t="array" ref="AJ9">(index(Curriculum,match($K$3,TopicNames,0)+7,4))</f>
        <v>0</v>
      </c>
    </row>
    <row r="10">
      <c r="B10" s="132"/>
      <c r="Z10" s="89"/>
      <c r="AF10" s="133"/>
      <c r="AG10" s="105" t="str">
        <f t="array" ref="AG10">(index(Curriculum,match($K$3,TopicNames,0)+8,1))</f>
        <v>Phase 3</v>
      </c>
      <c r="AH10" s="106" t="str">
        <f t="array" ref="AH10">(index(Curriculum,match($K$3,TopicNames,0)+8,2))</f>
        <v>Topic 24: Feature Selection, Ridge and Lasso</v>
      </c>
      <c r="AI10" s="107">
        <f t="array" ref="AI10">(index(Curriculum,match($K$3,TopicNames,0)+8,3))</f>
        <v>0.0625</v>
      </c>
      <c r="AJ10" s="105">
        <f t="array" ref="AJ10">(index(Curriculum,match($K$3,TopicNames,0)+8,4))</f>
        <v>0</v>
      </c>
    </row>
    <row r="11">
      <c r="B11" s="114" t="s">
        <v>98</v>
      </c>
      <c r="C11" s="32"/>
      <c r="D11" s="33"/>
      <c r="E11" s="50" t="s">
        <v>47</v>
      </c>
      <c r="F11" s="32"/>
      <c r="G11" s="32"/>
      <c r="H11" s="32"/>
      <c r="I11" s="51" t="s">
        <v>48</v>
      </c>
      <c r="J11" s="32"/>
      <c r="K11" s="32"/>
      <c r="L11" s="32"/>
      <c r="M11" s="52" t="s">
        <v>49</v>
      </c>
      <c r="N11" s="32"/>
      <c r="O11" s="32"/>
      <c r="P11" s="32"/>
      <c r="Q11" s="53" t="s">
        <v>50</v>
      </c>
      <c r="R11" s="32"/>
      <c r="S11" s="32"/>
      <c r="T11" s="32"/>
      <c r="U11" s="54" t="s">
        <v>51</v>
      </c>
      <c r="V11" s="32"/>
      <c r="W11" s="32"/>
      <c r="X11" s="33"/>
      <c r="Z11" s="89"/>
      <c r="AA11" s="29" t="s">
        <v>99</v>
      </c>
      <c r="AB11" s="29" t="s">
        <v>100</v>
      </c>
      <c r="AC11" s="29" t="s">
        <v>101</v>
      </c>
      <c r="AD11" s="29" t="s">
        <v>102</v>
      </c>
      <c r="AE11" s="29" t="s">
        <v>103</v>
      </c>
      <c r="AF11" s="134"/>
      <c r="AG11" s="105" t="str">
        <f t="array" ref="AG11">(index(Curriculum,match($K$3,TopicNames,0)+9,1))</f>
        <v>Phase 3</v>
      </c>
      <c r="AH11" s="106" t="str">
        <f t="array" ref="AH11">(index(Curriculum,match($K$3,TopicNames,0)+9,2))</f>
        <v>Topic 25: Introduction to Logistic Regression</v>
      </c>
      <c r="AI11" s="107">
        <f t="array" ref="AI11">(index(Curriculum,match($K$3,TopicNames,0)+9,3))</f>
        <v>0.0625</v>
      </c>
      <c r="AJ11" s="105">
        <f t="array" ref="AJ11">(index(Curriculum,match($K$3,TopicNames,0)+9,4))</f>
        <v>0</v>
      </c>
    </row>
    <row r="12">
      <c r="B12" s="135">
        <f>DATEDIF(B3, F3, "D")</f>
        <v>169</v>
      </c>
      <c r="C12" s="42"/>
      <c r="D12" s="43"/>
      <c r="E12" s="56">
        <f>$B$3+IF(E9=0, 0, E9/SUM(E9:X9)*B12)</f>
        <v>44511</v>
      </c>
      <c r="F12" s="42"/>
      <c r="G12" s="42"/>
      <c r="H12" s="42"/>
      <c r="I12" s="57">
        <f>$E$12+IF(I9=0, 0, I9/SUM(E9:X9)*B12)</f>
        <v>44534.10072</v>
      </c>
      <c r="J12" s="42"/>
      <c r="K12" s="42"/>
      <c r="L12" s="42"/>
      <c r="M12" s="58">
        <f>$I$12+IF(M9=0, 0, M9/SUM(E9:X9)*B12)</f>
        <v>44582.73381</v>
      </c>
      <c r="N12" s="42"/>
      <c r="O12" s="42"/>
      <c r="P12" s="42"/>
      <c r="Q12" s="136">
        <f>$M$12+IF(Q9=0, 0, Q9/SUM(E9:X9)*B12)</f>
        <v>44631.36691</v>
      </c>
      <c r="R12" s="42"/>
      <c r="S12" s="42"/>
      <c r="T12" s="42"/>
      <c r="U12" s="60">
        <f>$Q$12+IF(U9=0, 0, U9/SUM(E9:X9)*B12)</f>
        <v>44680</v>
      </c>
      <c r="V12" s="42"/>
      <c r="W12" s="42"/>
      <c r="X12" s="43"/>
      <c r="Z12" s="89"/>
      <c r="AA12" s="93" t="str">
        <f>IFERROR(__xludf.DUMMYFUNCTION("IFERROR(FILTER(AI3:AI58, AG3:AG58=""Phase 1"", AJ3:AJ58=1)/$E$9*$AA$3, ""N/A"")"),"N/A")</f>
        <v>N/A</v>
      </c>
      <c r="AB12" s="137">
        <f>IFERROR(__xludf.DUMMYFUNCTION("IFERROR(FILTER(AI3:AI58, AG3:AG58=""Phase 2"", AJ3:AJ58=1)/$I$9*$AB$3, ""N/A"")"),12.158273381294965)</f>
        <v>12.15827338</v>
      </c>
      <c r="AC12" s="93">
        <f>IFERROR(__xludf.DUMMYFUNCTION("IFERROR(FILTER(AI3:AI58, AG3:AG58=""Phase 3"", AJ3:AJ58=1)/$M$9*$AC$3, ""N/A"")"),12.158273381294967)</f>
        <v>12.15827338</v>
      </c>
      <c r="AD12" s="137">
        <f>IFERROR(__xludf.DUMMYFUNCTION("IFERROR(FILTER(AI3:AI58, AG3:AG58=""Phase 4"", AJ3:AJ58=1)/$Q$9*$AD$3, ""N/A"")"),12.158273381294967)</f>
        <v>12.15827338</v>
      </c>
      <c r="AE12" s="138">
        <f>AVERAGE(AA12:AD12)</f>
        <v>12.15827338</v>
      </c>
      <c r="AF12" s="134"/>
      <c r="AG12" s="105" t="str">
        <f t="array" ref="AG12">(index(Curriculum,match($K$3,TopicNames,0)+10,1))</f>
        <v>Phase 3</v>
      </c>
      <c r="AH12" s="106" t="str">
        <f t="array" ref="AH12">(index(Curriculum,match($K$3,TopicNames,0)+10,2))</f>
        <v>Topic 26: MLE and Logistic Regression</v>
      </c>
      <c r="AI12" s="107">
        <f t="array" ref="AI12">(index(Curriculum,match($K$3,TopicNames,0)+10,3))</f>
        <v>0.0625</v>
      </c>
      <c r="AJ12" s="105">
        <f t="array" ref="AJ12">(index(Curriculum,match($K$3,TopicNames,0)+10,4))</f>
        <v>0</v>
      </c>
    </row>
    <row r="13">
      <c r="A13" s="4"/>
      <c r="B13" s="4"/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89"/>
      <c r="AF13" s="134"/>
      <c r="AG13" s="105" t="str">
        <f t="array" ref="AG13">(index(Curriculum,match($K$3,TopicNames,0)+11,1))</f>
        <v>Phase 3</v>
      </c>
      <c r="AH13" s="106" t="str">
        <f t="array" ref="AH13">(index(Curriculum,match($K$3,TopicNames,0)+11,2))</f>
        <v>Topic 27: K Nearest Neighbors</v>
      </c>
      <c r="AI13" s="107">
        <f t="array" ref="AI13">(index(Curriculum,match($K$3,TopicNames,0)+11,3))</f>
        <v>0.0625</v>
      </c>
      <c r="AJ13" s="105">
        <f t="array" ref="AJ13">(index(Curriculum,match($K$3,TopicNames,0)+11,4))</f>
        <v>0</v>
      </c>
    </row>
    <row r="14">
      <c r="A14" s="61"/>
      <c r="B14" s="62" t="str">
        <f>AA15&amp;" "&amp;AE15</f>
        <v>November 2021</v>
      </c>
      <c r="I14" s="61"/>
      <c r="J14" s="62" t="str">
        <f>AA16&amp;" "&amp;AE16</f>
        <v>December 2021</v>
      </c>
      <c r="Q14" s="61"/>
      <c r="R14" s="62" t="str">
        <f>AA17&amp;" "&amp;AE17</f>
        <v>January 2022</v>
      </c>
      <c r="Y14" s="63"/>
      <c r="Z14" s="89"/>
      <c r="AA14" s="139" t="s">
        <v>69</v>
      </c>
      <c r="AB14" s="139" t="s">
        <v>70</v>
      </c>
      <c r="AC14" s="134" t="s">
        <v>71</v>
      </c>
      <c r="AD14" s="134" t="s">
        <v>67</v>
      </c>
      <c r="AE14" s="134" t="s">
        <v>72</v>
      </c>
      <c r="AF14" s="134"/>
      <c r="AG14" s="105" t="str">
        <f t="array" ref="AG14">(index(Curriculum,match($K$3,TopicNames,0)+12,1))</f>
        <v>Phase 3</v>
      </c>
      <c r="AH14" s="106" t="str">
        <f t="array" ref="AH14">(index(Curriculum,match($K$3,TopicNames,0)+12,2))</f>
        <v>Topic 28: Bayes Classification</v>
      </c>
      <c r="AI14" s="107">
        <f t="array" ref="AI14">(index(Curriculum,match($K$3,TopicNames,0)+12,3))</f>
        <v>0.0625</v>
      </c>
      <c r="AJ14" s="105">
        <f t="array" ref="AJ14">(index(Curriculum,match($K$3,TopicNames,0)+12,4))</f>
        <v>0</v>
      </c>
      <c r="AK14" s="140"/>
    </row>
    <row r="15">
      <c r="A15" s="61"/>
      <c r="B15" s="66" t="str">
        <f>TEXT(1, "DDD")</f>
        <v>Sun</v>
      </c>
      <c r="C15" s="66" t="str">
        <f>TEXT(2, "DDD")</f>
        <v>Mon</v>
      </c>
      <c r="D15" s="66" t="str">
        <f>TEXT(3, "DDD")</f>
        <v>Tue</v>
      </c>
      <c r="E15" s="66" t="str">
        <f>TEXT(4, "DDD")</f>
        <v>Wed</v>
      </c>
      <c r="F15" s="66" t="str">
        <f>TEXT(5, "DDD")</f>
        <v>Thu</v>
      </c>
      <c r="G15" s="66" t="str">
        <f>TEXT(6, "DDD")</f>
        <v>Fri</v>
      </c>
      <c r="H15" s="66" t="str">
        <f>TEXT(7, "DDD")</f>
        <v>Sat</v>
      </c>
      <c r="I15" s="61"/>
      <c r="J15" s="66" t="s">
        <v>57</v>
      </c>
      <c r="K15" s="66" t="s">
        <v>58</v>
      </c>
      <c r="L15" s="66" t="s">
        <v>59</v>
      </c>
      <c r="M15" s="66" t="s">
        <v>60</v>
      </c>
      <c r="N15" s="66" t="s">
        <v>61</v>
      </c>
      <c r="O15" s="66" t="s">
        <v>62</v>
      </c>
      <c r="P15" s="66" t="s">
        <v>63</v>
      </c>
      <c r="Q15" s="61"/>
      <c r="R15" s="66" t="s">
        <v>57</v>
      </c>
      <c r="S15" s="66" t="s">
        <v>58</v>
      </c>
      <c r="T15" s="66" t="s">
        <v>59</v>
      </c>
      <c r="U15" s="66" t="s">
        <v>60</v>
      </c>
      <c r="V15" s="66" t="s">
        <v>61</v>
      </c>
      <c r="W15" s="66" t="s">
        <v>62</v>
      </c>
      <c r="X15" s="141" t="s">
        <v>63</v>
      </c>
      <c r="Y15" s="63"/>
      <c r="Z15" s="89"/>
      <c r="AA15" s="133" t="str">
        <f t="shared" ref="AA15:AA29" si="4">TEXT(AD15, "MMMM")</f>
        <v>November</v>
      </c>
      <c r="AB15" s="142">
        <f>DATE(YEAR($B$3),MONTH($B$3),1)</f>
        <v>44501</v>
      </c>
      <c r="AC15" s="133" t="str">
        <f t="shared" ref="AC15:AC29" si="5">TEXT(AB15, "DDD")</f>
        <v>Mon</v>
      </c>
      <c r="AD15" s="91">
        <f>EOMONTH($AB$15, 0)</f>
        <v>44530</v>
      </c>
      <c r="AE15" s="143">
        <f t="shared" ref="AE15:AE29" si="6">YEAR(AD15)</f>
        <v>2021</v>
      </c>
      <c r="AF15" s="143"/>
      <c r="AG15" s="105" t="str">
        <f t="array" ref="AG15">(index(Curriculum,match($K$3,TopicNames,0)+13,1))</f>
        <v>Phase 3</v>
      </c>
      <c r="AH15" s="106" t="str">
        <f t="array" ref="AH15">(index(Curriculum,match($K$3,TopicNames,0)+13,2))</f>
        <v>Topic 29: Decision Trees</v>
      </c>
      <c r="AI15" s="107">
        <f t="array" ref="AI15">(index(Curriculum,match($K$3,TopicNames,0)+13,3))</f>
        <v>0.0625</v>
      </c>
      <c r="AJ15" s="105">
        <f t="array" ref="AJ15">(index(Curriculum,match($K$3,TopicNames,0)+13,4))</f>
        <v>0</v>
      </c>
      <c r="AK15" s="137"/>
    </row>
    <row r="16">
      <c r="A16" s="61"/>
      <c r="B16" s="70" t="str">
        <f>IF(B15=$AC15,$AB15,)</f>
        <v/>
      </c>
      <c r="C16" s="70">
        <f t="shared" ref="C16:H16" si="1">IF(B16&gt;0,B16+1, IF(C15=$AC$15,$AB$15,))</f>
        <v>44501</v>
      </c>
      <c r="D16" s="70">
        <f t="shared" si="1"/>
        <v>44502</v>
      </c>
      <c r="E16" s="70">
        <f t="shared" si="1"/>
        <v>44503</v>
      </c>
      <c r="F16" s="70">
        <f t="shared" si="1"/>
        <v>44504</v>
      </c>
      <c r="G16" s="70">
        <f t="shared" si="1"/>
        <v>44505</v>
      </c>
      <c r="H16" s="70">
        <f t="shared" si="1"/>
        <v>44506</v>
      </c>
      <c r="I16" s="74"/>
      <c r="J16" s="70" t="str">
        <f>IF(J15=$AC16,$AB16,)</f>
        <v/>
      </c>
      <c r="K16" s="70" t="str">
        <f t="shared" ref="K16:P16" si="2">IF(J16&gt;0,J16+1, IF(K15=$AC$16,$AB$16,))</f>
        <v/>
      </c>
      <c r="L16" s="70" t="str">
        <f t="shared" si="2"/>
        <v/>
      </c>
      <c r="M16" s="70">
        <f t="shared" si="2"/>
        <v>44531</v>
      </c>
      <c r="N16" s="70">
        <f t="shared" si="2"/>
        <v>44532</v>
      </c>
      <c r="O16" s="70">
        <f t="shared" si="2"/>
        <v>44533</v>
      </c>
      <c r="P16" s="70">
        <f t="shared" si="2"/>
        <v>44534</v>
      </c>
      <c r="Q16" s="61"/>
      <c r="R16" s="70" t="str">
        <f>IF(R15=$AC17,$AB17,)</f>
        <v/>
      </c>
      <c r="S16" s="70" t="str">
        <f t="shared" ref="S16:X16" si="3">IF(R16&gt;0,R16+1, IF(S15=$AC$17,$AB$17,))</f>
        <v/>
      </c>
      <c r="T16" s="70" t="str">
        <f t="shared" si="3"/>
        <v/>
      </c>
      <c r="U16" s="70" t="str">
        <f t="shared" si="3"/>
        <v/>
      </c>
      <c r="V16" s="70" t="str">
        <f t="shared" si="3"/>
        <v/>
      </c>
      <c r="W16" s="70" t="str">
        <f t="shared" si="3"/>
        <v/>
      </c>
      <c r="X16" s="70">
        <f t="shared" si="3"/>
        <v>44562</v>
      </c>
      <c r="Z16" s="89"/>
      <c r="AA16" s="133" t="str">
        <f t="shared" si="4"/>
        <v>December</v>
      </c>
      <c r="AB16" s="142">
        <f>DATE(YEAR($B$3),MONTH($B$3)+1,1)</f>
        <v>44531</v>
      </c>
      <c r="AC16" s="133" t="str">
        <f t="shared" si="5"/>
        <v>Wed</v>
      </c>
      <c r="AD16" s="91">
        <f>EOMONTH($AB$15, 1)</f>
        <v>44561</v>
      </c>
      <c r="AE16" s="143">
        <f t="shared" si="6"/>
        <v>2021</v>
      </c>
      <c r="AF16" s="143"/>
      <c r="AG16" s="105" t="str">
        <f t="array" ref="AG16">(index(Curriculum,match($K$3,TopicNames,0)+14,1))</f>
        <v>Phase 3</v>
      </c>
      <c r="AH16" s="106" t="str">
        <f t="array" ref="AH16">(index(Curriculum,match($K$3,TopicNames,0)+14,2))</f>
        <v>Topic 30: Ensemble Methods</v>
      </c>
      <c r="AI16" s="107">
        <f t="array" ref="AI16">(index(Curriculum,match($K$3,TopicNames,0)+14,3))</f>
        <v>0.0625</v>
      </c>
      <c r="AJ16" s="105">
        <f t="array" ref="AJ16">(index(Curriculum,match($K$3,TopicNames,0)+14,4))</f>
        <v>0</v>
      </c>
      <c r="AK16" s="137"/>
    </row>
    <row r="17">
      <c r="A17" s="61"/>
      <c r="B17" s="70">
        <f t="shared" ref="B17:B19" si="10">if(OR(H16&gt;=$AD$15, H16=""),,H16+1)</f>
        <v>44507</v>
      </c>
      <c r="C17" s="70">
        <f t="shared" ref="C17:H17" si="7">if(OR(B17&gt;=$AD$15, B17=""),,B17+1)</f>
        <v>44508</v>
      </c>
      <c r="D17" s="70">
        <f t="shared" si="7"/>
        <v>44509</v>
      </c>
      <c r="E17" s="70">
        <f t="shared" si="7"/>
        <v>44510</v>
      </c>
      <c r="F17" s="70">
        <f t="shared" si="7"/>
        <v>44511</v>
      </c>
      <c r="G17" s="70">
        <f t="shared" si="7"/>
        <v>44512</v>
      </c>
      <c r="H17" s="70">
        <f t="shared" si="7"/>
        <v>44513</v>
      </c>
      <c r="I17" s="61"/>
      <c r="J17" s="70">
        <f t="shared" ref="J17:J21" si="12">if(OR(P16&gt;=$AC$16, P16=""),,P16+1)</f>
        <v>44535</v>
      </c>
      <c r="K17" s="70">
        <f t="shared" ref="K17:P17" si="8">if(OR(J17&gt;=$AD$16, J17=""),,J17+1)</f>
        <v>44536</v>
      </c>
      <c r="L17" s="70">
        <f t="shared" si="8"/>
        <v>44537</v>
      </c>
      <c r="M17" s="70">
        <f t="shared" si="8"/>
        <v>44538</v>
      </c>
      <c r="N17" s="70">
        <f t="shared" si="8"/>
        <v>44539</v>
      </c>
      <c r="O17" s="70">
        <f t="shared" si="8"/>
        <v>44540</v>
      </c>
      <c r="P17" s="70">
        <f t="shared" si="8"/>
        <v>44541</v>
      </c>
      <c r="Q17" s="61"/>
      <c r="R17" s="70">
        <f t="shared" ref="R17:R21" si="14">if(OR(X16&gt;=$AD$17, X16=""),,X16+1)</f>
        <v>44563</v>
      </c>
      <c r="S17" s="70">
        <f t="shared" ref="S17:X17" si="9">if(OR(R17&gt;=$AD$17, R17=""),,R17+1)</f>
        <v>44564</v>
      </c>
      <c r="T17" s="70">
        <f t="shared" si="9"/>
        <v>44565</v>
      </c>
      <c r="U17" s="70">
        <f t="shared" si="9"/>
        <v>44566</v>
      </c>
      <c r="V17" s="70">
        <f t="shared" si="9"/>
        <v>44567</v>
      </c>
      <c r="W17" s="70">
        <f t="shared" si="9"/>
        <v>44568</v>
      </c>
      <c r="X17" s="70">
        <f t="shared" si="9"/>
        <v>44569</v>
      </c>
      <c r="Z17" s="89"/>
      <c r="AA17" s="133" t="str">
        <f t="shared" si="4"/>
        <v>January</v>
      </c>
      <c r="AB17" s="142">
        <f>DATE(YEAR($B$3),MONTH($B$3)+2,1)</f>
        <v>44562</v>
      </c>
      <c r="AC17" s="133" t="str">
        <f t="shared" si="5"/>
        <v>Sat</v>
      </c>
      <c r="AD17" s="91">
        <f>EOMONTH($AB$15, 2)</f>
        <v>44592</v>
      </c>
      <c r="AE17" s="143">
        <f t="shared" si="6"/>
        <v>2022</v>
      </c>
      <c r="AF17" s="143"/>
      <c r="AG17" s="105" t="str">
        <f t="array" ref="AG17">(index(Curriculum,match($K$3,TopicNames,0)+15,1))</f>
        <v>Phase 3</v>
      </c>
      <c r="AH17" s="106" t="str">
        <f t="array" ref="AH17">(index(Curriculum,match($K$3,TopicNames,0)+15,2))</f>
        <v>Topic 31: Support Vector Machines</v>
      </c>
      <c r="AI17" s="107">
        <f t="array" ref="AI17">(index(Curriculum,match($K$3,TopicNames,0)+15,3))</f>
        <v>0.0625</v>
      </c>
      <c r="AJ17" s="105">
        <f t="array" ref="AJ17">(index(Curriculum,match($K$3,TopicNames,0)+15,4))</f>
        <v>0</v>
      </c>
      <c r="AK17" s="137"/>
    </row>
    <row r="18">
      <c r="A18" s="61"/>
      <c r="B18" s="70">
        <f t="shared" si="10"/>
        <v>44514</v>
      </c>
      <c r="C18" s="70">
        <f t="shared" ref="C18:H18" si="11">if(OR(B18&gt;=$AD$15, B18=""),,B18+1)</f>
        <v>44515</v>
      </c>
      <c r="D18" s="70">
        <f t="shared" si="11"/>
        <v>44516</v>
      </c>
      <c r="E18" s="70">
        <f t="shared" si="11"/>
        <v>44517</v>
      </c>
      <c r="F18" s="70">
        <f t="shared" si="11"/>
        <v>44518</v>
      </c>
      <c r="G18" s="70">
        <f t="shared" si="11"/>
        <v>44519</v>
      </c>
      <c r="H18" s="70">
        <f t="shared" si="11"/>
        <v>44520</v>
      </c>
      <c r="I18" s="61"/>
      <c r="J18" s="70">
        <f t="shared" si="12"/>
        <v>44542</v>
      </c>
      <c r="K18" s="70">
        <f t="shared" ref="K18:P18" si="13">if(OR(J18&gt;=$AD$16, J18=""),,J18+1)</f>
        <v>44543</v>
      </c>
      <c r="L18" s="70">
        <f t="shared" si="13"/>
        <v>44544</v>
      </c>
      <c r="M18" s="70">
        <f t="shared" si="13"/>
        <v>44545</v>
      </c>
      <c r="N18" s="70">
        <f t="shared" si="13"/>
        <v>44546</v>
      </c>
      <c r="O18" s="70">
        <f t="shared" si="13"/>
        <v>44547</v>
      </c>
      <c r="P18" s="70">
        <f t="shared" si="13"/>
        <v>44548</v>
      </c>
      <c r="Q18" s="61"/>
      <c r="R18" s="70">
        <f t="shared" si="14"/>
        <v>44570</v>
      </c>
      <c r="S18" s="70">
        <f t="shared" ref="S18:X18" si="15">if(OR(R18&gt;=$AD$17, R18=""),,R18+1)</f>
        <v>44571</v>
      </c>
      <c r="T18" s="70">
        <f t="shared" si="15"/>
        <v>44572</v>
      </c>
      <c r="U18" s="70">
        <f t="shared" si="15"/>
        <v>44573</v>
      </c>
      <c r="V18" s="70">
        <f t="shared" si="15"/>
        <v>44574</v>
      </c>
      <c r="W18" s="70">
        <f t="shared" si="15"/>
        <v>44575</v>
      </c>
      <c r="X18" s="70">
        <f t="shared" si="15"/>
        <v>44576</v>
      </c>
      <c r="Y18" s="61"/>
      <c r="Z18" s="89"/>
      <c r="AA18" s="133" t="str">
        <f t="shared" si="4"/>
        <v>February</v>
      </c>
      <c r="AB18" s="142">
        <f>DATE(YEAR($B$3),MONTH($B$3)+3,1)</f>
        <v>44593</v>
      </c>
      <c r="AC18" s="133" t="str">
        <f t="shared" si="5"/>
        <v>Tue</v>
      </c>
      <c r="AD18" s="91">
        <f>EOMONTH($AB$15, 3)</f>
        <v>44620</v>
      </c>
      <c r="AE18" s="143">
        <f t="shared" si="6"/>
        <v>2022</v>
      </c>
      <c r="AF18" s="143"/>
      <c r="AG18" s="105" t="str">
        <f t="array" ref="AG18">(index(Curriculum,match($K$3,TopicNames,0)+16,1))</f>
        <v>Phase 3</v>
      </c>
      <c r="AH18" s="106" t="str">
        <f t="array" ref="AH18">(index(Curriculum,match($K$3,TopicNames,0)+16,2))</f>
        <v>Topic 32: Building a Machine Learning Pipeline</v>
      </c>
      <c r="AI18" s="107">
        <f t="array" ref="AI18">(index(Curriculum,match($K$3,TopicNames,0)+16,3))</f>
        <v>0.0625</v>
      </c>
      <c r="AJ18" s="105">
        <f t="array" ref="AJ18">(index(Curriculum,match($K$3,TopicNames,0)+16,4))</f>
        <v>0</v>
      </c>
      <c r="AK18" s="137"/>
    </row>
    <row r="19">
      <c r="A19" s="61"/>
      <c r="B19" s="70">
        <f t="shared" si="10"/>
        <v>44521</v>
      </c>
      <c r="C19" s="70">
        <f t="shared" ref="C19:H19" si="16">if(OR(B19&gt;=$AD$15, B19=""),,B19+1)</f>
        <v>44522</v>
      </c>
      <c r="D19" s="70">
        <f t="shared" si="16"/>
        <v>44523</v>
      </c>
      <c r="E19" s="70">
        <f t="shared" si="16"/>
        <v>44524</v>
      </c>
      <c r="F19" s="70">
        <f t="shared" si="16"/>
        <v>44525</v>
      </c>
      <c r="G19" s="70">
        <f t="shared" si="16"/>
        <v>44526</v>
      </c>
      <c r="H19" s="70">
        <f t="shared" si="16"/>
        <v>44527</v>
      </c>
      <c r="I19" s="61"/>
      <c r="J19" s="70">
        <f t="shared" si="12"/>
        <v>44549</v>
      </c>
      <c r="K19" s="70">
        <f t="shared" ref="K19:P19" si="17">if(OR(J19&gt;=$AD$16, J19=""),,J19+1)</f>
        <v>44550</v>
      </c>
      <c r="L19" s="70">
        <f t="shared" si="17"/>
        <v>44551</v>
      </c>
      <c r="M19" s="70">
        <f t="shared" si="17"/>
        <v>44552</v>
      </c>
      <c r="N19" s="70">
        <f t="shared" si="17"/>
        <v>44553</v>
      </c>
      <c r="O19" s="70">
        <f t="shared" si="17"/>
        <v>44554</v>
      </c>
      <c r="P19" s="70">
        <f t="shared" si="17"/>
        <v>44555</v>
      </c>
      <c r="Q19" s="61"/>
      <c r="R19" s="70">
        <f t="shared" si="14"/>
        <v>44577</v>
      </c>
      <c r="S19" s="70">
        <f t="shared" ref="S19:X19" si="18">if(OR(R19&gt;=$AD$17, R19=""),,R19+1)</f>
        <v>44578</v>
      </c>
      <c r="T19" s="70">
        <f t="shared" si="18"/>
        <v>44579</v>
      </c>
      <c r="U19" s="70">
        <f t="shared" si="18"/>
        <v>44580</v>
      </c>
      <c r="V19" s="70">
        <f t="shared" si="18"/>
        <v>44581</v>
      </c>
      <c r="W19" s="70">
        <f t="shared" si="18"/>
        <v>44582</v>
      </c>
      <c r="X19" s="70">
        <f t="shared" si="18"/>
        <v>44583</v>
      </c>
      <c r="Y19" s="61"/>
      <c r="Z19" s="89"/>
      <c r="AA19" s="133" t="str">
        <f t="shared" si="4"/>
        <v>March</v>
      </c>
      <c r="AB19" s="142">
        <f>DATE(YEAR($B$3),MONTH($B$3)+4,1)</f>
        <v>44621</v>
      </c>
      <c r="AC19" s="133" t="str">
        <f t="shared" si="5"/>
        <v>Tue</v>
      </c>
      <c r="AD19" s="91">
        <f>EOMONTH($AB$15, 4)</f>
        <v>44651</v>
      </c>
      <c r="AE19" s="143">
        <f t="shared" si="6"/>
        <v>2022</v>
      </c>
      <c r="AF19" s="143"/>
      <c r="AG19" s="105" t="str">
        <f t="array" ref="AG19">(index(Curriculum,match($K$3,TopicNames,0)+17,1))</f>
        <v>Phase 3</v>
      </c>
      <c r="AH19" s="106" t="str">
        <f t="array" ref="AH19">(index(Curriculum,match($K$3,TopicNames,0)+17,2))</f>
        <v>Phase 3 Project</v>
      </c>
      <c r="AI19" s="107">
        <f t="array" ref="AI19">(index(Curriculum,match($K$3,TopicNames,0)+17,3))</f>
        <v>0.25</v>
      </c>
      <c r="AJ19" s="105">
        <f t="array" ref="AJ19">(index(Curriculum,match($K$3,TopicNames,0)+17,4))</f>
        <v>1</v>
      </c>
      <c r="AK19" s="137"/>
    </row>
    <row r="20">
      <c r="A20" s="61"/>
      <c r="B20" s="70">
        <f>IF(OR(H19&gt;=$AD$15, H19=""),,H19+1)</f>
        <v>44528</v>
      </c>
      <c r="C20" s="70">
        <f t="shared" ref="C20:H20" si="19">if(OR(B20&gt;=$AD$15, B20=""),,B20+1)</f>
        <v>44529</v>
      </c>
      <c r="D20" s="70">
        <f t="shared" si="19"/>
        <v>44530</v>
      </c>
      <c r="E20" s="70" t="str">
        <f t="shared" si="19"/>
        <v/>
      </c>
      <c r="F20" s="70" t="str">
        <f t="shared" si="19"/>
        <v/>
      </c>
      <c r="G20" s="70" t="str">
        <f t="shared" si="19"/>
        <v/>
      </c>
      <c r="H20" s="70" t="str">
        <f t="shared" si="19"/>
        <v/>
      </c>
      <c r="I20" s="61"/>
      <c r="J20" s="70">
        <f t="shared" si="12"/>
        <v>44556</v>
      </c>
      <c r="K20" s="70">
        <f t="shared" ref="K20:P20" si="20">if(OR(J20&gt;=$AD$16, J20=""),,J20+1)</f>
        <v>44557</v>
      </c>
      <c r="L20" s="70">
        <f t="shared" si="20"/>
        <v>44558</v>
      </c>
      <c r="M20" s="70">
        <f t="shared" si="20"/>
        <v>44559</v>
      </c>
      <c r="N20" s="70">
        <f t="shared" si="20"/>
        <v>44560</v>
      </c>
      <c r="O20" s="70">
        <f t="shared" si="20"/>
        <v>44561</v>
      </c>
      <c r="P20" s="70" t="str">
        <f t="shared" si="20"/>
        <v/>
      </c>
      <c r="Q20" s="61"/>
      <c r="R20" s="70">
        <f t="shared" si="14"/>
        <v>44584</v>
      </c>
      <c r="S20" s="70">
        <f t="shared" ref="S20:X20" si="21">if(OR(R20&gt;=$AD$17, R20=""),,R20+1)</f>
        <v>44585</v>
      </c>
      <c r="T20" s="70">
        <f t="shared" si="21"/>
        <v>44586</v>
      </c>
      <c r="U20" s="70">
        <f t="shared" si="21"/>
        <v>44587</v>
      </c>
      <c r="V20" s="70">
        <f t="shared" si="21"/>
        <v>44588</v>
      </c>
      <c r="W20" s="70">
        <f t="shared" si="21"/>
        <v>44589</v>
      </c>
      <c r="X20" s="70">
        <f t="shared" si="21"/>
        <v>44590</v>
      </c>
      <c r="Y20" s="61"/>
      <c r="Z20" s="89"/>
      <c r="AA20" s="133" t="str">
        <f t="shared" si="4"/>
        <v>April</v>
      </c>
      <c r="AB20" s="142">
        <f>DATE(YEAR($B$3),MONTH($B$3)+5,1)</f>
        <v>44652</v>
      </c>
      <c r="AC20" s="133" t="str">
        <f t="shared" si="5"/>
        <v>Fri</v>
      </c>
      <c r="AD20" s="91">
        <f>EOMONTH($AB$15, 5)</f>
        <v>44681</v>
      </c>
      <c r="AE20" s="143">
        <f t="shared" si="6"/>
        <v>2022</v>
      </c>
      <c r="AF20" s="143"/>
      <c r="AG20" s="105" t="str">
        <f t="array" ref="AG20">(index(Curriculum,match($K$3,TopicNames,0)+18,1))</f>
        <v>Phase 4</v>
      </c>
      <c r="AH20" s="106" t="str">
        <f t="array" ref="AH20">(index(Curriculum,match($K$3,TopicNames,0)+18,2))</f>
        <v>Topic 33: Principal Component Analysis</v>
      </c>
      <c r="AI20" s="107">
        <f t="array" ref="AI20">(index(Curriculum,match($K$3,TopicNames,0)+18,3))</f>
        <v>0.06818181818</v>
      </c>
      <c r="AJ20" s="105">
        <f t="array" ref="AJ20">(index(Curriculum,match($K$3,TopicNames,0)+18,4))</f>
        <v>0</v>
      </c>
      <c r="AK20" s="137"/>
    </row>
    <row r="21">
      <c r="A21" s="61"/>
      <c r="B21" s="70" t="str">
        <f>if(OR(H20&gt;=$AD$15, H20=""),,H20+1)</f>
        <v/>
      </c>
      <c r="C21" s="70" t="str">
        <f t="shared" ref="C21:H21" si="22">if(OR(B21&gt;=$AD$15, B21=""),,B21+1)</f>
        <v/>
      </c>
      <c r="D21" s="70" t="str">
        <f t="shared" si="22"/>
        <v/>
      </c>
      <c r="E21" s="70" t="str">
        <f t="shared" si="22"/>
        <v/>
      </c>
      <c r="F21" s="70" t="str">
        <f t="shared" si="22"/>
        <v/>
      </c>
      <c r="G21" s="70" t="str">
        <f t="shared" si="22"/>
        <v/>
      </c>
      <c r="H21" s="70" t="str">
        <f t="shared" si="22"/>
        <v/>
      </c>
      <c r="I21" s="74"/>
      <c r="J21" s="70" t="str">
        <f t="shared" si="12"/>
        <v/>
      </c>
      <c r="K21" s="70" t="str">
        <f t="shared" ref="K21:O21" si="23">if(OR(J21&gt;=$AD$16, J21=""),,J21+1)</f>
        <v/>
      </c>
      <c r="L21" s="70" t="str">
        <f t="shared" si="23"/>
        <v/>
      </c>
      <c r="M21" s="70" t="str">
        <f t="shared" si="23"/>
        <v/>
      </c>
      <c r="N21" s="70" t="str">
        <f t="shared" si="23"/>
        <v/>
      </c>
      <c r="O21" s="70" t="str">
        <f t="shared" si="23"/>
        <v/>
      </c>
      <c r="P21" s="70"/>
      <c r="Q21" s="61"/>
      <c r="R21" s="70">
        <f t="shared" si="14"/>
        <v>44591</v>
      </c>
      <c r="S21" s="70">
        <f t="shared" ref="S21:X21" si="24">if(OR(R21&gt;=$AD$17, R21=""),,R21+1)</f>
        <v>44592</v>
      </c>
      <c r="T21" s="70" t="str">
        <f t="shared" si="24"/>
        <v/>
      </c>
      <c r="U21" s="70" t="str">
        <f t="shared" si="24"/>
        <v/>
      </c>
      <c r="V21" s="70" t="str">
        <f t="shared" si="24"/>
        <v/>
      </c>
      <c r="W21" s="70" t="str">
        <f t="shared" si="24"/>
        <v/>
      </c>
      <c r="X21" s="70" t="str">
        <f t="shared" si="24"/>
        <v/>
      </c>
      <c r="Y21" s="61"/>
      <c r="Z21" s="89"/>
      <c r="AA21" s="133" t="str">
        <f t="shared" si="4"/>
        <v>May</v>
      </c>
      <c r="AB21" s="142">
        <f>DATE(YEAR($B$3),MONTH($B$3)+6,1)</f>
        <v>44682</v>
      </c>
      <c r="AC21" s="133" t="str">
        <f t="shared" si="5"/>
        <v>Sun</v>
      </c>
      <c r="AD21" s="91">
        <f>EOMONTH($AB$15, 6)</f>
        <v>44712</v>
      </c>
      <c r="AE21" s="143">
        <f t="shared" si="6"/>
        <v>2022</v>
      </c>
      <c r="AF21" s="143"/>
      <c r="AG21" s="105" t="str">
        <f t="array" ref="AG21">(index(Curriculum,match($K$3,TopicNames,0)+19,1))</f>
        <v>Phase 4</v>
      </c>
      <c r="AH21" s="106" t="str">
        <f t="array" ref="AH21">(index(Curriculum,match($K$3,TopicNames,0)+19,2))</f>
        <v>Topic 34: Clustering</v>
      </c>
      <c r="AI21" s="107">
        <f t="array" ref="AI21">(index(Curriculum,match($K$3,TopicNames,0)+19,3))</f>
        <v>0.06818181818</v>
      </c>
      <c r="AJ21" s="105">
        <f t="array" ref="AJ21">(index(Curriculum,match($K$3,TopicNames,0)+19,4))</f>
        <v>0</v>
      </c>
      <c r="AK21" s="137"/>
    </row>
    <row r="22">
      <c r="A22" s="61"/>
      <c r="B22" s="61"/>
      <c r="C22" s="77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89"/>
      <c r="AA22" s="133" t="str">
        <f t="shared" si="4"/>
        <v>June</v>
      </c>
      <c r="AB22" s="142">
        <f>DATE(YEAR($B$3),MONTH($B$3)+7,1)</f>
        <v>44713</v>
      </c>
      <c r="AC22" s="133" t="str">
        <f t="shared" si="5"/>
        <v>Wed</v>
      </c>
      <c r="AD22" s="91">
        <f>EOMONTH($AB$15, 7)</f>
        <v>44742</v>
      </c>
      <c r="AE22" s="143">
        <f t="shared" si="6"/>
        <v>2022</v>
      </c>
      <c r="AF22" s="143"/>
      <c r="AG22" s="105" t="str">
        <f t="array" ref="AG22">(index(Curriculum,match($K$3,TopicNames,0)+20,1))</f>
        <v>Phase 4</v>
      </c>
      <c r="AH22" s="106" t="str">
        <f t="array" ref="AH22">(index(Curriculum,match($K$3,TopicNames,0)+20,2))</f>
        <v>Topic 35: Big Data in PySpark</v>
      </c>
      <c r="AI22" s="107">
        <f t="array" ref="AI22">(index(Curriculum,match($K$3,TopicNames,0)+20,3))</f>
        <v>0.06818181818</v>
      </c>
      <c r="AJ22" s="105">
        <f t="array" ref="AJ22">(index(Curriculum,match($K$3,TopicNames,0)+20,4))</f>
        <v>0</v>
      </c>
      <c r="AK22" s="137"/>
    </row>
    <row r="23">
      <c r="A23" s="61"/>
      <c r="B23" s="62" t="str">
        <f>AA18&amp;" "&amp;AE18</f>
        <v>February 2022</v>
      </c>
      <c r="I23" s="61"/>
      <c r="J23" s="62" t="str">
        <f>AA19&amp;" "&amp;AE19</f>
        <v>March 2022</v>
      </c>
      <c r="Q23" s="61"/>
      <c r="R23" s="62" t="str">
        <f>AA20&amp;" "&amp;AE20</f>
        <v>April 2022</v>
      </c>
      <c r="Y23" s="61"/>
      <c r="Z23" s="89"/>
      <c r="AA23" s="133" t="str">
        <f t="shared" si="4"/>
        <v>July</v>
      </c>
      <c r="AB23" s="142">
        <f>DATE(YEAR($B$3),MONTH($B$3)+8,1)</f>
        <v>44743</v>
      </c>
      <c r="AC23" s="133" t="str">
        <f t="shared" si="5"/>
        <v>Fri</v>
      </c>
      <c r="AD23" s="91">
        <f>EOMONTH($AB$15, 8)</f>
        <v>44773</v>
      </c>
      <c r="AE23" s="143">
        <f t="shared" si="6"/>
        <v>2022</v>
      </c>
      <c r="AF23" s="143"/>
      <c r="AG23" s="105" t="str">
        <f t="array" ref="AG23">(index(Curriculum,match($K$3,TopicNames,0)+21,1))</f>
        <v>Phase 4</v>
      </c>
      <c r="AH23" s="106" t="str">
        <f t="array" ref="AH23">(index(Curriculum,match($K$3,TopicNames,0)+21,2))</f>
        <v>Topic 36: Recommendation Systems</v>
      </c>
      <c r="AI23" s="107">
        <f t="array" ref="AI23">(index(Curriculum,match($K$3,TopicNames,0)+21,3))</f>
        <v>0.06818181818</v>
      </c>
      <c r="AJ23" s="105">
        <f t="array" ref="AJ23">(index(Curriculum,match($K$3,TopicNames,0)+21,4))</f>
        <v>0</v>
      </c>
      <c r="AK23" s="137"/>
    </row>
    <row r="24">
      <c r="A24" s="61"/>
      <c r="B24" s="66" t="s">
        <v>57</v>
      </c>
      <c r="C24" s="80" t="s">
        <v>58</v>
      </c>
      <c r="D24" s="66" t="s">
        <v>59</v>
      </c>
      <c r="E24" s="66" t="s">
        <v>60</v>
      </c>
      <c r="F24" s="66" t="s">
        <v>61</v>
      </c>
      <c r="G24" s="66" t="s">
        <v>62</v>
      </c>
      <c r="H24" s="66" t="s">
        <v>63</v>
      </c>
      <c r="I24" s="61"/>
      <c r="J24" s="66" t="s">
        <v>57</v>
      </c>
      <c r="K24" s="66" t="s">
        <v>58</v>
      </c>
      <c r="L24" s="66" t="s">
        <v>59</v>
      </c>
      <c r="M24" s="66" t="s">
        <v>60</v>
      </c>
      <c r="N24" s="66" t="s">
        <v>61</v>
      </c>
      <c r="O24" s="66" t="s">
        <v>62</v>
      </c>
      <c r="P24" s="66" t="s">
        <v>63</v>
      </c>
      <c r="Q24" s="61"/>
      <c r="R24" s="66" t="s">
        <v>57</v>
      </c>
      <c r="S24" s="66" t="s">
        <v>58</v>
      </c>
      <c r="T24" s="66" t="s">
        <v>59</v>
      </c>
      <c r="U24" s="66" t="s">
        <v>60</v>
      </c>
      <c r="V24" s="66" t="s">
        <v>61</v>
      </c>
      <c r="W24" s="66" t="s">
        <v>62</v>
      </c>
      <c r="X24" s="66" t="s">
        <v>63</v>
      </c>
      <c r="Y24" s="61"/>
      <c r="Z24" s="89"/>
      <c r="AA24" s="133" t="str">
        <f t="shared" si="4"/>
        <v>August</v>
      </c>
      <c r="AB24" s="142">
        <f>DATE(YEAR($B$3),MONTH($B$3)+9,1)</f>
        <v>44774</v>
      </c>
      <c r="AC24" s="133" t="str">
        <f t="shared" si="5"/>
        <v>Mon</v>
      </c>
      <c r="AD24" s="91">
        <f>EOMONTH($AB$15, 9)</f>
        <v>44804</v>
      </c>
      <c r="AE24" s="143">
        <f t="shared" si="6"/>
        <v>2022</v>
      </c>
      <c r="AF24" s="143"/>
      <c r="AG24" s="105" t="str">
        <f t="array" ref="AG24">(index(Curriculum,match($K$3,TopicNames,0)+22,1))</f>
        <v>Phase 4</v>
      </c>
      <c r="AH24" s="106" t="str">
        <f t="array" ref="AH24">(index(Curriculum,match($K$3,TopicNames,0)+22,2))</f>
        <v>Topic 37: Exploring Time Series Data</v>
      </c>
      <c r="AI24" s="107">
        <f t="array" ref="AI24">(index(Curriculum,match($K$3,TopicNames,0)+22,3))</f>
        <v>0.06818181818</v>
      </c>
      <c r="AJ24" s="105">
        <f t="array" ref="AJ24">(index(Curriculum,match($K$3,TopicNames,0)+22,4))</f>
        <v>0</v>
      </c>
      <c r="AK24" s="137"/>
    </row>
    <row r="25">
      <c r="A25" s="61"/>
      <c r="B25" s="70" t="str">
        <f>IF(B24=$AC18,$AB18,)</f>
        <v/>
      </c>
      <c r="C25" s="70" t="str">
        <f t="shared" ref="C25:H25" si="25">IF(B25&gt;0,B25+1, IF(C24=$AC$18,$AB$18,))</f>
        <v/>
      </c>
      <c r="D25" s="70">
        <f t="shared" si="25"/>
        <v>44593</v>
      </c>
      <c r="E25" s="70">
        <f t="shared" si="25"/>
        <v>44594</v>
      </c>
      <c r="F25" s="70">
        <f t="shared" si="25"/>
        <v>44595</v>
      </c>
      <c r="G25" s="70">
        <f t="shared" si="25"/>
        <v>44596</v>
      </c>
      <c r="H25" s="70">
        <f t="shared" si="25"/>
        <v>44597</v>
      </c>
      <c r="I25" s="61"/>
      <c r="J25" s="70" t="str">
        <f>IF(J24=$AC19,$AB19,)</f>
        <v/>
      </c>
      <c r="K25" s="70" t="str">
        <f t="shared" ref="K25:P25" si="26">IF(J25&gt;0,J25+1, IF(K24=$AC$19,$AB$19,))</f>
        <v/>
      </c>
      <c r="L25" s="70">
        <f t="shared" si="26"/>
        <v>44621</v>
      </c>
      <c r="M25" s="70">
        <f t="shared" si="26"/>
        <v>44622</v>
      </c>
      <c r="N25" s="70">
        <f t="shared" si="26"/>
        <v>44623</v>
      </c>
      <c r="O25" s="70">
        <f t="shared" si="26"/>
        <v>44624</v>
      </c>
      <c r="P25" s="70">
        <f t="shared" si="26"/>
        <v>44625</v>
      </c>
      <c r="Q25" s="61"/>
      <c r="R25" s="70" t="str">
        <f>IF(R24=$AC20,$AB20,)</f>
        <v/>
      </c>
      <c r="S25" s="70" t="str">
        <f t="shared" ref="S25:X25" si="27">IF(R25&gt;0,R25+1, IF(S24=$AC$20,$AB$20,))</f>
        <v/>
      </c>
      <c r="T25" s="70" t="str">
        <f t="shared" si="27"/>
        <v/>
      </c>
      <c r="U25" s="70" t="str">
        <f t="shared" si="27"/>
        <v/>
      </c>
      <c r="V25" s="70" t="str">
        <f t="shared" si="27"/>
        <v/>
      </c>
      <c r="W25" s="70">
        <f t="shared" si="27"/>
        <v>44652</v>
      </c>
      <c r="X25" s="70">
        <f t="shared" si="27"/>
        <v>44653</v>
      </c>
      <c r="Y25" s="61"/>
      <c r="Z25" s="89"/>
      <c r="AA25" s="133" t="str">
        <f t="shared" si="4"/>
        <v>September</v>
      </c>
      <c r="AB25" s="142">
        <f>DATE(YEAR($B$3),MONTH($B$3)+10,1)</f>
        <v>44805</v>
      </c>
      <c r="AC25" s="133" t="str">
        <f t="shared" si="5"/>
        <v>Thu</v>
      </c>
      <c r="AD25" s="91">
        <f>EOMONTH($AB$15, 10)</f>
        <v>44834</v>
      </c>
      <c r="AE25" s="143">
        <f t="shared" si="6"/>
        <v>2022</v>
      </c>
      <c r="AF25" s="143"/>
      <c r="AG25" s="105" t="str">
        <f t="array" ref="AG25">(index(Curriculum,match($K$3,TopicNames,0)+23,1))</f>
        <v>Phase 4</v>
      </c>
      <c r="AH25" s="106" t="str">
        <f t="array" ref="AH25">(index(Curriculum,match($K$3,TopicNames,0)+23,2))</f>
        <v>Topic 38: Time Series Models</v>
      </c>
      <c r="AI25" s="107">
        <f t="array" ref="AI25">(index(Curriculum,match($K$3,TopicNames,0)+23,3))</f>
        <v>0.06818181818</v>
      </c>
      <c r="AJ25" s="105">
        <f t="array" ref="AJ25">(index(Curriculum,match($K$3,TopicNames,0)+23,4))</f>
        <v>0</v>
      </c>
      <c r="AK25" s="137"/>
    </row>
    <row r="26">
      <c r="A26" s="61"/>
      <c r="B26" s="70">
        <f t="shared" ref="B26:B30" si="31">if(OR(H25&gt;=$AD$18, H25=""),,H25+1)</f>
        <v>44598</v>
      </c>
      <c r="C26" s="70">
        <f t="shared" ref="C26:H26" si="28">if(OR(B26&gt;=$AD$18, B26=""),,B26+1)</f>
        <v>44599</v>
      </c>
      <c r="D26" s="70">
        <f t="shared" si="28"/>
        <v>44600</v>
      </c>
      <c r="E26" s="70">
        <f t="shared" si="28"/>
        <v>44601</v>
      </c>
      <c r="F26" s="70">
        <f t="shared" si="28"/>
        <v>44602</v>
      </c>
      <c r="G26" s="70">
        <f t="shared" si="28"/>
        <v>44603</v>
      </c>
      <c r="H26" s="70">
        <f t="shared" si="28"/>
        <v>44604</v>
      </c>
      <c r="I26" s="61"/>
      <c r="J26" s="70">
        <f t="shared" ref="J26:J30" si="33">if(OR(P25&gt;=$AD$19, P25=""),,P25+1)</f>
        <v>44626</v>
      </c>
      <c r="K26" s="70">
        <f t="shared" ref="K26:P26" si="29">if(OR(J26&gt;=$AD$19, J26=""),,J26+1)</f>
        <v>44627</v>
      </c>
      <c r="L26" s="70">
        <f t="shared" si="29"/>
        <v>44628</v>
      </c>
      <c r="M26" s="70">
        <f t="shared" si="29"/>
        <v>44629</v>
      </c>
      <c r="N26" s="70">
        <f t="shared" si="29"/>
        <v>44630</v>
      </c>
      <c r="O26" s="70">
        <f t="shared" si="29"/>
        <v>44631</v>
      </c>
      <c r="P26" s="70">
        <f t="shared" si="29"/>
        <v>44632</v>
      </c>
      <c r="Q26" s="61"/>
      <c r="R26" s="70">
        <f t="shared" ref="R26:R30" si="35">if(OR(X25&gt;=$AD$20, X25=""),,X25+1)</f>
        <v>44654</v>
      </c>
      <c r="S26" s="70">
        <f t="shared" ref="S26:X26" si="30">if(OR(R26&gt;=$AD$20, R26=""),,R26+1)</f>
        <v>44655</v>
      </c>
      <c r="T26" s="70">
        <f t="shared" si="30"/>
        <v>44656</v>
      </c>
      <c r="U26" s="70">
        <f t="shared" si="30"/>
        <v>44657</v>
      </c>
      <c r="V26" s="70">
        <f t="shared" si="30"/>
        <v>44658</v>
      </c>
      <c r="W26" s="70">
        <f t="shared" si="30"/>
        <v>44659</v>
      </c>
      <c r="X26" s="70">
        <f t="shared" si="30"/>
        <v>44660</v>
      </c>
      <c r="Y26" s="61"/>
      <c r="Z26" s="89"/>
      <c r="AA26" s="133" t="str">
        <f t="shared" si="4"/>
        <v>October</v>
      </c>
      <c r="AB26" s="142">
        <f>DATE(YEAR($B$3),MONTH($B$3)+11,1)</f>
        <v>44835</v>
      </c>
      <c r="AC26" s="133" t="str">
        <f t="shared" si="5"/>
        <v>Sat</v>
      </c>
      <c r="AD26" s="91">
        <f>EOMONTH($AB$15, 11)</f>
        <v>44865</v>
      </c>
      <c r="AE26" s="143">
        <f t="shared" si="6"/>
        <v>2022</v>
      </c>
      <c r="AF26" s="143"/>
      <c r="AG26" s="105" t="str">
        <f t="array" ref="AG26">(index(Curriculum,match($K$3,TopicNames,0)+24,1))</f>
        <v>Phase 4</v>
      </c>
      <c r="AH26" s="106" t="str">
        <f t="array" ref="AH26">(index(Curriculum,match($K$3,TopicNames,0)+24,2))</f>
        <v>Topic 39: Natural Language Processing</v>
      </c>
      <c r="AI26" s="107">
        <f t="array" ref="AI26">(index(Curriculum,match($K$3,TopicNames,0)+24,3))</f>
        <v>0.06818181818</v>
      </c>
      <c r="AJ26" s="105">
        <f t="array" ref="AJ26">(index(Curriculum,match($K$3,TopicNames,0)+24,4))</f>
        <v>0</v>
      </c>
      <c r="AK26" s="137"/>
    </row>
    <row r="27">
      <c r="A27" s="61"/>
      <c r="B27" s="70">
        <f t="shared" si="31"/>
        <v>44605</v>
      </c>
      <c r="C27" s="70">
        <f t="shared" ref="C27:H27" si="32">if(OR(B27&gt;=$AD$18, B27=""),,B27+1)</f>
        <v>44606</v>
      </c>
      <c r="D27" s="70">
        <f t="shared" si="32"/>
        <v>44607</v>
      </c>
      <c r="E27" s="70">
        <f t="shared" si="32"/>
        <v>44608</v>
      </c>
      <c r="F27" s="70">
        <f t="shared" si="32"/>
        <v>44609</v>
      </c>
      <c r="G27" s="70">
        <f t="shared" si="32"/>
        <v>44610</v>
      </c>
      <c r="H27" s="70">
        <f t="shared" si="32"/>
        <v>44611</v>
      </c>
      <c r="I27" s="61"/>
      <c r="J27" s="70">
        <f t="shared" si="33"/>
        <v>44633</v>
      </c>
      <c r="K27" s="70">
        <f t="shared" ref="K27:P27" si="34">if(OR(J27&gt;=$AD$19, J27=""),,J27+1)</f>
        <v>44634</v>
      </c>
      <c r="L27" s="70">
        <f t="shared" si="34"/>
        <v>44635</v>
      </c>
      <c r="M27" s="70">
        <f t="shared" si="34"/>
        <v>44636</v>
      </c>
      <c r="N27" s="70">
        <f t="shared" si="34"/>
        <v>44637</v>
      </c>
      <c r="O27" s="70">
        <f t="shared" si="34"/>
        <v>44638</v>
      </c>
      <c r="P27" s="70">
        <f t="shared" si="34"/>
        <v>44639</v>
      </c>
      <c r="Q27" s="61"/>
      <c r="R27" s="70">
        <f t="shared" si="35"/>
        <v>44661</v>
      </c>
      <c r="S27" s="70">
        <f t="shared" ref="S27:X27" si="36">if(OR(R27&gt;=$AD$20, R27=""),,R27+1)</f>
        <v>44662</v>
      </c>
      <c r="T27" s="70">
        <f t="shared" si="36"/>
        <v>44663</v>
      </c>
      <c r="U27" s="70">
        <f t="shared" si="36"/>
        <v>44664</v>
      </c>
      <c r="V27" s="70">
        <f t="shared" si="36"/>
        <v>44665</v>
      </c>
      <c r="W27" s="70">
        <f t="shared" si="36"/>
        <v>44666</v>
      </c>
      <c r="X27" s="70">
        <f t="shared" si="36"/>
        <v>44667</v>
      </c>
      <c r="Y27" s="61"/>
      <c r="Z27" s="89"/>
      <c r="AA27" s="133" t="str">
        <f t="shared" si="4"/>
        <v>November</v>
      </c>
      <c r="AB27" s="142">
        <f>DATE(YEAR($B$3),MONTH($B$3)+12,1)</f>
        <v>44866</v>
      </c>
      <c r="AC27" s="133" t="str">
        <f t="shared" si="5"/>
        <v>Tue</v>
      </c>
      <c r="AD27" s="91">
        <f>EOMONTH($AB$15, 12)</f>
        <v>44895</v>
      </c>
      <c r="AE27" s="143">
        <f t="shared" si="6"/>
        <v>2022</v>
      </c>
      <c r="AF27" s="143"/>
      <c r="AG27" s="105" t="str">
        <f t="array" ref="AG27">(index(Curriculum,match($K$3,TopicNames,0)+25,1))</f>
        <v>Phase 4</v>
      </c>
      <c r="AH27" s="106" t="str">
        <f t="array" ref="AH27">(index(Curriculum,match($K$3,TopicNames,0)+25,2))</f>
        <v>Topic 40: Neural Networks</v>
      </c>
      <c r="AI27" s="107">
        <f t="array" ref="AI27">(index(Curriculum,match($K$3,TopicNames,0)+25,3))</f>
        <v>0.06818181818</v>
      </c>
      <c r="AJ27" s="105">
        <f t="array" ref="AJ27">(index(Curriculum,match($K$3,TopicNames,0)+25,4))</f>
        <v>0</v>
      </c>
      <c r="AK27" s="137"/>
    </row>
    <row r="28">
      <c r="A28" s="61"/>
      <c r="B28" s="70">
        <f t="shared" si="31"/>
        <v>44612</v>
      </c>
      <c r="C28" s="70">
        <f t="shared" ref="C28:H28" si="37">if(OR(B28&gt;=$AD$18, B28=""),,B28+1)</f>
        <v>44613</v>
      </c>
      <c r="D28" s="70">
        <f t="shared" si="37"/>
        <v>44614</v>
      </c>
      <c r="E28" s="70">
        <f t="shared" si="37"/>
        <v>44615</v>
      </c>
      <c r="F28" s="70">
        <f t="shared" si="37"/>
        <v>44616</v>
      </c>
      <c r="G28" s="70">
        <f t="shared" si="37"/>
        <v>44617</v>
      </c>
      <c r="H28" s="70">
        <f t="shared" si="37"/>
        <v>44618</v>
      </c>
      <c r="I28" s="61"/>
      <c r="J28" s="70">
        <f t="shared" si="33"/>
        <v>44640</v>
      </c>
      <c r="K28" s="70">
        <f t="shared" ref="K28:P28" si="38">if(OR(J28&gt;=$AD$19, J28=""),,J28+1)</f>
        <v>44641</v>
      </c>
      <c r="L28" s="70">
        <f t="shared" si="38"/>
        <v>44642</v>
      </c>
      <c r="M28" s="70">
        <f t="shared" si="38"/>
        <v>44643</v>
      </c>
      <c r="N28" s="70">
        <f t="shared" si="38"/>
        <v>44644</v>
      </c>
      <c r="O28" s="70">
        <f t="shared" si="38"/>
        <v>44645</v>
      </c>
      <c r="P28" s="70">
        <f t="shared" si="38"/>
        <v>44646</v>
      </c>
      <c r="Q28" s="61"/>
      <c r="R28" s="70">
        <f t="shared" si="35"/>
        <v>44668</v>
      </c>
      <c r="S28" s="70">
        <f t="shared" ref="S28:X28" si="39">if(OR(R28&gt;=$AD$20, R28=""),,R28+1)</f>
        <v>44669</v>
      </c>
      <c r="T28" s="70">
        <f t="shared" si="39"/>
        <v>44670</v>
      </c>
      <c r="U28" s="70">
        <f t="shared" si="39"/>
        <v>44671</v>
      </c>
      <c r="V28" s="70">
        <f t="shared" si="39"/>
        <v>44672</v>
      </c>
      <c r="W28" s="70">
        <f t="shared" si="39"/>
        <v>44673</v>
      </c>
      <c r="X28" s="70">
        <f t="shared" si="39"/>
        <v>44674</v>
      </c>
      <c r="Y28" s="61"/>
      <c r="Z28" s="89"/>
      <c r="AA28" s="133" t="str">
        <f t="shared" si="4"/>
        <v>December</v>
      </c>
      <c r="AB28" s="142">
        <f>DATE(YEAR($B$3),MONTH($B$3)+13,1)</f>
        <v>44896</v>
      </c>
      <c r="AC28" s="133" t="str">
        <f t="shared" si="5"/>
        <v>Thu</v>
      </c>
      <c r="AD28" s="91">
        <f>EOMONTH($AB$15, 13)</f>
        <v>44926</v>
      </c>
      <c r="AE28" s="143">
        <f t="shared" si="6"/>
        <v>2022</v>
      </c>
      <c r="AF28" s="143"/>
      <c r="AG28" s="105" t="str">
        <f t="array" ref="AG28">(index(Curriculum,match($K$3,TopicNames,0)+26,1))</f>
        <v>Phase 4</v>
      </c>
      <c r="AH28" s="106" t="str">
        <f t="array" ref="AH28">(index(Curriculum,match($K$3,TopicNames,0)+26,2))</f>
        <v>Topic 41: Deep Neural Networks</v>
      </c>
      <c r="AI28" s="107">
        <f t="array" ref="AI28">(index(Curriculum,match($K$3,TopicNames,0)+26,3))</f>
        <v>0.06818181818</v>
      </c>
      <c r="AJ28" s="105">
        <f t="array" ref="AJ28">(index(Curriculum,match($K$3,TopicNames,0)+26,4))</f>
        <v>0</v>
      </c>
      <c r="AK28" s="137"/>
    </row>
    <row r="29">
      <c r="A29" s="61"/>
      <c r="B29" s="70">
        <f t="shared" si="31"/>
        <v>44619</v>
      </c>
      <c r="C29" s="70">
        <f t="shared" ref="C29:H29" si="40">if(OR(B29&gt;=$AD$18, B29=""),,B29+1)</f>
        <v>44620</v>
      </c>
      <c r="D29" s="70" t="str">
        <f t="shared" si="40"/>
        <v/>
      </c>
      <c r="E29" s="70" t="str">
        <f t="shared" si="40"/>
        <v/>
      </c>
      <c r="F29" s="70" t="str">
        <f t="shared" si="40"/>
        <v/>
      </c>
      <c r="G29" s="70" t="str">
        <f t="shared" si="40"/>
        <v/>
      </c>
      <c r="H29" s="70" t="str">
        <f t="shared" si="40"/>
        <v/>
      </c>
      <c r="I29" s="61"/>
      <c r="J29" s="70">
        <f t="shared" si="33"/>
        <v>44647</v>
      </c>
      <c r="K29" s="70">
        <f t="shared" ref="K29:P29" si="41">if(OR(J29&gt;=$AD$19, J29=""),,J29+1)</f>
        <v>44648</v>
      </c>
      <c r="L29" s="70">
        <f t="shared" si="41"/>
        <v>44649</v>
      </c>
      <c r="M29" s="70">
        <f t="shared" si="41"/>
        <v>44650</v>
      </c>
      <c r="N29" s="70">
        <f t="shared" si="41"/>
        <v>44651</v>
      </c>
      <c r="O29" s="70" t="str">
        <f t="shared" si="41"/>
        <v/>
      </c>
      <c r="P29" s="70" t="str">
        <f t="shared" si="41"/>
        <v/>
      </c>
      <c r="Q29" s="61"/>
      <c r="R29" s="70">
        <f t="shared" si="35"/>
        <v>44675</v>
      </c>
      <c r="S29" s="70">
        <f t="shared" ref="S29:X29" si="42">if(OR(R29&gt;=$AD$20, R29=""),,R29+1)</f>
        <v>44676</v>
      </c>
      <c r="T29" s="70">
        <f t="shared" si="42"/>
        <v>44677</v>
      </c>
      <c r="U29" s="70">
        <f t="shared" si="42"/>
        <v>44678</v>
      </c>
      <c r="V29" s="70">
        <f t="shared" si="42"/>
        <v>44679</v>
      </c>
      <c r="W29" s="70">
        <f t="shared" si="42"/>
        <v>44680</v>
      </c>
      <c r="X29" s="70">
        <f t="shared" si="42"/>
        <v>44681</v>
      </c>
      <c r="Y29" s="61"/>
      <c r="Z29" s="89"/>
      <c r="AA29" s="133" t="str">
        <f t="shared" si="4"/>
        <v>January</v>
      </c>
      <c r="AB29" s="142">
        <f>DATE(YEAR($B$3),MONTH($B$3)+14,1)</f>
        <v>44927</v>
      </c>
      <c r="AC29" s="133" t="str">
        <f t="shared" si="5"/>
        <v>Sun</v>
      </c>
      <c r="AD29" s="91">
        <f>EOMONTH($AB$15, 14)</f>
        <v>44957</v>
      </c>
      <c r="AE29" s="143">
        <f t="shared" si="6"/>
        <v>2023</v>
      </c>
      <c r="AF29" s="143"/>
      <c r="AG29" s="105" t="str">
        <f t="array" ref="AG29">(index(Curriculum,match($K$3,TopicNames,0)+27,1))</f>
        <v>Phase 4</v>
      </c>
      <c r="AH29" s="106" t="str">
        <f t="array" ref="AH29">(index(Curriculum,match($K$3,TopicNames,0)+27,2))</f>
        <v>Topic 42: Tuning Neural Networks</v>
      </c>
      <c r="AI29" s="107">
        <f t="array" ref="AI29">(index(Curriculum,match($K$3,TopicNames,0)+27,3))</f>
        <v>0.06818181818</v>
      </c>
      <c r="AJ29" s="105">
        <f t="array" ref="AJ29">(index(Curriculum,match($K$3,TopicNames,0)+27,4))</f>
        <v>0</v>
      </c>
      <c r="AK29" s="137"/>
    </row>
    <row r="30">
      <c r="A30" s="61"/>
      <c r="B30" s="70" t="str">
        <f t="shared" si="31"/>
        <v/>
      </c>
      <c r="C30" s="70" t="str">
        <f t="shared" ref="C30:H30" si="43">if(OR(B30&gt;=$AD$18, B30=""),,B30+1)</f>
        <v/>
      </c>
      <c r="D30" s="70" t="str">
        <f t="shared" si="43"/>
        <v/>
      </c>
      <c r="E30" s="70" t="str">
        <f t="shared" si="43"/>
        <v/>
      </c>
      <c r="F30" s="70" t="str">
        <f t="shared" si="43"/>
        <v/>
      </c>
      <c r="G30" s="70" t="str">
        <f t="shared" si="43"/>
        <v/>
      </c>
      <c r="H30" s="70" t="str">
        <f t="shared" si="43"/>
        <v/>
      </c>
      <c r="I30" s="61"/>
      <c r="J30" s="70" t="str">
        <f t="shared" si="33"/>
        <v/>
      </c>
      <c r="K30" s="70" t="str">
        <f t="shared" ref="K30:P30" si="44">if(OR(J30&gt;=$AD$19, J30=""),,J30+1)</f>
        <v/>
      </c>
      <c r="L30" s="70" t="str">
        <f t="shared" si="44"/>
        <v/>
      </c>
      <c r="M30" s="70" t="str">
        <f t="shared" si="44"/>
        <v/>
      </c>
      <c r="N30" s="70" t="str">
        <f t="shared" si="44"/>
        <v/>
      </c>
      <c r="O30" s="70" t="str">
        <f t="shared" si="44"/>
        <v/>
      </c>
      <c r="P30" s="70" t="str">
        <f t="shared" si="44"/>
        <v/>
      </c>
      <c r="Q30" s="61"/>
      <c r="R30" s="70" t="str">
        <f t="shared" si="35"/>
        <v/>
      </c>
      <c r="S30" s="70" t="str">
        <f t="shared" ref="S30:X30" si="45">if(OR(R30&gt;=$AD$20, R30=""),,R30+1)</f>
        <v/>
      </c>
      <c r="T30" s="70" t="str">
        <f t="shared" si="45"/>
        <v/>
      </c>
      <c r="U30" s="70" t="str">
        <f t="shared" si="45"/>
        <v/>
      </c>
      <c r="V30" s="70" t="str">
        <f t="shared" si="45"/>
        <v/>
      </c>
      <c r="W30" s="70" t="str">
        <f t="shared" si="45"/>
        <v/>
      </c>
      <c r="X30" s="70" t="str">
        <f t="shared" si="45"/>
        <v/>
      </c>
      <c r="Y30" s="61"/>
      <c r="Z30" s="89"/>
      <c r="AA30" s="89"/>
      <c r="AB30" s="89"/>
      <c r="AC30" s="89"/>
      <c r="AD30" s="87"/>
      <c r="AE30" s="87"/>
      <c r="AF30" s="87"/>
      <c r="AG30" s="105" t="str">
        <f t="array" ref="AG30">(index(Curriculum,match($K$3,TopicNames,0)+28,1))</f>
        <v>Phase 4</v>
      </c>
      <c r="AH30" s="106" t="str">
        <f t="array" ref="AH30">(index(Curriculum,match($K$3,TopicNames,0)+28,2))</f>
        <v>Topic 43: Operationalizing Code and AWS</v>
      </c>
      <c r="AI30" s="107">
        <f t="array" ref="AI30">(index(Curriculum,match($K$3,TopicNames,0)+28,3))</f>
        <v>0.06818181818</v>
      </c>
      <c r="AJ30" s="105">
        <f t="array" ref="AJ30">(index(Curriculum,match($K$3,TopicNames,0)+28,4))</f>
        <v>0</v>
      </c>
      <c r="AK30" s="137"/>
    </row>
    <row r="31">
      <c r="A31" s="61"/>
      <c r="B31" s="61"/>
      <c r="C31" s="77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89"/>
      <c r="AA31" s="89"/>
      <c r="AB31" s="89"/>
      <c r="AC31" s="89"/>
      <c r="AD31" s="87"/>
      <c r="AE31" s="87"/>
      <c r="AF31" s="87"/>
      <c r="AG31" s="105" t="str">
        <f t="array" ref="AG31">(index(Curriculum,match($K$3,TopicNames,0)+29,1))</f>
        <v>Phase 4</v>
      </c>
      <c r="AH31" s="106" t="str">
        <f t="array" ref="AH31">(index(Curriculum,match($K$3,TopicNames,0)+29,2))</f>
        <v>Phase 4 Project</v>
      </c>
      <c r="AI31" s="107">
        <f t="array" ref="AI31">(index(Curriculum,match($K$3,TopicNames,0)+29,3))</f>
        <v>0.25</v>
      </c>
      <c r="AJ31" s="105">
        <f t="array" ref="AJ31">(index(Curriculum,match($K$3,TopicNames,0)+29,4))</f>
        <v>1</v>
      </c>
      <c r="AK31" s="137"/>
    </row>
    <row r="32">
      <c r="A32" s="61"/>
      <c r="B32" s="62" t="str">
        <f>AA21&amp;" "&amp;AE21</f>
        <v>May 2022</v>
      </c>
      <c r="I32" s="61"/>
      <c r="J32" s="62" t="str">
        <f>AA22&amp;" "&amp;AE22</f>
        <v>June 2022</v>
      </c>
      <c r="Q32" s="61"/>
      <c r="R32" s="62" t="str">
        <f>AA23&amp;" "&amp;AE23</f>
        <v>July 2022</v>
      </c>
      <c r="Y32" s="61"/>
      <c r="Z32" s="89"/>
      <c r="AA32" s="89"/>
      <c r="AB32" s="89"/>
      <c r="AC32" s="89"/>
      <c r="AD32" s="87"/>
      <c r="AE32" s="87"/>
      <c r="AF32" s="87"/>
      <c r="AG32" s="105" t="str">
        <f t="array" ref="AG32">(index(Curriculum,match($K$3,TopicNames,0)+30,1))</f>
        <v>Capstone</v>
      </c>
      <c r="AH32" s="106" t="str">
        <f t="array" ref="AH32">(index(Curriculum,match($K$3,TopicNames,0)+30,2))</f>
        <v>Capstone Project Idea</v>
      </c>
      <c r="AI32" s="107">
        <f t="array" ref="AI32">(index(Curriculum,match($K$3,TopicNames,0)+30,3))</f>
        <v>0.25</v>
      </c>
      <c r="AJ32" s="105">
        <f t="array" ref="AJ32">(index(Curriculum,match($K$3,TopicNames,0)+30,4))</f>
        <v>1</v>
      </c>
      <c r="AK32" s="137"/>
    </row>
    <row r="33">
      <c r="A33" s="61"/>
      <c r="B33" s="66" t="s">
        <v>57</v>
      </c>
      <c r="C33" s="80" t="s">
        <v>58</v>
      </c>
      <c r="D33" s="66" t="s">
        <v>59</v>
      </c>
      <c r="E33" s="66" t="s">
        <v>60</v>
      </c>
      <c r="F33" s="66" t="s">
        <v>61</v>
      </c>
      <c r="G33" s="66" t="s">
        <v>62</v>
      </c>
      <c r="H33" s="66" t="s">
        <v>63</v>
      </c>
      <c r="I33" s="61"/>
      <c r="J33" s="66" t="s">
        <v>57</v>
      </c>
      <c r="K33" s="66" t="s">
        <v>58</v>
      </c>
      <c r="L33" s="66" t="s">
        <v>59</v>
      </c>
      <c r="M33" s="66" t="s">
        <v>60</v>
      </c>
      <c r="N33" s="66" t="s">
        <v>61</v>
      </c>
      <c r="O33" s="66" t="s">
        <v>62</v>
      </c>
      <c r="P33" s="66" t="s">
        <v>63</v>
      </c>
      <c r="Q33" s="61"/>
      <c r="R33" s="66" t="s">
        <v>57</v>
      </c>
      <c r="S33" s="66" t="s">
        <v>58</v>
      </c>
      <c r="T33" s="66" t="s">
        <v>59</v>
      </c>
      <c r="U33" s="66" t="s">
        <v>60</v>
      </c>
      <c r="V33" s="66" t="s">
        <v>61</v>
      </c>
      <c r="W33" s="66" t="s">
        <v>62</v>
      </c>
      <c r="X33" s="66" t="s">
        <v>63</v>
      </c>
      <c r="Y33" s="61"/>
      <c r="Z33" s="89"/>
      <c r="AA33" s="89"/>
      <c r="AB33" s="89"/>
      <c r="AC33" s="89"/>
      <c r="AD33" s="87"/>
      <c r="AE33" s="87"/>
      <c r="AF33" s="87"/>
      <c r="AG33" s="105" t="str">
        <f t="array" ref="AG33">(index(Curriculum,match($K$3,TopicNames,0)+31,1))</f>
        <v>Capstone</v>
      </c>
      <c r="AH33" s="106" t="str">
        <f t="array" ref="AH33">(index(Curriculum,match($K$3,TopicNames,0)+31,2))</f>
        <v>Capstone Data Collection &amp; Project Proposal</v>
      </c>
      <c r="AI33" s="107">
        <f t="array" ref="AI33">(index(Curriculum,match($K$3,TopicNames,0)+31,3))</f>
        <v>0.25</v>
      </c>
      <c r="AJ33" s="105">
        <f t="array" ref="AJ33">(index(Curriculum,match($K$3,TopicNames,0)+31,4))</f>
        <v>1</v>
      </c>
      <c r="AK33" s="137"/>
    </row>
    <row r="34">
      <c r="A34" s="61"/>
      <c r="B34" s="70">
        <f>IF(B33=$AC21,$AB21,)</f>
        <v>44682</v>
      </c>
      <c r="C34" s="70">
        <f t="shared" ref="C34:H34" si="46">IF(B34&gt;0,B34+1, IF(C33=$AC$21,$AB$21,))</f>
        <v>44683</v>
      </c>
      <c r="D34" s="70">
        <f t="shared" si="46"/>
        <v>44684</v>
      </c>
      <c r="E34" s="70">
        <f t="shared" si="46"/>
        <v>44685</v>
      </c>
      <c r="F34" s="70">
        <f t="shared" si="46"/>
        <v>44686</v>
      </c>
      <c r="G34" s="70">
        <f t="shared" si="46"/>
        <v>44687</v>
      </c>
      <c r="H34" s="70">
        <f t="shared" si="46"/>
        <v>44688</v>
      </c>
      <c r="I34" s="61"/>
      <c r="J34" s="70" t="str">
        <f>IF(J33=$AC22,$AB22,)</f>
        <v/>
      </c>
      <c r="K34" s="70" t="str">
        <f>IF(J34&gt;0,J34+1, IF(K33=$AC$22,$AB$22,))</f>
        <v/>
      </c>
      <c r="L34" s="70" t="str">
        <f t="shared" ref="L34:P34" si="47">if(K34&gt;0,K34+1, IF(L33=$AD$28,$AC$28,))</f>
        <v/>
      </c>
      <c r="M34" s="70" t="str">
        <f t="shared" si="47"/>
        <v/>
      </c>
      <c r="N34" s="70" t="str">
        <f t="shared" si="47"/>
        <v/>
      </c>
      <c r="O34" s="70" t="str">
        <f t="shared" si="47"/>
        <v/>
      </c>
      <c r="P34" s="70" t="str">
        <f t="shared" si="47"/>
        <v/>
      </c>
      <c r="Q34" s="61"/>
      <c r="R34" s="70" t="str">
        <f>IF(R33=$AC23,$AB23,)</f>
        <v/>
      </c>
      <c r="S34" s="70" t="str">
        <f t="shared" ref="S34:X34" si="48">IF(R34&gt;0,R34+1, IF(S33=$AC$23,$AB$23,))</f>
        <v/>
      </c>
      <c r="T34" s="70" t="str">
        <f t="shared" si="48"/>
        <v/>
      </c>
      <c r="U34" s="70" t="str">
        <f t="shared" si="48"/>
        <v/>
      </c>
      <c r="V34" s="70" t="str">
        <f t="shared" si="48"/>
        <v/>
      </c>
      <c r="W34" s="70">
        <f t="shared" si="48"/>
        <v>44743</v>
      </c>
      <c r="X34" s="70">
        <f t="shared" si="48"/>
        <v>44744</v>
      </c>
      <c r="Y34" s="61"/>
      <c r="Z34" s="89"/>
      <c r="AA34" s="89"/>
      <c r="AB34" s="89"/>
      <c r="AC34" s="89"/>
      <c r="AD34" s="87"/>
      <c r="AE34" s="87"/>
      <c r="AF34" s="87"/>
      <c r="AG34" s="105" t="str">
        <f t="array" ref="AG34">(index(Curriculum,match($K$3,TopicNames,0)+32,1))</f>
        <v>Capstone</v>
      </c>
      <c r="AH34" s="106" t="str">
        <f t="array" ref="AH34">(index(Curriculum,match($K$3,TopicNames,0)+32,2))</f>
        <v>Capstone Minimum Viable Project</v>
      </c>
      <c r="AI34" s="107">
        <f t="array" ref="AI34">(index(Curriculum,match($K$3,TopicNames,0)+32,3))</f>
        <v>0.25</v>
      </c>
      <c r="AJ34" s="105">
        <f t="array" ref="AJ34">(index(Curriculum,match($K$3,TopicNames,0)+32,4))</f>
        <v>1</v>
      </c>
      <c r="AK34" s="137"/>
    </row>
    <row r="35">
      <c r="A35" s="61"/>
      <c r="B35" s="70">
        <f t="shared" ref="B35:B39" si="52">if(OR(H34&gt;=$AD$21, H34=""),,H34+1)</f>
        <v>44689</v>
      </c>
      <c r="C35" s="70">
        <f t="shared" ref="C35:H35" si="49">if(OR(B35&gt;=$AD$21, B35=""),,B35+1)</f>
        <v>44690</v>
      </c>
      <c r="D35" s="70">
        <f t="shared" si="49"/>
        <v>44691</v>
      </c>
      <c r="E35" s="70">
        <f t="shared" si="49"/>
        <v>44692</v>
      </c>
      <c r="F35" s="70">
        <f t="shared" si="49"/>
        <v>44693</v>
      </c>
      <c r="G35" s="70">
        <f t="shared" si="49"/>
        <v>44694</v>
      </c>
      <c r="H35" s="70">
        <f t="shared" si="49"/>
        <v>44695</v>
      </c>
      <c r="I35" s="70"/>
      <c r="J35" s="70" t="str">
        <f t="shared" ref="J35:J39" si="54">if(OR(P34&gt;=$AD$22, P34=""),,P34+1)</f>
        <v/>
      </c>
      <c r="K35" s="70" t="str">
        <f t="shared" ref="K35:P35" si="50">if(OR(J35&gt;=$AD$22, J35=""),,J35+1)</f>
        <v/>
      </c>
      <c r="L35" s="70" t="str">
        <f t="shared" si="50"/>
        <v/>
      </c>
      <c r="M35" s="70" t="str">
        <f t="shared" si="50"/>
        <v/>
      </c>
      <c r="N35" s="70" t="str">
        <f t="shared" si="50"/>
        <v/>
      </c>
      <c r="O35" s="70" t="str">
        <f t="shared" si="50"/>
        <v/>
      </c>
      <c r="P35" s="70" t="str">
        <f t="shared" si="50"/>
        <v/>
      </c>
      <c r="Q35" s="61"/>
      <c r="R35" s="70">
        <f t="shared" ref="R35:R39" si="56">if(OR(X34&gt;=$AD$23, X34=""),,X34+1)</f>
        <v>44745</v>
      </c>
      <c r="S35" s="70">
        <f t="shared" ref="S35:X35" si="51">if(OR(R35&gt;=$AD$23, R35=""),,R35+1)</f>
        <v>44746</v>
      </c>
      <c r="T35" s="70">
        <f t="shared" si="51"/>
        <v>44747</v>
      </c>
      <c r="U35" s="70">
        <f t="shared" si="51"/>
        <v>44748</v>
      </c>
      <c r="V35" s="70">
        <f t="shared" si="51"/>
        <v>44749</v>
      </c>
      <c r="W35" s="70">
        <f t="shared" si="51"/>
        <v>44750</v>
      </c>
      <c r="X35" s="70">
        <f t="shared" si="51"/>
        <v>44751</v>
      </c>
      <c r="Y35" s="61"/>
      <c r="Z35" s="89"/>
      <c r="AA35" s="89"/>
      <c r="AB35" s="89"/>
      <c r="AC35" s="89"/>
      <c r="AD35" s="87"/>
      <c r="AE35" s="87"/>
      <c r="AF35" s="87"/>
      <c r="AG35" s="105" t="str">
        <f t="array" ref="AG35">(index(Curriculum,match($K$3,TopicNames,0)+33,1))</f>
        <v>Capstone</v>
      </c>
      <c r="AH35" s="106" t="str">
        <f t="array" ref="AH35">(index(Curriculum,match($K$3,TopicNames,0)+33,2))</f>
        <v>Capstone Project</v>
      </c>
      <c r="AI35" s="107">
        <f t="array" ref="AI35">(index(Curriculum,match($K$3,TopicNames,0)+33,3))</f>
        <v>0.25</v>
      </c>
      <c r="AJ35" s="105">
        <f t="array" ref="AJ35">(index(Curriculum,match($K$3,TopicNames,0)+33,4))</f>
        <v>1</v>
      </c>
      <c r="AK35" s="137"/>
    </row>
    <row r="36">
      <c r="A36" s="61"/>
      <c r="B36" s="70">
        <f t="shared" si="52"/>
        <v>44696</v>
      </c>
      <c r="C36" s="70">
        <f t="shared" ref="C36:H36" si="53">if(OR(B36&gt;=$AD$21, B36=""),,B36+1)</f>
        <v>44697</v>
      </c>
      <c r="D36" s="70">
        <f t="shared" si="53"/>
        <v>44698</v>
      </c>
      <c r="E36" s="70">
        <f t="shared" si="53"/>
        <v>44699</v>
      </c>
      <c r="F36" s="70">
        <f t="shared" si="53"/>
        <v>44700</v>
      </c>
      <c r="G36" s="70">
        <f t="shared" si="53"/>
        <v>44701</v>
      </c>
      <c r="H36" s="70">
        <f t="shared" si="53"/>
        <v>44702</v>
      </c>
      <c r="I36" s="61"/>
      <c r="J36" s="70" t="str">
        <f t="shared" si="54"/>
        <v/>
      </c>
      <c r="K36" s="70" t="str">
        <f t="shared" ref="K36:P36" si="55">if(OR(J36&gt;=$AD$22, J36=""),,J36+1)</f>
        <v/>
      </c>
      <c r="L36" s="70" t="str">
        <f t="shared" si="55"/>
        <v/>
      </c>
      <c r="M36" s="70" t="str">
        <f t="shared" si="55"/>
        <v/>
      </c>
      <c r="N36" s="70" t="str">
        <f t="shared" si="55"/>
        <v/>
      </c>
      <c r="O36" s="70" t="str">
        <f t="shared" si="55"/>
        <v/>
      </c>
      <c r="P36" s="70" t="str">
        <f t="shared" si="55"/>
        <v/>
      </c>
      <c r="Q36" s="61"/>
      <c r="R36" s="70">
        <f t="shared" si="56"/>
        <v>44752</v>
      </c>
      <c r="S36" s="70">
        <f t="shared" ref="S36:X36" si="57">if(OR(R36&gt;=$AD$23, R36=""),,R36+1)</f>
        <v>44753</v>
      </c>
      <c r="T36" s="70">
        <f t="shared" si="57"/>
        <v>44754</v>
      </c>
      <c r="U36" s="70">
        <f t="shared" si="57"/>
        <v>44755</v>
      </c>
      <c r="V36" s="70">
        <f t="shared" si="57"/>
        <v>44756</v>
      </c>
      <c r="W36" s="70">
        <f t="shared" si="57"/>
        <v>44757</v>
      </c>
      <c r="X36" s="70">
        <f t="shared" si="57"/>
        <v>44758</v>
      </c>
      <c r="Y36" s="61"/>
      <c r="Z36" s="89"/>
      <c r="AA36" s="89"/>
      <c r="AB36" s="89"/>
      <c r="AC36" s="89"/>
      <c r="AD36" s="87"/>
      <c r="AE36" s="87"/>
      <c r="AF36" s="87"/>
      <c r="AG36" s="105" t="str">
        <f t="array" ref="AG36">(index(Curriculum,match($K$3,TopicNames,0)+34,1))</f>
        <v/>
      </c>
      <c r="AH36" s="106" t="str">
        <f t="array" ref="AH36">(index(Curriculum,match($K$3,TopicNames,0)+34,2))</f>
        <v/>
      </c>
      <c r="AI36" s="107" t="str">
        <f t="array" ref="AI36">(index(Curriculum,match($K$3,TopicNames,0)+34,3))</f>
        <v/>
      </c>
      <c r="AJ36" s="105" t="str">
        <f t="array" ref="AJ36">(index(Curriculum,match($K$3,TopicNames,0)+34,4))</f>
        <v/>
      </c>
      <c r="AK36" s="137"/>
    </row>
    <row r="37">
      <c r="A37" s="61"/>
      <c r="B37" s="70">
        <f t="shared" si="52"/>
        <v>44703</v>
      </c>
      <c r="C37" s="70">
        <f t="shared" ref="C37:H37" si="58">if(OR(B37&gt;=$AD$21, B37=""),,B37+1)</f>
        <v>44704</v>
      </c>
      <c r="D37" s="70">
        <f t="shared" si="58"/>
        <v>44705</v>
      </c>
      <c r="E37" s="70">
        <f t="shared" si="58"/>
        <v>44706</v>
      </c>
      <c r="F37" s="70">
        <f t="shared" si="58"/>
        <v>44707</v>
      </c>
      <c r="G37" s="70">
        <f t="shared" si="58"/>
        <v>44708</v>
      </c>
      <c r="H37" s="70">
        <f t="shared" si="58"/>
        <v>44709</v>
      </c>
      <c r="I37" s="61"/>
      <c r="J37" s="70" t="str">
        <f t="shared" si="54"/>
        <v/>
      </c>
      <c r="K37" s="70" t="str">
        <f t="shared" ref="K37:P37" si="59">if(OR(J37&gt;=$AD$22, J37=""),,J37+1)</f>
        <v/>
      </c>
      <c r="L37" s="70" t="str">
        <f t="shared" si="59"/>
        <v/>
      </c>
      <c r="M37" s="70" t="str">
        <f t="shared" si="59"/>
        <v/>
      </c>
      <c r="N37" s="70" t="str">
        <f t="shared" si="59"/>
        <v/>
      </c>
      <c r="O37" s="70" t="str">
        <f t="shared" si="59"/>
        <v/>
      </c>
      <c r="P37" s="70" t="str">
        <f t="shared" si="59"/>
        <v/>
      </c>
      <c r="Q37" s="61"/>
      <c r="R37" s="70">
        <f t="shared" si="56"/>
        <v>44759</v>
      </c>
      <c r="S37" s="70">
        <f t="shared" ref="S37:X37" si="60">if(OR(R37&gt;=$AD$23, R37=""),,R37+1)</f>
        <v>44760</v>
      </c>
      <c r="T37" s="70">
        <f t="shared" si="60"/>
        <v>44761</v>
      </c>
      <c r="U37" s="70">
        <f t="shared" si="60"/>
        <v>44762</v>
      </c>
      <c r="V37" s="70">
        <f t="shared" si="60"/>
        <v>44763</v>
      </c>
      <c r="W37" s="70">
        <f t="shared" si="60"/>
        <v>44764</v>
      </c>
      <c r="X37" s="70">
        <f t="shared" si="60"/>
        <v>44765</v>
      </c>
      <c r="Y37" s="61"/>
      <c r="Z37" s="89"/>
      <c r="AA37" s="89"/>
      <c r="AB37" s="89"/>
      <c r="AC37" s="89"/>
      <c r="AD37" s="87"/>
      <c r="AE37" s="87"/>
      <c r="AF37" s="87"/>
      <c r="AG37" s="105" t="str">
        <f t="array" ref="AG37">(index(Curriculum,match($K$3,TopicNames,0)+35,1))</f>
        <v/>
      </c>
      <c r="AH37" s="106" t="str">
        <f t="array" ref="AH37">(index(Curriculum,match($K$3,TopicNames,0)+35,2))</f>
        <v/>
      </c>
      <c r="AI37" s="107" t="str">
        <f t="array" ref="AI37">(index(Curriculum,match($K$3,TopicNames,0)+35,3))</f>
        <v/>
      </c>
      <c r="AJ37" s="105" t="str">
        <f t="array" ref="AJ37">(index(Curriculum,match($K$3,TopicNames,0)+35,4))</f>
        <v/>
      </c>
      <c r="AK37" s="137"/>
    </row>
    <row r="38">
      <c r="A38" s="61"/>
      <c r="B38" s="70">
        <f t="shared" si="52"/>
        <v>44710</v>
      </c>
      <c r="C38" s="70">
        <f t="shared" ref="C38:H38" si="61">if(OR(B38&gt;=$AD$21, B38=""),,B38+1)</f>
        <v>44711</v>
      </c>
      <c r="D38" s="70">
        <f t="shared" si="61"/>
        <v>44712</v>
      </c>
      <c r="E38" s="70" t="str">
        <f t="shared" si="61"/>
        <v/>
      </c>
      <c r="F38" s="70" t="str">
        <f t="shared" si="61"/>
        <v/>
      </c>
      <c r="G38" s="70" t="str">
        <f t="shared" si="61"/>
        <v/>
      </c>
      <c r="H38" s="70" t="str">
        <f t="shared" si="61"/>
        <v/>
      </c>
      <c r="I38" s="61"/>
      <c r="J38" s="70" t="str">
        <f t="shared" si="54"/>
        <v/>
      </c>
      <c r="K38" s="70" t="str">
        <f t="shared" ref="K38:P38" si="62">if(OR(J38&gt;=$AD$22, J38=""),,J38+1)</f>
        <v/>
      </c>
      <c r="L38" s="70" t="str">
        <f t="shared" si="62"/>
        <v/>
      </c>
      <c r="M38" s="70" t="str">
        <f t="shared" si="62"/>
        <v/>
      </c>
      <c r="N38" s="70" t="str">
        <f t="shared" si="62"/>
        <v/>
      </c>
      <c r="O38" s="70" t="str">
        <f t="shared" si="62"/>
        <v/>
      </c>
      <c r="P38" s="70" t="str">
        <f t="shared" si="62"/>
        <v/>
      </c>
      <c r="Q38" s="61"/>
      <c r="R38" s="70">
        <f t="shared" si="56"/>
        <v>44766</v>
      </c>
      <c r="S38" s="70">
        <f t="shared" ref="S38:X38" si="63">if(OR(R38&gt;=$AD$23, R38=""),,R38+1)</f>
        <v>44767</v>
      </c>
      <c r="T38" s="70">
        <f t="shared" si="63"/>
        <v>44768</v>
      </c>
      <c r="U38" s="70">
        <f t="shared" si="63"/>
        <v>44769</v>
      </c>
      <c r="V38" s="70">
        <f t="shared" si="63"/>
        <v>44770</v>
      </c>
      <c r="W38" s="70">
        <f t="shared" si="63"/>
        <v>44771</v>
      </c>
      <c r="X38" s="70">
        <f t="shared" si="63"/>
        <v>44772</v>
      </c>
      <c r="Y38" s="61"/>
      <c r="Z38" s="89"/>
      <c r="AA38" s="89"/>
      <c r="AB38" s="89"/>
      <c r="AC38" s="89"/>
      <c r="AD38" s="87"/>
      <c r="AE38" s="87"/>
      <c r="AF38" s="87"/>
      <c r="AG38" s="105" t="str">
        <f t="array" ref="AG38">(index(Curriculum,match($K$3,TopicNames,0)+36,1))</f>
        <v/>
      </c>
      <c r="AH38" s="106" t="str">
        <f t="array" ref="AH38">(index(Curriculum,match($K$3,TopicNames,0)+36,2))</f>
        <v/>
      </c>
      <c r="AI38" s="107" t="str">
        <f t="array" ref="AI38">(index(Curriculum,match($K$3,TopicNames,0)+36,3))</f>
        <v/>
      </c>
      <c r="AJ38" s="105" t="str">
        <f t="array" ref="AJ38">(index(Curriculum,match($K$3,TopicNames,0)+36,4))</f>
        <v/>
      </c>
      <c r="AK38" s="137"/>
    </row>
    <row r="39">
      <c r="A39" s="61"/>
      <c r="B39" s="70" t="str">
        <f t="shared" si="52"/>
        <v/>
      </c>
      <c r="C39" s="70" t="str">
        <f t="shared" ref="C39:H39" si="64">if(OR(B39&gt;=$AD$21, B39=""),,B39+1)</f>
        <v/>
      </c>
      <c r="D39" s="70" t="str">
        <f t="shared" si="64"/>
        <v/>
      </c>
      <c r="E39" s="70" t="str">
        <f t="shared" si="64"/>
        <v/>
      </c>
      <c r="F39" s="70" t="str">
        <f t="shared" si="64"/>
        <v/>
      </c>
      <c r="G39" s="70" t="str">
        <f t="shared" si="64"/>
        <v/>
      </c>
      <c r="H39" s="70" t="str">
        <f t="shared" si="64"/>
        <v/>
      </c>
      <c r="I39" s="61"/>
      <c r="J39" s="70" t="str">
        <f t="shared" si="54"/>
        <v/>
      </c>
      <c r="K39" s="70" t="str">
        <f t="shared" ref="K39:P39" si="65">if(OR(J39&gt;=$AD$22, J39=""),,J39+1)</f>
        <v/>
      </c>
      <c r="L39" s="70" t="str">
        <f t="shared" si="65"/>
        <v/>
      </c>
      <c r="M39" s="70" t="str">
        <f t="shared" si="65"/>
        <v/>
      </c>
      <c r="N39" s="70" t="str">
        <f t="shared" si="65"/>
        <v/>
      </c>
      <c r="O39" s="70" t="str">
        <f t="shared" si="65"/>
        <v/>
      </c>
      <c r="P39" s="70" t="str">
        <f t="shared" si="65"/>
        <v/>
      </c>
      <c r="Q39" s="61"/>
      <c r="R39" s="70">
        <f t="shared" si="56"/>
        <v>44773</v>
      </c>
      <c r="S39" s="70" t="str">
        <f t="shared" ref="S39:X39" si="66">if(OR(R39&gt;=$AD$23, R39=""),,R39+1)</f>
        <v/>
      </c>
      <c r="T39" s="70" t="str">
        <f t="shared" si="66"/>
        <v/>
      </c>
      <c r="U39" s="70" t="str">
        <f t="shared" si="66"/>
        <v/>
      </c>
      <c r="V39" s="70" t="str">
        <f t="shared" si="66"/>
        <v/>
      </c>
      <c r="W39" s="70" t="str">
        <f t="shared" si="66"/>
        <v/>
      </c>
      <c r="X39" s="70" t="str">
        <f t="shared" si="66"/>
        <v/>
      </c>
      <c r="Y39" s="61"/>
      <c r="Z39" s="89"/>
      <c r="AA39" s="89"/>
      <c r="AB39" s="89"/>
      <c r="AC39" s="89"/>
      <c r="AD39" s="87"/>
      <c r="AE39" s="87"/>
      <c r="AF39" s="87"/>
      <c r="AG39" s="105" t="str">
        <f t="array" ref="AG39">(index(Curriculum,match($K$3,TopicNames,0)+37,1))</f>
        <v/>
      </c>
      <c r="AH39" s="106" t="str">
        <f t="array" ref="AH39">(index(Curriculum,match($K$3,TopicNames,0)+37,2))</f>
        <v/>
      </c>
      <c r="AI39" s="107" t="str">
        <f t="array" ref="AI39">(index(Curriculum,match($K$3,TopicNames,0)+37,3))</f>
        <v/>
      </c>
      <c r="AJ39" s="105" t="str">
        <f t="array" ref="AJ39">(index(Curriculum,match($K$3,TopicNames,0)+37,4))</f>
        <v/>
      </c>
      <c r="AK39" s="137"/>
    </row>
    <row r="40">
      <c r="A40" s="61"/>
      <c r="B40" s="61"/>
      <c r="C40" s="77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89"/>
      <c r="AA40" s="89"/>
      <c r="AB40" s="89"/>
      <c r="AC40" s="89"/>
      <c r="AD40" s="87"/>
      <c r="AE40" s="87"/>
      <c r="AF40" s="87"/>
      <c r="AG40" s="105" t="str">
        <f t="array" ref="AG40">(index(Curriculum,match($K$3,TopicNames,0)+38,1))</f>
        <v/>
      </c>
      <c r="AH40" s="106" t="str">
        <f t="array" ref="AH40">(index(Curriculum,match($K$3,TopicNames,0)+38,2))</f>
        <v/>
      </c>
      <c r="AI40" s="107" t="str">
        <f t="array" ref="AI40">(index(Curriculum,match($K$3,TopicNames,0)+38,3))</f>
        <v/>
      </c>
      <c r="AJ40" s="105" t="str">
        <f t="array" ref="AJ40">(index(Curriculum,match($K$3,TopicNames,0)+38,4))</f>
        <v/>
      </c>
      <c r="AK40" s="137"/>
    </row>
    <row r="41">
      <c r="A41" s="61"/>
      <c r="B41" s="62" t="str">
        <f>AA24&amp;" "&amp;AE24</f>
        <v>August 2022</v>
      </c>
      <c r="I41" s="61"/>
      <c r="J41" s="62" t="str">
        <f>AA25&amp;" "&amp;AE25</f>
        <v>September 2022</v>
      </c>
      <c r="Q41" s="61"/>
      <c r="R41" s="62" t="str">
        <f>AA26&amp;" "&amp;AE26</f>
        <v>October 2022</v>
      </c>
      <c r="Y41" s="61"/>
      <c r="Z41" s="89"/>
      <c r="AA41" s="89"/>
      <c r="AB41" s="89"/>
      <c r="AC41" s="89"/>
      <c r="AD41" s="87"/>
      <c r="AE41" s="87"/>
      <c r="AF41" s="87"/>
      <c r="AG41" s="105" t="str">
        <f t="array" ref="AG41">(index(Curriculum,match($K$3,TopicNames,0)+39,1))</f>
        <v/>
      </c>
      <c r="AH41" s="106" t="str">
        <f t="array" ref="AH41">(index(Curriculum,match($K$3,TopicNames,0)+39,2))</f>
        <v/>
      </c>
      <c r="AI41" s="107" t="str">
        <f t="array" ref="AI41">(index(Curriculum,match($K$3,TopicNames,0)+39,3))</f>
        <v/>
      </c>
      <c r="AJ41" s="105" t="str">
        <f t="array" ref="AJ41">(index(Curriculum,match($K$3,TopicNames,0)+39,4))</f>
        <v/>
      </c>
      <c r="AK41" s="137"/>
    </row>
    <row r="42">
      <c r="A42" s="61"/>
      <c r="B42" s="66" t="s">
        <v>57</v>
      </c>
      <c r="C42" s="80" t="s">
        <v>58</v>
      </c>
      <c r="D42" s="66" t="s">
        <v>59</v>
      </c>
      <c r="E42" s="66" t="s">
        <v>60</v>
      </c>
      <c r="F42" s="66" t="s">
        <v>61</v>
      </c>
      <c r="G42" s="66" t="s">
        <v>62</v>
      </c>
      <c r="H42" s="66" t="s">
        <v>63</v>
      </c>
      <c r="I42" s="61"/>
      <c r="J42" s="66" t="s">
        <v>57</v>
      </c>
      <c r="K42" s="66" t="s">
        <v>58</v>
      </c>
      <c r="L42" s="66" t="s">
        <v>59</v>
      </c>
      <c r="M42" s="66" t="s">
        <v>60</v>
      </c>
      <c r="N42" s="66" t="s">
        <v>61</v>
      </c>
      <c r="O42" s="66" t="s">
        <v>62</v>
      </c>
      <c r="P42" s="66" t="s">
        <v>63</v>
      </c>
      <c r="Q42" s="61"/>
      <c r="R42" s="66" t="s">
        <v>57</v>
      </c>
      <c r="S42" s="66" t="s">
        <v>58</v>
      </c>
      <c r="T42" s="66" t="s">
        <v>59</v>
      </c>
      <c r="U42" s="66" t="s">
        <v>60</v>
      </c>
      <c r="V42" s="66" t="s">
        <v>61</v>
      </c>
      <c r="W42" s="66" t="s">
        <v>62</v>
      </c>
      <c r="X42" s="66" t="s">
        <v>63</v>
      </c>
      <c r="Y42" s="61"/>
      <c r="Z42" s="89"/>
      <c r="AA42" s="89"/>
      <c r="AB42" s="89"/>
      <c r="AC42" s="89"/>
      <c r="AD42" s="87"/>
      <c r="AE42" s="87"/>
      <c r="AF42" s="87"/>
      <c r="AG42" s="105" t="str">
        <f t="array" ref="AG42">(index(Curriculum,match($K$3,TopicNames,0)+40,1))</f>
        <v/>
      </c>
      <c r="AH42" s="106" t="str">
        <f t="array" ref="AH42">(index(Curriculum,match($K$3,TopicNames,0)+40,2))</f>
        <v/>
      </c>
      <c r="AI42" s="107" t="str">
        <f t="array" ref="AI42">(index(Curriculum,match($K$3,TopicNames,0)+40,3))</f>
        <v/>
      </c>
      <c r="AJ42" s="105" t="str">
        <f t="array" ref="AJ42">(index(Curriculum,match($K$3,TopicNames,0)+40,4))</f>
        <v/>
      </c>
      <c r="AK42" s="137"/>
    </row>
    <row r="43">
      <c r="A43" s="61"/>
      <c r="B43" s="70" t="str">
        <f>IF(B42=$AC24,$AB24,)</f>
        <v/>
      </c>
      <c r="C43" s="70">
        <f t="shared" ref="C43:H43" si="67">IF(B43&gt;0,B43+1, IF(C42=$AC$24,$AB$24,))</f>
        <v>44774</v>
      </c>
      <c r="D43" s="70">
        <f t="shared" si="67"/>
        <v>44775</v>
      </c>
      <c r="E43" s="70">
        <f t="shared" si="67"/>
        <v>44776</v>
      </c>
      <c r="F43" s="70">
        <f t="shared" si="67"/>
        <v>44777</v>
      </c>
      <c r="G43" s="70">
        <f t="shared" si="67"/>
        <v>44778</v>
      </c>
      <c r="H43" s="70">
        <f t="shared" si="67"/>
        <v>44779</v>
      </c>
      <c r="I43" s="61"/>
      <c r="J43" s="70" t="str">
        <f>IF(J42=$AC25,$AB25,)</f>
        <v/>
      </c>
      <c r="K43" s="70" t="str">
        <f t="shared" ref="K43:P43" si="68">IF(J43&gt;0,J43+1, IF(K42=$AC$25,$AB$25,))</f>
        <v/>
      </c>
      <c r="L43" s="70" t="str">
        <f t="shared" si="68"/>
        <v/>
      </c>
      <c r="M43" s="70" t="str">
        <f t="shared" si="68"/>
        <v/>
      </c>
      <c r="N43" s="70">
        <f t="shared" si="68"/>
        <v>44805</v>
      </c>
      <c r="O43" s="70">
        <f t="shared" si="68"/>
        <v>44806</v>
      </c>
      <c r="P43" s="70">
        <f t="shared" si="68"/>
        <v>44807</v>
      </c>
      <c r="Q43" s="61"/>
      <c r="R43" s="70" t="str">
        <f>IF(R42=$AC26,$AB26,)</f>
        <v/>
      </c>
      <c r="S43" s="70" t="str">
        <f t="shared" ref="S43:X43" si="69">IF(R43&gt;0,R43+1, IF(S42=$AC$26,$AB$26,))</f>
        <v/>
      </c>
      <c r="T43" s="70" t="str">
        <f t="shared" si="69"/>
        <v/>
      </c>
      <c r="U43" s="70" t="str">
        <f t="shared" si="69"/>
        <v/>
      </c>
      <c r="V43" s="70" t="str">
        <f t="shared" si="69"/>
        <v/>
      </c>
      <c r="W43" s="70" t="str">
        <f t="shared" si="69"/>
        <v/>
      </c>
      <c r="X43" s="70">
        <f t="shared" si="69"/>
        <v>44835</v>
      </c>
      <c r="Y43" s="61"/>
      <c r="Z43" s="89"/>
      <c r="AA43" s="89"/>
      <c r="AB43" s="89"/>
      <c r="AC43" s="89"/>
      <c r="AD43" s="87"/>
      <c r="AE43" s="87"/>
      <c r="AF43" s="87"/>
      <c r="AG43" s="105" t="str">
        <f t="array" ref="AG43">(index(Curriculum,match($K$3,TopicNames,0)+41,1))</f>
        <v/>
      </c>
      <c r="AH43" s="106" t="str">
        <f t="array" ref="AH43">(index(Curriculum,match($K$3,TopicNames,0)+41,2))</f>
        <v/>
      </c>
      <c r="AI43" s="107" t="str">
        <f t="array" ref="AI43">(index(Curriculum,match($K$3,TopicNames,0)+41,3))</f>
        <v/>
      </c>
      <c r="AJ43" s="105" t="str">
        <f t="array" ref="AJ43">(index(Curriculum,match($K$3,TopicNames,0)+41,4))</f>
        <v/>
      </c>
      <c r="AK43" s="137"/>
    </row>
    <row r="44">
      <c r="A44" s="61"/>
      <c r="B44" s="70">
        <f t="shared" ref="B44:B48" si="73">if(OR(H43&gt;=$AD$24, H43=""),,H43+1)</f>
        <v>44780</v>
      </c>
      <c r="C44" s="70">
        <f t="shared" ref="C44:H44" si="70">if(OR(B44&gt;=$AD$24, B44=""),,B44+1)</f>
        <v>44781</v>
      </c>
      <c r="D44" s="70">
        <f t="shared" si="70"/>
        <v>44782</v>
      </c>
      <c r="E44" s="70">
        <f t="shared" si="70"/>
        <v>44783</v>
      </c>
      <c r="F44" s="70">
        <f t="shared" si="70"/>
        <v>44784</v>
      </c>
      <c r="G44" s="70">
        <f t="shared" si="70"/>
        <v>44785</v>
      </c>
      <c r="H44" s="70">
        <f t="shared" si="70"/>
        <v>44786</v>
      </c>
      <c r="I44" s="61"/>
      <c r="J44" s="70">
        <f t="shared" ref="J44:J48" si="75">if(OR(P43&gt;=$AD$25, P43=""),,P43+1)</f>
        <v>44808</v>
      </c>
      <c r="K44" s="70">
        <f t="shared" ref="K44:P44" si="71">if(OR(J44&gt;=$AD$25, J44=""),,J44+1)</f>
        <v>44809</v>
      </c>
      <c r="L44" s="70">
        <f t="shared" si="71"/>
        <v>44810</v>
      </c>
      <c r="M44" s="70">
        <f t="shared" si="71"/>
        <v>44811</v>
      </c>
      <c r="N44" s="70">
        <f t="shared" si="71"/>
        <v>44812</v>
      </c>
      <c r="O44" s="70">
        <f t="shared" si="71"/>
        <v>44813</v>
      </c>
      <c r="P44" s="70">
        <f t="shared" si="71"/>
        <v>44814</v>
      </c>
      <c r="Q44" s="61"/>
      <c r="R44" s="70">
        <f t="shared" ref="R44:R48" si="77">if(OR(X43&gt;=$AD$26, X43=""),,X43+1)</f>
        <v>44836</v>
      </c>
      <c r="S44" s="70">
        <f t="shared" ref="S44:X44" si="72">if(OR(R44&gt;=$AD$26, R44=""),,R44+1)</f>
        <v>44837</v>
      </c>
      <c r="T44" s="70">
        <f t="shared" si="72"/>
        <v>44838</v>
      </c>
      <c r="U44" s="70">
        <f t="shared" si="72"/>
        <v>44839</v>
      </c>
      <c r="V44" s="70">
        <f t="shared" si="72"/>
        <v>44840</v>
      </c>
      <c r="W44" s="70">
        <f t="shared" si="72"/>
        <v>44841</v>
      </c>
      <c r="X44" s="70">
        <f t="shared" si="72"/>
        <v>44842</v>
      </c>
      <c r="Y44" s="61"/>
      <c r="Z44" s="89"/>
      <c r="AA44" s="89"/>
      <c r="AB44" s="89"/>
      <c r="AC44" s="89"/>
      <c r="AD44" s="87"/>
      <c r="AE44" s="87"/>
      <c r="AF44" s="87"/>
      <c r="AG44" s="105" t="str">
        <f t="array" ref="AG44">(index(Curriculum,match($K$3,TopicNames,0)+42,1))</f>
        <v/>
      </c>
      <c r="AH44" s="106" t="str">
        <f t="array" ref="AH44">(index(Curriculum,match($K$3,TopicNames,0)+42,2))</f>
        <v/>
      </c>
      <c r="AI44" s="107" t="str">
        <f t="array" ref="AI44">(index(Curriculum,match($K$3,TopicNames,0)+42,3))</f>
        <v/>
      </c>
      <c r="AJ44" s="105" t="str">
        <f t="array" ref="AJ44">(index(Curriculum,match($K$3,TopicNames,0)+42,4))</f>
        <v/>
      </c>
      <c r="AK44" s="137"/>
    </row>
    <row r="45">
      <c r="A45" s="61"/>
      <c r="B45" s="70">
        <f t="shared" si="73"/>
        <v>44787</v>
      </c>
      <c r="C45" s="70">
        <f t="shared" ref="C45:H45" si="74">if(OR(B45&gt;=$AD$24, B45=""),,B45+1)</f>
        <v>44788</v>
      </c>
      <c r="D45" s="70">
        <f t="shared" si="74"/>
        <v>44789</v>
      </c>
      <c r="E45" s="70">
        <f t="shared" si="74"/>
        <v>44790</v>
      </c>
      <c r="F45" s="70">
        <f t="shared" si="74"/>
        <v>44791</v>
      </c>
      <c r="G45" s="70">
        <f t="shared" si="74"/>
        <v>44792</v>
      </c>
      <c r="H45" s="70">
        <f t="shared" si="74"/>
        <v>44793</v>
      </c>
      <c r="I45" s="61"/>
      <c r="J45" s="70">
        <f t="shared" si="75"/>
        <v>44815</v>
      </c>
      <c r="K45" s="70">
        <f t="shared" ref="K45:P45" si="76">if(OR(J45&gt;=$AD$25, J45=""),,J45+1)</f>
        <v>44816</v>
      </c>
      <c r="L45" s="70">
        <f t="shared" si="76"/>
        <v>44817</v>
      </c>
      <c r="M45" s="70">
        <f t="shared" si="76"/>
        <v>44818</v>
      </c>
      <c r="N45" s="70">
        <f t="shared" si="76"/>
        <v>44819</v>
      </c>
      <c r="O45" s="70">
        <f t="shared" si="76"/>
        <v>44820</v>
      </c>
      <c r="P45" s="70">
        <f t="shared" si="76"/>
        <v>44821</v>
      </c>
      <c r="Q45" s="61"/>
      <c r="R45" s="70">
        <f t="shared" si="77"/>
        <v>44843</v>
      </c>
      <c r="S45" s="70">
        <f t="shared" ref="S45:X45" si="78">if(OR(R45&gt;=$AD$26, R45=""),,R45+1)</f>
        <v>44844</v>
      </c>
      <c r="T45" s="70">
        <f t="shared" si="78"/>
        <v>44845</v>
      </c>
      <c r="U45" s="70">
        <f t="shared" si="78"/>
        <v>44846</v>
      </c>
      <c r="V45" s="70">
        <f t="shared" si="78"/>
        <v>44847</v>
      </c>
      <c r="W45" s="70">
        <f t="shared" si="78"/>
        <v>44848</v>
      </c>
      <c r="X45" s="70">
        <f t="shared" si="78"/>
        <v>44849</v>
      </c>
      <c r="Y45" s="61"/>
      <c r="Z45" s="89"/>
      <c r="AA45" s="89"/>
      <c r="AB45" s="89"/>
      <c r="AC45" s="89"/>
      <c r="AD45" s="87"/>
      <c r="AE45" s="87"/>
      <c r="AF45" s="87"/>
      <c r="AG45" s="105" t="str">
        <f t="array" ref="AG45">(index(Curriculum,match($K$3,TopicNames,0)+43,1))</f>
        <v/>
      </c>
      <c r="AH45" s="106" t="str">
        <f t="array" ref="AH45">(index(Curriculum,match($K$3,TopicNames,0)+43,2))</f>
        <v/>
      </c>
      <c r="AI45" s="107" t="str">
        <f t="array" ref="AI45">(index(Curriculum,match($K$3,TopicNames,0)+43,3))</f>
        <v/>
      </c>
      <c r="AJ45" s="105" t="str">
        <f t="array" ref="AJ45">(index(Curriculum,match($K$3,TopicNames,0)+43,4))</f>
        <v/>
      </c>
      <c r="AK45" s="137"/>
    </row>
    <row r="46">
      <c r="A46" s="61"/>
      <c r="B46" s="70">
        <f t="shared" si="73"/>
        <v>44794</v>
      </c>
      <c r="C46" s="70">
        <f t="shared" ref="C46:H46" si="79">if(OR(B46&gt;=$AD$24, B46=""),,B46+1)</f>
        <v>44795</v>
      </c>
      <c r="D46" s="70">
        <f t="shared" si="79"/>
        <v>44796</v>
      </c>
      <c r="E46" s="70">
        <f t="shared" si="79"/>
        <v>44797</v>
      </c>
      <c r="F46" s="70">
        <f t="shared" si="79"/>
        <v>44798</v>
      </c>
      <c r="G46" s="70">
        <f t="shared" si="79"/>
        <v>44799</v>
      </c>
      <c r="H46" s="70">
        <f t="shared" si="79"/>
        <v>44800</v>
      </c>
      <c r="I46" s="61"/>
      <c r="J46" s="70">
        <f t="shared" si="75"/>
        <v>44822</v>
      </c>
      <c r="K46" s="70">
        <f t="shared" ref="K46:P46" si="80">if(OR(J46&gt;=$AD$25, J46=""),,J46+1)</f>
        <v>44823</v>
      </c>
      <c r="L46" s="70">
        <f t="shared" si="80"/>
        <v>44824</v>
      </c>
      <c r="M46" s="70">
        <f t="shared" si="80"/>
        <v>44825</v>
      </c>
      <c r="N46" s="70">
        <f t="shared" si="80"/>
        <v>44826</v>
      </c>
      <c r="O46" s="70">
        <f t="shared" si="80"/>
        <v>44827</v>
      </c>
      <c r="P46" s="70">
        <f t="shared" si="80"/>
        <v>44828</v>
      </c>
      <c r="Q46" s="61"/>
      <c r="R46" s="70">
        <f t="shared" si="77"/>
        <v>44850</v>
      </c>
      <c r="S46" s="70">
        <f t="shared" ref="S46:X46" si="81">if(OR(R46&gt;=$AD$26, R46=""),,R46+1)</f>
        <v>44851</v>
      </c>
      <c r="T46" s="70">
        <f t="shared" si="81"/>
        <v>44852</v>
      </c>
      <c r="U46" s="70">
        <f t="shared" si="81"/>
        <v>44853</v>
      </c>
      <c r="V46" s="70">
        <f t="shared" si="81"/>
        <v>44854</v>
      </c>
      <c r="W46" s="70">
        <f t="shared" si="81"/>
        <v>44855</v>
      </c>
      <c r="X46" s="70">
        <f t="shared" si="81"/>
        <v>44856</v>
      </c>
      <c r="Y46" s="61"/>
      <c r="Z46" s="89"/>
      <c r="AA46" s="89"/>
      <c r="AB46" s="89"/>
      <c r="AC46" s="89"/>
      <c r="AD46" s="87"/>
      <c r="AE46" s="87"/>
      <c r="AF46" s="87"/>
      <c r="AG46" s="105" t="str">
        <f t="array" ref="AG46">(index(Curriculum,match($K$3,TopicNames,0)+44,1))</f>
        <v/>
      </c>
      <c r="AH46" s="106" t="str">
        <f t="array" ref="AH46">(index(Curriculum,match($K$3,TopicNames,0)+44,2))</f>
        <v/>
      </c>
      <c r="AI46" s="107" t="str">
        <f t="array" ref="AI46">(index(Curriculum,match($K$3,TopicNames,0)+44,3))</f>
        <v/>
      </c>
      <c r="AJ46" s="105" t="str">
        <f t="array" ref="AJ46">(index(Curriculum,match($K$3,TopicNames,0)+44,4))</f>
        <v/>
      </c>
      <c r="AK46" s="137"/>
    </row>
    <row r="47">
      <c r="A47" s="61"/>
      <c r="B47" s="70">
        <f t="shared" si="73"/>
        <v>44801</v>
      </c>
      <c r="C47" s="70">
        <f t="shared" ref="C47:H47" si="82">if(OR(B47&gt;=$AD$24, B47=""),,B47+1)</f>
        <v>44802</v>
      </c>
      <c r="D47" s="70">
        <f t="shared" si="82"/>
        <v>44803</v>
      </c>
      <c r="E47" s="70">
        <f t="shared" si="82"/>
        <v>44804</v>
      </c>
      <c r="F47" s="70" t="str">
        <f t="shared" si="82"/>
        <v/>
      </c>
      <c r="G47" s="70" t="str">
        <f t="shared" si="82"/>
        <v/>
      </c>
      <c r="H47" s="70" t="str">
        <f t="shared" si="82"/>
        <v/>
      </c>
      <c r="I47" s="61"/>
      <c r="J47" s="70">
        <f t="shared" si="75"/>
        <v>44829</v>
      </c>
      <c r="K47" s="70">
        <f t="shared" ref="K47:P47" si="83">if(OR(J47&gt;=$AD$25, J47=""),,J47+1)</f>
        <v>44830</v>
      </c>
      <c r="L47" s="70">
        <f t="shared" si="83"/>
        <v>44831</v>
      </c>
      <c r="M47" s="70">
        <f t="shared" si="83"/>
        <v>44832</v>
      </c>
      <c r="N47" s="70">
        <f t="shared" si="83"/>
        <v>44833</v>
      </c>
      <c r="O47" s="70">
        <f t="shared" si="83"/>
        <v>44834</v>
      </c>
      <c r="P47" s="70" t="str">
        <f t="shared" si="83"/>
        <v/>
      </c>
      <c r="Q47" s="61"/>
      <c r="R47" s="70">
        <f t="shared" si="77"/>
        <v>44857</v>
      </c>
      <c r="S47" s="70">
        <f t="shared" ref="S47:X47" si="84">if(OR(R47&gt;=$AD$26, R47=""),,R47+1)</f>
        <v>44858</v>
      </c>
      <c r="T47" s="70">
        <f t="shared" si="84"/>
        <v>44859</v>
      </c>
      <c r="U47" s="70">
        <f t="shared" si="84"/>
        <v>44860</v>
      </c>
      <c r="V47" s="70">
        <f t="shared" si="84"/>
        <v>44861</v>
      </c>
      <c r="W47" s="70">
        <f t="shared" si="84"/>
        <v>44862</v>
      </c>
      <c r="X47" s="70">
        <f t="shared" si="84"/>
        <v>44863</v>
      </c>
      <c r="Y47" s="61"/>
      <c r="Z47" s="89"/>
      <c r="AA47" s="89"/>
      <c r="AB47" s="89"/>
      <c r="AC47" s="89"/>
      <c r="AD47" s="87"/>
      <c r="AE47" s="87"/>
      <c r="AF47" s="87"/>
      <c r="AG47" s="144" t="str">
        <f t="array" ref="AG47">(index(Curriculum,match($K$3,TopicNames,0)+45,1))</f>
        <v/>
      </c>
      <c r="AH47" s="105" t="str">
        <f t="array" ref="AH47">(index(Curriculum,match($K$3,TopicNames,0)+45,2))</f>
        <v/>
      </c>
      <c r="AI47" s="107" t="str">
        <f t="array" ref="AI47">(index(Curriculum,match($K$3,TopicNames,0)+45,3))</f>
        <v/>
      </c>
      <c r="AJ47" s="105" t="str">
        <f t="array" ref="AJ47">(index(Curriculum,match($K$3,TopicNames,0)+45,4))</f>
        <v/>
      </c>
      <c r="AK47" s="137"/>
    </row>
    <row r="48">
      <c r="A48" s="61"/>
      <c r="B48" s="70" t="str">
        <f t="shared" si="73"/>
        <v/>
      </c>
      <c r="C48" s="70" t="str">
        <f t="shared" ref="C48:H48" si="85">if(OR(B48&gt;=$AD$24, B48=""),,B48+1)</f>
        <v/>
      </c>
      <c r="D48" s="70" t="str">
        <f t="shared" si="85"/>
        <v/>
      </c>
      <c r="E48" s="70" t="str">
        <f t="shared" si="85"/>
        <v/>
      </c>
      <c r="F48" s="70" t="str">
        <f t="shared" si="85"/>
        <v/>
      </c>
      <c r="G48" s="70" t="str">
        <f t="shared" si="85"/>
        <v/>
      </c>
      <c r="H48" s="70" t="str">
        <f t="shared" si="85"/>
        <v/>
      </c>
      <c r="I48" s="61"/>
      <c r="J48" s="70" t="str">
        <f t="shared" si="75"/>
        <v/>
      </c>
      <c r="K48" s="70" t="str">
        <f t="shared" ref="K48:P48" si="86">if(OR(J48&gt;=$AD$25, J48=""),,J48+1)</f>
        <v/>
      </c>
      <c r="L48" s="70" t="str">
        <f t="shared" si="86"/>
        <v/>
      </c>
      <c r="M48" s="70" t="str">
        <f t="shared" si="86"/>
        <v/>
      </c>
      <c r="N48" s="70" t="str">
        <f t="shared" si="86"/>
        <v/>
      </c>
      <c r="O48" s="70" t="str">
        <f t="shared" si="86"/>
        <v/>
      </c>
      <c r="P48" s="70" t="str">
        <f t="shared" si="86"/>
        <v/>
      </c>
      <c r="Q48" s="61"/>
      <c r="R48" s="70">
        <f t="shared" si="77"/>
        <v>44864</v>
      </c>
      <c r="S48" s="70">
        <f t="shared" ref="S48:X48" si="87">if(OR(R48&gt;=$AD$26, R48=""),,R48+1)</f>
        <v>44865</v>
      </c>
      <c r="T48" s="70" t="str">
        <f t="shared" si="87"/>
        <v/>
      </c>
      <c r="U48" s="70" t="str">
        <f t="shared" si="87"/>
        <v/>
      </c>
      <c r="V48" s="70" t="str">
        <f t="shared" si="87"/>
        <v/>
      </c>
      <c r="W48" s="70" t="str">
        <f t="shared" si="87"/>
        <v/>
      </c>
      <c r="X48" s="70" t="str">
        <f t="shared" si="87"/>
        <v/>
      </c>
      <c r="Y48" s="61"/>
      <c r="Z48" s="89"/>
      <c r="AA48" s="89"/>
      <c r="AB48" s="89"/>
      <c r="AC48" s="89"/>
      <c r="AD48" s="87"/>
      <c r="AE48" s="87"/>
      <c r="AF48" s="87"/>
      <c r="AG48" s="144" t="str">
        <f t="array" ref="AG48">(index(Curriculum,match($K$3,TopicNames,0)+46,1))</f>
        <v/>
      </c>
      <c r="AH48" s="105" t="str">
        <f t="array" ref="AH48">(index(Curriculum,match($K$3,TopicNames,0)+46,2))</f>
        <v/>
      </c>
      <c r="AI48" s="107" t="str">
        <f t="array" ref="AI48">(index(Curriculum,match($K$3,TopicNames,0)+46,3))</f>
        <v/>
      </c>
      <c r="AJ48" s="105" t="str">
        <f t="array" ref="AJ48">(index(Curriculum,match($K$3,TopicNames,0)+46,4))</f>
        <v/>
      </c>
      <c r="AK48" s="137"/>
    </row>
    <row r="49">
      <c r="A49" s="61"/>
      <c r="B49" s="83"/>
      <c r="C49" s="84"/>
      <c r="D49" s="83"/>
      <c r="E49" s="83"/>
      <c r="F49" s="83"/>
      <c r="G49" s="83"/>
      <c r="H49" s="83"/>
      <c r="I49" s="61"/>
      <c r="J49" s="83"/>
      <c r="K49" s="83"/>
      <c r="L49" s="83"/>
      <c r="M49" s="83"/>
      <c r="N49" s="83"/>
      <c r="O49" s="83"/>
      <c r="P49" s="83"/>
      <c r="Q49" s="61"/>
      <c r="R49" s="83"/>
      <c r="S49" s="83"/>
      <c r="T49" s="83"/>
      <c r="U49" s="83"/>
      <c r="V49" s="83"/>
      <c r="W49" s="83"/>
      <c r="X49" s="83"/>
      <c r="Y49" s="61"/>
      <c r="Z49" s="89"/>
      <c r="AA49" s="89"/>
      <c r="AB49" s="89"/>
      <c r="AC49" s="89"/>
      <c r="AD49" s="87"/>
      <c r="AE49" s="87"/>
      <c r="AF49" s="87"/>
      <c r="AG49" s="144" t="str">
        <f t="array" ref="AG49">(index(Curriculum,match($K$3,TopicNames,0)+47,1))</f>
        <v/>
      </c>
      <c r="AH49" s="105" t="str">
        <f t="array" ref="AH49">(index(Curriculum,match($K$3,TopicNames,0)+47,2))</f>
        <v/>
      </c>
      <c r="AI49" s="107" t="str">
        <f t="array" ref="AI49">(index(Curriculum,match($K$3,TopicNames,0)+47,3))</f>
        <v/>
      </c>
      <c r="AJ49" s="105" t="str">
        <f t="array" ref="AJ49">(index(Curriculum,match($K$3,TopicNames,0)+47,4))</f>
        <v/>
      </c>
      <c r="AK49" s="137"/>
    </row>
    <row r="50">
      <c r="A50" s="61"/>
      <c r="B50" s="62" t="str">
        <f>AA27&amp;" "&amp;AE27</f>
        <v>November 2022</v>
      </c>
      <c r="I50" s="61"/>
      <c r="J50" s="62" t="str">
        <f>AA28&amp;" "&amp;AE28</f>
        <v>December 2022</v>
      </c>
      <c r="Q50" s="61"/>
      <c r="R50" s="62" t="str">
        <f>AA29&amp;" "&amp;AE29</f>
        <v>January 2023</v>
      </c>
      <c r="Y50" s="61"/>
      <c r="Z50" s="89"/>
      <c r="AA50" s="89"/>
      <c r="AB50" s="89"/>
      <c r="AC50" s="89"/>
      <c r="AD50" s="87"/>
      <c r="AE50" s="87"/>
      <c r="AF50" s="87"/>
      <c r="AG50" s="144" t="str">
        <f t="array" ref="AG50">(index(Curriculum,match($K$3,TopicNames,0)+48,1))</f>
        <v/>
      </c>
      <c r="AH50" s="105" t="str">
        <f t="array" ref="AH50">(index(Curriculum,match($K$3,TopicNames,0)+48,2))</f>
        <v/>
      </c>
      <c r="AI50" s="107" t="str">
        <f t="array" ref="AI50">(index(Curriculum,match($K$3,TopicNames,0)+48,3))</f>
        <v/>
      </c>
      <c r="AJ50" s="105" t="str">
        <f t="array" ref="AJ50">(index(Curriculum,match($K$3,TopicNames,0)+48,4))</f>
        <v/>
      </c>
      <c r="AK50" s="137"/>
    </row>
    <row r="51">
      <c r="A51" s="61"/>
      <c r="B51" s="66" t="s">
        <v>57</v>
      </c>
      <c r="C51" s="80" t="s">
        <v>58</v>
      </c>
      <c r="D51" s="66" t="s">
        <v>59</v>
      </c>
      <c r="E51" s="66" t="s">
        <v>60</v>
      </c>
      <c r="F51" s="66" t="s">
        <v>61</v>
      </c>
      <c r="G51" s="66" t="s">
        <v>62</v>
      </c>
      <c r="H51" s="66" t="s">
        <v>63</v>
      </c>
      <c r="I51" s="61"/>
      <c r="J51" s="66" t="s">
        <v>57</v>
      </c>
      <c r="K51" s="66" t="s">
        <v>58</v>
      </c>
      <c r="L51" s="66" t="s">
        <v>59</v>
      </c>
      <c r="M51" s="66" t="s">
        <v>60</v>
      </c>
      <c r="N51" s="66" t="s">
        <v>61</v>
      </c>
      <c r="O51" s="66" t="s">
        <v>62</v>
      </c>
      <c r="P51" s="66" t="s">
        <v>63</v>
      </c>
      <c r="Q51" s="61"/>
      <c r="R51" s="66" t="s">
        <v>57</v>
      </c>
      <c r="S51" s="66" t="s">
        <v>58</v>
      </c>
      <c r="T51" s="66" t="s">
        <v>59</v>
      </c>
      <c r="U51" s="66" t="s">
        <v>60</v>
      </c>
      <c r="V51" s="66" t="s">
        <v>61</v>
      </c>
      <c r="W51" s="66" t="s">
        <v>62</v>
      </c>
      <c r="X51" s="66" t="s">
        <v>63</v>
      </c>
      <c r="Y51" s="61"/>
      <c r="Z51" s="89"/>
      <c r="AA51" s="89"/>
      <c r="AB51" s="89"/>
      <c r="AC51" s="89"/>
      <c r="AD51" s="87"/>
      <c r="AE51" s="87"/>
      <c r="AF51" s="87"/>
      <c r="AG51" s="144" t="str">
        <f t="array" ref="AG51">(index(Curriculum,match($K$3,TopicNames,0)+49,1))</f>
        <v/>
      </c>
      <c r="AH51" s="105" t="str">
        <f t="array" ref="AH51">(index(Curriculum,match($K$3,TopicNames,0)+49,2))</f>
        <v/>
      </c>
      <c r="AI51" s="107" t="str">
        <f t="array" ref="AI51">(index(Curriculum,match($K$3,TopicNames,0)+49,3))</f>
        <v/>
      </c>
      <c r="AJ51" s="105" t="str">
        <f t="array" ref="AJ51">(index(Curriculum,match($K$3,TopicNames,0)+49,4))</f>
        <v/>
      </c>
      <c r="AK51" s="137"/>
    </row>
    <row r="52">
      <c r="A52" s="61"/>
      <c r="B52" s="70" t="str">
        <f>IF(B51=$AC27,$AB27,)</f>
        <v/>
      </c>
      <c r="C52" s="70" t="str">
        <f t="shared" ref="C52:H52" si="88">IF(B52&gt;0,B52+1, IF(C51=$AC$27,$AB$27,))</f>
        <v/>
      </c>
      <c r="D52" s="70">
        <f t="shared" si="88"/>
        <v>44866</v>
      </c>
      <c r="E52" s="70">
        <f t="shared" si="88"/>
        <v>44867</v>
      </c>
      <c r="F52" s="70">
        <f t="shared" si="88"/>
        <v>44868</v>
      </c>
      <c r="G52" s="70">
        <f t="shared" si="88"/>
        <v>44869</v>
      </c>
      <c r="H52" s="70">
        <f t="shared" si="88"/>
        <v>44870</v>
      </c>
      <c r="I52" s="61"/>
      <c r="J52" s="70" t="str">
        <f>IF(J51=$AC28,$AB28,)</f>
        <v/>
      </c>
      <c r="K52" s="70" t="str">
        <f t="shared" ref="K52:P52" si="89">IF(J52&gt;0,J52+1, IF(K51=$AC$28,$AB$28,))</f>
        <v/>
      </c>
      <c r="L52" s="70" t="str">
        <f t="shared" si="89"/>
        <v/>
      </c>
      <c r="M52" s="70" t="str">
        <f t="shared" si="89"/>
        <v/>
      </c>
      <c r="N52" s="70">
        <f t="shared" si="89"/>
        <v>44896</v>
      </c>
      <c r="O52" s="70">
        <f t="shared" si="89"/>
        <v>44897</v>
      </c>
      <c r="P52" s="70">
        <f t="shared" si="89"/>
        <v>44898</v>
      </c>
      <c r="Q52" s="61"/>
      <c r="R52" s="145">
        <f>IF(R51=$AC29,$AB29,)</f>
        <v>44927</v>
      </c>
      <c r="S52" s="145">
        <f t="shared" ref="S52:X52" si="90">IF(R52&gt;0,R52+1, IF(S51=$AC$29,$AB$29,))</f>
        <v>44928</v>
      </c>
      <c r="T52" s="145">
        <f t="shared" si="90"/>
        <v>44929</v>
      </c>
      <c r="U52" s="145">
        <f t="shared" si="90"/>
        <v>44930</v>
      </c>
      <c r="V52" s="145">
        <f t="shared" si="90"/>
        <v>44931</v>
      </c>
      <c r="W52" s="145">
        <f t="shared" si="90"/>
        <v>44932</v>
      </c>
      <c r="X52" s="145">
        <f t="shared" si="90"/>
        <v>44933</v>
      </c>
      <c r="Y52" s="61"/>
      <c r="Z52" s="89"/>
      <c r="AA52" s="89"/>
      <c r="AB52" s="89"/>
      <c r="AC52" s="89"/>
      <c r="AD52" s="87"/>
      <c r="AE52" s="87"/>
      <c r="AF52" s="87"/>
      <c r="AG52" s="144" t="str">
        <f t="array" ref="AG52">(index(Curriculum,match($K$3,TopicNames,0)+50,1))</f>
        <v/>
      </c>
      <c r="AH52" s="105" t="str">
        <f t="array" ref="AH52">(index(Curriculum,match($K$3,TopicNames,0)+50,2))</f>
        <v/>
      </c>
      <c r="AI52" s="107" t="str">
        <f t="array" ref="AI52">(index(Curriculum,match($K$3,TopicNames,0)+50,3))</f>
        <v/>
      </c>
      <c r="AJ52" s="105" t="str">
        <f t="array" ref="AJ52">(index(Curriculum,match($K$3,TopicNames,0)+50,4))</f>
        <v/>
      </c>
      <c r="AK52" s="137"/>
    </row>
    <row r="53">
      <c r="A53" s="61"/>
      <c r="B53" s="70">
        <f t="shared" ref="B53:B57" si="94">if(OR(H52&gt;=$AD$27, H52=""),,H52+1)</f>
        <v>44871</v>
      </c>
      <c r="C53" s="70">
        <f t="shared" ref="C53:H53" si="91">if(OR(B53&gt;=$AD$27, B53=""),,B53+1)</f>
        <v>44872</v>
      </c>
      <c r="D53" s="70">
        <f t="shared" si="91"/>
        <v>44873</v>
      </c>
      <c r="E53" s="70">
        <f t="shared" si="91"/>
        <v>44874</v>
      </c>
      <c r="F53" s="70">
        <f t="shared" si="91"/>
        <v>44875</v>
      </c>
      <c r="G53" s="70">
        <f t="shared" si="91"/>
        <v>44876</v>
      </c>
      <c r="H53" s="70">
        <f t="shared" si="91"/>
        <v>44877</v>
      </c>
      <c r="I53" s="61"/>
      <c r="J53" s="70">
        <f t="shared" ref="J53:J57" si="96">if(OR(P52&gt;=$AD$28, P52=""),,P52+1)</f>
        <v>44899</v>
      </c>
      <c r="K53" s="70">
        <f t="shared" ref="K53:P53" si="92">if(OR(J53&gt;=$AD$28, J53=""),,J53+1)</f>
        <v>44900</v>
      </c>
      <c r="L53" s="70">
        <f t="shared" si="92"/>
        <v>44901</v>
      </c>
      <c r="M53" s="70">
        <f t="shared" si="92"/>
        <v>44902</v>
      </c>
      <c r="N53" s="70">
        <f t="shared" si="92"/>
        <v>44903</v>
      </c>
      <c r="O53" s="70">
        <f t="shared" si="92"/>
        <v>44904</v>
      </c>
      <c r="P53" s="70">
        <f t="shared" si="92"/>
        <v>44905</v>
      </c>
      <c r="Q53" s="61"/>
      <c r="R53" s="145">
        <f t="shared" ref="R53:R57" si="98">if(OR(X52&gt;=$AD$29, X52=""),,X52+1)</f>
        <v>44934</v>
      </c>
      <c r="S53" s="145">
        <f t="shared" ref="S53:X53" si="93">if(OR(R53&gt;=$AD$29, R53=""),,R53+1)</f>
        <v>44935</v>
      </c>
      <c r="T53" s="145">
        <f t="shared" si="93"/>
        <v>44936</v>
      </c>
      <c r="U53" s="145">
        <f t="shared" si="93"/>
        <v>44937</v>
      </c>
      <c r="V53" s="145">
        <f t="shared" si="93"/>
        <v>44938</v>
      </c>
      <c r="W53" s="145">
        <f t="shared" si="93"/>
        <v>44939</v>
      </c>
      <c r="X53" s="145">
        <f t="shared" si="93"/>
        <v>44940</v>
      </c>
      <c r="Y53" s="61"/>
      <c r="Z53" s="89"/>
      <c r="AA53" s="89"/>
      <c r="AB53" s="89"/>
      <c r="AC53" s="89"/>
      <c r="AD53" s="87"/>
      <c r="AE53" s="87"/>
      <c r="AF53" s="87"/>
      <c r="AG53" s="144" t="str">
        <f t="array" ref="AG53">(index(Curriculum,match($K$3,TopicNames,0)+51,1))</f>
        <v/>
      </c>
      <c r="AH53" s="105" t="str">
        <f t="array" ref="AH53">(index(Curriculum,match($K$3,TopicNames,0)+51,2))</f>
        <v/>
      </c>
      <c r="AI53" s="107" t="str">
        <f t="array" ref="AI53">(index(Curriculum,match($K$3,TopicNames,0)+51,3))</f>
        <v/>
      </c>
      <c r="AJ53" s="105" t="str">
        <f t="array" ref="AJ53">(index(Curriculum,match($K$3,TopicNames,0)+51,4))</f>
        <v/>
      </c>
      <c r="AK53" s="137"/>
    </row>
    <row r="54">
      <c r="A54" s="61"/>
      <c r="B54" s="70">
        <f t="shared" si="94"/>
        <v>44878</v>
      </c>
      <c r="C54" s="70">
        <f t="shared" ref="C54:H54" si="95">if(OR(B54&gt;=$AD$27, B54=""),,B54+1)</f>
        <v>44879</v>
      </c>
      <c r="D54" s="70">
        <f t="shared" si="95"/>
        <v>44880</v>
      </c>
      <c r="E54" s="70">
        <f t="shared" si="95"/>
        <v>44881</v>
      </c>
      <c r="F54" s="70">
        <f t="shared" si="95"/>
        <v>44882</v>
      </c>
      <c r="G54" s="70">
        <f t="shared" si="95"/>
        <v>44883</v>
      </c>
      <c r="H54" s="70">
        <f t="shared" si="95"/>
        <v>44884</v>
      </c>
      <c r="I54" s="61"/>
      <c r="J54" s="70">
        <f t="shared" si="96"/>
        <v>44906</v>
      </c>
      <c r="K54" s="70">
        <f t="shared" ref="K54:P54" si="97">if(OR(J54&gt;=$AD$28, J54=""),,J54+1)</f>
        <v>44907</v>
      </c>
      <c r="L54" s="70">
        <f t="shared" si="97"/>
        <v>44908</v>
      </c>
      <c r="M54" s="70">
        <f t="shared" si="97"/>
        <v>44909</v>
      </c>
      <c r="N54" s="70">
        <f t="shared" si="97"/>
        <v>44910</v>
      </c>
      <c r="O54" s="70">
        <f t="shared" si="97"/>
        <v>44911</v>
      </c>
      <c r="P54" s="70">
        <f t="shared" si="97"/>
        <v>44912</v>
      </c>
      <c r="Q54" s="61"/>
      <c r="R54" s="145">
        <f t="shared" si="98"/>
        <v>44941</v>
      </c>
      <c r="S54" s="145">
        <f t="shared" ref="S54:X54" si="99">if(OR(R54&gt;=$AD$29, R54=""),,R54+1)</f>
        <v>44942</v>
      </c>
      <c r="T54" s="145">
        <f t="shared" si="99"/>
        <v>44943</v>
      </c>
      <c r="U54" s="145">
        <f t="shared" si="99"/>
        <v>44944</v>
      </c>
      <c r="V54" s="145">
        <f t="shared" si="99"/>
        <v>44945</v>
      </c>
      <c r="W54" s="145">
        <f t="shared" si="99"/>
        <v>44946</v>
      </c>
      <c r="X54" s="145">
        <f t="shared" si="99"/>
        <v>44947</v>
      </c>
      <c r="Y54" s="61"/>
      <c r="Z54" s="89"/>
      <c r="AA54" s="89"/>
      <c r="AB54" s="89"/>
      <c r="AC54" s="89"/>
      <c r="AD54" s="87"/>
      <c r="AE54" s="87"/>
      <c r="AF54" s="87"/>
      <c r="AG54" s="144" t="str">
        <f t="array" ref="AG54">(index(Curriculum,match($K$3,TopicNames,0)+52,1))</f>
        <v/>
      </c>
      <c r="AH54" s="105" t="str">
        <f t="array" ref="AH54">(index(Curriculum,match($K$3,TopicNames,0)+52,2))</f>
        <v/>
      </c>
      <c r="AI54" s="107" t="str">
        <f t="array" ref="AI54">(index(Curriculum,match($K$3,TopicNames,0)+52,3))</f>
        <v/>
      </c>
      <c r="AK54" s="137"/>
    </row>
    <row r="55">
      <c r="A55" s="61"/>
      <c r="B55" s="70">
        <f t="shared" si="94"/>
        <v>44885</v>
      </c>
      <c r="C55" s="70">
        <f t="shared" ref="C55:H55" si="100">if(OR(B55&gt;=$AD$27, B55=""),,B55+1)</f>
        <v>44886</v>
      </c>
      <c r="D55" s="70">
        <f t="shared" si="100"/>
        <v>44887</v>
      </c>
      <c r="E55" s="70">
        <f t="shared" si="100"/>
        <v>44888</v>
      </c>
      <c r="F55" s="70">
        <f t="shared" si="100"/>
        <v>44889</v>
      </c>
      <c r="G55" s="70">
        <f t="shared" si="100"/>
        <v>44890</v>
      </c>
      <c r="H55" s="70">
        <f t="shared" si="100"/>
        <v>44891</v>
      </c>
      <c r="I55" s="61"/>
      <c r="J55" s="70">
        <f t="shared" si="96"/>
        <v>44913</v>
      </c>
      <c r="K55" s="70">
        <f t="shared" ref="K55:P55" si="101">if(OR(J55&gt;=$AD$28, J55=""),,J55+1)</f>
        <v>44914</v>
      </c>
      <c r="L55" s="70">
        <f t="shared" si="101"/>
        <v>44915</v>
      </c>
      <c r="M55" s="70">
        <f t="shared" si="101"/>
        <v>44916</v>
      </c>
      <c r="N55" s="70">
        <f t="shared" si="101"/>
        <v>44917</v>
      </c>
      <c r="O55" s="70">
        <f t="shared" si="101"/>
        <v>44918</v>
      </c>
      <c r="P55" s="70">
        <f t="shared" si="101"/>
        <v>44919</v>
      </c>
      <c r="Q55" s="61"/>
      <c r="R55" s="145">
        <f t="shared" si="98"/>
        <v>44948</v>
      </c>
      <c r="S55" s="145">
        <f t="shared" ref="S55:X55" si="102">if(OR(R55&gt;=$AD$29, R55=""),,R55+1)</f>
        <v>44949</v>
      </c>
      <c r="T55" s="145">
        <f t="shared" si="102"/>
        <v>44950</v>
      </c>
      <c r="U55" s="145">
        <f t="shared" si="102"/>
        <v>44951</v>
      </c>
      <c r="V55" s="145">
        <f t="shared" si="102"/>
        <v>44952</v>
      </c>
      <c r="W55" s="145">
        <f t="shared" si="102"/>
        <v>44953</v>
      </c>
      <c r="X55" s="145">
        <f t="shared" si="102"/>
        <v>44954</v>
      </c>
      <c r="Y55" s="61"/>
      <c r="Z55" s="89"/>
      <c r="AA55" s="89"/>
      <c r="AB55" s="89"/>
      <c r="AC55" s="89"/>
      <c r="AD55" s="87"/>
      <c r="AE55" s="87"/>
      <c r="AF55" s="87"/>
      <c r="AK55" s="137"/>
    </row>
    <row r="56">
      <c r="A56" s="61"/>
      <c r="B56" s="70">
        <f t="shared" si="94"/>
        <v>44892</v>
      </c>
      <c r="C56" s="70">
        <f t="shared" ref="C56:H56" si="103">if(OR(B56&gt;=$AD$27, B56=""),,B56+1)</f>
        <v>44893</v>
      </c>
      <c r="D56" s="70">
        <f t="shared" si="103"/>
        <v>44894</v>
      </c>
      <c r="E56" s="70">
        <f t="shared" si="103"/>
        <v>44895</v>
      </c>
      <c r="F56" s="70" t="str">
        <f t="shared" si="103"/>
        <v/>
      </c>
      <c r="G56" s="70" t="str">
        <f t="shared" si="103"/>
        <v/>
      </c>
      <c r="H56" s="70" t="str">
        <f t="shared" si="103"/>
        <v/>
      </c>
      <c r="I56" s="61"/>
      <c r="J56" s="70">
        <f t="shared" si="96"/>
        <v>44920</v>
      </c>
      <c r="K56" s="70">
        <f t="shared" ref="K56:P56" si="104">if(OR(J56&gt;=$AD$28, J56=""),,J56+1)</f>
        <v>44921</v>
      </c>
      <c r="L56" s="70">
        <f t="shared" si="104"/>
        <v>44922</v>
      </c>
      <c r="M56" s="70">
        <f t="shared" si="104"/>
        <v>44923</v>
      </c>
      <c r="N56" s="70">
        <f t="shared" si="104"/>
        <v>44924</v>
      </c>
      <c r="O56" s="70">
        <f t="shared" si="104"/>
        <v>44925</v>
      </c>
      <c r="P56" s="70">
        <f t="shared" si="104"/>
        <v>44926</v>
      </c>
      <c r="Q56" s="61"/>
      <c r="R56" s="145">
        <f t="shared" si="98"/>
        <v>44955</v>
      </c>
      <c r="S56" s="145">
        <f t="shared" ref="S56:X56" si="105">if(OR(R56&gt;=$AD$29, R56=""),,R56+1)</f>
        <v>44956</v>
      </c>
      <c r="T56" s="145">
        <f t="shared" si="105"/>
        <v>44957</v>
      </c>
      <c r="U56" s="145" t="str">
        <f t="shared" si="105"/>
        <v/>
      </c>
      <c r="V56" s="145" t="str">
        <f t="shared" si="105"/>
        <v/>
      </c>
      <c r="W56" s="145" t="str">
        <f t="shared" si="105"/>
        <v/>
      </c>
      <c r="X56" s="145" t="str">
        <f t="shared" si="105"/>
        <v/>
      </c>
      <c r="Y56" s="61"/>
      <c r="Z56" s="89"/>
      <c r="AA56" s="89"/>
      <c r="AB56" s="89"/>
      <c r="AC56" s="89"/>
      <c r="AD56" s="87"/>
      <c r="AE56" s="87"/>
      <c r="AF56" s="87"/>
      <c r="AK56" s="137"/>
    </row>
    <row r="57">
      <c r="A57" s="61"/>
      <c r="B57" s="70" t="str">
        <f t="shared" si="94"/>
        <v/>
      </c>
      <c r="C57" s="70" t="str">
        <f t="shared" ref="C57:H57" si="106">if(OR(B57&gt;=$AD$27, B57=""),,B57+1)</f>
        <v/>
      </c>
      <c r="D57" s="70" t="str">
        <f t="shared" si="106"/>
        <v/>
      </c>
      <c r="E57" s="70" t="str">
        <f t="shared" si="106"/>
        <v/>
      </c>
      <c r="F57" s="70" t="str">
        <f t="shared" si="106"/>
        <v/>
      </c>
      <c r="G57" s="70" t="str">
        <f t="shared" si="106"/>
        <v/>
      </c>
      <c r="H57" s="70" t="str">
        <f t="shared" si="106"/>
        <v/>
      </c>
      <c r="I57" s="61"/>
      <c r="J57" s="70" t="str">
        <f t="shared" si="96"/>
        <v/>
      </c>
      <c r="K57" s="70" t="str">
        <f t="shared" ref="K57:P57" si="107">if(OR(J57&gt;=$AD$28, J57=""),,J57+1)</f>
        <v/>
      </c>
      <c r="L57" s="70" t="str">
        <f t="shared" si="107"/>
        <v/>
      </c>
      <c r="M57" s="70" t="str">
        <f t="shared" si="107"/>
        <v/>
      </c>
      <c r="N57" s="70" t="str">
        <f t="shared" si="107"/>
        <v/>
      </c>
      <c r="O57" s="70" t="str">
        <f t="shared" si="107"/>
        <v/>
      </c>
      <c r="P57" s="70" t="str">
        <f t="shared" si="107"/>
        <v/>
      </c>
      <c r="Q57" s="61"/>
      <c r="R57" s="145" t="str">
        <f t="shared" si="98"/>
        <v/>
      </c>
      <c r="S57" s="145" t="str">
        <f t="shared" ref="S57:X57" si="108">if(OR(R57&gt;=$AD$29, R57=""),,R57+1)</f>
        <v/>
      </c>
      <c r="T57" s="145" t="str">
        <f t="shared" si="108"/>
        <v/>
      </c>
      <c r="U57" s="145" t="str">
        <f t="shared" si="108"/>
        <v/>
      </c>
      <c r="V57" s="145" t="str">
        <f t="shared" si="108"/>
        <v/>
      </c>
      <c r="W57" s="145" t="str">
        <f t="shared" si="108"/>
        <v/>
      </c>
      <c r="X57" s="145" t="str">
        <f t="shared" si="108"/>
        <v/>
      </c>
      <c r="Y57" s="61"/>
      <c r="Z57" s="89"/>
      <c r="AA57" s="89"/>
      <c r="AB57" s="89"/>
      <c r="AC57" s="89"/>
      <c r="AD57" s="87"/>
      <c r="AE57" s="87"/>
      <c r="AF57" s="87"/>
      <c r="AJ57" s="105" t="str">
        <f t="array" ref="AJ57">(index(Curriculum,match($K$3,TopicNames,0)+52,4))</f>
        <v/>
      </c>
      <c r="AK57" s="137"/>
    </row>
    <row r="58">
      <c r="A58" s="61"/>
      <c r="B58" s="83"/>
      <c r="C58" s="84"/>
      <c r="D58" s="83"/>
      <c r="E58" s="83"/>
      <c r="F58" s="83"/>
      <c r="G58" s="83"/>
      <c r="H58" s="83"/>
      <c r="I58" s="61"/>
      <c r="J58" s="83"/>
      <c r="K58" s="83"/>
      <c r="L58" s="83"/>
      <c r="M58" s="83"/>
      <c r="N58" s="83"/>
      <c r="O58" s="83"/>
      <c r="P58" s="83"/>
      <c r="Q58" s="61"/>
      <c r="R58" s="83"/>
      <c r="S58" s="83"/>
      <c r="T58" s="83"/>
      <c r="U58" s="83"/>
      <c r="V58" s="83"/>
      <c r="W58" s="83"/>
      <c r="X58" s="83"/>
      <c r="Y58" s="61"/>
      <c r="Z58" s="89"/>
      <c r="AA58" s="89"/>
      <c r="AB58" s="89"/>
      <c r="AC58" s="89"/>
      <c r="AD58" s="87"/>
      <c r="AE58" s="87"/>
      <c r="AF58" s="87"/>
      <c r="AG58" s="146"/>
      <c r="AH58" s="89"/>
      <c r="AI58" s="92"/>
      <c r="AJ58" s="92"/>
      <c r="AK58" s="137"/>
    </row>
  </sheetData>
  <mergeCells count="55">
    <mergeCell ref="J41:P41"/>
    <mergeCell ref="R41:X41"/>
    <mergeCell ref="B23:H23"/>
    <mergeCell ref="J23:P23"/>
    <mergeCell ref="R23:X23"/>
    <mergeCell ref="B32:H32"/>
    <mergeCell ref="J32:P32"/>
    <mergeCell ref="R32:X32"/>
    <mergeCell ref="B41:H41"/>
    <mergeCell ref="B2:D2"/>
    <mergeCell ref="F2:I2"/>
    <mergeCell ref="K2:T2"/>
    <mergeCell ref="AG2:AH2"/>
    <mergeCell ref="B3:D3"/>
    <mergeCell ref="F3:I3"/>
    <mergeCell ref="K3:T3"/>
    <mergeCell ref="B5:D5"/>
    <mergeCell ref="F5:I5"/>
    <mergeCell ref="K5:N5"/>
    <mergeCell ref="Q5:T5"/>
    <mergeCell ref="F6:I6"/>
    <mergeCell ref="K6:N6"/>
    <mergeCell ref="Q6:T6"/>
    <mergeCell ref="B6:D6"/>
    <mergeCell ref="B8:D8"/>
    <mergeCell ref="E8:H8"/>
    <mergeCell ref="I8:L8"/>
    <mergeCell ref="M8:P8"/>
    <mergeCell ref="Q8:T8"/>
    <mergeCell ref="U8:X8"/>
    <mergeCell ref="M11:P11"/>
    <mergeCell ref="Q11:T11"/>
    <mergeCell ref="M12:P12"/>
    <mergeCell ref="Q12:T12"/>
    <mergeCell ref="U12:X12"/>
    <mergeCell ref="R14:X14"/>
    <mergeCell ref="Y15:Y17"/>
    <mergeCell ref="B9:D9"/>
    <mergeCell ref="E9:H9"/>
    <mergeCell ref="I9:L9"/>
    <mergeCell ref="M9:P9"/>
    <mergeCell ref="Q9:T9"/>
    <mergeCell ref="U9:X9"/>
    <mergeCell ref="B11:D11"/>
    <mergeCell ref="U11:X11"/>
    <mergeCell ref="E11:H11"/>
    <mergeCell ref="I11:L11"/>
    <mergeCell ref="B12:D12"/>
    <mergeCell ref="E12:H12"/>
    <mergeCell ref="I12:L12"/>
    <mergeCell ref="B14:H14"/>
    <mergeCell ref="J14:P14"/>
    <mergeCell ref="B50:H50"/>
    <mergeCell ref="J50:P50"/>
    <mergeCell ref="R50:X50"/>
  </mergeCells>
  <conditionalFormatting sqref="B16:H21">
    <cfRule type="expression" dxfId="1" priority="1">
      <formula>B16=$B$3</formula>
    </cfRule>
  </conditionalFormatting>
  <conditionalFormatting sqref="B16:H21 J16:P21 R16:X21 B25:H30 J25:P30 R25:X30 B34:H39 J34:P39 R34:X39 B43:H48 J43:P48 R43:X48 B52:H57 J52:P57 R52:X57">
    <cfRule type="expression" dxfId="2" priority="2">
      <formula>B16=$F$3</formula>
    </cfRule>
  </conditionalFormatting>
  <conditionalFormatting sqref="B16:H21 J16:P21 R16:X21 B25:H30 J25:P30 R25:X30 B34:H39 J34:P39 R34:X39 B43:H48 J43:P48 R43:X48 B52:H57 J52:P57 R52:X57">
    <cfRule type="expression" dxfId="3" priority="3">
      <formula>AND(B16&gt;=$AA$6, B16&lt;=$E$12)</formula>
    </cfRule>
  </conditionalFormatting>
  <conditionalFormatting sqref="B16:H21 J16:P21 R16:X21 B25:H30 J25:P30 R25:X30 B34:H39 J34:P39 R34:X39 B43:H48 J43:P48 R43:X48 B52:H57 J52:P57">
    <cfRule type="expression" dxfId="4" priority="4">
      <formula>AND(B16&gt;$B$3, B16&lt;=$E$12)</formula>
    </cfRule>
  </conditionalFormatting>
  <conditionalFormatting sqref="B16:H21 J16:P21 R16:X21 B25:H30 J25:P30 R25:X30 B34:H39 J34:P39 R34:X39 B43:H48 J43:P48 R43:X48 B52:H57 J52:P57 R52:X57">
    <cfRule type="expression" dxfId="5" priority="5">
      <formula>AND(B16&gt;=$AB$6, B16&lt;=$I$12)</formula>
    </cfRule>
  </conditionalFormatting>
  <conditionalFormatting sqref="B16:H21 J16:P21 R16:X21 B25:H30 J25:P30 R25:X30 B34:H39 J34:P39 R34:X39 B43:H48 J43:P48 R43:X48 B52:H57 J52:P57 R52:X57">
    <cfRule type="expression" dxfId="6" priority="6">
      <formula>AND(B16&gt;$B$3, B16&lt;=$I$12)</formula>
    </cfRule>
  </conditionalFormatting>
  <conditionalFormatting sqref="B16:H21 J16:P21 R16:X21 B25:H30 J25:P30 R25:X30 B34:H39 J34:P39 R34:X39 B43:H48 J43:P48 R43:X48 B52:H57 J52:P57 R52:X57">
    <cfRule type="expression" dxfId="7" priority="7">
      <formula>AND(B16&gt;=$AC$6, B16&lt;=$M$12)</formula>
    </cfRule>
  </conditionalFormatting>
  <conditionalFormatting sqref="B16:H21 J16:P21 R16:X21 B25:H30 J25:P30 R25:X30 B34:H39 J34:P39 R34:X39 B43:H48 J43:P48 R43:X48 B52:H57 J52:P57 R52:X57">
    <cfRule type="expression" dxfId="8" priority="8">
      <formula>AND(B16&gt;$B$3, B16&lt;=$M$12)</formula>
    </cfRule>
  </conditionalFormatting>
  <conditionalFormatting sqref="B16:H21 J16:P21 R16:X21 B25:H30 J25:P30 R25:X30 B34:H39 J34:P39 R34:X39 B43:H48 J43:P48 R43:X48 B52:H57 J52:P57 R52:X57">
    <cfRule type="expression" dxfId="12" priority="9">
      <formula>AND(B16&gt;=$AD$6, B16&lt;=$Q$12)</formula>
    </cfRule>
  </conditionalFormatting>
  <conditionalFormatting sqref="B16:H21 J16:P21 R16:X21 B25:H30 J25:P30 R25:X30 B34:H39 J34:P39 R34:X39 B43:H48 J43:P48 R43:X48 B52:H57 J52:P57 R52:X57">
    <cfRule type="expression" dxfId="10" priority="10">
      <formula>AND(B16&gt;$B$3, B16&lt;=$Q$12)</formula>
    </cfRule>
  </conditionalFormatting>
  <conditionalFormatting sqref="B16:H21 J16:P21 R16:X21 B25:H30 J25:P30 R25:X30 B34:H39 J34:P39 R34:X39 B43:H48 J43:P48 R43:X48 B52:H57 J52:P57 R52:X57">
    <cfRule type="expression" dxfId="11" priority="11">
      <formula>AND(B16&gt;$B$3, B16&lt;=$U$12)</formula>
    </cfRule>
  </conditionalFormatting>
  <dataValidations>
    <dataValidation type="custom" allowBlank="1" showDropDown="1" showInputMessage="1" showErrorMessage="1" prompt="Please choose a Monday as your start date." sqref="B6">
      <formula1>WEEKDAY($B$6)=2</formula1>
    </dataValidation>
    <dataValidation type="list" allowBlank="1" sqref="K3">
      <formula1>'DS Curriculum Topics &amp; Projects'!$B$2:$B$53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48.43"/>
    <col customWidth="1" min="3" max="3" width="14.43"/>
    <col customWidth="1" min="4" max="4" width="11.43"/>
  </cols>
  <sheetData>
    <row r="1">
      <c r="A1" s="147" t="s">
        <v>104</v>
      </c>
      <c r="B1" s="147" t="s">
        <v>105</v>
      </c>
      <c r="C1" s="148" t="s">
        <v>106</v>
      </c>
      <c r="D1" s="147" t="s">
        <v>107</v>
      </c>
    </row>
    <row r="2">
      <c r="A2" s="149" t="s">
        <v>108</v>
      </c>
      <c r="B2" s="150" t="s">
        <v>109</v>
      </c>
      <c r="C2" s="151">
        <f t="shared" ref="C2:C12" si="1">0.75/COUNTA($B$2:$B$12)</f>
        <v>0.06818181818</v>
      </c>
      <c r="D2" s="152">
        <f t="shared" ref="D2:D53" si="2">IF(ISERROR(FIND("Project", B2)), 0, 1)</f>
        <v>0</v>
      </c>
    </row>
    <row r="3">
      <c r="A3" s="149" t="s">
        <v>108</v>
      </c>
      <c r="B3" s="150" t="s">
        <v>110</v>
      </c>
      <c r="C3" s="151">
        <f t="shared" si="1"/>
        <v>0.06818181818</v>
      </c>
      <c r="D3" s="152">
        <f t="shared" si="2"/>
        <v>0</v>
      </c>
    </row>
    <row r="4">
      <c r="A4" s="149" t="s">
        <v>108</v>
      </c>
      <c r="B4" s="150" t="s">
        <v>111</v>
      </c>
      <c r="C4" s="151">
        <f t="shared" si="1"/>
        <v>0.06818181818</v>
      </c>
      <c r="D4" s="152">
        <f t="shared" si="2"/>
        <v>0</v>
      </c>
    </row>
    <row r="5">
      <c r="A5" s="149" t="s">
        <v>108</v>
      </c>
      <c r="B5" s="150" t="s">
        <v>112</v>
      </c>
      <c r="C5" s="151">
        <f t="shared" si="1"/>
        <v>0.06818181818</v>
      </c>
      <c r="D5" s="152">
        <f t="shared" si="2"/>
        <v>0</v>
      </c>
    </row>
    <row r="6">
      <c r="A6" s="149" t="s">
        <v>108</v>
      </c>
      <c r="B6" s="150" t="s">
        <v>113</v>
      </c>
      <c r="C6" s="151">
        <f t="shared" si="1"/>
        <v>0.06818181818</v>
      </c>
      <c r="D6" s="152">
        <f t="shared" si="2"/>
        <v>0</v>
      </c>
    </row>
    <row r="7">
      <c r="A7" s="149" t="s">
        <v>108</v>
      </c>
      <c r="B7" s="150" t="s">
        <v>114</v>
      </c>
      <c r="C7" s="151">
        <f t="shared" si="1"/>
        <v>0.06818181818</v>
      </c>
      <c r="D7" s="152">
        <f t="shared" si="2"/>
        <v>0</v>
      </c>
    </row>
    <row r="8">
      <c r="A8" s="149" t="s">
        <v>108</v>
      </c>
      <c r="B8" s="150" t="s">
        <v>115</v>
      </c>
      <c r="C8" s="151">
        <f t="shared" si="1"/>
        <v>0.06818181818</v>
      </c>
      <c r="D8" s="152">
        <f t="shared" si="2"/>
        <v>0</v>
      </c>
    </row>
    <row r="9">
      <c r="A9" s="149" t="s">
        <v>108</v>
      </c>
      <c r="B9" s="150" t="s">
        <v>116</v>
      </c>
      <c r="C9" s="151">
        <f t="shared" si="1"/>
        <v>0.06818181818</v>
      </c>
      <c r="D9" s="152">
        <f t="shared" si="2"/>
        <v>0</v>
      </c>
    </row>
    <row r="10">
      <c r="A10" s="149" t="s">
        <v>108</v>
      </c>
      <c r="B10" s="150" t="s">
        <v>117</v>
      </c>
      <c r="C10" s="151">
        <f t="shared" si="1"/>
        <v>0.06818181818</v>
      </c>
      <c r="D10" s="152">
        <f t="shared" si="2"/>
        <v>0</v>
      </c>
    </row>
    <row r="11">
      <c r="A11" s="149" t="s">
        <v>108</v>
      </c>
      <c r="B11" s="150" t="s">
        <v>118</v>
      </c>
      <c r="C11" s="151">
        <f t="shared" si="1"/>
        <v>0.06818181818</v>
      </c>
      <c r="D11" s="152">
        <f t="shared" si="2"/>
        <v>0</v>
      </c>
    </row>
    <row r="12">
      <c r="A12" s="149" t="s">
        <v>108</v>
      </c>
      <c r="B12" s="150" t="s">
        <v>119</v>
      </c>
      <c r="C12" s="151">
        <f t="shared" si="1"/>
        <v>0.06818181818</v>
      </c>
      <c r="D12" s="152">
        <f t="shared" si="2"/>
        <v>0</v>
      </c>
    </row>
    <row r="13">
      <c r="A13" s="153" t="s">
        <v>108</v>
      </c>
      <c r="B13" s="154" t="s">
        <v>14</v>
      </c>
      <c r="C13" s="155">
        <v>0.25</v>
      </c>
      <c r="D13" s="156">
        <f t="shared" si="2"/>
        <v>1</v>
      </c>
    </row>
    <row r="14">
      <c r="A14" s="157" t="s">
        <v>120</v>
      </c>
      <c r="B14" s="158" t="s">
        <v>121</v>
      </c>
      <c r="C14" s="159">
        <f t="shared" ref="C14:C23" si="3">0.75/COUNTA($B$14:$B$23)</f>
        <v>0.075</v>
      </c>
      <c r="D14" s="160">
        <f t="shared" si="2"/>
        <v>0</v>
      </c>
    </row>
    <row r="15">
      <c r="A15" s="157" t="s">
        <v>120</v>
      </c>
      <c r="B15" s="158" t="s">
        <v>122</v>
      </c>
      <c r="C15" s="159">
        <f t="shared" si="3"/>
        <v>0.075</v>
      </c>
      <c r="D15" s="160">
        <f t="shared" si="2"/>
        <v>0</v>
      </c>
    </row>
    <row r="16">
      <c r="A16" s="157" t="s">
        <v>120</v>
      </c>
      <c r="B16" s="157" t="s">
        <v>123</v>
      </c>
      <c r="C16" s="159">
        <f t="shared" si="3"/>
        <v>0.075</v>
      </c>
      <c r="D16" s="160">
        <f t="shared" si="2"/>
        <v>0</v>
      </c>
    </row>
    <row r="17">
      <c r="A17" s="157" t="s">
        <v>120</v>
      </c>
      <c r="B17" s="158" t="s">
        <v>124</v>
      </c>
      <c r="C17" s="159">
        <f t="shared" si="3"/>
        <v>0.075</v>
      </c>
      <c r="D17" s="160">
        <f t="shared" si="2"/>
        <v>0</v>
      </c>
    </row>
    <row r="18">
      <c r="A18" s="157" t="s">
        <v>120</v>
      </c>
      <c r="B18" s="158" t="s">
        <v>125</v>
      </c>
      <c r="C18" s="159">
        <f t="shared" si="3"/>
        <v>0.075</v>
      </c>
      <c r="D18" s="160">
        <f t="shared" si="2"/>
        <v>0</v>
      </c>
    </row>
    <row r="19">
      <c r="A19" s="157" t="s">
        <v>120</v>
      </c>
      <c r="B19" s="158" t="s">
        <v>126</v>
      </c>
      <c r="C19" s="159">
        <f t="shared" si="3"/>
        <v>0.075</v>
      </c>
      <c r="D19" s="160">
        <f t="shared" si="2"/>
        <v>0</v>
      </c>
    </row>
    <row r="20">
      <c r="A20" s="157" t="s">
        <v>120</v>
      </c>
      <c r="B20" s="158" t="s">
        <v>82</v>
      </c>
      <c r="C20" s="159">
        <f t="shared" si="3"/>
        <v>0.075</v>
      </c>
      <c r="D20" s="160">
        <f t="shared" si="2"/>
        <v>0</v>
      </c>
    </row>
    <row r="21">
      <c r="A21" s="157" t="s">
        <v>120</v>
      </c>
      <c r="B21" s="158" t="s">
        <v>127</v>
      </c>
      <c r="C21" s="159">
        <f t="shared" si="3"/>
        <v>0.075</v>
      </c>
      <c r="D21" s="160">
        <f t="shared" si="2"/>
        <v>0</v>
      </c>
    </row>
    <row r="22">
      <c r="A22" s="157" t="s">
        <v>120</v>
      </c>
      <c r="B22" s="158" t="s">
        <v>128</v>
      </c>
      <c r="C22" s="159">
        <f t="shared" si="3"/>
        <v>0.075</v>
      </c>
      <c r="D22" s="160">
        <f t="shared" si="2"/>
        <v>0</v>
      </c>
    </row>
    <row r="23">
      <c r="A23" s="157" t="s">
        <v>120</v>
      </c>
      <c r="B23" s="158" t="s">
        <v>129</v>
      </c>
      <c r="C23" s="159">
        <f t="shared" si="3"/>
        <v>0.075</v>
      </c>
      <c r="D23" s="160">
        <f t="shared" si="2"/>
        <v>0</v>
      </c>
    </row>
    <row r="24">
      <c r="A24" s="161" t="s">
        <v>120</v>
      </c>
      <c r="B24" s="162" t="s">
        <v>20</v>
      </c>
      <c r="C24" s="163">
        <v>0.25</v>
      </c>
      <c r="D24" s="164">
        <f t="shared" si="2"/>
        <v>1</v>
      </c>
    </row>
    <row r="25">
      <c r="A25" s="165" t="s">
        <v>130</v>
      </c>
      <c r="B25" s="166" t="s">
        <v>131</v>
      </c>
      <c r="C25" s="167">
        <f t="shared" ref="C25:C36" si="4">0.75/COUNTA($B$25:$B$36)</f>
        <v>0.0625</v>
      </c>
      <c r="D25" s="168">
        <f t="shared" si="2"/>
        <v>0</v>
      </c>
    </row>
    <row r="26">
      <c r="A26" s="165" t="s">
        <v>130</v>
      </c>
      <c r="B26" s="166" t="s">
        <v>132</v>
      </c>
      <c r="C26" s="167">
        <f t="shared" si="4"/>
        <v>0.0625</v>
      </c>
      <c r="D26" s="168">
        <f t="shared" si="2"/>
        <v>0</v>
      </c>
    </row>
    <row r="27">
      <c r="A27" s="165" t="s">
        <v>130</v>
      </c>
      <c r="B27" s="166" t="s">
        <v>133</v>
      </c>
      <c r="C27" s="167">
        <f t="shared" si="4"/>
        <v>0.0625</v>
      </c>
      <c r="D27" s="168">
        <f t="shared" si="2"/>
        <v>0</v>
      </c>
    </row>
    <row r="28">
      <c r="A28" s="165" t="s">
        <v>130</v>
      </c>
      <c r="B28" s="166" t="s">
        <v>134</v>
      </c>
      <c r="C28" s="167">
        <f t="shared" si="4"/>
        <v>0.0625</v>
      </c>
      <c r="D28" s="168">
        <f t="shared" si="2"/>
        <v>0</v>
      </c>
    </row>
    <row r="29">
      <c r="A29" s="165" t="s">
        <v>130</v>
      </c>
      <c r="B29" s="166" t="s">
        <v>135</v>
      </c>
      <c r="C29" s="167">
        <f t="shared" si="4"/>
        <v>0.0625</v>
      </c>
      <c r="D29" s="168">
        <f t="shared" si="2"/>
        <v>0</v>
      </c>
    </row>
    <row r="30">
      <c r="A30" s="165" t="s">
        <v>130</v>
      </c>
      <c r="B30" s="166" t="s">
        <v>136</v>
      </c>
      <c r="C30" s="167">
        <f t="shared" si="4"/>
        <v>0.0625</v>
      </c>
      <c r="D30" s="168">
        <f t="shared" si="2"/>
        <v>0</v>
      </c>
    </row>
    <row r="31">
      <c r="A31" s="165" t="s">
        <v>130</v>
      </c>
      <c r="B31" s="166" t="s">
        <v>137</v>
      </c>
      <c r="C31" s="167">
        <f t="shared" si="4"/>
        <v>0.0625</v>
      </c>
      <c r="D31" s="168">
        <f t="shared" si="2"/>
        <v>0</v>
      </c>
    </row>
    <row r="32">
      <c r="A32" s="165" t="s">
        <v>130</v>
      </c>
      <c r="B32" s="166" t="s">
        <v>138</v>
      </c>
      <c r="C32" s="167">
        <f t="shared" si="4"/>
        <v>0.0625</v>
      </c>
      <c r="D32" s="168">
        <f t="shared" si="2"/>
        <v>0</v>
      </c>
    </row>
    <row r="33">
      <c r="A33" s="165" t="s">
        <v>130</v>
      </c>
      <c r="B33" s="166" t="s">
        <v>139</v>
      </c>
      <c r="C33" s="167">
        <f t="shared" si="4"/>
        <v>0.0625</v>
      </c>
      <c r="D33" s="168">
        <f t="shared" si="2"/>
        <v>0</v>
      </c>
    </row>
    <row r="34">
      <c r="A34" s="165" t="s">
        <v>130</v>
      </c>
      <c r="B34" s="166" t="s">
        <v>140</v>
      </c>
      <c r="C34" s="167">
        <f t="shared" si="4"/>
        <v>0.0625</v>
      </c>
      <c r="D34" s="168">
        <f t="shared" si="2"/>
        <v>0</v>
      </c>
    </row>
    <row r="35">
      <c r="A35" s="165" t="s">
        <v>130</v>
      </c>
      <c r="B35" s="166" t="s">
        <v>141</v>
      </c>
      <c r="C35" s="167">
        <f t="shared" si="4"/>
        <v>0.0625</v>
      </c>
      <c r="D35" s="168">
        <f t="shared" si="2"/>
        <v>0</v>
      </c>
    </row>
    <row r="36">
      <c r="A36" s="165" t="s">
        <v>130</v>
      </c>
      <c r="B36" s="166" t="s">
        <v>142</v>
      </c>
      <c r="C36" s="167">
        <f t="shared" si="4"/>
        <v>0.0625</v>
      </c>
      <c r="D36" s="168">
        <f t="shared" si="2"/>
        <v>0</v>
      </c>
    </row>
    <row r="37">
      <c r="A37" s="169" t="s">
        <v>130</v>
      </c>
      <c r="B37" s="170" t="s">
        <v>25</v>
      </c>
      <c r="C37" s="171">
        <v>0.25</v>
      </c>
      <c r="D37" s="172">
        <f t="shared" si="2"/>
        <v>1</v>
      </c>
    </row>
    <row r="38">
      <c r="A38" s="173" t="s">
        <v>143</v>
      </c>
      <c r="B38" s="174" t="s">
        <v>144</v>
      </c>
      <c r="C38" s="175">
        <f t="shared" ref="C38:C48" si="5">0.75/COUNTA($B$38:$B$48)</f>
        <v>0.06818181818</v>
      </c>
      <c r="D38" s="176">
        <f t="shared" si="2"/>
        <v>0</v>
      </c>
    </row>
    <row r="39">
      <c r="A39" s="173" t="s">
        <v>143</v>
      </c>
      <c r="B39" s="174" t="s">
        <v>145</v>
      </c>
      <c r="C39" s="175">
        <f t="shared" si="5"/>
        <v>0.06818181818</v>
      </c>
      <c r="D39" s="176">
        <f t="shared" si="2"/>
        <v>0</v>
      </c>
    </row>
    <row r="40">
      <c r="A40" s="173" t="s">
        <v>143</v>
      </c>
      <c r="B40" s="174" t="s">
        <v>146</v>
      </c>
      <c r="C40" s="175">
        <f t="shared" si="5"/>
        <v>0.06818181818</v>
      </c>
      <c r="D40" s="176">
        <f t="shared" si="2"/>
        <v>0</v>
      </c>
    </row>
    <row r="41">
      <c r="A41" s="173" t="s">
        <v>143</v>
      </c>
      <c r="B41" s="174" t="s">
        <v>147</v>
      </c>
      <c r="C41" s="175">
        <f t="shared" si="5"/>
        <v>0.06818181818</v>
      </c>
      <c r="D41" s="176">
        <f t="shared" si="2"/>
        <v>0</v>
      </c>
    </row>
    <row r="42">
      <c r="A42" s="173" t="s">
        <v>143</v>
      </c>
      <c r="B42" s="174" t="s">
        <v>148</v>
      </c>
      <c r="C42" s="175">
        <f t="shared" si="5"/>
        <v>0.06818181818</v>
      </c>
      <c r="D42" s="176">
        <f t="shared" si="2"/>
        <v>0</v>
      </c>
    </row>
    <row r="43">
      <c r="A43" s="173" t="s">
        <v>143</v>
      </c>
      <c r="B43" s="174" t="s">
        <v>149</v>
      </c>
      <c r="C43" s="175">
        <f t="shared" si="5"/>
        <v>0.06818181818</v>
      </c>
      <c r="D43" s="176">
        <f t="shared" si="2"/>
        <v>0</v>
      </c>
    </row>
    <row r="44">
      <c r="A44" s="173" t="s">
        <v>143</v>
      </c>
      <c r="B44" s="174" t="s">
        <v>150</v>
      </c>
      <c r="C44" s="175">
        <f t="shared" si="5"/>
        <v>0.06818181818</v>
      </c>
      <c r="D44" s="176">
        <f t="shared" si="2"/>
        <v>0</v>
      </c>
    </row>
    <row r="45">
      <c r="A45" s="173" t="s">
        <v>143</v>
      </c>
      <c r="B45" s="174" t="s">
        <v>151</v>
      </c>
      <c r="C45" s="175">
        <f t="shared" si="5"/>
        <v>0.06818181818</v>
      </c>
      <c r="D45" s="176">
        <f t="shared" si="2"/>
        <v>0</v>
      </c>
    </row>
    <row r="46">
      <c r="A46" s="173" t="s">
        <v>143</v>
      </c>
      <c r="B46" s="174" t="s">
        <v>152</v>
      </c>
      <c r="C46" s="175">
        <f t="shared" si="5"/>
        <v>0.06818181818</v>
      </c>
      <c r="D46" s="176">
        <f t="shared" si="2"/>
        <v>0</v>
      </c>
    </row>
    <row r="47">
      <c r="A47" s="173" t="s">
        <v>143</v>
      </c>
      <c r="B47" s="174" t="s">
        <v>153</v>
      </c>
      <c r="C47" s="175">
        <f t="shared" si="5"/>
        <v>0.06818181818</v>
      </c>
      <c r="D47" s="176">
        <f t="shared" si="2"/>
        <v>0</v>
      </c>
    </row>
    <row r="48">
      <c r="A48" s="173" t="s">
        <v>143</v>
      </c>
      <c r="B48" s="174" t="s">
        <v>154</v>
      </c>
      <c r="C48" s="175">
        <f t="shared" si="5"/>
        <v>0.06818181818</v>
      </c>
      <c r="D48" s="176">
        <f t="shared" si="2"/>
        <v>0</v>
      </c>
    </row>
    <row r="49">
      <c r="A49" s="177" t="s">
        <v>143</v>
      </c>
      <c r="B49" s="178" t="s">
        <v>31</v>
      </c>
      <c r="C49" s="179">
        <v>0.25</v>
      </c>
      <c r="D49" s="180">
        <f t="shared" si="2"/>
        <v>1</v>
      </c>
    </row>
    <row r="50">
      <c r="A50" s="181" t="s">
        <v>155</v>
      </c>
      <c r="B50" s="181" t="s">
        <v>156</v>
      </c>
      <c r="C50" s="182">
        <v>0.25</v>
      </c>
      <c r="D50" s="183">
        <f t="shared" si="2"/>
        <v>1</v>
      </c>
    </row>
    <row r="51">
      <c r="A51" s="181" t="s">
        <v>155</v>
      </c>
      <c r="B51" s="184" t="s">
        <v>157</v>
      </c>
      <c r="C51" s="182">
        <v>0.25</v>
      </c>
      <c r="D51" s="183">
        <f t="shared" si="2"/>
        <v>1</v>
      </c>
    </row>
    <row r="52">
      <c r="A52" s="181" t="s">
        <v>155</v>
      </c>
      <c r="B52" s="181" t="s">
        <v>158</v>
      </c>
      <c r="C52" s="182">
        <v>0.25</v>
      </c>
      <c r="D52" s="183">
        <f t="shared" si="2"/>
        <v>1</v>
      </c>
    </row>
    <row r="53">
      <c r="A53" s="185" t="s">
        <v>155</v>
      </c>
      <c r="B53" s="186" t="s">
        <v>159</v>
      </c>
      <c r="C53" s="187">
        <v>0.25</v>
      </c>
      <c r="D53" s="188">
        <f t="shared" si="2"/>
        <v>1</v>
      </c>
    </row>
    <row r="54">
      <c r="C54" s="189"/>
    </row>
    <row r="55">
      <c r="C55" s="189"/>
    </row>
    <row r="56">
      <c r="C56" s="189"/>
    </row>
    <row r="57">
      <c r="C57" s="189"/>
    </row>
    <row r="58">
      <c r="C58" s="189"/>
    </row>
    <row r="59">
      <c r="C59" s="189"/>
    </row>
    <row r="60">
      <c r="C60" s="189"/>
    </row>
    <row r="61">
      <c r="C61" s="189"/>
    </row>
    <row r="62">
      <c r="C62" s="189"/>
    </row>
    <row r="63">
      <c r="C63" s="189"/>
    </row>
    <row r="64">
      <c r="C64" s="189"/>
    </row>
    <row r="65">
      <c r="C65" s="189"/>
    </row>
    <row r="66">
      <c r="C66" s="189"/>
    </row>
    <row r="67">
      <c r="C67" s="189"/>
    </row>
    <row r="68">
      <c r="C68" s="189"/>
    </row>
    <row r="69">
      <c r="C69" s="189"/>
    </row>
    <row r="70">
      <c r="C70" s="189"/>
    </row>
    <row r="71">
      <c r="C71" s="189"/>
    </row>
    <row r="72">
      <c r="C72" s="189"/>
    </row>
    <row r="73">
      <c r="C73" s="189"/>
    </row>
    <row r="74">
      <c r="C74" s="189"/>
    </row>
    <row r="75">
      <c r="C75" s="189"/>
    </row>
    <row r="76">
      <c r="C76" s="189"/>
    </row>
    <row r="77">
      <c r="C77" s="189"/>
    </row>
    <row r="78">
      <c r="C78" s="189"/>
    </row>
    <row r="79">
      <c r="C79" s="189"/>
    </row>
    <row r="80">
      <c r="C80" s="189"/>
    </row>
    <row r="81">
      <c r="C81" s="189"/>
    </row>
    <row r="82">
      <c r="C82" s="189"/>
    </row>
    <row r="83">
      <c r="C83" s="189"/>
    </row>
    <row r="84">
      <c r="C84" s="189"/>
    </row>
    <row r="85">
      <c r="C85" s="189"/>
    </row>
    <row r="86">
      <c r="C86" s="189"/>
    </row>
    <row r="87">
      <c r="C87" s="189"/>
    </row>
    <row r="88">
      <c r="C88" s="189"/>
    </row>
    <row r="89">
      <c r="C89" s="189"/>
    </row>
    <row r="90">
      <c r="C90" s="189"/>
    </row>
    <row r="91">
      <c r="C91" s="189"/>
    </row>
    <row r="92">
      <c r="C92" s="189"/>
    </row>
    <row r="93">
      <c r="C93" s="189"/>
    </row>
    <row r="94">
      <c r="C94" s="189"/>
    </row>
    <row r="95">
      <c r="C95" s="189"/>
    </row>
    <row r="96">
      <c r="C96" s="189"/>
    </row>
    <row r="97">
      <c r="C97" s="189"/>
    </row>
    <row r="98">
      <c r="C98" s="189"/>
    </row>
    <row r="99">
      <c r="C99" s="189"/>
    </row>
    <row r="100">
      <c r="C100" s="189"/>
    </row>
    <row r="101">
      <c r="C101" s="189"/>
    </row>
    <row r="102">
      <c r="C102" s="189"/>
    </row>
    <row r="103">
      <c r="C103" s="189"/>
    </row>
    <row r="104">
      <c r="C104" s="189"/>
    </row>
    <row r="105">
      <c r="C105" s="189"/>
    </row>
    <row r="106">
      <c r="C106" s="189"/>
    </row>
    <row r="107">
      <c r="C107" s="189"/>
    </row>
    <row r="108">
      <c r="C108" s="189"/>
    </row>
    <row r="109">
      <c r="C109" s="189"/>
    </row>
    <row r="110">
      <c r="C110" s="189"/>
    </row>
    <row r="111">
      <c r="C111" s="189"/>
    </row>
    <row r="112">
      <c r="C112" s="189"/>
    </row>
    <row r="113">
      <c r="C113" s="189"/>
    </row>
    <row r="114">
      <c r="C114" s="189"/>
    </row>
    <row r="115">
      <c r="C115" s="189"/>
    </row>
    <row r="116">
      <c r="C116" s="189"/>
    </row>
    <row r="117">
      <c r="C117" s="189"/>
    </row>
    <row r="118">
      <c r="C118" s="189"/>
    </row>
    <row r="119">
      <c r="C119" s="189"/>
    </row>
    <row r="120">
      <c r="C120" s="189"/>
    </row>
    <row r="121">
      <c r="C121" s="189"/>
    </row>
    <row r="122">
      <c r="C122" s="189"/>
    </row>
    <row r="123">
      <c r="C123" s="189"/>
    </row>
    <row r="124">
      <c r="C124" s="189"/>
    </row>
    <row r="125">
      <c r="C125" s="189"/>
    </row>
    <row r="126">
      <c r="C126" s="189"/>
    </row>
    <row r="127">
      <c r="C127" s="189"/>
    </row>
    <row r="128">
      <c r="C128" s="189"/>
    </row>
    <row r="129">
      <c r="C129" s="189"/>
    </row>
    <row r="130">
      <c r="C130" s="189"/>
    </row>
    <row r="131">
      <c r="C131" s="189"/>
    </row>
    <row r="132">
      <c r="C132" s="189"/>
    </row>
    <row r="133">
      <c r="C133" s="189"/>
    </row>
    <row r="134">
      <c r="C134" s="189"/>
    </row>
    <row r="135">
      <c r="C135" s="189"/>
    </row>
    <row r="136">
      <c r="C136" s="189"/>
    </row>
    <row r="137">
      <c r="C137" s="189"/>
    </row>
    <row r="138">
      <c r="C138" s="189"/>
    </row>
    <row r="139">
      <c r="C139" s="189"/>
    </row>
    <row r="140">
      <c r="C140" s="189"/>
    </row>
    <row r="141">
      <c r="C141" s="189"/>
    </row>
    <row r="142">
      <c r="C142" s="189"/>
    </row>
    <row r="143">
      <c r="C143" s="189"/>
    </row>
    <row r="144">
      <c r="C144" s="189"/>
    </row>
    <row r="145">
      <c r="C145" s="189"/>
    </row>
    <row r="146">
      <c r="C146" s="189"/>
    </row>
    <row r="147">
      <c r="C147" s="189"/>
    </row>
    <row r="148">
      <c r="C148" s="189"/>
    </row>
    <row r="149">
      <c r="C149" s="189"/>
    </row>
    <row r="150">
      <c r="C150" s="189"/>
    </row>
    <row r="151">
      <c r="C151" s="189"/>
    </row>
    <row r="152">
      <c r="C152" s="189"/>
    </row>
    <row r="153">
      <c r="C153" s="189"/>
    </row>
    <row r="154">
      <c r="C154" s="189"/>
    </row>
    <row r="155">
      <c r="C155" s="189"/>
    </row>
    <row r="156">
      <c r="C156" s="189"/>
    </row>
    <row r="157">
      <c r="C157" s="189"/>
    </row>
    <row r="158">
      <c r="C158" s="189"/>
    </row>
    <row r="159">
      <c r="C159" s="189"/>
    </row>
    <row r="160">
      <c r="C160" s="189"/>
    </row>
    <row r="161">
      <c r="C161" s="189"/>
    </row>
    <row r="162">
      <c r="C162" s="189"/>
    </row>
    <row r="163">
      <c r="C163" s="189"/>
    </row>
    <row r="164">
      <c r="C164" s="189"/>
    </row>
    <row r="165">
      <c r="C165" s="189"/>
    </row>
    <row r="166">
      <c r="C166" s="189"/>
    </row>
    <row r="167">
      <c r="C167" s="189"/>
    </row>
    <row r="168">
      <c r="C168" s="189"/>
    </row>
    <row r="169">
      <c r="C169" s="189"/>
    </row>
    <row r="170">
      <c r="C170" s="189"/>
    </row>
    <row r="171">
      <c r="C171" s="189"/>
    </row>
    <row r="172">
      <c r="C172" s="189"/>
    </row>
    <row r="173">
      <c r="C173" s="189"/>
    </row>
    <row r="174">
      <c r="C174" s="189"/>
    </row>
    <row r="175">
      <c r="C175" s="189"/>
    </row>
    <row r="176">
      <c r="C176" s="189"/>
    </row>
    <row r="177">
      <c r="C177" s="189"/>
    </row>
    <row r="178">
      <c r="C178" s="189"/>
    </row>
    <row r="179">
      <c r="C179" s="189"/>
    </row>
    <row r="180">
      <c r="C180" s="189"/>
    </row>
    <row r="181">
      <c r="C181" s="189"/>
    </row>
    <row r="182">
      <c r="C182" s="189"/>
    </row>
    <row r="183">
      <c r="C183" s="189"/>
    </row>
    <row r="184">
      <c r="C184" s="189"/>
    </row>
    <row r="185">
      <c r="C185" s="189"/>
    </row>
    <row r="186">
      <c r="C186" s="189"/>
    </row>
    <row r="187">
      <c r="C187" s="189"/>
    </row>
    <row r="188">
      <c r="C188" s="189"/>
    </row>
    <row r="189">
      <c r="C189" s="189"/>
    </row>
    <row r="190">
      <c r="C190" s="189"/>
    </row>
    <row r="191">
      <c r="C191" s="189"/>
    </row>
    <row r="192">
      <c r="C192" s="189"/>
    </row>
    <row r="193">
      <c r="C193" s="189"/>
    </row>
    <row r="194">
      <c r="C194" s="189"/>
    </row>
    <row r="195">
      <c r="C195" s="189"/>
    </row>
    <row r="196">
      <c r="C196" s="189"/>
    </row>
    <row r="197">
      <c r="C197" s="189"/>
    </row>
    <row r="198">
      <c r="C198" s="189"/>
    </row>
    <row r="199">
      <c r="C199" s="189"/>
    </row>
    <row r="200">
      <c r="C200" s="189"/>
    </row>
    <row r="201">
      <c r="C201" s="189"/>
    </row>
    <row r="202">
      <c r="C202" s="189"/>
    </row>
    <row r="203">
      <c r="C203" s="189"/>
    </row>
    <row r="204">
      <c r="C204" s="189"/>
    </row>
    <row r="205">
      <c r="C205" s="189"/>
    </row>
    <row r="206">
      <c r="C206" s="189"/>
    </row>
    <row r="207">
      <c r="C207" s="189"/>
    </row>
    <row r="208">
      <c r="C208" s="189"/>
    </row>
    <row r="209">
      <c r="C209" s="189"/>
    </row>
    <row r="210">
      <c r="C210" s="189"/>
    </row>
    <row r="211">
      <c r="C211" s="189"/>
    </row>
    <row r="212">
      <c r="C212" s="189"/>
    </row>
    <row r="213">
      <c r="C213" s="189"/>
    </row>
    <row r="214">
      <c r="C214" s="189"/>
    </row>
    <row r="215">
      <c r="C215" s="189"/>
    </row>
    <row r="216">
      <c r="C216" s="189"/>
    </row>
    <row r="217">
      <c r="C217" s="189"/>
    </row>
    <row r="218">
      <c r="C218" s="189"/>
    </row>
    <row r="219">
      <c r="C219" s="189"/>
    </row>
    <row r="220">
      <c r="C220" s="189"/>
    </row>
    <row r="221">
      <c r="C221" s="189"/>
    </row>
    <row r="222">
      <c r="C222" s="189"/>
    </row>
    <row r="223">
      <c r="C223" s="189"/>
    </row>
    <row r="224">
      <c r="C224" s="189"/>
    </row>
    <row r="225">
      <c r="C225" s="189"/>
    </row>
    <row r="226">
      <c r="C226" s="189"/>
    </row>
    <row r="227">
      <c r="C227" s="189"/>
    </row>
    <row r="228">
      <c r="C228" s="189"/>
    </row>
    <row r="229">
      <c r="C229" s="189"/>
    </row>
    <row r="230">
      <c r="C230" s="189"/>
    </row>
    <row r="231">
      <c r="C231" s="189"/>
    </row>
    <row r="232">
      <c r="C232" s="189"/>
    </row>
    <row r="233">
      <c r="C233" s="189"/>
    </row>
    <row r="234">
      <c r="C234" s="189"/>
    </row>
    <row r="235">
      <c r="C235" s="189"/>
    </row>
    <row r="236">
      <c r="C236" s="189"/>
    </row>
    <row r="237">
      <c r="C237" s="189"/>
    </row>
    <row r="238">
      <c r="C238" s="189"/>
    </row>
    <row r="239">
      <c r="C239" s="189"/>
    </row>
    <row r="240">
      <c r="C240" s="189"/>
    </row>
    <row r="241">
      <c r="C241" s="189"/>
    </row>
    <row r="242">
      <c r="C242" s="189"/>
    </row>
    <row r="243">
      <c r="C243" s="189"/>
    </row>
    <row r="244">
      <c r="C244" s="189"/>
    </row>
    <row r="245">
      <c r="C245" s="189"/>
    </row>
    <row r="246">
      <c r="C246" s="189"/>
    </row>
    <row r="247">
      <c r="C247" s="189"/>
    </row>
    <row r="248">
      <c r="C248" s="189"/>
    </row>
    <row r="249">
      <c r="C249" s="189"/>
    </row>
    <row r="250">
      <c r="C250" s="189"/>
    </row>
    <row r="251">
      <c r="C251" s="189"/>
    </row>
    <row r="252">
      <c r="C252" s="189"/>
    </row>
    <row r="253">
      <c r="C253" s="189"/>
    </row>
    <row r="254">
      <c r="C254" s="189"/>
    </row>
    <row r="255">
      <c r="C255" s="189"/>
    </row>
    <row r="256">
      <c r="C256" s="189"/>
    </row>
    <row r="257">
      <c r="C257" s="189"/>
    </row>
    <row r="258">
      <c r="C258" s="189"/>
    </row>
    <row r="259">
      <c r="C259" s="189"/>
    </row>
    <row r="260">
      <c r="C260" s="189"/>
    </row>
    <row r="261">
      <c r="C261" s="189"/>
    </row>
    <row r="262">
      <c r="C262" s="189"/>
    </row>
    <row r="263">
      <c r="C263" s="189"/>
    </row>
    <row r="264">
      <c r="C264" s="189"/>
    </row>
    <row r="265">
      <c r="C265" s="189"/>
    </row>
    <row r="266">
      <c r="C266" s="189"/>
    </row>
    <row r="267">
      <c r="C267" s="189"/>
    </row>
    <row r="268">
      <c r="C268" s="189"/>
    </row>
    <row r="269">
      <c r="C269" s="189"/>
    </row>
    <row r="270">
      <c r="C270" s="189"/>
    </row>
    <row r="271">
      <c r="C271" s="189"/>
    </row>
    <row r="272">
      <c r="C272" s="189"/>
    </row>
    <row r="273">
      <c r="C273" s="189"/>
    </row>
    <row r="274">
      <c r="C274" s="189"/>
    </row>
    <row r="275">
      <c r="C275" s="189"/>
    </row>
    <row r="276">
      <c r="C276" s="189"/>
    </row>
    <row r="277">
      <c r="C277" s="189"/>
    </row>
    <row r="278">
      <c r="C278" s="189"/>
    </row>
    <row r="279">
      <c r="C279" s="189"/>
    </row>
    <row r="280">
      <c r="C280" s="189"/>
    </row>
    <row r="281">
      <c r="C281" s="189"/>
    </row>
    <row r="282">
      <c r="C282" s="189"/>
    </row>
    <row r="283">
      <c r="C283" s="189"/>
    </row>
    <row r="284">
      <c r="C284" s="189"/>
    </row>
    <row r="285">
      <c r="C285" s="189"/>
    </row>
    <row r="286">
      <c r="C286" s="189"/>
    </row>
    <row r="287">
      <c r="C287" s="189"/>
    </row>
    <row r="288">
      <c r="C288" s="189"/>
    </row>
    <row r="289">
      <c r="C289" s="189"/>
    </row>
    <row r="290">
      <c r="C290" s="189"/>
    </row>
    <row r="291">
      <c r="C291" s="189"/>
    </row>
    <row r="292">
      <c r="C292" s="189"/>
    </row>
    <row r="293">
      <c r="C293" s="189"/>
    </row>
    <row r="294">
      <c r="C294" s="189"/>
    </row>
    <row r="295">
      <c r="C295" s="189"/>
    </row>
    <row r="296">
      <c r="C296" s="189"/>
    </row>
    <row r="297">
      <c r="C297" s="189"/>
    </row>
    <row r="298">
      <c r="C298" s="189"/>
    </row>
    <row r="299">
      <c r="C299" s="189"/>
    </row>
    <row r="300">
      <c r="C300" s="189"/>
    </row>
    <row r="301">
      <c r="C301" s="189"/>
    </row>
    <row r="302">
      <c r="C302" s="189"/>
    </row>
    <row r="303">
      <c r="C303" s="189"/>
    </row>
    <row r="304">
      <c r="C304" s="189"/>
    </row>
    <row r="305">
      <c r="C305" s="189"/>
    </row>
    <row r="306">
      <c r="C306" s="189"/>
    </row>
    <row r="307">
      <c r="C307" s="189"/>
    </row>
    <row r="308">
      <c r="C308" s="189"/>
    </row>
    <row r="309">
      <c r="C309" s="189"/>
    </row>
    <row r="310">
      <c r="C310" s="189"/>
    </row>
    <row r="311">
      <c r="C311" s="189"/>
    </row>
    <row r="312">
      <c r="C312" s="189"/>
    </row>
    <row r="313">
      <c r="C313" s="189"/>
    </row>
    <row r="314">
      <c r="C314" s="189"/>
    </row>
    <row r="315">
      <c r="C315" s="189"/>
    </row>
    <row r="316">
      <c r="C316" s="189"/>
    </row>
    <row r="317">
      <c r="C317" s="189"/>
    </row>
    <row r="318">
      <c r="C318" s="189"/>
    </row>
    <row r="319">
      <c r="C319" s="189"/>
    </row>
    <row r="320">
      <c r="C320" s="189"/>
    </row>
    <row r="321">
      <c r="C321" s="189"/>
    </row>
    <row r="322">
      <c r="C322" s="189"/>
    </row>
    <row r="323">
      <c r="C323" s="189"/>
    </row>
    <row r="324">
      <c r="C324" s="189"/>
    </row>
    <row r="325">
      <c r="C325" s="189"/>
    </row>
    <row r="326">
      <c r="C326" s="189"/>
    </row>
    <row r="327">
      <c r="C327" s="189"/>
    </row>
    <row r="328">
      <c r="C328" s="189"/>
    </row>
    <row r="329">
      <c r="C329" s="189"/>
    </row>
    <row r="330">
      <c r="C330" s="189"/>
    </row>
    <row r="331">
      <c r="C331" s="189"/>
    </row>
    <row r="332">
      <c r="C332" s="189"/>
    </row>
    <row r="333">
      <c r="C333" s="189"/>
    </row>
    <row r="334">
      <c r="C334" s="189"/>
    </row>
    <row r="335">
      <c r="C335" s="189"/>
    </row>
    <row r="336">
      <c r="C336" s="189"/>
    </row>
    <row r="337">
      <c r="C337" s="189"/>
    </row>
    <row r="338">
      <c r="C338" s="189"/>
    </row>
    <row r="339">
      <c r="C339" s="189"/>
    </row>
    <row r="340">
      <c r="C340" s="189"/>
    </row>
    <row r="341">
      <c r="C341" s="189"/>
    </row>
    <row r="342">
      <c r="C342" s="189"/>
    </row>
    <row r="343">
      <c r="C343" s="189"/>
    </row>
    <row r="344">
      <c r="C344" s="189"/>
    </row>
    <row r="345">
      <c r="C345" s="189"/>
    </row>
    <row r="346">
      <c r="C346" s="189"/>
    </row>
    <row r="347">
      <c r="C347" s="189"/>
    </row>
    <row r="348">
      <c r="C348" s="189"/>
    </row>
    <row r="349">
      <c r="C349" s="189"/>
    </row>
    <row r="350">
      <c r="C350" s="189"/>
    </row>
    <row r="351">
      <c r="C351" s="189"/>
    </row>
    <row r="352">
      <c r="C352" s="189"/>
    </row>
    <row r="353">
      <c r="C353" s="189"/>
    </row>
    <row r="354">
      <c r="C354" s="189"/>
    </row>
    <row r="355">
      <c r="C355" s="189"/>
    </row>
    <row r="356">
      <c r="C356" s="189"/>
    </row>
    <row r="357">
      <c r="C357" s="189"/>
    </row>
    <row r="358">
      <c r="C358" s="189"/>
    </row>
    <row r="359">
      <c r="C359" s="189"/>
    </row>
    <row r="360">
      <c r="C360" s="189"/>
    </row>
    <row r="361">
      <c r="C361" s="189"/>
    </row>
    <row r="362">
      <c r="C362" s="189"/>
    </row>
    <row r="363">
      <c r="C363" s="189"/>
    </row>
    <row r="364">
      <c r="C364" s="189"/>
    </row>
    <row r="365">
      <c r="C365" s="189"/>
    </row>
    <row r="366">
      <c r="C366" s="189"/>
    </row>
    <row r="367">
      <c r="C367" s="189"/>
    </row>
    <row r="368">
      <c r="C368" s="189"/>
    </row>
    <row r="369">
      <c r="C369" s="189"/>
    </row>
    <row r="370">
      <c r="C370" s="189"/>
    </row>
    <row r="371">
      <c r="C371" s="189"/>
    </row>
    <row r="372">
      <c r="C372" s="189"/>
    </row>
    <row r="373">
      <c r="C373" s="189"/>
    </row>
    <row r="374">
      <c r="C374" s="189"/>
    </row>
    <row r="375">
      <c r="C375" s="189"/>
    </row>
    <row r="376">
      <c r="C376" s="189"/>
    </row>
    <row r="377">
      <c r="C377" s="189"/>
    </row>
    <row r="378">
      <c r="C378" s="189"/>
    </row>
    <row r="379">
      <c r="C379" s="189"/>
    </row>
    <row r="380">
      <c r="C380" s="189"/>
    </row>
    <row r="381">
      <c r="C381" s="189"/>
    </row>
    <row r="382">
      <c r="C382" s="189"/>
    </row>
    <row r="383">
      <c r="C383" s="189"/>
    </row>
    <row r="384">
      <c r="C384" s="189"/>
    </row>
    <row r="385">
      <c r="C385" s="189"/>
    </row>
    <row r="386">
      <c r="C386" s="189"/>
    </row>
    <row r="387">
      <c r="C387" s="189"/>
    </row>
    <row r="388">
      <c r="C388" s="189"/>
    </row>
    <row r="389">
      <c r="C389" s="189"/>
    </row>
    <row r="390">
      <c r="C390" s="189"/>
    </row>
    <row r="391">
      <c r="C391" s="189"/>
    </row>
    <row r="392">
      <c r="C392" s="189"/>
    </row>
    <row r="393">
      <c r="C393" s="189"/>
    </row>
    <row r="394">
      <c r="C394" s="189"/>
    </row>
    <row r="395">
      <c r="C395" s="189"/>
    </row>
    <row r="396">
      <c r="C396" s="189"/>
    </row>
    <row r="397">
      <c r="C397" s="189"/>
    </row>
    <row r="398">
      <c r="C398" s="189"/>
    </row>
    <row r="399">
      <c r="C399" s="189"/>
    </row>
    <row r="400">
      <c r="C400" s="189"/>
    </row>
    <row r="401">
      <c r="C401" s="189"/>
    </row>
    <row r="402">
      <c r="C402" s="189"/>
    </row>
    <row r="403">
      <c r="C403" s="189"/>
    </row>
    <row r="404">
      <c r="C404" s="189"/>
    </row>
    <row r="405">
      <c r="C405" s="189"/>
    </row>
    <row r="406">
      <c r="C406" s="189"/>
    </row>
    <row r="407">
      <c r="C407" s="189"/>
    </row>
    <row r="408">
      <c r="C408" s="189"/>
    </row>
    <row r="409">
      <c r="C409" s="189"/>
    </row>
    <row r="410">
      <c r="C410" s="189"/>
    </row>
    <row r="411">
      <c r="C411" s="189"/>
    </row>
    <row r="412">
      <c r="C412" s="189"/>
    </row>
    <row r="413">
      <c r="C413" s="189"/>
    </row>
    <row r="414">
      <c r="C414" s="189"/>
    </row>
    <row r="415">
      <c r="C415" s="189"/>
    </row>
    <row r="416">
      <c r="C416" s="189"/>
    </row>
    <row r="417">
      <c r="C417" s="189"/>
    </row>
    <row r="418">
      <c r="C418" s="189"/>
    </row>
    <row r="419">
      <c r="C419" s="189"/>
    </row>
    <row r="420">
      <c r="C420" s="189"/>
    </row>
    <row r="421">
      <c r="C421" s="189"/>
    </row>
    <row r="422">
      <c r="C422" s="189"/>
    </row>
    <row r="423">
      <c r="C423" s="189"/>
    </row>
    <row r="424">
      <c r="C424" s="189"/>
    </row>
    <row r="425">
      <c r="C425" s="189"/>
    </row>
    <row r="426">
      <c r="C426" s="189"/>
    </row>
    <row r="427">
      <c r="C427" s="189"/>
    </row>
    <row r="428">
      <c r="C428" s="189"/>
    </row>
    <row r="429">
      <c r="C429" s="189"/>
    </row>
    <row r="430">
      <c r="C430" s="189"/>
    </row>
    <row r="431">
      <c r="C431" s="189"/>
    </row>
    <row r="432">
      <c r="C432" s="189"/>
    </row>
    <row r="433">
      <c r="C433" s="189"/>
    </row>
    <row r="434">
      <c r="C434" s="189"/>
    </row>
    <row r="435">
      <c r="C435" s="189"/>
    </row>
    <row r="436">
      <c r="C436" s="189"/>
    </row>
    <row r="437">
      <c r="C437" s="189"/>
    </row>
    <row r="438">
      <c r="C438" s="189"/>
    </row>
    <row r="439">
      <c r="C439" s="189"/>
    </row>
    <row r="440">
      <c r="C440" s="189"/>
    </row>
    <row r="441">
      <c r="C441" s="189"/>
    </row>
    <row r="442">
      <c r="C442" s="189"/>
    </row>
    <row r="443">
      <c r="C443" s="189"/>
    </row>
    <row r="444">
      <c r="C444" s="189"/>
    </row>
    <row r="445">
      <c r="C445" s="189"/>
    </row>
    <row r="446">
      <c r="C446" s="189"/>
    </row>
    <row r="447">
      <c r="C447" s="189"/>
    </row>
    <row r="448">
      <c r="C448" s="189"/>
    </row>
    <row r="449">
      <c r="C449" s="189"/>
    </row>
    <row r="450">
      <c r="C450" s="189"/>
    </row>
    <row r="451">
      <c r="C451" s="189"/>
    </row>
    <row r="452">
      <c r="C452" s="189"/>
    </row>
    <row r="453">
      <c r="C453" s="189"/>
    </row>
    <row r="454">
      <c r="C454" s="189"/>
    </row>
    <row r="455">
      <c r="C455" s="189"/>
    </row>
    <row r="456">
      <c r="C456" s="189"/>
    </row>
    <row r="457">
      <c r="C457" s="189"/>
    </row>
    <row r="458">
      <c r="C458" s="189"/>
    </row>
    <row r="459">
      <c r="C459" s="189"/>
    </row>
    <row r="460">
      <c r="C460" s="189"/>
    </row>
    <row r="461">
      <c r="C461" s="189"/>
    </row>
    <row r="462">
      <c r="C462" s="189"/>
    </row>
    <row r="463">
      <c r="C463" s="189"/>
    </row>
    <row r="464">
      <c r="C464" s="189"/>
    </row>
    <row r="465">
      <c r="C465" s="189"/>
    </row>
    <row r="466">
      <c r="C466" s="189"/>
    </row>
    <row r="467">
      <c r="C467" s="189"/>
    </row>
    <row r="468">
      <c r="C468" s="189"/>
    </row>
    <row r="469">
      <c r="C469" s="189"/>
    </row>
    <row r="470">
      <c r="C470" s="189"/>
    </row>
    <row r="471">
      <c r="C471" s="189"/>
    </row>
    <row r="472">
      <c r="C472" s="189"/>
    </row>
    <row r="473">
      <c r="C473" s="189"/>
    </row>
    <row r="474">
      <c r="C474" s="189"/>
    </row>
    <row r="475">
      <c r="C475" s="189"/>
    </row>
    <row r="476">
      <c r="C476" s="189"/>
    </row>
    <row r="477">
      <c r="C477" s="189"/>
    </row>
    <row r="478">
      <c r="C478" s="189"/>
    </row>
    <row r="479">
      <c r="C479" s="189"/>
    </row>
    <row r="480">
      <c r="C480" s="189"/>
    </row>
    <row r="481">
      <c r="C481" s="189"/>
    </row>
    <row r="482">
      <c r="C482" s="189"/>
    </row>
    <row r="483">
      <c r="C483" s="189"/>
    </row>
    <row r="484">
      <c r="C484" s="189"/>
    </row>
    <row r="485">
      <c r="C485" s="189"/>
    </row>
    <row r="486">
      <c r="C486" s="189"/>
    </row>
    <row r="487">
      <c r="C487" s="189"/>
    </row>
    <row r="488">
      <c r="C488" s="189"/>
    </row>
    <row r="489">
      <c r="C489" s="189"/>
    </row>
    <row r="490">
      <c r="C490" s="189"/>
    </row>
    <row r="491">
      <c r="C491" s="189"/>
    </row>
    <row r="492">
      <c r="C492" s="189"/>
    </row>
    <row r="493">
      <c r="C493" s="189"/>
    </row>
    <row r="494">
      <c r="C494" s="189"/>
    </row>
    <row r="495">
      <c r="C495" s="189"/>
    </row>
    <row r="496">
      <c r="C496" s="189"/>
    </row>
    <row r="497">
      <c r="C497" s="189"/>
    </row>
    <row r="498">
      <c r="C498" s="189"/>
    </row>
    <row r="499">
      <c r="C499" s="189"/>
    </row>
    <row r="500">
      <c r="C500" s="189"/>
    </row>
    <row r="501">
      <c r="C501" s="189"/>
    </row>
    <row r="502">
      <c r="C502" s="189"/>
    </row>
    <row r="503">
      <c r="C503" s="189"/>
    </row>
    <row r="504">
      <c r="C504" s="189"/>
    </row>
    <row r="505">
      <c r="C505" s="189"/>
    </row>
    <row r="506">
      <c r="C506" s="189"/>
    </row>
    <row r="507">
      <c r="C507" s="189"/>
    </row>
    <row r="508">
      <c r="C508" s="189"/>
    </row>
    <row r="509">
      <c r="C509" s="189"/>
    </row>
    <row r="510">
      <c r="C510" s="189"/>
    </row>
    <row r="511">
      <c r="C511" s="189"/>
    </row>
    <row r="512">
      <c r="C512" s="189"/>
    </row>
    <row r="513">
      <c r="C513" s="189"/>
    </row>
    <row r="514">
      <c r="C514" s="189"/>
    </row>
    <row r="515">
      <c r="C515" s="189"/>
    </row>
    <row r="516">
      <c r="C516" s="189"/>
    </row>
    <row r="517">
      <c r="C517" s="189"/>
    </row>
    <row r="518">
      <c r="C518" s="189"/>
    </row>
    <row r="519">
      <c r="C519" s="189"/>
    </row>
    <row r="520">
      <c r="C520" s="189"/>
    </row>
    <row r="521">
      <c r="C521" s="189"/>
    </row>
    <row r="522">
      <c r="C522" s="189"/>
    </row>
    <row r="523">
      <c r="C523" s="189"/>
    </row>
    <row r="524">
      <c r="C524" s="189"/>
    </row>
    <row r="525">
      <c r="C525" s="189"/>
    </row>
    <row r="526">
      <c r="C526" s="189"/>
    </row>
    <row r="527">
      <c r="C527" s="189"/>
    </row>
    <row r="528">
      <c r="C528" s="189"/>
    </row>
    <row r="529">
      <c r="C529" s="189"/>
    </row>
    <row r="530">
      <c r="C530" s="189"/>
    </row>
    <row r="531">
      <c r="C531" s="189"/>
    </row>
    <row r="532">
      <c r="C532" s="189"/>
    </row>
    <row r="533">
      <c r="C533" s="189"/>
    </row>
    <row r="534">
      <c r="C534" s="189"/>
    </row>
    <row r="535">
      <c r="C535" s="189"/>
    </row>
    <row r="536">
      <c r="C536" s="189"/>
    </row>
    <row r="537">
      <c r="C537" s="189"/>
    </row>
    <row r="538">
      <c r="C538" s="189"/>
    </row>
    <row r="539">
      <c r="C539" s="189"/>
    </row>
    <row r="540">
      <c r="C540" s="189"/>
    </row>
    <row r="541">
      <c r="C541" s="189"/>
    </row>
    <row r="542">
      <c r="C542" s="189"/>
    </row>
    <row r="543">
      <c r="C543" s="189"/>
    </row>
    <row r="544">
      <c r="C544" s="189"/>
    </row>
    <row r="545">
      <c r="C545" s="189"/>
    </row>
    <row r="546">
      <c r="C546" s="189"/>
    </row>
    <row r="547">
      <c r="C547" s="189"/>
    </row>
    <row r="548">
      <c r="C548" s="189"/>
    </row>
    <row r="549">
      <c r="C549" s="189"/>
    </row>
    <row r="550">
      <c r="C550" s="189"/>
    </row>
    <row r="551">
      <c r="C551" s="189"/>
    </row>
    <row r="552">
      <c r="C552" s="189"/>
    </row>
    <row r="553">
      <c r="C553" s="189"/>
    </row>
    <row r="554">
      <c r="C554" s="189"/>
    </row>
    <row r="555">
      <c r="C555" s="189"/>
    </row>
    <row r="556">
      <c r="C556" s="189"/>
    </row>
    <row r="557">
      <c r="C557" s="189"/>
    </row>
    <row r="558">
      <c r="C558" s="189"/>
    </row>
    <row r="559">
      <c r="C559" s="189"/>
    </row>
    <row r="560">
      <c r="C560" s="189"/>
    </row>
    <row r="561">
      <c r="C561" s="189"/>
    </row>
    <row r="562">
      <c r="C562" s="189"/>
    </row>
    <row r="563">
      <c r="C563" s="189"/>
    </row>
    <row r="564">
      <c r="C564" s="189"/>
    </row>
    <row r="565">
      <c r="C565" s="189"/>
    </row>
    <row r="566">
      <c r="C566" s="189"/>
    </row>
    <row r="567">
      <c r="C567" s="189"/>
    </row>
    <row r="568">
      <c r="C568" s="189"/>
    </row>
    <row r="569">
      <c r="C569" s="189"/>
    </row>
    <row r="570">
      <c r="C570" s="189"/>
    </row>
    <row r="571">
      <c r="C571" s="189"/>
    </row>
    <row r="572">
      <c r="C572" s="189"/>
    </row>
    <row r="573">
      <c r="C573" s="189"/>
    </row>
    <row r="574">
      <c r="C574" s="189"/>
    </row>
    <row r="575">
      <c r="C575" s="189"/>
    </row>
    <row r="576">
      <c r="C576" s="189"/>
    </row>
    <row r="577">
      <c r="C577" s="189"/>
    </row>
    <row r="578">
      <c r="C578" s="189"/>
    </row>
    <row r="579">
      <c r="C579" s="189"/>
    </row>
    <row r="580">
      <c r="C580" s="189"/>
    </row>
    <row r="581">
      <c r="C581" s="189"/>
    </row>
    <row r="582">
      <c r="C582" s="189"/>
    </row>
    <row r="583">
      <c r="C583" s="189"/>
    </row>
    <row r="584">
      <c r="C584" s="189"/>
    </row>
    <row r="585">
      <c r="C585" s="189"/>
    </row>
    <row r="586">
      <c r="C586" s="189"/>
    </row>
    <row r="587">
      <c r="C587" s="189"/>
    </row>
    <row r="588">
      <c r="C588" s="189"/>
    </row>
    <row r="589">
      <c r="C589" s="189"/>
    </row>
    <row r="590">
      <c r="C590" s="189"/>
    </row>
    <row r="591">
      <c r="C591" s="189"/>
    </row>
    <row r="592">
      <c r="C592" s="189"/>
    </row>
    <row r="593">
      <c r="C593" s="189"/>
    </row>
    <row r="594">
      <c r="C594" s="189"/>
    </row>
    <row r="595">
      <c r="C595" s="189"/>
    </row>
    <row r="596">
      <c r="C596" s="189"/>
    </row>
    <row r="597">
      <c r="C597" s="189"/>
    </row>
    <row r="598">
      <c r="C598" s="189"/>
    </row>
    <row r="599">
      <c r="C599" s="189"/>
    </row>
    <row r="600">
      <c r="C600" s="189"/>
    </row>
    <row r="601">
      <c r="C601" s="189"/>
    </row>
    <row r="602">
      <c r="C602" s="189"/>
    </row>
    <row r="603">
      <c r="C603" s="189"/>
    </row>
    <row r="604">
      <c r="C604" s="189"/>
    </row>
    <row r="605">
      <c r="C605" s="189"/>
    </row>
    <row r="606">
      <c r="C606" s="189"/>
    </row>
    <row r="607">
      <c r="C607" s="189"/>
    </row>
    <row r="608">
      <c r="C608" s="189"/>
    </row>
    <row r="609">
      <c r="C609" s="189"/>
    </row>
    <row r="610">
      <c r="C610" s="189"/>
    </row>
    <row r="611">
      <c r="C611" s="189"/>
    </row>
    <row r="612">
      <c r="C612" s="189"/>
    </row>
    <row r="613">
      <c r="C613" s="189"/>
    </row>
    <row r="614">
      <c r="C614" s="189"/>
    </row>
    <row r="615">
      <c r="C615" s="189"/>
    </row>
    <row r="616">
      <c r="C616" s="189"/>
    </row>
    <row r="617">
      <c r="C617" s="189"/>
    </row>
    <row r="618">
      <c r="C618" s="189"/>
    </row>
    <row r="619">
      <c r="C619" s="189"/>
    </row>
    <row r="620">
      <c r="C620" s="189"/>
    </row>
    <row r="621">
      <c r="C621" s="189"/>
    </row>
    <row r="622">
      <c r="C622" s="189"/>
    </row>
    <row r="623">
      <c r="C623" s="189"/>
    </row>
    <row r="624">
      <c r="C624" s="189"/>
    </row>
    <row r="625">
      <c r="C625" s="189"/>
    </row>
    <row r="626">
      <c r="C626" s="189"/>
    </row>
    <row r="627">
      <c r="C627" s="189"/>
    </row>
    <row r="628">
      <c r="C628" s="189"/>
    </row>
    <row r="629">
      <c r="C629" s="189"/>
    </row>
    <row r="630">
      <c r="C630" s="189"/>
    </row>
    <row r="631">
      <c r="C631" s="189"/>
    </row>
    <row r="632">
      <c r="C632" s="189"/>
    </row>
    <row r="633">
      <c r="C633" s="189"/>
    </row>
    <row r="634">
      <c r="C634" s="189"/>
    </row>
    <row r="635">
      <c r="C635" s="189"/>
    </row>
    <row r="636">
      <c r="C636" s="189"/>
    </row>
    <row r="637">
      <c r="C637" s="189"/>
    </row>
    <row r="638">
      <c r="C638" s="189"/>
    </row>
    <row r="639">
      <c r="C639" s="189"/>
    </row>
    <row r="640">
      <c r="C640" s="189"/>
    </row>
    <row r="641">
      <c r="C641" s="189"/>
    </row>
    <row r="642">
      <c r="C642" s="189"/>
    </row>
    <row r="643">
      <c r="C643" s="189"/>
    </row>
    <row r="644">
      <c r="C644" s="189"/>
    </row>
    <row r="645">
      <c r="C645" s="189"/>
    </row>
    <row r="646">
      <c r="C646" s="189"/>
    </row>
    <row r="647">
      <c r="C647" s="189"/>
    </row>
    <row r="648">
      <c r="C648" s="189"/>
    </row>
    <row r="649">
      <c r="C649" s="189"/>
    </row>
    <row r="650">
      <c r="C650" s="189"/>
    </row>
    <row r="651">
      <c r="C651" s="189"/>
    </row>
    <row r="652">
      <c r="C652" s="189"/>
    </row>
    <row r="653">
      <c r="C653" s="189"/>
    </row>
    <row r="654">
      <c r="C654" s="189"/>
    </row>
    <row r="655">
      <c r="C655" s="189"/>
    </row>
    <row r="656">
      <c r="C656" s="189"/>
    </row>
    <row r="657">
      <c r="C657" s="189"/>
    </row>
    <row r="658">
      <c r="C658" s="189"/>
    </row>
    <row r="659">
      <c r="C659" s="189"/>
    </row>
    <row r="660">
      <c r="C660" s="189"/>
    </row>
    <row r="661">
      <c r="C661" s="189"/>
    </row>
    <row r="662">
      <c r="C662" s="189"/>
    </row>
    <row r="663">
      <c r="C663" s="189"/>
    </row>
    <row r="664">
      <c r="C664" s="189"/>
    </row>
    <row r="665">
      <c r="C665" s="189"/>
    </row>
    <row r="666">
      <c r="C666" s="189"/>
    </row>
    <row r="667">
      <c r="C667" s="189"/>
    </row>
    <row r="668">
      <c r="C668" s="189"/>
    </row>
    <row r="669">
      <c r="C669" s="189"/>
    </row>
    <row r="670">
      <c r="C670" s="189"/>
    </row>
    <row r="671">
      <c r="C671" s="189"/>
    </row>
    <row r="672">
      <c r="C672" s="189"/>
    </row>
    <row r="673">
      <c r="C673" s="189"/>
    </row>
    <row r="674">
      <c r="C674" s="189"/>
    </row>
    <row r="675">
      <c r="C675" s="189"/>
    </row>
    <row r="676">
      <c r="C676" s="189"/>
    </row>
    <row r="677">
      <c r="C677" s="189"/>
    </row>
    <row r="678">
      <c r="C678" s="189"/>
    </row>
    <row r="679">
      <c r="C679" s="189"/>
    </row>
    <row r="680">
      <c r="C680" s="189"/>
    </row>
    <row r="681">
      <c r="C681" s="189"/>
    </row>
    <row r="682">
      <c r="C682" s="189"/>
    </row>
    <row r="683">
      <c r="C683" s="189"/>
    </row>
    <row r="684">
      <c r="C684" s="189"/>
    </row>
    <row r="685">
      <c r="C685" s="189"/>
    </row>
    <row r="686">
      <c r="C686" s="189"/>
    </row>
    <row r="687">
      <c r="C687" s="189"/>
    </row>
    <row r="688">
      <c r="C688" s="189"/>
    </row>
    <row r="689">
      <c r="C689" s="189"/>
    </row>
    <row r="690">
      <c r="C690" s="189"/>
    </row>
    <row r="691">
      <c r="C691" s="189"/>
    </row>
    <row r="692">
      <c r="C692" s="189"/>
    </row>
    <row r="693">
      <c r="C693" s="189"/>
    </row>
    <row r="694">
      <c r="C694" s="189"/>
    </row>
    <row r="695">
      <c r="C695" s="189"/>
    </row>
    <row r="696">
      <c r="C696" s="189"/>
    </row>
    <row r="697">
      <c r="C697" s="189"/>
    </row>
    <row r="698">
      <c r="C698" s="189"/>
    </row>
    <row r="699">
      <c r="C699" s="189"/>
    </row>
    <row r="700">
      <c r="C700" s="189"/>
    </row>
    <row r="701">
      <c r="C701" s="189"/>
    </row>
    <row r="702">
      <c r="C702" s="189"/>
    </row>
    <row r="703">
      <c r="C703" s="189"/>
    </row>
    <row r="704">
      <c r="C704" s="189"/>
    </row>
    <row r="705">
      <c r="C705" s="189"/>
    </row>
    <row r="706">
      <c r="C706" s="189"/>
    </row>
    <row r="707">
      <c r="C707" s="189"/>
    </row>
    <row r="708">
      <c r="C708" s="189"/>
    </row>
    <row r="709">
      <c r="C709" s="189"/>
    </row>
    <row r="710">
      <c r="C710" s="189"/>
    </row>
    <row r="711">
      <c r="C711" s="189"/>
    </row>
    <row r="712">
      <c r="C712" s="189"/>
    </row>
    <row r="713">
      <c r="C713" s="189"/>
    </row>
    <row r="714">
      <c r="C714" s="189"/>
    </row>
    <row r="715">
      <c r="C715" s="189"/>
    </row>
    <row r="716">
      <c r="C716" s="189"/>
    </row>
    <row r="717">
      <c r="C717" s="189"/>
    </row>
    <row r="718">
      <c r="C718" s="189"/>
    </row>
    <row r="719">
      <c r="C719" s="189"/>
    </row>
    <row r="720">
      <c r="C720" s="189"/>
    </row>
    <row r="721">
      <c r="C721" s="189"/>
    </row>
    <row r="722">
      <c r="C722" s="189"/>
    </row>
    <row r="723">
      <c r="C723" s="189"/>
    </row>
    <row r="724">
      <c r="C724" s="189"/>
    </row>
    <row r="725">
      <c r="C725" s="189"/>
    </row>
    <row r="726">
      <c r="C726" s="189"/>
    </row>
    <row r="727">
      <c r="C727" s="189"/>
    </row>
    <row r="728">
      <c r="C728" s="189"/>
    </row>
    <row r="729">
      <c r="C729" s="189"/>
    </row>
    <row r="730">
      <c r="C730" s="189"/>
    </row>
    <row r="731">
      <c r="C731" s="189"/>
    </row>
    <row r="732">
      <c r="C732" s="189"/>
    </row>
    <row r="733">
      <c r="C733" s="189"/>
    </row>
    <row r="734">
      <c r="C734" s="189"/>
    </row>
    <row r="735">
      <c r="C735" s="189"/>
    </row>
    <row r="736">
      <c r="C736" s="189"/>
    </row>
    <row r="737">
      <c r="C737" s="189"/>
    </row>
    <row r="738">
      <c r="C738" s="189"/>
    </row>
    <row r="739">
      <c r="C739" s="189"/>
    </row>
    <row r="740">
      <c r="C740" s="189"/>
    </row>
    <row r="741">
      <c r="C741" s="189"/>
    </row>
    <row r="742">
      <c r="C742" s="189"/>
    </row>
    <row r="743">
      <c r="C743" s="189"/>
    </row>
    <row r="744">
      <c r="C744" s="189"/>
    </row>
    <row r="745">
      <c r="C745" s="189"/>
    </row>
    <row r="746">
      <c r="C746" s="189"/>
    </row>
    <row r="747">
      <c r="C747" s="189"/>
    </row>
    <row r="748">
      <c r="C748" s="189"/>
    </row>
    <row r="749">
      <c r="C749" s="189"/>
    </row>
    <row r="750">
      <c r="C750" s="189"/>
    </row>
    <row r="751">
      <c r="C751" s="189"/>
    </row>
    <row r="752">
      <c r="C752" s="189"/>
    </row>
    <row r="753">
      <c r="C753" s="189"/>
    </row>
    <row r="754">
      <c r="C754" s="189"/>
    </row>
    <row r="755">
      <c r="C755" s="189"/>
    </row>
    <row r="756">
      <c r="C756" s="189"/>
    </row>
    <row r="757">
      <c r="C757" s="189"/>
    </row>
    <row r="758">
      <c r="C758" s="189"/>
    </row>
    <row r="759">
      <c r="C759" s="189"/>
    </row>
    <row r="760">
      <c r="C760" s="189"/>
    </row>
    <row r="761">
      <c r="C761" s="189"/>
    </row>
    <row r="762">
      <c r="C762" s="189"/>
    </row>
    <row r="763">
      <c r="C763" s="189"/>
    </row>
    <row r="764">
      <c r="C764" s="189"/>
    </row>
    <row r="765">
      <c r="C765" s="189"/>
    </row>
    <row r="766">
      <c r="C766" s="189"/>
    </row>
    <row r="767">
      <c r="C767" s="189"/>
    </row>
    <row r="768">
      <c r="C768" s="189"/>
    </row>
    <row r="769">
      <c r="C769" s="189"/>
    </row>
    <row r="770">
      <c r="C770" s="189"/>
    </row>
    <row r="771">
      <c r="C771" s="189"/>
    </row>
    <row r="772">
      <c r="C772" s="189"/>
    </row>
    <row r="773">
      <c r="C773" s="189"/>
    </row>
    <row r="774">
      <c r="C774" s="189"/>
    </row>
    <row r="775">
      <c r="C775" s="189"/>
    </row>
    <row r="776">
      <c r="C776" s="189"/>
    </row>
    <row r="777">
      <c r="C777" s="189"/>
    </row>
    <row r="778">
      <c r="C778" s="189"/>
    </row>
    <row r="779">
      <c r="C779" s="189"/>
    </row>
    <row r="780">
      <c r="C780" s="189"/>
    </row>
    <row r="781">
      <c r="C781" s="189"/>
    </row>
    <row r="782">
      <c r="C782" s="189"/>
    </row>
    <row r="783">
      <c r="C783" s="189"/>
    </row>
    <row r="784">
      <c r="C784" s="189"/>
    </row>
    <row r="785">
      <c r="C785" s="189"/>
    </row>
    <row r="786">
      <c r="C786" s="189"/>
    </row>
    <row r="787">
      <c r="C787" s="189"/>
    </row>
    <row r="788">
      <c r="C788" s="189"/>
    </row>
    <row r="789">
      <c r="C789" s="189"/>
    </row>
    <row r="790">
      <c r="C790" s="189"/>
    </row>
    <row r="791">
      <c r="C791" s="189"/>
    </row>
    <row r="792">
      <c r="C792" s="189"/>
    </row>
    <row r="793">
      <c r="C793" s="189"/>
    </row>
    <row r="794">
      <c r="C794" s="189"/>
    </row>
    <row r="795">
      <c r="C795" s="189"/>
    </row>
    <row r="796">
      <c r="C796" s="189"/>
    </row>
    <row r="797">
      <c r="C797" s="189"/>
    </row>
    <row r="798">
      <c r="C798" s="189"/>
    </row>
    <row r="799">
      <c r="C799" s="189"/>
    </row>
    <row r="800">
      <c r="C800" s="189"/>
    </row>
    <row r="801">
      <c r="C801" s="189"/>
    </row>
    <row r="802">
      <c r="C802" s="189"/>
    </row>
    <row r="803">
      <c r="C803" s="189"/>
    </row>
    <row r="804">
      <c r="C804" s="189"/>
    </row>
    <row r="805">
      <c r="C805" s="189"/>
    </row>
    <row r="806">
      <c r="C806" s="189"/>
    </row>
    <row r="807">
      <c r="C807" s="189"/>
    </row>
    <row r="808">
      <c r="C808" s="189"/>
    </row>
    <row r="809">
      <c r="C809" s="189"/>
    </row>
    <row r="810">
      <c r="C810" s="189"/>
    </row>
    <row r="811">
      <c r="C811" s="189"/>
    </row>
    <row r="812">
      <c r="C812" s="189"/>
    </row>
    <row r="813">
      <c r="C813" s="189"/>
    </row>
    <row r="814">
      <c r="C814" s="189"/>
    </row>
    <row r="815">
      <c r="C815" s="189"/>
    </row>
    <row r="816">
      <c r="C816" s="189"/>
    </row>
    <row r="817">
      <c r="C817" s="189"/>
    </row>
    <row r="818">
      <c r="C818" s="189"/>
    </row>
    <row r="819">
      <c r="C819" s="189"/>
    </row>
    <row r="820">
      <c r="C820" s="189"/>
    </row>
    <row r="821">
      <c r="C821" s="189"/>
    </row>
    <row r="822">
      <c r="C822" s="189"/>
    </row>
    <row r="823">
      <c r="C823" s="189"/>
    </row>
    <row r="824">
      <c r="C824" s="189"/>
    </row>
    <row r="825">
      <c r="C825" s="189"/>
    </row>
    <row r="826">
      <c r="C826" s="189"/>
    </row>
    <row r="827">
      <c r="C827" s="189"/>
    </row>
    <row r="828">
      <c r="C828" s="189"/>
    </row>
    <row r="829">
      <c r="C829" s="189"/>
    </row>
    <row r="830">
      <c r="C830" s="189"/>
    </row>
    <row r="831">
      <c r="C831" s="189"/>
    </row>
    <row r="832">
      <c r="C832" s="189"/>
    </row>
    <row r="833">
      <c r="C833" s="189"/>
    </row>
    <row r="834">
      <c r="C834" s="189"/>
    </row>
    <row r="835">
      <c r="C835" s="189"/>
    </row>
    <row r="836">
      <c r="C836" s="189"/>
    </row>
    <row r="837">
      <c r="C837" s="189"/>
    </row>
    <row r="838">
      <c r="C838" s="189"/>
    </row>
    <row r="839">
      <c r="C839" s="189"/>
    </row>
    <row r="840">
      <c r="C840" s="189"/>
    </row>
    <row r="841">
      <c r="C841" s="189"/>
    </row>
    <row r="842">
      <c r="C842" s="189"/>
    </row>
    <row r="843">
      <c r="C843" s="189"/>
    </row>
    <row r="844">
      <c r="C844" s="189"/>
    </row>
    <row r="845">
      <c r="C845" s="189"/>
    </row>
    <row r="846">
      <c r="C846" s="189"/>
    </row>
    <row r="847">
      <c r="C847" s="189"/>
    </row>
    <row r="848">
      <c r="C848" s="189"/>
    </row>
    <row r="849">
      <c r="C849" s="189"/>
    </row>
    <row r="850">
      <c r="C850" s="189"/>
    </row>
    <row r="851">
      <c r="C851" s="189"/>
    </row>
    <row r="852">
      <c r="C852" s="189"/>
    </row>
    <row r="853">
      <c r="C853" s="189"/>
    </row>
    <row r="854">
      <c r="C854" s="189"/>
    </row>
    <row r="855">
      <c r="C855" s="189"/>
    </row>
    <row r="856">
      <c r="C856" s="189"/>
    </row>
    <row r="857">
      <c r="C857" s="189"/>
    </row>
    <row r="858">
      <c r="C858" s="189"/>
    </row>
    <row r="859">
      <c r="C859" s="189"/>
    </row>
    <row r="860">
      <c r="C860" s="189"/>
    </row>
    <row r="861">
      <c r="C861" s="189"/>
    </row>
    <row r="862">
      <c r="C862" s="189"/>
    </row>
    <row r="863">
      <c r="C863" s="189"/>
    </row>
    <row r="864">
      <c r="C864" s="189"/>
    </row>
    <row r="865">
      <c r="C865" s="189"/>
    </row>
    <row r="866">
      <c r="C866" s="189"/>
    </row>
    <row r="867">
      <c r="C867" s="189"/>
    </row>
    <row r="868">
      <c r="C868" s="189"/>
    </row>
    <row r="869">
      <c r="C869" s="189"/>
    </row>
    <row r="870">
      <c r="C870" s="189"/>
    </row>
    <row r="871">
      <c r="C871" s="189"/>
    </row>
    <row r="872">
      <c r="C872" s="189"/>
    </row>
    <row r="873">
      <c r="C873" s="189"/>
    </row>
    <row r="874">
      <c r="C874" s="189"/>
    </row>
    <row r="875">
      <c r="C875" s="189"/>
    </row>
    <row r="876">
      <c r="C876" s="189"/>
    </row>
    <row r="877">
      <c r="C877" s="189"/>
    </row>
    <row r="878">
      <c r="C878" s="189"/>
    </row>
    <row r="879">
      <c r="C879" s="189"/>
    </row>
    <row r="880">
      <c r="C880" s="189"/>
    </row>
    <row r="881">
      <c r="C881" s="189"/>
    </row>
    <row r="882">
      <c r="C882" s="189"/>
    </row>
    <row r="883">
      <c r="C883" s="189"/>
    </row>
    <row r="884">
      <c r="C884" s="189"/>
    </row>
    <row r="885">
      <c r="C885" s="189"/>
    </row>
    <row r="886">
      <c r="C886" s="189"/>
    </row>
    <row r="887">
      <c r="C887" s="189"/>
    </row>
    <row r="888">
      <c r="C888" s="189"/>
    </row>
    <row r="889">
      <c r="C889" s="189"/>
    </row>
    <row r="890">
      <c r="C890" s="189"/>
    </row>
    <row r="891">
      <c r="C891" s="189"/>
    </row>
    <row r="892">
      <c r="C892" s="189"/>
    </row>
    <row r="893">
      <c r="C893" s="189"/>
    </row>
    <row r="894">
      <c r="C894" s="189"/>
    </row>
    <row r="895">
      <c r="C895" s="189"/>
    </row>
    <row r="896">
      <c r="C896" s="189"/>
    </row>
    <row r="897">
      <c r="C897" s="189"/>
    </row>
    <row r="898">
      <c r="C898" s="189"/>
    </row>
    <row r="899">
      <c r="C899" s="189"/>
    </row>
    <row r="900">
      <c r="C900" s="189"/>
    </row>
    <row r="901">
      <c r="C901" s="189"/>
    </row>
    <row r="902">
      <c r="C902" s="189"/>
    </row>
    <row r="903">
      <c r="C903" s="189"/>
    </row>
    <row r="904">
      <c r="C904" s="189"/>
    </row>
    <row r="905">
      <c r="C905" s="189"/>
    </row>
    <row r="906">
      <c r="C906" s="189"/>
    </row>
    <row r="907">
      <c r="C907" s="189"/>
    </row>
    <row r="908">
      <c r="C908" s="189"/>
    </row>
    <row r="909">
      <c r="C909" s="189"/>
    </row>
    <row r="910">
      <c r="C910" s="189"/>
    </row>
    <row r="911">
      <c r="C911" s="189"/>
    </row>
    <row r="912">
      <c r="C912" s="189"/>
    </row>
    <row r="913">
      <c r="C913" s="189"/>
    </row>
    <row r="914">
      <c r="C914" s="189"/>
    </row>
    <row r="915">
      <c r="C915" s="189"/>
    </row>
    <row r="916">
      <c r="C916" s="189"/>
    </row>
    <row r="917">
      <c r="C917" s="189"/>
    </row>
    <row r="918">
      <c r="C918" s="189"/>
    </row>
    <row r="919">
      <c r="C919" s="189"/>
    </row>
    <row r="920">
      <c r="C920" s="189"/>
    </row>
    <row r="921">
      <c r="C921" s="189"/>
    </row>
    <row r="922">
      <c r="C922" s="189"/>
    </row>
    <row r="923">
      <c r="C923" s="189"/>
    </row>
    <row r="924">
      <c r="C924" s="189"/>
    </row>
    <row r="925">
      <c r="C925" s="189"/>
    </row>
    <row r="926">
      <c r="C926" s="189"/>
    </row>
    <row r="927">
      <c r="C927" s="189"/>
    </row>
    <row r="928">
      <c r="C928" s="189"/>
    </row>
    <row r="929">
      <c r="C929" s="189"/>
    </row>
    <row r="930">
      <c r="C930" s="189"/>
    </row>
    <row r="931">
      <c r="C931" s="189"/>
    </row>
    <row r="932">
      <c r="C932" s="189"/>
    </row>
    <row r="933">
      <c r="C933" s="189"/>
    </row>
    <row r="934">
      <c r="C934" s="189"/>
    </row>
    <row r="935">
      <c r="C935" s="189"/>
    </row>
    <row r="936">
      <c r="C936" s="189"/>
    </row>
    <row r="937">
      <c r="C937" s="189"/>
    </row>
    <row r="938">
      <c r="C938" s="189"/>
    </row>
    <row r="939">
      <c r="C939" s="189"/>
    </row>
    <row r="940">
      <c r="C940" s="189"/>
    </row>
    <row r="941">
      <c r="C941" s="189"/>
    </row>
    <row r="942">
      <c r="C942" s="189"/>
    </row>
    <row r="943">
      <c r="C943" s="189"/>
    </row>
    <row r="944">
      <c r="C944" s="189"/>
    </row>
    <row r="945">
      <c r="C945" s="189"/>
    </row>
    <row r="946">
      <c r="C946" s="189"/>
    </row>
    <row r="947">
      <c r="C947" s="189"/>
    </row>
    <row r="948">
      <c r="C948" s="189"/>
    </row>
    <row r="949">
      <c r="C949" s="189"/>
    </row>
    <row r="950">
      <c r="C950" s="189"/>
    </row>
    <row r="951">
      <c r="C951" s="189"/>
    </row>
    <row r="952">
      <c r="C952" s="189"/>
    </row>
    <row r="953">
      <c r="C953" s="189"/>
    </row>
    <row r="954">
      <c r="C954" s="189"/>
    </row>
    <row r="955">
      <c r="C955" s="189"/>
    </row>
    <row r="956">
      <c r="C956" s="189"/>
    </row>
    <row r="957">
      <c r="C957" s="189"/>
    </row>
    <row r="958">
      <c r="C958" s="189"/>
    </row>
    <row r="959">
      <c r="C959" s="189"/>
    </row>
    <row r="960">
      <c r="C960" s="189"/>
    </row>
    <row r="961">
      <c r="C961" s="189"/>
    </row>
    <row r="962">
      <c r="C962" s="189"/>
    </row>
    <row r="963">
      <c r="C963" s="189"/>
    </row>
    <row r="964">
      <c r="C964" s="189"/>
    </row>
    <row r="965">
      <c r="C965" s="189"/>
    </row>
    <row r="966">
      <c r="C966" s="189"/>
    </row>
    <row r="967">
      <c r="C967" s="189"/>
    </row>
    <row r="968">
      <c r="C968" s="189"/>
    </row>
    <row r="969">
      <c r="C969" s="189"/>
    </row>
    <row r="970">
      <c r="C970" s="189"/>
    </row>
    <row r="971">
      <c r="C971" s="189"/>
    </row>
    <row r="972">
      <c r="C972" s="189"/>
    </row>
    <row r="973">
      <c r="C973" s="189"/>
    </row>
    <row r="974">
      <c r="C974" s="189"/>
    </row>
    <row r="975">
      <c r="C975" s="189"/>
    </row>
    <row r="976">
      <c r="C976" s="189"/>
    </row>
    <row r="977">
      <c r="C977" s="189"/>
    </row>
    <row r="978">
      <c r="C978" s="189"/>
    </row>
    <row r="979">
      <c r="C979" s="189"/>
    </row>
    <row r="980">
      <c r="C980" s="189"/>
    </row>
    <row r="981">
      <c r="C981" s="189"/>
    </row>
    <row r="982">
      <c r="C982" s="189"/>
    </row>
    <row r="983">
      <c r="C983" s="189"/>
    </row>
    <row r="984">
      <c r="C984" s="189"/>
    </row>
    <row r="985">
      <c r="C985" s="189"/>
    </row>
    <row r="986">
      <c r="C986" s="189"/>
    </row>
    <row r="987">
      <c r="C987" s="189"/>
    </row>
    <row r="988">
      <c r="C988" s="189"/>
    </row>
    <row r="989">
      <c r="C989" s="189"/>
    </row>
    <row r="990">
      <c r="C990" s="189"/>
    </row>
    <row r="991">
      <c r="C991" s="189"/>
    </row>
    <row r="992">
      <c r="C992" s="189"/>
    </row>
    <row r="993">
      <c r="C993" s="189"/>
    </row>
    <row r="994">
      <c r="C994" s="189"/>
    </row>
    <row r="995">
      <c r="C995" s="189"/>
    </row>
    <row r="996">
      <c r="C996" s="189"/>
    </row>
    <row r="997">
      <c r="C997" s="189"/>
    </row>
    <row r="998">
      <c r="C998" s="189"/>
    </row>
    <row r="999">
      <c r="C999" s="189"/>
    </row>
    <row r="1000">
      <c r="C1000" s="189"/>
    </row>
  </sheetData>
  <drawing r:id="rId1"/>
</worksheet>
</file>