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510C39EB-33B1-497E-9CC5-146B15823B9C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Kangatang" sheetId="2" state="veryHidden" r:id="rId1"/>
    <sheet name="Tháng 1" sheetId="1" r:id="rId2"/>
    <sheet name="Tháng 2" sheetId="3" r:id="rId3"/>
    <sheet name="Sheet1" sheetId="4" r:id="rId4"/>
  </sheets>
  <definedNames>
    <definedName name="_xlnm._FilterDatabase" localSheetId="3" hidden="1">Sheet1!$A$1:$U$115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4" l="1"/>
  <c r="S4" i="4"/>
  <c r="T4" i="4"/>
  <c r="U4" i="4"/>
  <c r="U115" i="4"/>
  <c r="T114" i="4"/>
  <c r="S114" i="4"/>
  <c r="U113" i="4"/>
  <c r="U112" i="4"/>
  <c r="T111" i="4"/>
  <c r="S111" i="4"/>
  <c r="U110" i="4"/>
  <c r="T109" i="4"/>
  <c r="S109" i="4"/>
  <c r="R109" i="4"/>
  <c r="Q109" i="4"/>
  <c r="P109" i="4"/>
  <c r="T108" i="4"/>
  <c r="S108" i="4"/>
  <c r="U107" i="4"/>
  <c r="U106" i="4"/>
  <c r="U105" i="4"/>
  <c r="U104" i="4"/>
  <c r="T103" i="4"/>
  <c r="S103" i="4"/>
  <c r="R103" i="4"/>
  <c r="U102" i="4"/>
  <c r="U101" i="4"/>
  <c r="U100" i="4"/>
  <c r="T99" i="4"/>
  <c r="S99" i="4"/>
  <c r="U98" i="4"/>
  <c r="T97" i="4"/>
  <c r="S97" i="4"/>
  <c r="R97" i="4"/>
  <c r="Q97" i="4"/>
  <c r="P97" i="4"/>
  <c r="O97" i="4"/>
  <c r="N97" i="4"/>
  <c r="M97" i="4"/>
  <c r="L97" i="4"/>
  <c r="K97" i="4"/>
  <c r="T96" i="4"/>
  <c r="S96" i="4"/>
  <c r="R96" i="4"/>
  <c r="Q96" i="4"/>
  <c r="P96" i="4"/>
  <c r="O96" i="4"/>
  <c r="N96" i="4"/>
  <c r="M96" i="4"/>
  <c r="U95" i="4"/>
  <c r="U94" i="4"/>
  <c r="T93" i="4"/>
  <c r="S93" i="4"/>
  <c r="R93" i="4"/>
  <c r="Q93" i="4"/>
  <c r="T92" i="4"/>
  <c r="S92" i="4"/>
  <c r="U91" i="4"/>
  <c r="U90" i="4"/>
  <c r="U89" i="4"/>
  <c r="U88" i="4"/>
  <c r="T87" i="4"/>
  <c r="S87" i="4"/>
  <c r="R87" i="4"/>
  <c r="Q87" i="4"/>
  <c r="P87" i="4"/>
  <c r="O87" i="4"/>
  <c r="N87" i="4"/>
  <c r="U86" i="4"/>
  <c r="T85" i="4"/>
  <c r="S85" i="4"/>
  <c r="R85" i="4"/>
  <c r="Q85" i="4"/>
  <c r="P85" i="4"/>
  <c r="T84" i="4"/>
  <c r="S84" i="4"/>
  <c r="R84" i="4"/>
  <c r="Q84" i="4"/>
  <c r="P84" i="4"/>
  <c r="O84" i="4"/>
  <c r="N84" i="4"/>
  <c r="U83" i="4"/>
  <c r="U82" i="4"/>
  <c r="T81" i="4"/>
  <c r="S81" i="4"/>
  <c r="R81" i="4"/>
  <c r="Q81" i="4"/>
  <c r="T80" i="4"/>
  <c r="S80" i="4"/>
  <c r="U79" i="4"/>
  <c r="T78" i="4"/>
  <c r="S78" i="4"/>
  <c r="R78" i="4"/>
  <c r="Q78" i="4"/>
  <c r="T77" i="4"/>
  <c r="S77" i="4"/>
  <c r="R77" i="4"/>
  <c r="Q77" i="4"/>
  <c r="P77" i="4"/>
  <c r="O77" i="4"/>
  <c r="U76" i="4"/>
  <c r="T75" i="4"/>
  <c r="S75" i="4"/>
  <c r="R75" i="4"/>
  <c r="Q75" i="4"/>
  <c r="T74" i="4"/>
  <c r="S74" i="4"/>
  <c r="R74" i="4"/>
  <c r="U73" i="4"/>
  <c r="U72" i="4"/>
  <c r="U71" i="4"/>
  <c r="U70" i="4"/>
  <c r="T69" i="4"/>
  <c r="S69" i="4"/>
  <c r="T67" i="4"/>
  <c r="S67" i="4"/>
  <c r="U66" i="4"/>
  <c r="U65" i="4"/>
  <c r="U64" i="4"/>
  <c r="U63" i="4"/>
  <c r="T62" i="4"/>
  <c r="S62" i="4"/>
  <c r="T61" i="4"/>
  <c r="S61" i="4"/>
  <c r="R61" i="4"/>
  <c r="Q61" i="4"/>
  <c r="P61" i="4"/>
  <c r="O61" i="4"/>
  <c r="T60" i="4"/>
  <c r="S60" i="4"/>
  <c r="R60" i="4"/>
  <c r="Q60" i="4"/>
  <c r="P60" i="4"/>
  <c r="O60" i="4"/>
  <c r="T59" i="4"/>
  <c r="S59" i="4"/>
  <c r="R59" i="4"/>
  <c r="Q59" i="4"/>
  <c r="P59" i="4"/>
  <c r="O59" i="4"/>
  <c r="T58" i="4"/>
  <c r="S58" i="4"/>
  <c r="R58" i="4"/>
  <c r="T57" i="4"/>
  <c r="S57" i="4"/>
  <c r="U57" i="4" s="1"/>
  <c r="T56" i="4"/>
  <c r="S56" i="4"/>
  <c r="U56" i="4" s="1"/>
  <c r="T55" i="4"/>
  <c r="S55" i="4"/>
  <c r="U55" i="4" s="1"/>
  <c r="T54" i="4"/>
  <c r="S54" i="4"/>
  <c r="U54" i="4" s="1"/>
  <c r="U53" i="4"/>
  <c r="U52" i="4"/>
  <c r="T51" i="4"/>
  <c r="S51" i="4"/>
  <c r="U51" i="4" s="1"/>
  <c r="U50" i="4"/>
  <c r="T49" i="4"/>
  <c r="S49" i="4"/>
  <c r="R49" i="4"/>
  <c r="Q49" i="4"/>
  <c r="P49" i="4"/>
  <c r="T48" i="4"/>
  <c r="S48" i="4"/>
  <c r="T47" i="4"/>
  <c r="S47" i="4"/>
  <c r="T46" i="4"/>
  <c r="S46" i="4"/>
  <c r="R46" i="4"/>
  <c r="T45" i="4"/>
  <c r="S45" i="4"/>
  <c r="R45" i="4"/>
  <c r="U44" i="4"/>
  <c r="U43" i="4"/>
  <c r="U42" i="4"/>
  <c r="T41" i="4"/>
  <c r="S41" i="4"/>
  <c r="R41" i="4"/>
  <c r="Q41" i="4"/>
  <c r="P41" i="4"/>
  <c r="O41" i="4"/>
  <c r="T40" i="4"/>
  <c r="S40" i="4"/>
  <c r="R40" i="4"/>
  <c r="Q40" i="4"/>
  <c r="P40" i="4"/>
  <c r="O40" i="4"/>
  <c r="U39" i="4"/>
  <c r="T38" i="4"/>
  <c r="S38" i="4"/>
  <c r="U37" i="4"/>
  <c r="U36" i="4"/>
  <c r="T35" i="4"/>
  <c r="S35" i="4"/>
  <c r="R35" i="4"/>
  <c r="Q35" i="4"/>
  <c r="P35" i="4"/>
  <c r="O35" i="4"/>
  <c r="T34" i="4"/>
  <c r="S34" i="4"/>
  <c r="U33" i="4"/>
  <c r="U32" i="4"/>
  <c r="U31" i="4"/>
  <c r="T30" i="4"/>
  <c r="S30" i="4"/>
  <c r="T29" i="4"/>
  <c r="S29" i="4"/>
  <c r="T28" i="4"/>
  <c r="S28" i="4"/>
  <c r="R28" i="4"/>
  <c r="Q28" i="4"/>
  <c r="P28" i="4"/>
  <c r="U27" i="4"/>
  <c r="U26" i="4"/>
  <c r="U25" i="4"/>
  <c r="T24" i="4"/>
  <c r="S24" i="4"/>
  <c r="U23" i="4"/>
  <c r="T22" i="4"/>
  <c r="S22" i="4"/>
  <c r="R22" i="4"/>
  <c r="U21" i="4"/>
  <c r="U20" i="4"/>
  <c r="T19" i="4"/>
  <c r="S19" i="4"/>
  <c r="R19" i="4"/>
  <c r="T18" i="4"/>
  <c r="S18" i="4"/>
  <c r="U17" i="4"/>
  <c r="U16" i="4"/>
  <c r="U15" i="4"/>
  <c r="U14" i="4"/>
  <c r="U13" i="4"/>
  <c r="U12" i="4"/>
  <c r="U11" i="4"/>
  <c r="U10" i="4"/>
  <c r="T9" i="4"/>
  <c r="S9" i="4"/>
  <c r="R9" i="4"/>
  <c r="T8" i="4"/>
  <c r="S8" i="4"/>
  <c r="R8" i="4"/>
  <c r="T7" i="4"/>
  <c r="S7" i="4"/>
  <c r="T6" i="4"/>
  <c r="S6" i="4"/>
  <c r="R6" i="4"/>
  <c r="Q6" i="4"/>
  <c r="T5" i="4"/>
  <c r="S5" i="4"/>
  <c r="R5" i="4"/>
  <c r="Q5" i="4"/>
  <c r="T3" i="4"/>
  <c r="S3" i="4"/>
  <c r="T2" i="4"/>
  <c r="S2" i="4"/>
  <c r="R2" i="4"/>
  <c r="Q2" i="4"/>
  <c r="P2" i="4"/>
  <c r="O2" i="4"/>
  <c r="N2" i="4"/>
  <c r="U80" i="4" l="1"/>
  <c r="U7" i="4"/>
  <c r="U9" i="4"/>
  <c r="U29" i="4"/>
  <c r="U77" i="4"/>
  <c r="U103" i="4"/>
  <c r="U41" i="4"/>
  <c r="U46" i="4"/>
  <c r="U49" i="4"/>
  <c r="U67" i="4"/>
  <c r="U30" i="4"/>
  <c r="U69" i="4"/>
  <c r="U58" i="4"/>
  <c r="U87" i="4"/>
  <c r="U8" i="4"/>
  <c r="U19" i="4"/>
  <c r="U22" i="4"/>
  <c r="U24" i="4"/>
  <c r="U35" i="4"/>
  <c r="U81" i="4"/>
  <c r="U3" i="4"/>
  <c r="U28" i="4"/>
  <c r="U45" i="4"/>
  <c r="U48" i="4"/>
  <c r="U59" i="4"/>
  <c r="U62" i="4"/>
  <c r="U78" i="4"/>
  <c r="U84" i="4"/>
  <c r="U85" i="4"/>
  <c r="U93" i="4"/>
  <c r="U109" i="4"/>
  <c r="U5" i="4"/>
  <c r="U99" i="4"/>
  <c r="U2" i="4"/>
  <c r="U18" i="4"/>
  <c r="U34" i="4"/>
  <c r="U47" i="4"/>
  <c r="U60" i="4"/>
  <c r="U61" i="4"/>
  <c r="U92" i="4"/>
  <c r="U108" i="4"/>
  <c r="U111" i="4"/>
  <c r="U114" i="4"/>
  <c r="U6" i="4"/>
  <c r="U75" i="4"/>
  <c r="U38" i="4"/>
  <c r="U40" i="4"/>
  <c r="U97" i="4"/>
  <c r="U96" i="4"/>
  <c r="U74" i="4"/>
  <c r="I52" i="3"/>
  <c r="T51" i="3"/>
  <c r="T50" i="3"/>
  <c r="S49" i="3"/>
  <c r="R49" i="3"/>
  <c r="Q49" i="3"/>
  <c r="P49" i="3"/>
  <c r="O49" i="3"/>
  <c r="N49" i="3"/>
  <c r="M49" i="3"/>
  <c r="M52" i="3" s="1"/>
  <c r="M53" i="3" s="1"/>
  <c r="L49" i="3"/>
  <c r="L52" i="3" s="1"/>
  <c r="K49" i="3"/>
  <c r="K52" i="3" s="1"/>
  <c r="J49" i="3"/>
  <c r="J52" i="3" s="1"/>
  <c r="J53" i="3" s="1"/>
  <c r="I49" i="3"/>
  <c r="S48" i="3"/>
  <c r="R48" i="3"/>
  <c r="Q48" i="3"/>
  <c r="S47" i="3"/>
  <c r="R47" i="3"/>
  <c r="T46" i="3"/>
  <c r="S45" i="3"/>
  <c r="T45" i="3" s="1"/>
  <c r="R45" i="3"/>
  <c r="Q45" i="3"/>
  <c r="S44" i="3"/>
  <c r="R44" i="3"/>
  <c r="Q44" i="3"/>
  <c r="P44" i="3"/>
  <c r="O44" i="3"/>
  <c r="N44" i="3"/>
  <c r="N52" i="3" s="1"/>
  <c r="T42" i="3"/>
  <c r="S41" i="3"/>
  <c r="T41" i="3" s="1"/>
  <c r="R41" i="3"/>
  <c r="S40" i="3"/>
  <c r="R40" i="3"/>
  <c r="S39" i="3"/>
  <c r="R39" i="3"/>
  <c r="Q39" i="3"/>
  <c r="Q52" i="3" s="1"/>
  <c r="P39" i="3"/>
  <c r="O39" i="3"/>
  <c r="O52" i="3" s="1"/>
  <c r="T38" i="3"/>
  <c r="T37" i="3"/>
  <c r="S37" i="3"/>
  <c r="R37" i="3"/>
  <c r="Q37" i="3"/>
  <c r="T36" i="3"/>
  <c r="S36" i="3"/>
  <c r="R36" i="3"/>
  <c r="Q36" i="3"/>
  <c r="M35" i="3"/>
  <c r="L35" i="3"/>
  <c r="K35" i="3"/>
  <c r="J35" i="3"/>
  <c r="I35" i="3"/>
  <c r="T34" i="3"/>
  <c r="T33" i="3"/>
  <c r="T32" i="3"/>
  <c r="T31" i="3"/>
  <c r="S30" i="3"/>
  <c r="R30" i="3"/>
  <c r="Q30" i="3"/>
  <c r="P30" i="3"/>
  <c r="T30" i="3" s="1"/>
  <c r="S29" i="3"/>
  <c r="R29" i="3"/>
  <c r="S28" i="3"/>
  <c r="R28" i="3"/>
  <c r="Q28" i="3"/>
  <c r="P28" i="3"/>
  <c r="O28" i="3"/>
  <c r="N28" i="3"/>
  <c r="T27" i="3"/>
  <c r="T26" i="3"/>
  <c r="T25" i="3"/>
  <c r="T24" i="3"/>
  <c r="T23" i="3"/>
  <c r="T22" i="3"/>
  <c r="S21" i="3"/>
  <c r="R21" i="3"/>
  <c r="T20" i="3"/>
  <c r="S19" i="3"/>
  <c r="R19" i="3"/>
  <c r="T19" i="3" s="1"/>
  <c r="T18" i="3"/>
  <c r="T17" i="3"/>
  <c r="T16" i="3"/>
  <c r="T15" i="3"/>
  <c r="S14" i="3"/>
  <c r="R14" i="3"/>
  <c r="Q14" i="3"/>
  <c r="P14" i="3"/>
  <c r="P35" i="3" s="1"/>
  <c r="O14" i="3"/>
  <c r="T13" i="3"/>
  <c r="T12" i="3"/>
  <c r="T11" i="3"/>
  <c r="T10" i="3"/>
  <c r="T9" i="3"/>
  <c r="S8" i="3"/>
  <c r="R8" i="3"/>
  <c r="R35" i="3" s="1"/>
  <c r="Q8" i="3"/>
  <c r="P8" i="3"/>
  <c r="O8" i="3"/>
  <c r="N8" i="3"/>
  <c r="N35" i="3" s="1"/>
  <c r="S35" i="3" l="1"/>
  <c r="S53" i="3" s="1"/>
  <c r="Q35" i="3"/>
  <c r="Q53" i="3" s="1"/>
  <c r="T28" i="3"/>
  <c r="T29" i="3"/>
  <c r="R52" i="3"/>
  <c r="T44" i="3"/>
  <c r="K53" i="3"/>
  <c r="I53" i="3"/>
  <c r="T48" i="3"/>
  <c r="L53" i="3"/>
  <c r="O35" i="3"/>
  <c r="T21" i="3"/>
  <c r="S52" i="3"/>
  <c r="P52" i="3"/>
  <c r="T40" i="3"/>
  <c r="T47" i="3"/>
  <c r="R53" i="3"/>
  <c r="O53" i="3"/>
  <c r="P53" i="3"/>
  <c r="N53" i="3"/>
  <c r="T14" i="3"/>
  <c r="T8" i="3"/>
  <c r="T49" i="3"/>
  <c r="T39" i="3"/>
  <c r="T52" i="3" s="1"/>
  <c r="S54" i="1"/>
  <c r="R54" i="1"/>
  <c r="T54" i="1" s="1"/>
  <c r="S53" i="1"/>
  <c r="T53" i="1" s="1"/>
  <c r="R53" i="1"/>
  <c r="S52" i="1"/>
  <c r="R52" i="1"/>
  <c r="Q52" i="1"/>
  <c r="P52" i="1"/>
  <c r="O52" i="1"/>
  <c r="N52" i="1"/>
  <c r="M52" i="1"/>
  <c r="M55" i="1" s="1"/>
  <c r="L52" i="1"/>
  <c r="L55" i="1" s="1"/>
  <c r="K52" i="1"/>
  <c r="J52" i="1"/>
  <c r="J55" i="1" s="1"/>
  <c r="I52" i="1"/>
  <c r="I55" i="1" s="1"/>
  <c r="I56" i="1" s="1"/>
  <c r="T51" i="1"/>
  <c r="S50" i="1"/>
  <c r="R50" i="1"/>
  <c r="Q50" i="1"/>
  <c r="P50" i="1"/>
  <c r="O50" i="1"/>
  <c r="T49" i="1"/>
  <c r="S48" i="1"/>
  <c r="T48" i="1" s="1"/>
  <c r="R48" i="1"/>
  <c r="S47" i="1"/>
  <c r="R47" i="1"/>
  <c r="Q47" i="1"/>
  <c r="P47" i="1"/>
  <c r="T46" i="1"/>
  <c r="T45" i="1"/>
  <c r="T44" i="1"/>
  <c r="S43" i="1"/>
  <c r="R43" i="1"/>
  <c r="Q43" i="1"/>
  <c r="T42" i="1"/>
  <c r="S41" i="1"/>
  <c r="R41" i="1"/>
  <c r="T40" i="1"/>
  <c r="T39" i="1"/>
  <c r="T38" i="1"/>
  <c r="T37" i="1"/>
  <c r="S36" i="1"/>
  <c r="R36" i="1"/>
  <c r="T36" i="1" s="1"/>
  <c r="Q36" i="1"/>
  <c r="T35" i="1"/>
  <c r="S34" i="1"/>
  <c r="R34" i="1"/>
  <c r="Q34" i="1"/>
  <c r="P34" i="1"/>
  <c r="P55" i="1" s="1"/>
  <c r="O34" i="1"/>
  <c r="N34" i="1"/>
  <c r="N55" i="1" s="1"/>
  <c r="S33" i="1"/>
  <c r="R33" i="1"/>
  <c r="Q33" i="1"/>
  <c r="Q55" i="1" s="1"/>
  <c r="P32" i="1"/>
  <c r="O32" i="1"/>
  <c r="N32" i="1"/>
  <c r="M32" i="1"/>
  <c r="L32" i="1"/>
  <c r="K32" i="1"/>
  <c r="J32" i="1"/>
  <c r="I32" i="1"/>
  <c r="T31" i="1"/>
  <c r="S30" i="1"/>
  <c r="R30" i="1"/>
  <c r="Q30" i="1"/>
  <c r="Q32" i="1" s="1"/>
  <c r="S29" i="1"/>
  <c r="T29" i="1" s="1"/>
  <c r="R29" i="1"/>
  <c r="S28" i="1"/>
  <c r="R28" i="1"/>
  <c r="T28" i="1" s="1"/>
  <c r="T27" i="1"/>
  <c r="T26" i="1"/>
  <c r="T25" i="1"/>
  <c r="T24" i="1"/>
  <c r="T23" i="1"/>
  <c r="S22" i="1"/>
  <c r="R22" i="1"/>
  <c r="S21" i="1"/>
  <c r="R21" i="1"/>
  <c r="T21" i="1" s="1"/>
  <c r="T20" i="1"/>
  <c r="I19" i="1"/>
  <c r="T18" i="1"/>
  <c r="S17" i="1"/>
  <c r="S19" i="1" s="1"/>
  <c r="R17" i="1"/>
  <c r="Q17" i="1"/>
  <c r="T16" i="1"/>
  <c r="T15" i="1"/>
  <c r="T14" i="1"/>
  <c r="T13" i="1"/>
  <c r="T12" i="1"/>
  <c r="T11" i="1"/>
  <c r="T10" i="1"/>
  <c r="R9" i="1"/>
  <c r="Q9" i="1"/>
  <c r="P9" i="1"/>
  <c r="P19" i="1" s="1"/>
  <c r="O9" i="1"/>
  <c r="O19" i="1" s="1"/>
  <c r="N9" i="1"/>
  <c r="N19" i="1" s="1"/>
  <c r="M9" i="1"/>
  <c r="M19" i="1" s="1"/>
  <c r="L9" i="1"/>
  <c r="L19" i="1" s="1"/>
  <c r="K9" i="1"/>
  <c r="K19" i="1" s="1"/>
  <c r="J9" i="1"/>
  <c r="J19" i="1" s="1"/>
  <c r="I9" i="1"/>
  <c r="T8" i="1"/>
  <c r="R7" i="1"/>
  <c r="Q7" i="1"/>
  <c r="T7" i="1" s="1"/>
  <c r="M56" i="1" l="1"/>
  <c r="N56" i="1"/>
  <c r="J56" i="1"/>
  <c r="R19" i="1"/>
  <c r="Q19" i="1"/>
  <c r="Q56" i="1" s="1"/>
  <c r="R32" i="1"/>
  <c r="R56" i="1" s="1"/>
  <c r="R55" i="1"/>
  <c r="T43" i="1"/>
  <c r="T52" i="1"/>
  <c r="T9" i="1"/>
  <c r="S32" i="1"/>
  <c r="T30" i="1"/>
  <c r="S55" i="1"/>
  <c r="T41" i="1"/>
  <c r="T47" i="1"/>
  <c r="T50" i="1"/>
  <c r="T35" i="3"/>
  <c r="T53" i="3" s="1"/>
  <c r="T34" i="1"/>
  <c r="P56" i="1"/>
  <c r="S56" i="1"/>
  <c r="L56" i="1"/>
  <c r="T17" i="1"/>
  <c r="T22" i="1"/>
  <c r="T32" i="1" s="1"/>
  <c r="T33" i="1"/>
  <c r="K55" i="1"/>
  <c r="K56" i="1" s="1"/>
  <c r="O55" i="1"/>
  <c r="O56" i="1" s="1"/>
  <c r="T19" i="1" l="1"/>
  <c r="T55" i="1"/>
  <c r="T56" i="1" s="1"/>
</calcChain>
</file>

<file path=xl/sharedStrings.xml><?xml version="1.0" encoding="utf-8"?>
<sst xmlns="http://schemas.openxmlformats.org/spreadsheetml/2006/main" count="1020" uniqueCount="507">
  <si>
    <t>UBND PHƯỜNG PHƯỚC NGUYÊN</t>
  </si>
  <si>
    <t xml:space="preserve">BẢNG SAO KÊ BIÊN LAI THUẾ SỬ DỤNG ĐẤT PHI NÔNG NGHIỆP </t>
  </si>
  <si>
    <t>THÁNG 01/2022</t>
  </si>
  <si>
    <t>STT</t>
  </si>
  <si>
    <t>QUYỂN 
SỐ</t>
  </si>
  <si>
    <t>SỐ
 BIÊN
 LAI</t>
  </si>
  <si>
    <t>MÃ 
SỐ THUẾ</t>
  </si>
  <si>
    <t>HỌ VÀ TÊN</t>
  </si>
  <si>
    <t>ĐỊA 
CHỈ</t>
  </si>
  <si>
    <t>NGÀY 
THU</t>
  </si>
  <si>
    <t>Diện Tích m2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</si>
  <si>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</si>
  <si>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</si>
  <si>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</si>
  <si>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</si>
  <si>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</si>
  <si>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</si>
  <si>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</si>
  <si>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</si>
  <si>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</si>
  <si>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TỔNG TIỀN</t>
  </si>
  <si>
    <t>1331
LK/2015</t>
  </si>
  <si>
    <t>Mai Thị Hữu Vinh (T186)</t>
  </si>
  <si>
    <t>Tổ 6-
Kp1</t>
  </si>
  <si>
    <t>30/12/2021</t>
  </si>
  <si>
    <t>Lê Thanh Thủy</t>
  </si>
  <si>
    <t>Tổ 12-
Kp2</t>
  </si>
  <si>
    <t>Đỗ Thị Thu Hà</t>
  </si>
  <si>
    <t>Tổ 16-
Kp1</t>
  </si>
  <si>
    <t>Nguyễn Văn
 Tiến (T106)</t>
  </si>
  <si>
    <t>Tổ 21-
Kp3</t>
  </si>
  <si>
    <t>Nguyễn Văn
 Tiến (T10)</t>
  </si>
  <si>
    <t>Nguyễn Thiị Hà
(T125)</t>
  </si>
  <si>
    <t>Tổ 2-
Kp4</t>
  </si>
  <si>
    <t>Nguyễn Văn
 Tiến (T76)</t>
  </si>
  <si>
    <t>Tổ 11-
Kp3</t>
  </si>
  <si>
    <t>31/12/2021</t>
  </si>
  <si>
    <t>Nguyễn Văn
 Tiến (T12)</t>
  </si>
  <si>
    <t>Ôn Thành Dũng
(T27)</t>
  </si>
  <si>
    <t>Tổ 17-
Kp1</t>
  </si>
  <si>
    <t>04/01/2022</t>
  </si>
  <si>
    <t>Võ Xuân Trường</t>
  </si>
  <si>
    <t>Ngô Đình Sinh
Nhật (T23)</t>
  </si>
  <si>
    <t>Tổ 6-
Kp6</t>
  </si>
  <si>
    <t>3500182709</t>
  </si>
  <si>
    <t>Nguyễn Thị Thanh Hiệp</t>
  </si>
  <si>
    <t>Tổ 5-
Kp1</t>
  </si>
  <si>
    <t>Tổng</t>
  </si>
  <si>
    <t>1353
LK/2015</t>
  </si>
  <si>
    <t xml:space="preserve">
Nguyễn Quốc Thắng
</t>
  </si>
  <si>
    <t>Tổ 7-
Kp3</t>
  </si>
  <si>
    <t>05/01/2022</t>
  </si>
  <si>
    <t>Nguyễn Trọng Tấn (T66)</t>
  </si>
  <si>
    <t>8183737321</t>
  </si>
  <si>
    <t>Hoàng Thị Thanh (T342)</t>
  </si>
  <si>
    <t>Tổ 8-
Kp6</t>
  </si>
  <si>
    <t>Lê Văn Khánh (T851)</t>
  </si>
  <si>
    <t>Tổ 6-
Kp4</t>
  </si>
  <si>
    <t>Lê Văn Khánh (T852)</t>
  </si>
  <si>
    <t>Lê Văn Khánh (T853)</t>
  </si>
  <si>
    <t>Phạm Tấn Kính (T305)</t>
  </si>
  <si>
    <t>Tổ 14-
Kp4</t>
  </si>
  <si>
    <t>Nguyễn Minh Đức (T501)</t>
  </si>
  <si>
    <t>Nguyễn Thị
 Lan (T356)</t>
  </si>
  <si>
    <t>Tổ 7-
Kp1</t>
  </si>
  <si>
    <t>Đỗ Đức Vượng
(T472)</t>
  </si>
  <si>
    <t>Tổ 10-
Kp6</t>
  </si>
  <si>
    <t>Nguyễn Thái Bình (T13)</t>
  </si>
  <si>
    <t>Tổ 9-
Kp4</t>
  </si>
  <si>
    <t>10/01/2022</t>
  </si>
  <si>
    <t>Phạm Xuân Lành
(T114)</t>
  </si>
  <si>
    <t>Tổ 7-
Kp6</t>
  </si>
  <si>
    <t>1354
LK/2015</t>
  </si>
  <si>
    <t>Nguyễn Thiị Linh Thảo (T77)</t>
  </si>
  <si>
    <t>Tổ 22-
Kp1</t>
  </si>
  <si>
    <t>12/01/2022</t>
  </si>
  <si>
    <t>Đỗ Văn Nho
(T287)</t>
  </si>
  <si>
    <t>Trần Minh Sỹ
(T659)</t>
  </si>
  <si>
    <t>Đỗ Đức Vượng
(T658)</t>
  </si>
  <si>
    <t>Võ Thị Ngọc Lan
(T135)</t>
  </si>
  <si>
    <t>Võ Thị Ngọc Lan
(T27)</t>
  </si>
  <si>
    <t>Ngô NGọc Bình
(T642)</t>
  </si>
  <si>
    <t xml:space="preserve">
Lê Thị Mai
</t>
  </si>
  <si>
    <t>Tổ 15-
Kp3</t>
  </si>
  <si>
    <t>Nguyễn Hữu Trung (T603)</t>
  </si>
  <si>
    <t>Tổ 5-
Kp4</t>
  </si>
  <si>
    <t>Hoàng Thị Do
(T389)</t>
  </si>
  <si>
    <t>13/01/2022</t>
  </si>
  <si>
    <t>Đặng Kim Luyện
(T140)</t>
  </si>
  <si>
    <t>Tổ 11-
Kp1</t>
  </si>
  <si>
    <t>0300532164</t>
  </si>
  <si>
    <t xml:space="preserve">
Hoàng Thị Tư
</t>
  </si>
  <si>
    <t>Nguyễn Hồ
Ngọc (T631)</t>
  </si>
  <si>
    <t>Nguyễn Văn Sáng
(T305)</t>
  </si>
  <si>
    <t>Trần Trung 
Thành (T85)</t>
  </si>
  <si>
    <t>Tổ 16-
Kp2</t>
  </si>
  <si>
    <t>Trần Đức Nhị
(T42)</t>
  </si>
  <si>
    <t>Tổ 4-
Kp6</t>
  </si>
  <si>
    <t>Nguyễn Thế Hòa
(T162)</t>
  </si>
  <si>
    <t>Tổ 5-
Kp3</t>
  </si>
  <si>
    <t>17/01/2022</t>
  </si>
  <si>
    <t>Nguyễn Thị
Ngọc Thu 
(T1173)</t>
  </si>
  <si>
    <t>Tổ 7-
Kp4</t>
  </si>
  <si>
    <t>Nguyễn Thị 
Thúy Loan (T500)</t>
  </si>
  <si>
    <t>Trầm Thị 
Thanh Tâm
(T179)</t>
  </si>
  <si>
    <t>Tổ 9-
Kp1</t>
  </si>
  <si>
    <t>Thái Đăng 
Trung (T202)</t>
  </si>
  <si>
    <t>Trịnh Bá
Thẩm (T153)</t>
  </si>
  <si>
    <t>Tổng thu 
tháng 01</t>
  </si>
  <si>
    <t>Người lập biểu</t>
  </si>
  <si>
    <t>Phước Nguyên, ngày 27 tháng 01 năm 2022</t>
  </si>
  <si>
    <t xml:space="preserve">       UBND PHƯỜNG</t>
  </si>
  <si>
    <t xml:space="preserve">          Huỳnh Thị Diệu Hiền</t>
  </si>
  <si>
    <t xml:space="preserve">          UBND PHƯỜNG PHƯỚC NGUYÊN</t>
  </si>
  <si>
    <t>THÁNG 02/2022</t>
  </si>
  <si>
    <t>Diện Tích
(m2)</t>
  </si>
  <si>
    <t>2021</t>
  </si>
  <si>
    <t>2022</t>
  </si>
  <si>
    <t>-</t>
  </si>
  <si>
    <t>HỦY</t>
  </si>
  <si>
    <t>3500748173</t>
  </si>
  <si>
    <t>Nguyễn Thị Tâm (T182 cũ), (T1043 mới)</t>
  </si>
  <si>
    <t>26/01/2022</t>
  </si>
  <si>
    <t>Đỗ Văn  Thắng
(T618 cũ), (T2036 mới)</t>
  </si>
  <si>
    <t>Đỗ Thị Mai
(T383)</t>
  </si>
  <si>
    <t>Võ Thị Đăng Thương (T110)</t>
  </si>
  <si>
    <t>Tổ 4-
Kp4</t>
  </si>
  <si>
    <t>14/02/2022</t>
  </si>
  <si>
    <t>Nguyễn Quang Tuấn (T201)</t>
  </si>
  <si>
    <t>67.2</t>
  </si>
  <si>
    <t>Đặng Thị 
Xuân Phương 
(T185)</t>
  </si>
  <si>
    <t>100</t>
  </si>
  <si>
    <t>8171056952</t>
  </si>
  <si>
    <t>Lê Phát Mẫn</t>
  </si>
  <si>
    <t>72.3</t>
  </si>
  <si>
    <t>Nguyễn Văn Toàn (T213)</t>
  </si>
  <si>
    <t>15/02/2022</t>
  </si>
  <si>
    <t>80</t>
  </si>
  <si>
    <t>Nguyễn Thị Kim Thu (T636)</t>
  </si>
  <si>
    <t>95</t>
  </si>
  <si>
    <t>Phan Tiến Dũng</t>
  </si>
  <si>
    <t>51.4</t>
  </si>
  <si>
    <t>Huỳnh Thị Thanh (T843)</t>
  </si>
  <si>
    <t>133.5</t>
  </si>
  <si>
    <t>Đặng Thị 
Minh (T326)</t>
  </si>
  <si>
    <t>114.5</t>
  </si>
  <si>
    <t>Lê Thanh 
Quang (T30)</t>
  </si>
  <si>
    <t>16/02/2022</t>
  </si>
  <si>
    <t>102.5</t>
  </si>
  <si>
    <t>Hoàng Bảo
Khánh (T985)</t>
  </si>
  <si>
    <t>99.8</t>
  </si>
  <si>
    <t>Hà Mỹ 
Duyên</t>
  </si>
  <si>
    <t>208.4</t>
  </si>
  <si>
    <t>Nguyễn Trung
Vĩ Luân (T262)</t>
  </si>
  <si>
    <t>Tổ 8-
Kp2</t>
  </si>
  <si>
    <t>110.2</t>
  </si>
  <si>
    <t>Hoàng Thị 
Yến (T78)</t>
  </si>
  <si>
    <t>Tổ 6-
Kp3</t>
  </si>
  <si>
    <t>17/02/2022</t>
  </si>
  <si>
    <t>144.8</t>
  </si>
  <si>
    <t>8239423506</t>
  </si>
  <si>
    <t>Quan Năng 
(T50)</t>
  </si>
  <si>
    <t>8171707731</t>
  </si>
  <si>
    <t>Trương Sĩ Sáng</t>
  </si>
  <si>
    <t>78.8</t>
  </si>
  <si>
    <t>77.6</t>
  </si>
  <si>
    <t>Nguyễn Trọng
Nhân (T840)</t>
  </si>
  <si>
    <t>135.7</t>
  </si>
  <si>
    <t>Lê Thành 
Khanh (T673)</t>
  </si>
  <si>
    <t>Tổ 6 -
Kp4</t>
  </si>
  <si>
    <t>105</t>
  </si>
  <si>
    <t>Phạm Văn 
Bình (T203)</t>
  </si>
  <si>
    <t>50</t>
  </si>
  <si>
    <t>Nguyễn Khánh Linh (T442)</t>
  </si>
  <si>
    <t>90</t>
  </si>
  <si>
    <t>Nguyễn Giang Nam (T655)</t>
  </si>
  <si>
    <t>Nguyễn Thị thanh (T241)</t>
  </si>
  <si>
    <t>165.5</t>
  </si>
  <si>
    <t>Lê Duy Tôn</t>
  </si>
  <si>
    <t>Tổ 8-
Kp3</t>
  </si>
  <si>
    <t>44.9</t>
  </si>
  <si>
    <t>1355
LK/2015</t>
  </si>
  <si>
    <t>Đậu Thế Dũng (T260)</t>
  </si>
  <si>
    <t>Tổ 11-Kp4</t>
  </si>
  <si>
    <t>21/02/2022</t>
  </si>
  <si>
    <t>Nguyễn Đan Quế</t>
  </si>
  <si>
    <t>Tổ 12-Kp4</t>
  </si>
  <si>
    <t>Bùi Thị Tiến
(T81+82)</t>
  </si>
  <si>
    <t>Tổ 9-
Kp2</t>
  </si>
  <si>
    <t>Đặng  Thị Vân An (T05)</t>
  </si>
  <si>
    <t>Tổ 1-
Kp3</t>
  </si>
  <si>
    <t>8171772593</t>
  </si>
  <si>
    <t>Nguyễn Văn Thạnh (T209)</t>
  </si>
  <si>
    <t>Nguyễn Trần Vũ (T505)</t>
  </si>
  <si>
    <t>22/02/2022</t>
  </si>
  <si>
    <t>8149777194</t>
  </si>
  <si>
    <t>Hoàng Thị Yến
(T11)</t>
  </si>
  <si>
    <t>Cao Vương Quyền (T282)</t>
  </si>
  <si>
    <t>Tổ 3-
Kp1</t>
  </si>
  <si>
    <t>Đoàn Thanh Long (T165)</t>
  </si>
  <si>
    <t>Tô Minh Tuấn
 (T988)</t>
  </si>
  <si>
    <t>Nguyễn Văn 
Nam (T188)</t>
  </si>
  <si>
    <t>23/02/2022</t>
  </si>
  <si>
    <t>Khương Nam
Phương (T206)</t>
  </si>
  <si>
    <t>Lê Thị Cúc
(T125)</t>
  </si>
  <si>
    <t>8016026865</t>
  </si>
  <si>
    <t>Nguyễn Việt Vương (T284)</t>
  </si>
  <si>
    <t>Tổ 3-
Kp6</t>
  </si>
  <si>
    <t>25/02/2022</t>
  </si>
  <si>
    <t>Nguyễn Việt Châu (T285)</t>
  </si>
  <si>
    <t>Tổng thu tháng 2</t>
  </si>
  <si>
    <t>Nguyễn Thị Bình (T54)</t>
  </si>
  <si>
    <t>Tổ 17-Kp3</t>
  </si>
  <si>
    <t>28/02/2022</t>
  </si>
  <si>
    <t>8176536159</t>
  </si>
  <si>
    <t>Phạm Thị Bích Ngọc (T75)</t>
  </si>
  <si>
    <t>Tổ 5-Kp2</t>
  </si>
  <si>
    <t>Đặng Thị Thanh Y (T182)</t>
  </si>
  <si>
    <t>Tổ 1-Kp3</t>
  </si>
  <si>
    <t>01/03/2022</t>
  </si>
  <si>
    <t>8149888419</t>
  </si>
  <si>
    <t>Huỳnh Thị Kim Loan</t>
  </si>
  <si>
    <t>Tổ 12-Kp3</t>
  </si>
  <si>
    <t>8149326360</t>
  </si>
  <si>
    <t>Nguyễn Thị Thanh Tuyền</t>
  </si>
  <si>
    <t>150</t>
  </si>
  <si>
    <t>Hồ Quang Lộc(T828)</t>
  </si>
  <si>
    <t>Tổ 7-Kp4</t>
  </si>
  <si>
    <t>129</t>
  </si>
  <si>
    <t>Đặng Thị Thanh Y (T183)</t>
  </si>
  <si>
    <t>Thân Trọng Kỳ (T104)</t>
  </si>
  <si>
    <t>Tổ 22-Kp3</t>
  </si>
  <si>
    <t>83.5</t>
  </si>
  <si>
    <t>Tổ 5-Kp4</t>
  </si>
  <si>
    <t>89.1</t>
  </si>
  <si>
    <t>Nguyễn Viết Quốc (T18)</t>
  </si>
  <si>
    <t>02/03/2022</t>
  </si>
  <si>
    <t>99.4</t>
  </si>
  <si>
    <t xml:space="preserve">Phạm Thị Trạng </t>
  </si>
  <si>
    <t>Tổ 13-Kp4</t>
  </si>
  <si>
    <t>137</t>
  </si>
  <si>
    <t>89.9</t>
  </si>
  <si>
    <t>Tổ 14-Kp4</t>
  </si>
  <si>
    <t>Trần Quang Sanh (T175)</t>
  </si>
  <si>
    <t>Tổ 14-Kp3</t>
  </si>
  <si>
    <t>Nguyễn Thị Thơm (T23 cũ); (T62 mới)</t>
  </si>
  <si>
    <t>Tổ 6-Kp3</t>
  </si>
  <si>
    <t>217.7</t>
  </si>
  <si>
    <t>Thân Trọng Kỳ (T103)</t>
  </si>
  <si>
    <t>84.4</t>
  </si>
  <si>
    <t>Trần Thế Anh (T525)</t>
  </si>
  <si>
    <t>109.6</t>
  </si>
  <si>
    <t>Đinh Chí Danh (T531)</t>
  </si>
  <si>
    <t>106.7</t>
  </si>
  <si>
    <t>Đinh Chí Danh (T473)</t>
  </si>
  <si>
    <t>Đào Quy Tùng (T761)</t>
  </si>
  <si>
    <t>Tổ 6-Kp1</t>
  </si>
  <si>
    <t>03/03/2022</t>
  </si>
  <si>
    <t>94.2</t>
  </si>
  <si>
    <t>Lê Ngọc Minh Trang (T194)</t>
  </si>
  <si>
    <t>Tổ 4-Kp4</t>
  </si>
  <si>
    <t>50.1</t>
  </si>
  <si>
    <t>Võ Ngọc Thùy Trang (T548)</t>
  </si>
  <si>
    <t>89.7</t>
  </si>
  <si>
    <t>8297887560</t>
  </si>
  <si>
    <t>Nguyễn Anh Tuấn (T84)</t>
  </si>
  <si>
    <t>Tổ 15-Kp3</t>
  </si>
  <si>
    <t>04/03/2022</t>
  </si>
  <si>
    <t>175.3</t>
  </si>
  <si>
    <t>Tổ 7-Kp1</t>
  </si>
  <si>
    <t>123.6</t>
  </si>
  <si>
    <t>8176536575</t>
  </si>
  <si>
    <t>Nguyễn Thị Khiển (T196)</t>
  </si>
  <si>
    <t>Tổ 8-Kp2</t>
  </si>
  <si>
    <t>07/03/2022</t>
  </si>
  <si>
    <t>230.1</t>
  </si>
  <si>
    <t>Trần Văn Được (T92)</t>
  </si>
  <si>
    <t>Tổ 12-Kp2</t>
  </si>
  <si>
    <t>187.6</t>
  </si>
  <si>
    <t>Đặng Văn Thuận (T335)</t>
  </si>
  <si>
    <t>121.3</t>
  </si>
  <si>
    <t>Lê Quang Minh (T33)</t>
  </si>
  <si>
    <t>Tổ 5-Kp3</t>
  </si>
  <si>
    <t>300</t>
  </si>
  <si>
    <t>8310805425</t>
  </si>
  <si>
    <t>Phạm Văn Tờ</t>
  </si>
  <si>
    <t>Tổ 6-Kp2</t>
  </si>
  <si>
    <t>08/03/2022</t>
  </si>
  <si>
    <t>294.3</t>
  </si>
  <si>
    <t>3501949355</t>
  </si>
  <si>
    <t>Phạm Duy Linh (T147)</t>
  </si>
  <si>
    <t>Tổ 2-Kp4</t>
  </si>
  <si>
    <t>298.9</t>
  </si>
  <si>
    <t>3501949387</t>
  </si>
  <si>
    <t>Vũ Thị Út (T339)</t>
  </si>
  <si>
    <t>63.6</t>
  </si>
  <si>
    <t>Vũ Thị Út (T119)</t>
  </si>
  <si>
    <t>85</t>
  </si>
  <si>
    <t>Tôn Nữ Trúc Tiên (T94)</t>
  </si>
  <si>
    <t>Tổ 4-Kp3</t>
  </si>
  <si>
    <t>55.6</t>
  </si>
  <si>
    <t>128.7</t>
  </si>
  <si>
    <t>Tổ 6-Kp4</t>
  </si>
  <si>
    <t>09/03/2022</t>
  </si>
  <si>
    <t>8322320231</t>
  </si>
  <si>
    <t>Quan Ngọc Hà</t>
  </si>
  <si>
    <t>Tổ 8-Kp3</t>
  </si>
  <si>
    <t>Tổ 16-Kp3</t>
  </si>
  <si>
    <t>Vũ Thị Dài</t>
  </si>
  <si>
    <t>0303488097</t>
  </si>
  <si>
    <t>Hồ Quang Lộc(T829)</t>
  </si>
  <si>
    <t>129.7</t>
  </si>
  <si>
    <t>Hồ Quang Lộc(T830)</t>
  </si>
  <si>
    <t>130.3</t>
  </si>
  <si>
    <t>Võ Ngọc Thùy Trang (T239)</t>
  </si>
  <si>
    <t>Tổ 18-Kp1</t>
  </si>
  <si>
    <t>10/03/2022</t>
  </si>
  <si>
    <t>Võ Ngọc Thùy Trang (T1164)</t>
  </si>
  <si>
    <t>113.7</t>
  </si>
  <si>
    <t>Võ Ngọc Thùy Trang (T1165)</t>
  </si>
  <si>
    <t>90.3</t>
  </si>
  <si>
    <t>Nguyễn Thị Bạch Ngọc (T126)</t>
  </si>
  <si>
    <t>77.4</t>
  </si>
  <si>
    <t>Nguyễn Thị Thanh Tuyền (T272)</t>
  </si>
  <si>
    <t>15/03/2022</t>
  </si>
  <si>
    <t>60</t>
  </si>
  <si>
    <t>Lê Thị Thanh Xuân (T216)</t>
  </si>
  <si>
    <t>Tổ 9-Kp4</t>
  </si>
  <si>
    <t>Nguyễn Hoàng Sơn (T270)</t>
  </si>
  <si>
    <t>83.2</t>
  </si>
  <si>
    <t>8176536582</t>
  </si>
  <si>
    <t>75</t>
  </si>
  <si>
    <t>0308222566</t>
  </si>
  <si>
    <t>Nguyễn Thị Huệ (T136)</t>
  </si>
  <si>
    <t>Tổ 2-Kp2</t>
  </si>
  <si>
    <t>8170821287</t>
  </si>
  <si>
    <t>Vũ Thành Công (T686)</t>
  </si>
  <si>
    <t>Tổ 4-Kp6</t>
  </si>
  <si>
    <t>Tổ 16-Kp2</t>
  </si>
  <si>
    <t>84.8</t>
  </si>
  <si>
    <t>238.7</t>
  </si>
  <si>
    <t>3501283040</t>
  </si>
  <si>
    <t>Lê Thị Ngọc Quý (T681)</t>
  </si>
  <si>
    <t>88.2</t>
  </si>
  <si>
    <t>Lê Thị Ngọc Quý (T563)</t>
  </si>
  <si>
    <t>87.6</t>
  </si>
  <si>
    <t>Lê Thị Ngọc Quý (T562)</t>
  </si>
  <si>
    <t>93.1</t>
  </si>
  <si>
    <t>Lê Thị Ngọc Quý (T561)</t>
  </si>
  <si>
    <t>3500789885</t>
  </si>
  <si>
    <t>Trần Thị Hoàng</t>
  </si>
  <si>
    <t>Tổ 17-Kp1</t>
  </si>
  <si>
    <t>164</t>
  </si>
  <si>
    <t>16/03/2022</t>
  </si>
  <si>
    <t>131.4</t>
  </si>
  <si>
    <t>131.0</t>
  </si>
  <si>
    <t>130.1</t>
  </si>
  <si>
    <t>8149625240</t>
  </si>
  <si>
    <t>Nguyễn Thị Bạn (T158)</t>
  </si>
  <si>
    <t>Tổ 24-Kp3</t>
  </si>
  <si>
    <t>85.9</t>
  </si>
  <si>
    <t>8239417284</t>
  </si>
  <si>
    <t>Nguyễn Thị Thanh (T233)</t>
  </si>
  <si>
    <t>130</t>
  </si>
  <si>
    <t>Nguyễn Thị Thanh (T234)</t>
  </si>
  <si>
    <t>Nguyễn Thị Thanh (T235)</t>
  </si>
  <si>
    <t>70</t>
  </si>
  <si>
    <t>17/03/2022</t>
  </si>
  <si>
    <t>3501405838</t>
  </si>
  <si>
    <t>Trần Văn Kim</t>
  </si>
  <si>
    <t>Phạm Thị Mỹ Loan (T137)</t>
  </si>
  <si>
    <t>8051362193</t>
  </si>
  <si>
    <t>Đinh Thị Thu Hằng</t>
  </si>
  <si>
    <t>3502067959</t>
  </si>
  <si>
    <t>Nguyễn Đức Hưng</t>
  </si>
  <si>
    <t>Tổ 1-Kp4</t>
  </si>
  <si>
    <t>18/03/2022</t>
  </si>
  <si>
    <t>8149625152</t>
  </si>
  <si>
    <t>Nguyễn Thị Lan Thảo</t>
  </si>
  <si>
    <t>8149831980</t>
  </si>
  <si>
    <t>Nguyễn Thị Thu</t>
  </si>
  <si>
    <t>3500660948</t>
  </si>
  <si>
    <t>Nguyễn Văn Hào</t>
  </si>
  <si>
    <t>140</t>
  </si>
  <si>
    <t>8312209594</t>
  </si>
  <si>
    <t>Quan Vũ Tuyết Phụng (T2087)</t>
  </si>
  <si>
    <t>Tổ 2-Kp3</t>
  </si>
  <si>
    <t>112.5</t>
  </si>
  <si>
    <t>54</t>
  </si>
  <si>
    <t>Đặng Thị Lan Hương (T1031)</t>
  </si>
  <si>
    <t>89.8</t>
  </si>
  <si>
    <t>Phạm Văn Tạo (T87)</t>
  </si>
  <si>
    <t>Tổ 3-Kp3</t>
  </si>
  <si>
    <t>Trần Thị Kim Liên (T34)</t>
  </si>
  <si>
    <t>156.7</t>
  </si>
  <si>
    <t>8170821375</t>
  </si>
  <si>
    <t>Nguyễn Thị Đương</t>
  </si>
  <si>
    <t>Tổ 5-Kp6</t>
  </si>
  <si>
    <t>21/03/2022</t>
  </si>
  <si>
    <t>40</t>
  </si>
  <si>
    <t>3501325188</t>
  </si>
  <si>
    <t>Thân Văn Thư (T220)</t>
  </si>
  <si>
    <t>3502201107</t>
  </si>
  <si>
    <t xml:space="preserve">Bùi Danh Thiều </t>
  </si>
  <si>
    <t>Nguyễn Thành Long (T08)</t>
  </si>
  <si>
    <t>105.1</t>
  </si>
  <si>
    <t>Tổ 8-Kp1</t>
  </si>
  <si>
    <t>91.5</t>
  </si>
  <si>
    <t>88</t>
  </si>
  <si>
    <t>8053612547</t>
  </si>
  <si>
    <t>Huỳnh Kim Phú</t>
  </si>
  <si>
    <t>11/03/2022</t>
  </si>
  <si>
    <t>8276692546</t>
  </si>
  <si>
    <t>Nguyễn Văn Sáu</t>
  </si>
  <si>
    <t>Tổ 9-Kp1</t>
  </si>
  <si>
    <t>Nguyễn Ngọc Tuấn (T301)</t>
  </si>
  <si>
    <t>Tổ 5-Kp1</t>
  </si>
  <si>
    <t>22/03/2022</t>
  </si>
  <si>
    <t>Nguyễn Ngọc Thân (T26)</t>
  </si>
  <si>
    <t>Lê Duy Cường</t>
  </si>
  <si>
    <t>Tổ 9-Kp3</t>
  </si>
  <si>
    <t>286</t>
  </si>
  <si>
    <t>Nguyễn Đức Ý</t>
  </si>
  <si>
    <t>23/03/2022</t>
  </si>
  <si>
    <t>Vương Thị Huệ (T264)</t>
  </si>
  <si>
    <t>Nguyễn Thị Lượt (T101)</t>
  </si>
  <si>
    <t>Dương Tuấn Anh (T654)</t>
  </si>
  <si>
    <t>3500173782</t>
  </si>
  <si>
    <t>Trần Thế Tài</t>
  </si>
  <si>
    <t>148.6</t>
  </si>
  <si>
    <t>Đinh Văn Cương (T55)</t>
  </si>
  <si>
    <t>24/03/2022</t>
  </si>
  <si>
    <t>91.9</t>
  </si>
  <si>
    <t>Cao Thị Phượng Quyên (T195)</t>
  </si>
  <si>
    <t>Tổ 3-Kp4</t>
  </si>
  <si>
    <t>8195412705</t>
  </si>
  <si>
    <t>Huỳnh Thanh Xuân (T90)</t>
  </si>
  <si>
    <t>Tổ 6 -Kp1</t>
  </si>
  <si>
    <t>102</t>
  </si>
  <si>
    <t>8210676455</t>
  </si>
  <si>
    <t>Nguyễn Phước Lộc</t>
  </si>
  <si>
    <t>3501227046</t>
  </si>
  <si>
    <t>Nguyễn Văn Tư</t>
  </si>
  <si>
    <t>Tổ 7-Kp6</t>
  </si>
  <si>
    <t>25/03/2022</t>
  </si>
  <si>
    <t>3501329601</t>
  </si>
  <si>
    <t>Nguyễn Tự Khương</t>
  </si>
  <si>
    <t>99.7</t>
  </si>
  <si>
    <t>8314886062</t>
  </si>
  <si>
    <t>Mai Thanh Phong</t>
  </si>
  <si>
    <t>215.3</t>
  </si>
  <si>
    <t>28/03/2022</t>
  </si>
  <si>
    <t>Trần Thị Tuyết Nga  (T296)</t>
  </si>
  <si>
    <t>90.1</t>
  </si>
  <si>
    <t>Trần Thị Tuyết Nga  (T151)</t>
  </si>
  <si>
    <t>207.8</t>
  </si>
  <si>
    <t>3500224388</t>
  </si>
  <si>
    <t>Lê Văn Nam (111)</t>
  </si>
  <si>
    <t>266.8</t>
  </si>
  <si>
    <t xml:space="preserve">Lê Thị Thu An </t>
  </si>
  <si>
    <t xml:space="preserve">Trần Thị Kim Nga </t>
  </si>
  <si>
    <t>Hoàng Duy Phương (T94)</t>
  </si>
  <si>
    <t>92.1</t>
  </si>
  <si>
    <t>Nguyễn Văn Tiếp (T106)</t>
  </si>
  <si>
    <t>Tổ 3-Kp2</t>
  </si>
  <si>
    <t>113</t>
  </si>
  <si>
    <t>Nguyễn Thị Thanh  Huyền (T349)</t>
  </si>
  <si>
    <t>Tổ 10-Kp6</t>
  </si>
  <si>
    <t>Tổ 4-Kp1</t>
  </si>
  <si>
    <t>134.5</t>
  </si>
  <si>
    <t>Trịnh Thị Liễu Hạnh (T03)</t>
  </si>
  <si>
    <t>Tổ 11-Kp2</t>
  </si>
  <si>
    <t>142.4</t>
  </si>
  <si>
    <t>Diện Tích(m2)</t>
  </si>
  <si>
    <t>Bùi Vũ Bình(T487)</t>
  </si>
  <si>
    <t>Hứa Tố Cầm(T1071)</t>
  </si>
  <si>
    <t>Lê Thị Lộc (T213)</t>
  </si>
  <si>
    <t>Lê Minh Tịnh(T850)</t>
  </si>
  <si>
    <t>Nguyễn Chí Thu (T611)</t>
  </si>
  <si>
    <t>Vũ Thị Hương (T135)</t>
  </si>
  <si>
    <t>Lê Văn Nho(T250)</t>
  </si>
  <si>
    <t>Hồ Huy Cờ (T217)</t>
  </si>
  <si>
    <t xml:space="preserve">Hồ Huy Cờ </t>
  </si>
  <si>
    <t>Lê Minh Tú(T846)</t>
  </si>
  <si>
    <t>Lê Minh Tú(T847)</t>
  </si>
  <si>
    <t>Lê Minh Tú(T848)</t>
  </si>
  <si>
    <t>Lê Hoàng(T74)</t>
  </si>
  <si>
    <t>Lê Thị Xuân(T816)</t>
  </si>
  <si>
    <t>Lê Hữu Lợi(T114)</t>
  </si>
  <si>
    <t>Hoàng Thị Cà(T386)</t>
  </si>
  <si>
    <t>Nguyễn Thị ThuHiền (T215)</t>
  </si>
  <si>
    <t>Lê Ngọc Huệ(T110)</t>
  </si>
  <si>
    <t>Bùi Thế Vinh(T1109)</t>
  </si>
  <si>
    <t>Huỳnh Thị Chánh</t>
  </si>
  <si>
    <t>Võ Thị ThanhTrường Phúc (T95)</t>
  </si>
  <si>
    <t>NopCham</t>
  </si>
  <si>
    <t>SoTo</t>
  </si>
  <si>
    <t>SoThua</t>
  </si>
  <si>
    <t>QuyenBL</t>
  </si>
  <si>
    <t>KyHieu</t>
  </si>
  <si>
    <t>LK</t>
  </si>
  <si>
    <t>MaDTNT</t>
  </si>
  <si>
    <t>TenDTNT</t>
  </si>
  <si>
    <t>ToThon</t>
  </si>
  <si>
    <t>SoBL</t>
  </si>
  <si>
    <t>SoTien</t>
  </si>
  <si>
    <t>NgayBL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</si>
</sst>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"/>
    <numFmt numFmtId="167" formatCode="_-* #,##0.00\ _₫_-;\-* #,##0.00\ _₫_-;_-* &quot;-&quot;??\ _₫_-;_-@_-"/>
  </numFmts>
  <fonts count="3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name val="Times New Roman"/>
      <family val="1"/>
    </font>
    <font>
      <b/>
      <sz val="13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9"/>
      <name val="Calibri Light"/>
      <family val="1"/>
      <charset val="163"/>
      <scheme val="major"/>
    </font>
    <font>
      <sz val="7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  <charset val="163"/>
    </font>
    <font>
      <sz val="7"/>
      <name val="Arial"/>
      <family val="2"/>
    </font>
    <font>
      <sz val="8"/>
      <color rgb="FFFF0000"/>
      <name val="Times New Roman"/>
      <family val="1"/>
    </font>
    <font>
      <b/>
      <sz val="6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8"/>
      <color rgb="FFC00000"/>
      <name val="Times New Roman"/>
      <family val="1"/>
    </font>
    <font>
      <sz val="9"/>
      <color rgb="FFC00000"/>
      <name val="Times New Roman"/>
      <family val="1"/>
    </font>
    <font>
      <sz val="9"/>
      <color theme="1"/>
      <name val="Calibri Light"/>
      <family val="1"/>
      <charset val="163"/>
      <scheme val="major"/>
    </font>
    <font>
      <sz val="8"/>
      <name val="Calibri Light"/>
      <family val="1"/>
      <scheme val="major"/>
    </font>
    <font>
      <sz val="8"/>
      <name val="Calibri"/>
      <family val="2"/>
      <scheme val="minor"/>
    </font>
    <font>
      <sz val="8"/>
      <name val="Calibri Light"/>
      <family val="1"/>
      <charset val="163"/>
      <scheme val="major"/>
    </font>
    <font>
      <sz val="9"/>
      <color rgb="FFFF0000"/>
      <name val="Times New Roman"/>
      <family val="1"/>
    </font>
    <font>
      <sz val="9"/>
      <name val="Calibri"/>
      <family val="2"/>
      <scheme val="minor"/>
    </font>
    <font>
      <sz val="10"/>
      <color rgb="FFFF0000"/>
      <name val="Times New Roman"/>
      <family val="1"/>
    </font>
    <font>
      <sz val="8"/>
      <name val="Times New Roman"/>
      <family val="2"/>
    </font>
    <font>
      <sz val="11"/>
      <color rgb="FFCE9178"/>
      <name val="Consolas"/>
      <family val="3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0" fontId="10" fillId="0" borderId="0"/>
    <xf numFmtId="0" fontId="20" fillId="0" borderId="0"/>
    <xf numFmtId="0" fontId="20" fillId="0" borderId="0"/>
    <xf numFmtId="43" fontId="1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</cellStyleXfs>
  <cellXfs count="267">
    <xf numFmtId="0" fontId="0" fillId="0" borderId="0" xfId="0"/>
    <xf numFmtId="164" fontId="4" fillId="0" borderId="0" xfId="1" applyNumberFormat="1" applyFont="1" applyFill="1" applyAlignment="1">
      <alignment horizontal="left" vertical="center"/>
    </xf>
    <xf numFmtId="164" fontId="5" fillId="0" borderId="0" xfId="1" applyNumberFormat="1" applyFont="1" applyFill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4" fillId="0" borderId="0" xfId="2" applyFont="1" applyFill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2" quotePrefix="1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6" fillId="2" borderId="2" xfId="0" quotePrefix="1" applyNumberFormat="1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left" vertical="center" wrapText="1"/>
    </xf>
    <xf numFmtId="164" fontId="6" fillId="2" borderId="2" xfId="1" applyNumberFormat="1" applyFont="1" applyFill="1" applyBorder="1" applyAlignment="1">
      <alignment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2" xfId="2" quotePrefix="1" applyFont="1" applyFill="1" applyBorder="1" applyAlignment="1">
      <alignment horizontal="center" vertical="center"/>
    </xf>
    <xf numFmtId="0" fontId="6" fillId="0" borderId="2" xfId="2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6" fontId="6" fillId="2" borderId="2" xfId="0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left" vertical="center"/>
    </xf>
    <xf numFmtId="0" fontId="8" fillId="2" borderId="2" xfId="2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164" fontId="9" fillId="0" borderId="2" xfId="1" applyNumberFormat="1" applyFont="1" applyBorder="1" applyAlignment="1">
      <alignment vertical="center"/>
    </xf>
    <xf numFmtId="164" fontId="6" fillId="0" borderId="2" xfId="3" applyNumberFormat="1" applyFont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166" fontId="6" fillId="0" borderId="2" xfId="3" applyNumberFormat="1" applyFont="1" applyFill="1" applyBorder="1" applyAlignment="1">
      <alignment horizontal="center" vertical="center"/>
    </xf>
    <xf numFmtId="164" fontId="6" fillId="0" borderId="2" xfId="3" applyNumberFormat="1" applyFont="1" applyFill="1" applyBorder="1" applyAlignment="1">
      <alignment horizontal="center" vertical="center"/>
    </xf>
    <xf numFmtId="49" fontId="6" fillId="0" borderId="2" xfId="0" quotePrefix="1" applyNumberFormat="1" applyFont="1" applyBorder="1" applyAlignment="1">
      <alignment horizontal="center" vertical="center"/>
    </xf>
    <xf numFmtId="164" fontId="6" fillId="0" borderId="2" xfId="3" applyNumberFormat="1" applyFont="1" applyFill="1" applyBorder="1" applyAlignment="1">
      <alignment horizontal="left" vertical="center"/>
    </xf>
    <xf numFmtId="164" fontId="6" fillId="0" borderId="2" xfId="1" applyNumberFormat="1" applyFont="1" applyBorder="1" applyAlignment="1">
      <alignment vertical="center"/>
    </xf>
    <xf numFmtId="0" fontId="7" fillId="4" borderId="2" xfId="2" applyFont="1" applyFill="1" applyBorder="1" applyAlignment="1">
      <alignment horizontal="center" vertical="center"/>
    </xf>
    <xf numFmtId="0" fontId="7" fillId="4" borderId="2" xfId="1" applyNumberFormat="1" applyFont="1" applyFill="1" applyBorder="1" applyAlignment="1">
      <alignment horizontal="left" vertical="center"/>
    </xf>
    <xf numFmtId="0" fontId="7" fillId="4" borderId="2" xfId="2" applyFont="1" applyFill="1" applyBorder="1" applyAlignment="1">
      <alignment vertical="center"/>
    </xf>
    <xf numFmtId="0" fontId="7" fillId="4" borderId="2" xfId="2" applyFont="1" applyFill="1" applyBorder="1" applyAlignment="1">
      <alignment horizontal="left" vertical="center"/>
    </xf>
    <xf numFmtId="166" fontId="7" fillId="4" borderId="2" xfId="1" applyNumberFormat="1" applyFont="1" applyFill="1" applyBorder="1" applyAlignment="1">
      <alignment horizontal="center" vertical="center"/>
    </xf>
    <xf numFmtId="164" fontId="7" fillId="4" borderId="2" xfId="1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165" fontId="6" fillId="0" borderId="2" xfId="1" quotePrefix="1" applyNumberFormat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left" vertical="center"/>
    </xf>
    <xf numFmtId="165" fontId="6" fillId="2" borderId="2" xfId="1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/>
    </xf>
    <xf numFmtId="165" fontId="6" fillId="5" borderId="2" xfId="3" applyNumberFormat="1" applyFont="1" applyFill="1" applyBorder="1" applyAlignment="1">
      <alignment horizontal="center" vertical="center"/>
    </xf>
    <xf numFmtId="164" fontId="6" fillId="5" borderId="2" xfId="3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66" fontId="6" fillId="2" borderId="2" xfId="3" applyNumberFormat="1" applyFont="1" applyFill="1" applyBorder="1" applyAlignment="1">
      <alignment horizontal="center" vertical="center"/>
    </xf>
    <xf numFmtId="164" fontId="6" fillId="2" borderId="2" xfId="3" applyNumberFormat="1" applyFont="1" applyFill="1" applyBorder="1" applyAlignment="1">
      <alignment horizontal="center" vertical="center"/>
    </xf>
    <xf numFmtId="164" fontId="6" fillId="2" borderId="2" xfId="3" applyNumberFormat="1" applyFont="1" applyFill="1" applyBorder="1" applyAlignment="1">
      <alignment vertical="center"/>
    </xf>
    <xf numFmtId="0" fontId="6" fillId="3" borderId="2" xfId="2" quotePrefix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6" fillId="0" borderId="2" xfId="0" quotePrefix="1" applyNumberFormat="1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165" fontId="6" fillId="0" borderId="2" xfId="3" applyNumberFormat="1" applyFont="1" applyFill="1" applyBorder="1" applyAlignment="1">
      <alignment horizontal="center" vertical="center"/>
    </xf>
    <xf numFmtId="0" fontId="6" fillId="5" borderId="2" xfId="1" quotePrefix="1" applyNumberFormat="1" applyFont="1" applyFill="1" applyBorder="1" applyAlignment="1">
      <alignment horizontal="left" vertical="center"/>
    </xf>
    <xf numFmtId="166" fontId="6" fillId="2" borderId="2" xfId="1" applyNumberFormat="1" applyFont="1" applyFill="1" applyBorder="1" applyAlignment="1">
      <alignment horizontal="center" vertical="center"/>
    </xf>
    <xf numFmtId="0" fontId="6" fillId="5" borderId="2" xfId="1" applyNumberFormat="1" applyFont="1" applyFill="1" applyBorder="1" applyAlignment="1">
      <alignment horizontal="left" vertical="center"/>
    </xf>
    <xf numFmtId="0" fontId="7" fillId="6" borderId="2" xfId="2" applyFont="1" applyFill="1" applyBorder="1" applyAlignment="1">
      <alignment horizontal="center" vertical="center"/>
    </xf>
    <xf numFmtId="0" fontId="7" fillId="6" borderId="2" xfId="2" quotePrefix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 vertical="center"/>
    </xf>
    <xf numFmtId="14" fontId="7" fillId="6" borderId="2" xfId="0" applyNumberFormat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164" fontId="15" fillId="6" borderId="2" xfId="0" applyNumberFormat="1" applyFont="1" applyFill="1" applyBorder="1"/>
    <xf numFmtId="0" fontId="7" fillId="7" borderId="2" xfId="2" applyFont="1" applyFill="1" applyBorder="1" applyAlignment="1">
      <alignment horizontal="center" vertical="center"/>
    </xf>
    <xf numFmtId="0" fontId="7" fillId="7" borderId="2" xfId="2" quotePrefix="1" applyFont="1" applyFill="1" applyBorder="1" applyAlignment="1">
      <alignment horizontal="center" vertical="center"/>
    </xf>
    <xf numFmtId="0" fontId="7" fillId="7" borderId="2" xfId="3" applyNumberFormat="1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 wrapText="1"/>
    </xf>
    <xf numFmtId="0" fontId="7" fillId="7" borderId="2" xfId="2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center" vertical="center"/>
    </xf>
    <xf numFmtId="166" fontId="7" fillId="7" borderId="2" xfId="1" applyNumberFormat="1" applyFont="1" applyFill="1" applyBorder="1" applyAlignment="1">
      <alignment horizontal="center" vertical="center"/>
    </xf>
    <xf numFmtId="164" fontId="15" fillId="7" borderId="2" xfId="1" applyNumberFormat="1" applyFont="1" applyFill="1" applyBorder="1" applyAlignment="1">
      <alignment horizontal="left" vertical="center"/>
    </xf>
    <xf numFmtId="0" fontId="4" fillId="7" borderId="0" xfId="2" applyFont="1" applyFill="1" applyBorder="1" applyAlignment="1">
      <alignment horizontal="center" vertical="center"/>
    </xf>
    <xf numFmtId="0" fontId="4" fillId="7" borderId="0" xfId="2" quotePrefix="1" applyFont="1" applyFill="1" applyBorder="1" applyAlignment="1">
      <alignment horizontal="center" vertical="center"/>
    </xf>
    <xf numFmtId="0" fontId="4" fillId="7" borderId="0" xfId="3" applyNumberFormat="1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 wrapText="1"/>
    </xf>
    <xf numFmtId="0" fontId="4" fillId="7" borderId="0" xfId="2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center" vertical="center"/>
    </xf>
    <xf numFmtId="166" fontId="4" fillId="7" borderId="0" xfId="1" applyNumberFormat="1" applyFont="1" applyFill="1" applyBorder="1" applyAlignment="1">
      <alignment horizontal="center" vertical="center"/>
    </xf>
    <xf numFmtId="164" fontId="4" fillId="7" borderId="0" xfId="1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164" fontId="16" fillId="0" borderId="0" xfId="1" applyNumberFormat="1" applyFont="1" applyFill="1" applyAlignment="1">
      <alignment horizontal="center" vertical="center"/>
    </xf>
    <xf numFmtId="164" fontId="16" fillId="0" borderId="0" xfId="1" applyNumberFormat="1" applyFont="1" applyFill="1" applyAlignment="1">
      <alignment horizontal="left" vertical="center"/>
    </xf>
    <xf numFmtId="0" fontId="16" fillId="0" borderId="0" xfId="1" applyNumberFormat="1" applyFont="1" applyFill="1" applyAlignment="1">
      <alignment horizontal="left" vertical="center"/>
    </xf>
    <xf numFmtId="164" fontId="17" fillId="0" borderId="0" xfId="1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64" fontId="4" fillId="0" borderId="0" xfId="3" applyNumberFormat="1" applyFont="1" applyFill="1" applyAlignment="1">
      <alignment horizontal="center" vertical="center"/>
    </xf>
    <xf numFmtId="164" fontId="4" fillId="0" borderId="0" xfId="3" applyNumberFormat="1" applyFont="1" applyFill="1" applyAlignment="1">
      <alignment horizontal="left" vertical="center"/>
    </xf>
    <xf numFmtId="0" fontId="10" fillId="0" borderId="0" xfId="4"/>
    <xf numFmtId="0" fontId="10" fillId="0" borderId="0" xfId="4" applyAlignment="1"/>
    <xf numFmtId="0" fontId="5" fillId="2" borderId="2" xfId="4" applyFont="1" applyFill="1" applyBorder="1" applyAlignment="1">
      <alignment horizontal="center" vertical="center"/>
    </xf>
    <xf numFmtId="0" fontId="4" fillId="3" borderId="2" xfId="2" quotePrefix="1" applyFont="1" applyFill="1" applyBorder="1" applyAlignment="1">
      <alignment horizontal="center" vertical="center" wrapText="1"/>
    </xf>
    <xf numFmtId="0" fontId="11" fillId="0" borderId="2" xfId="4" quotePrefix="1" applyFont="1" applyFill="1" applyBorder="1" applyAlignment="1">
      <alignment horizontal="center" vertical="center"/>
    </xf>
    <xf numFmtId="0" fontId="11" fillId="2" borderId="2" xfId="0" quotePrefix="1" applyFont="1" applyFill="1" applyBorder="1" applyAlignment="1">
      <alignment horizontal="left" vertical="center" wrapText="1"/>
    </xf>
    <xf numFmtId="0" fontId="11" fillId="2" borderId="2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vertical="center" wrapText="1"/>
    </xf>
    <xf numFmtId="164" fontId="4" fillId="2" borderId="2" xfId="3" applyNumberFormat="1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5" fillId="2" borderId="2" xfId="2" quotePrefix="1" applyFont="1" applyFill="1" applyBorder="1" applyAlignment="1">
      <alignment horizontal="center" vertical="center"/>
    </xf>
    <xf numFmtId="0" fontId="11" fillId="0" borderId="2" xfId="2" quotePrefix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 wrapText="1"/>
    </xf>
    <xf numFmtId="14" fontId="11" fillId="2" borderId="2" xfId="5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/>
    </xf>
    <xf numFmtId="164" fontId="5" fillId="0" borderId="2" xfId="3" applyNumberFormat="1" applyFont="1" applyFill="1" applyBorder="1"/>
    <xf numFmtId="3" fontId="5" fillId="0" borderId="2" xfId="6" applyNumberFormat="1" applyFont="1" applyFill="1" applyBorder="1" applyAlignment="1">
      <alignment horizontal="right" vertical="center" wrapText="1"/>
    </xf>
    <xf numFmtId="3" fontId="5" fillId="0" borderId="2" xfId="6" applyNumberFormat="1" applyFont="1" applyFill="1" applyBorder="1" applyAlignment="1">
      <alignment vertical="center" wrapText="1"/>
    </xf>
    <xf numFmtId="164" fontId="5" fillId="2" borderId="2" xfId="3" applyNumberFormat="1" applyFont="1" applyFill="1" applyBorder="1" applyAlignment="1">
      <alignment vertical="center"/>
    </xf>
    <xf numFmtId="4" fontId="5" fillId="2" borderId="2" xfId="0" applyNumberFormat="1" applyFont="1" applyFill="1" applyBorder="1" applyAlignment="1">
      <alignment horizontal="center" vertical="center"/>
    </xf>
    <xf numFmtId="164" fontId="5" fillId="2" borderId="2" xfId="3" applyNumberFormat="1" applyFont="1" applyFill="1" applyBorder="1" applyAlignment="1">
      <alignment horizontal="center" vertical="center"/>
    </xf>
    <xf numFmtId="164" fontId="21" fillId="0" borderId="2" xfId="3" applyNumberFormat="1" applyFont="1" applyBorder="1"/>
    <xf numFmtId="164" fontId="21" fillId="0" borderId="2" xfId="3" applyNumberFormat="1" applyFont="1" applyBorder="1" applyAlignment="1"/>
    <xf numFmtId="49" fontId="5" fillId="2" borderId="5" xfId="0" applyNumberFormat="1" applyFont="1" applyFill="1" applyBorder="1" applyAlignment="1">
      <alignment horizontal="center" vertical="center" wrapText="1"/>
    </xf>
    <xf numFmtId="164" fontId="5" fillId="0" borderId="2" xfId="7" applyNumberFormat="1" applyFont="1" applyBorder="1"/>
    <xf numFmtId="49" fontId="5" fillId="0" borderId="2" xfId="4" applyNumberFormat="1" applyFont="1" applyBorder="1" applyAlignment="1">
      <alignment horizontal="center"/>
    </xf>
    <xf numFmtId="0" fontId="5" fillId="0" borderId="2" xfId="4" applyFont="1" applyBorder="1"/>
    <xf numFmtId="0" fontId="5" fillId="0" borderId="2" xfId="4" applyFont="1" applyBorder="1" applyAlignment="1"/>
    <xf numFmtId="49" fontId="5" fillId="0" borderId="2" xfId="7" applyNumberFormat="1" applyFont="1" applyFill="1" applyBorder="1" applyAlignment="1">
      <alignment horizontal="center" vertical="center"/>
    </xf>
    <xf numFmtId="164" fontId="5" fillId="0" borderId="2" xfId="7" applyNumberFormat="1" applyFont="1" applyFill="1" applyBorder="1" applyAlignment="1">
      <alignment horizontal="center" vertical="center"/>
    </xf>
    <xf numFmtId="164" fontId="5" fillId="0" borderId="2" xfId="7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5" fillId="0" borderId="2" xfId="4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164" fontId="5" fillId="0" borderId="2" xfId="7" applyNumberFormat="1" applyFont="1" applyFill="1" applyBorder="1" applyAlignment="1">
      <alignment horizontal="left" vertical="center"/>
    </xf>
    <xf numFmtId="0" fontId="5" fillId="0" borderId="2" xfId="4" quotePrefix="1" applyFont="1" applyBorder="1" applyAlignment="1">
      <alignment horizontal="center"/>
    </xf>
    <xf numFmtId="0" fontId="5" fillId="0" borderId="2" xfId="4" quotePrefix="1" applyFont="1" applyBorder="1" applyAlignment="1"/>
    <xf numFmtId="0" fontId="5" fillId="2" borderId="2" xfId="8" applyNumberFormat="1" applyFont="1" applyFill="1" applyBorder="1" applyAlignment="1">
      <alignment horizontal="left" vertical="center"/>
    </xf>
    <xf numFmtId="164" fontId="5" fillId="0" borderId="2" xfId="3" applyNumberFormat="1" applyFont="1" applyBorder="1" applyAlignment="1">
      <alignment vertical="center"/>
    </xf>
    <xf numFmtId="0" fontId="22" fillId="2" borderId="2" xfId="2" quotePrefix="1" applyFont="1" applyFill="1" applyBorder="1" applyAlignment="1">
      <alignment horizontal="center" vertical="center"/>
    </xf>
    <xf numFmtId="0" fontId="23" fillId="0" borderId="2" xfId="4" quotePrefix="1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23" fillId="2" borderId="2" xfId="5" applyNumberFormat="1" applyFont="1" applyFill="1" applyBorder="1" applyAlignment="1">
      <alignment horizontal="center" vertical="center" wrapText="1"/>
    </xf>
    <xf numFmtId="49" fontId="22" fillId="0" borderId="2" xfId="4" quotePrefix="1" applyNumberFormat="1" applyFont="1" applyBorder="1" applyAlignment="1">
      <alignment horizontal="center"/>
    </xf>
    <xf numFmtId="0" fontId="22" fillId="0" borderId="2" xfId="4" quotePrefix="1" applyFont="1" applyBorder="1" applyAlignment="1">
      <alignment horizontal="center"/>
    </xf>
    <xf numFmtId="165" fontId="22" fillId="0" borderId="2" xfId="1" quotePrefix="1" applyNumberFormat="1" applyFont="1" applyBorder="1" applyAlignment="1">
      <alignment horizontal="center"/>
    </xf>
    <xf numFmtId="165" fontId="22" fillId="0" borderId="2" xfId="1" quotePrefix="1" applyNumberFormat="1" applyFont="1" applyBorder="1" applyAlignment="1"/>
    <xf numFmtId="164" fontId="22" fillId="2" borderId="2" xfId="3" applyNumberFormat="1" applyFont="1" applyFill="1" applyBorder="1" applyAlignment="1">
      <alignment vertical="center"/>
    </xf>
    <xf numFmtId="164" fontId="5" fillId="2" borderId="2" xfId="3" applyNumberFormat="1" applyFont="1" applyFill="1" applyBorder="1" applyAlignment="1">
      <alignment horizontal="center" vertical="center" wrapText="1"/>
    </xf>
    <xf numFmtId="164" fontId="5" fillId="2" borderId="2" xfId="3" applyNumberFormat="1" applyFont="1" applyFill="1" applyBorder="1" applyAlignment="1">
      <alignment vertical="center" wrapText="1"/>
    </xf>
    <xf numFmtId="49" fontId="5" fillId="5" borderId="2" xfId="3" applyNumberFormat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25" fillId="2" borderId="2" xfId="2" applyFont="1" applyFill="1" applyBorder="1" applyAlignment="1">
      <alignment vertical="center" wrapText="1"/>
    </xf>
    <xf numFmtId="0" fontId="5" fillId="2" borderId="2" xfId="8" applyNumberFormat="1" applyFont="1" applyFill="1" applyBorder="1" applyAlignment="1">
      <alignment horizontal="center" vertical="center"/>
    </xf>
    <xf numFmtId="49" fontId="5" fillId="2" borderId="2" xfId="0" quotePrefix="1" applyNumberFormat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left" vertical="center" wrapText="1"/>
    </xf>
    <xf numFmtId="0" fontId="11" fillId="2" borderId="2" xfId="2" quotePrefix="1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left" vertical="center"/>
    </xf>
    <xf numFmtId="49" fontId="5" fillId="2" borderId="2" xfId="3" applyNumberFormat="1" applyFont="1" applyFill="1" applyBorder="1" applyAlignment="1">
      <alignment horizontal="center" vertical="center"/>
    </xf>
    <xf numFmtId="0" fontId="19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19" fillId="4" borderId="2" xfId="3" applyNumberFormat="1" applyFont="1" applyFill="1" applyBorder="1" applyAlignment="1">
      <alignment horizontal="left" vertical="center"/>
    </xf>
    <xf numFmtId="0" fontId="19" fillId="4" borderId="2" xfId="2" applyFont="1" applyFill="1" applyBorder="1" applyAlignment="1">
      <alignment vertical="center"/>
    </xf>
    <xf numFmtId="0" fontId="4" fillId="4" borderId="2" xfId="2" applyFont="1" applyFill="1" applyBorder="1" applyAlignment="1">
      <alignment horizontal="left" vertical="center"/>
    </xf>
    <xf numFmtId="166" fontId="4" fillId="4" borderId="2" xfId="3" applyNumberFormat="1" applyFont="1" applyFill="1" applyBorder="1" applyAlignment="1">
      <alignment horizontal="center" vertical="center"/>
    </xf>
    <xf numFmtId="164" fontId="4" fillId="4" borderId="2" xfId="3" applyNumberFormat="1" applyFont="1" applyFill="1" applyBorder="1" applyAlignment="1">
      <alignment horizontal="center" vertical="center"/>
    </xf>
    <xf numFmtId="164" fontId="4" fillId="4" borderId="2" xfId="3" applyNumberFormat="1" applyFont="1" applyFill="1" applyBorder="1" applyAlignment="1">
      <alignment vertical="center"/>
    </xf>
    <xf numFmtId="165" fontId="5" fillId="2" borderId="2" xfId="3" applyNumberFormat="1" applyFont="1" applyFill="1" applyBorder="1" applyAlignment="1">
      <alignment horizontal="center" vertical="center" wrapText="1"/>
    </xf>
    <xf numFmtId="164" fontId="11" fillId="2" borderId="2" xfId="8" applyNumberFormat="1" applyFont="1" applyFill="1" applyBorder="1" applyAlignment="1">
      <alignment horizontal="right" vertical="center" wrapText="1"/>
    </xf>
    <xf numFmtId="164" fontId="11" fillId="2" borderId="2" xfId="9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center" vertical="center" wrapText="1"/>
    </xf>
    <xf numFmtId="0" fontId="5" fillId="0" borderId="2" xfId="4" applyFont="1" applyBorder="1" applyAlignment="1">
      <alignment horizontal="center"/>
    </xf>
    <xf numFmtId="0" fontId="27" fillId="2" borderId="2" xfId="0" applyFont="1" applyFill="1" applyBorder="1" applyAlignment="1">
      <alignment horizontal="left" vertical="center" wrapText="1"/>
    </xf>
    <xf numFmtId="164" fontId="4" fillId="2" borderId="2" xfId="3" applyNumberFormat="1" applyFont="1" applyFill="1" applyBorder="1" applyAlignment="1">
      <alignment vertical="center"/>
    </xf>
    <xf numFmtId="0" fontId="5" fillId="2" borderId="2" xfId="3" applyNumberFormat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vertical="center" wrapText="1"/>
    </xf>
    <xf numFmtId="164" fontId="5" fillId="2" borderId="2" xfId="3" applyNumberFormat="1" applyFont="1" applyFill="1" applyBorder="1" applyAlignment="1"/>
    <xf numFmtId="0" fontId="14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19" fillId="0" borderId="2" xfId="0" applyFont="1" applyBorder="1"/>
    <xf numFmtId="164" fontId="19" fillId="0" borderId="2" xfId="0" applyNumberFormat="1" applyFont="1" applyBorder="1"/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164" fontId="4" fillId="0" borderId="2" xfId="3" quotePrefix="1" applyNumberFormat="1" applyFont="1" applyFill="1" applyBorder="1" applyAlignment="1">
      <alignment horizontal="center" vertical="center" wrapText="1"/>
    </xf>
    <xf numFmtId="3" fontId="4" fillId="0" borderId="2" xfId="3" applyNumberFormat="1" applyFont="1" applyFill="1" applyBorder="1" applyAlignment="1">
      <alignment horizontal="center" vertical="center" wrapText="1"/>
    </xf>
    <xf numFmtId="0" fontId="11" fillId="2" borderId="2" xfId="8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49" fontId="11" fillId="2" borderId="2" xfId="5" applyNumberFormat="1" applyFont="1" applyFill="1" applyBorder="1" applyAlignment="1">
      <alignment horizontal="center" vertical="center" wrapText="1"/>
    </xf>
    <xf numFmtId="164" fontId="5" fillId="0" borderId="2" xfId="3" applyNumberFormat="1" applyFont="1" applyBorder="1"/>
    <xf numFmtId="164" fontId="5" fillId="0" borderId="2" xfId="3" applyNumberFormat="1" applyFont="1" applyBorder="1" applyAlignment="1"/>
    <xf numFmtId="49" fontId="5" fillId="0" borderId="2" xfId="4" quotePrefix="1" applyNumberFormat="1" applyFont="1" applyBorder="1" applyAlignment="1">
      <alignment horizontal="center"/>
    </xf>
    <xf numFmtId="165" fontId="5" fillId="0" borderId="2" xfId="1" quotePrefix="1" applyNumberFormat="1" applyFont="1" applyBorder="1" applyAlignment="1">
      <alignment horizontal="center"/>
    </xf>
    <xf numFmtId="165" fontId="5" fillId="0" borderId="2" xfId="1" quotePrefix="1" applyNumberFormat="1" applyFont="1" applyBorder="1" applyAlignment="1"/>
    <xf numFmtId="0" fontId="8" fillId="2" borderId="2" xfId="0" applyFont="1" applyFill="1" applyBorder="1" applyAlignment="1">
      <alignment horizontal="center" vertical="center" wrapText="1"/>
    </xf>
    <xf numFmtId="0" fontId="28" fillId="2" borderId="2" xfId="1" applyNumberFormat="1" applyFont="1" applyFill="1" applyBorder="1" applyAlignment="1">
      <alignment horizontal="left" vertical="center"/>
    </xf>
    <xf numFmtId="0" fontId="28" fillId="2" borderId="2" xfId="2" applyFont="1" applyFill="1" applyBorder="1" applyAlignment="1">
      <alignment vertical="center" wrapText="1"/>
    </xf>
    <xf numFmtId="0" fontId="11" fillId="2" borderId="2" xfId="8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2" xfId="0" quotePrefix="1" applyFont="1" applyFill="1" applyBorder="1" applyAlignment="1">
      <alignment horizontal="left" vertical="center" wrapText="1"/>
    </xf>
    <xf numFmtId="164" fontId="5" fillId="0" borderId="2" xfId="1" applyNumberFormat="1" applyFont="1" applyBorder="1" applyAlignment="1">
      <alignment vertical="center"/>
    </xf>
    <xf numFmtId="0" fontId="28" fillId="2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vertical="center" wrapText="1"/>
    </xf>
    <xf numFmtId="0" fontId="11" fillId="2" borderId="2" xfId="1" applyNumberFormat="1" applyFont="1" applyFill="1" applyBorder="1" applyAlignment="1">
      <alignment horizontal="left" vertical="center"/>
    </xf>
    <xf numFmtId="0" fontId="11" fillId="2" borderId="2" xfId="2" applyFont="1" applyFill="1" applyBorder="1" applyAlignment="1">
      <alignment vertical="center" wrapText="1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164" fontId="5" fillId="2" borderId="0" xfId="3" applyNumberFormat="1" applyFont="1" applyFill="1" applyAlignment="1">
      <alignment vertical="center"/>
    </xf>
    <xf numFmtId="49" fontId="11" fillId="2" borderId="2" xfId="0" quotePrefix="1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vertical="center" wrapText="1"/>
    </xf>
    <xf numFmtId="0" fontId="11" fillId="2" borderId="2" xfId="3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wrapText="1"/>
    </xf>
    <xf numFmtId="0" fontId="28" fillId="6" borderId="2" xfId="0" applyFont="1" applyFill="1" applyBorder="1" applyAlignment="1">
      <alignment horizontal="left" vertical="center" wrapText="1"/>
    </xf>
    <xf numFmtId="0" fontId="30" fillId="6" borderId="2" xfId="0" applyFont="1" applyFill="1" applyBorder="1" applyAlignment="1">
      <alignment horizontal="left" vertical="center" wrapText="1"/>
    </xf>
    <xf numFmtId="164" fontId="4" fillId="0" borderId="9" xfId="3" applyNumberFormat="1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/>
    </xf>
    <xf numFmtId="164" fontId="4" fillId="0" borderId="2" xfId="1" quotePrefix="1" applyNumberFormat="1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 wrapText="1"/>
    </xf>
    <xf numFmtId="3" fontId="4" fillId="0" borderId="2" xfId="1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Alignment="1">
      <alignment horizontal="center" vertical="center"/>
    </xf>
    <xf numFmtId="49" fontId="4" fillId="0" borderId="3" xfId="1" quotePrefix="1" applyNumberFormat="1" applyFont="1" applyFill="1" applyBorder="1" applyAlignment="1">
      <alignment horizontal="center" vertical="center" wrapText="1"/>
    </xf>
    <xf numFmtId="49" fontId="4" fillId="0" borderId="4" xfId="1" quotePrefix="1" applyNumberFormat="1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left" vertical="center"/>
    </xf>
    <xf numFmtId="0" fontId="4" fillId="0" borderId="0" xfId="2" applyFont="1" applyFill="1" applyAlignment="1">
      <alignment horizontal="left" vertical="center"/>
    </xf>
    <xf numFmtId="0" fontId="3" fillId="0" borderId="0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/>
    </xf>
    <xf numFmtId="49" fontId="4" fillId="0" borderId="2" xfId="1" quotePrefix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center" vertical="center"/>
    </xf>
    <xf numFmtId="0" fontId="19" fillId="0" borderId="2" xfId="2" applyFont="1" applyFill="1" applyBorder="1" applyAlignment="1">
      <alignment horizontal="center" vertical="center" wrapText="1"/>
    </xf>
    <xf numFmtId="0" fontId="19" fillId="0" borderId="2" xfId="2" applyFont="1" applyFill="1" applyBorder="1" applyAlignment="1">
      <alignment horizontal="center" vertical="center"/>
    </xf>
    <xf numFmtId="0" fontId="19" fillId="0" borderId="3" xfId="2" applyFont="1" applyFill="1" applyBorder="1" applyAlignment="1">
      <alignment horizontal="left" vertical="center" wrapText="1"/>
    </xf>
    <xf numFmtId="0" fontId="19" fillId="0" borderId="4" xfId="2" applyFont="1" applyFill="1" applyBorder="1" applyAlignment="1">
      <alignment horizontal="left" vertical="center"/>
    </xf>
    <xf numFmtId="164" fontId="4" fillId="0" borderId="2" xfId="3" quotePrefix="1" applyNumberFormat="1" applyFont="1" applyFill="1" applyBorder="1" applyAlignment="1">
      <alignment vertical="center" wrapText="1"/>
    </xf>
    <xf numFmtId="164" fontId="4" fillId="0" borderId="2" xfId="3" applyNumberFormat="1" applyFont="1" applyFill="1" applyBorder="1" applyAlignment="1">
      <alignment vertical="center" wrapText="1"/>
    </xf>
    <xf numFmtId="164" fontId="4" fillId="0" borderId="2" xfId="3" applyNumberFormat="1" applyFont="1" applyFill="1" applyBorder="1" applyAlignment="1">
      <alignment horizontal="center" vertical="center" wrapText="1"/>
    </xf>
    <xf numFmtId="164" fontId="4" fillId="0" borderId="2" xfId="3" applyNumberFormat="1" applyFont="1" applyFill="1" applyBorder="1" applyAlignment="1">
      <alignment horizontal="center" vertical="center"/>
    </xf>
    <xf numFmtId="164" fontId="4" fillId="0" borderId="2" xfId="3" quotePrefix="1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3" fontId="4" fillId="0" borderId="2" xfId="3" applyNumberFormat="1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33" fillId="0" borderId="2" xfId="0" applyFont="1" applyBorder="1" applyAlignment="1">
      <alignment horizontal="center" vertical="top"/>
    </xf>
  </cellXfs>
  <cellStyles count="10">
    <cellStyle name="Comma" xfId="1" builtinId="3"/>
    <cellStyle name="Comma 2" xfId="3" xr:uid="{00000000-0005-0000-0000-000001000000}"/>
    <cellStyle name="Comma 2 2" xfId="7" xr:uid="{00000000-0005-0000-0000-000002000000}"/>
    <cellStyle name="Comma 4" xfId="8" xr:uid="{00000000-0005-0000-0000-000003000000}"/>
    <cellStyle name="Comma 5" xfId="9" xr:uid="{00000000-0005-0000-0000-000004000000}"/>
    <cellStyle name="Normal" xfId="0" builtinId="0"/>
    <cellStyle name="Normal 10" xfId="6" xr:uid="{00000000-0005-0000-0000-000006000000}"/>
    <cellStyle name="Normal 2 2" xfId="4" xr:uid="{00000000-0005-0000-0000-000007000000}"/>
    <cellStyle name="Normal 5" xfId="5" xr:uid="{00000000-0005-0000-0000-000008000000}"/>
    <cellStyle name="Normal_Sheet1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9"/>
  <sheetViews>
    <sheetView topLeftCell="A11" workbookViewId="0">
      <selection activeCell="L23" sqref="L23"/>
    </sheetView>
  </sheetViews>
  <sheetFormatPr defaultRowHeight="15.75" x14ac:dyDescent="0.25"/>
  <cols>
    <col min="1" max="1" width="3.625" customWidth="1"/>
    <col min="3" max="3" width="8.875" customWidth="1"/>
    <col min="5" max="5" width="11.625" customWidth="1"/>
  </cols>
  <sheetData>
    <row r="1" spans="1:20" ht="16.5" x14ac:dyDescent="0.25">
      <c r="A1" s="241" t="s">
        <v>0</v>
      </c>
      <c r="B1" s="241"/>
      <c r="C1" s="241"/>
      <c r="D1" s="241"/>
      <c r="E1" s="241"/>
      <c r="F1" s="241"/>
      <c r="G1" s="241"/>
      <c r="H1" s="241"/>
      <c r="I1" s="1"/>
      <c r="J1" s="2"/>
      <c r="K1" s="1"/>
      <c r="L1" s="1"/>
      <c r="M1" s="1"/>
      <c r="N1" s="1"/>
      <c r="O1" s="2"/>
      <c r="P1" s="2"/>
      <c r="Q1" s="2"/>
      <c r="R1" s="2"/>
      <c r="S1" s="2"/>
      <c r="T1" s="3"/>
    </row>
    <row r="2" spans="1:20" x14ac:dyDescent="0.25">
      <c r="A2" s="242"/>
      <c r="B2" s="242"/>
      <c r="C2" s="242"/>
      <c r="D2" s="242"/>
      <c r="E2" s="242"/>
      <c r="F2" s="4"/>
      <c r="G2" s="5"/>
      <c r="H2" s="6"/>
      <c r="I2" s="1"/>
      <c r="J2" s="2"/>
      <c r="K2" s="1"/>
      <c r="L2" s="1"/>
      <c r="M2" s="1"/>
      <c r="N2" s="1"/>
      <c r="O2" s="2"/>
      <c r="P2" s="2"/>
      <c r="Q2" s="2"/>
      <c r="R2" s="2"/>
      <c r="S2" s="2"/>
      <c r="T2" s="3"/>
    </row>
    <row r="3" spans="1:20" ht="16.5" x14ac:dyDescent="0.25">
      <c r="A3" s="243" t="s">
        <v>1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</row>
    <row r="4" spans="1:20" ht="16.5" x14ac:dyDescent="0.25">
      <c r="A4" s="244" t="s">
        <v>2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</row>
    <row r="5" spans="1:20" x14ac:dyDescent="0.25">
      <c r="A5" s="245" t="s">
        <v>3</v>
      </c>
      <c r="B5" s="246" t="s">
        <v>4</v>
      </c>
      <c r="C5" s="246" t="s">
        <v>5</v>
      </c>
      <c r="D5" s="247" t="s">
        <v>6</v>
      </c>
      <c r="E5" s="245" t="s">
        <v>7</v>
      </c>
      <c r="F5" s="246" t="s">
        <v>8</v>
      </c>
      <c r="G5" s="234" t="s">
        <v>9</v>
      </c>
      <c r="H5" s="235" t="s">
        <v>10</v>
      </c>
      <c r="I5" s="232" t="s">
        <v>11</v>
      </c>
      <c r="J5" s="232" t="s">
        <v>12</v>
      </c>
      <c r="K5" s="232" t="s">
        <v>13</v>
      </c>
      <c r="L5" s="232" t="s">
        <v>14</v>
      </c>
      <c r="M5" s="232" t="s">
        <v>15</v>
      </c>
      <c r="N5" s="232" t="s">
        <v>16</v>
      </c>
      <c r="O5" s="232" t="s">
        <v>17</v>
      </c>
      <c r="P5" s="232" t="s">
        <v>18</v>
      </c>
      <c r="Q5" s="232" t="s">
        <v>19</v>
      </c>
      <c r="R5" s="239">
        <v>2021</v>
      </c>
      <c r="S5" s="249">
        <v>2022</v>
      </c>
      <c r="T5" s="233" t="s">
        <v>20</v>
      </c>
    </row>
    <row r="6" spans="1:20" x14ac:dyDescent="0.25">
      <c r="A6" s="245"/>
      <c r="B6" s="245"/>
      <c r="C6" s="245"/>
      <c r="D6" s="248"/>
      <c r="E6" s="245"/>
      <c r="F6" s="245"/>
      <c r="G6" s="234"/>
      <c r="H6" s="235"/>
      <c r="I6" s="233"/>
      <c r="J6" s="233"/>
      <c r="K6" s="233"/>
      <c r="L6" s="233"/>
      <c r="M6" s="233"/>
      <c r="N6" s="233"/>
      <c r="O6" s="233"/>
      <c r="P6" s="233"/>
      <c r="Q6" s="233"/>
      <c r="R6" s="240"/>
      <c r="S6" s="250"/>
      <c r="T6" s="251"/>
    </row>
    <row r="7" spans="1:20" ht="22.5" x14ac:dyDescent="0.25">
      <c r="A7" s="7">
        <v>1</v>
      </c>
      <c r="B7" s="8" t="s">
        <v>21</v>
      </c>
      <c r="C7" s="9">
        <v>66539</v>
      </c>
      <c r="D7" s="10">
        <v>3501053921</v>
      </c>
      <c r="E7" s="10" t="s">
        <v>22</v>
      </c>
      <c r="F7" s="11" t="s">
        <v>23</v>
      </c>
      <c r="G7" s="12" t="s">
        <v>24</v>
      </c>
      <c r="H7" s="13">
        <v>102.5</v>
      </c>
      <c r="I7" s="14"/>
      <c r="J7" s="14"/>
      <c r="K7" s="14"/>
      <c r="L7" s="14"/>
      <c r="M7" s="14"/>
      <c r="N7" s="14"/>
      <c r="O7" s="14"/>
      <c r="P7" s="14"/>
      <c r="Q7" s="14">
        <f>301350/2</f>
        <v>150675</v>
      </c>
      <c r="R7" s="14">
        <f>301350/2</f>
        <v>150675</v>
      </c>
      <c r="S7" s="14"/>
      <c r="T7" s="14">
        <f>SUM(I7:S7)</f>
        <v>301350</v>
      </c>
    </row>
    <row r="8" spans="1:20" ht="18" x14ac:dyDescent="0.25">
      <c r="A8" s="15">
        <v>2</v>
      </c>
      <c r="B8" s="16"/>
      <c r="C8" s="17">
        <v>66540</v>
      </c>
      <c r="D8" s="11">
        <v>8176537025</v>
      </c>
      <c r="E8" s="11" t="s">
        <v>25</v>
      </c>
      <c r="F8" s="11" t="s">
        <v>26</v>
      </c>
      <c r="G8" s="12" t="s">
        <v>24</v>
      </c>
      <c r="H8" s="18">
        <v>60</v>
      </c>
      <c r="I8" s="19"/>
      <c r="J8" s="19"/>
      <c r="K8" s="19"/>
      <c r="L8" s="19"/>
      <c r="M8" s="19"/>
      <c r="N8" s="19"/>
      <c r="O8" s="19"/>
      <c r="P8" s="19"/>
      <c r="Q8" s="19"/>
      <c r="R8" s="19">
        <v>63000</v>
      </c>
      <c r="S8" s="19"/>
      <c r="T8" s="14">
        <f t="shared" ref="T8:T18" si="0">SUM(I8:S8)</f>
        <v>63000</v>
      </c>
    </row>
    <row r="9" spans="1:20" ht="18" x14ac:dyDescent="0.25">
      <c r="A9" s="7">
        <v>3</v>
      </c>
      <c r="B9" s="16"/>
      <c r="C9" s="9">
        <v>66541</v>
      </c>
      <c r="D9" s="20">
        <v>3501157649</v>
      </c>
      <c r="E9" s="20" t="s">
        <v>27</v>
      </c>
      <c r="F9" s="11" t="s">
        <v>28</v>
      </c>
      <c r="G9" s="12" t="s">
        <v>24</v>
      </c>
      <c r="H9" s="21">
        <v>175.4</v>
      </c>
      <c r="I9" s="22">
        <f t="shared" ref="I9:Q9" si="1">7366800/10</f>
        <v>736680</v>
      </c>
      <c r="J9" s="22">
        <f t="shared" si="1"/>
        <v>736680</v>
      </c>
      <c r="K9" s="22">
        <f t="shared" si="1"/>
        <v>736680</v>
      </c>
      <c r="L9" s="22">
        <f t="shared" si="1"/>
        <v>736680</v>
      </c>
      <c r="M9" s="22">
        <f t="shared" si="1"/>
        <v>736680</v>
      </c>
      <c r="N9" s="22">
        <f t="shared" si="1"/>
        <v>736680</v>
      </c>
      <c r="O9" s="22">
        <f t="shared" si="1"/>
        <v>736680</v>
      </c>
      <c r="P9" s="22">
        <f t="shared" si="1"/>
        <v>736680</v>
      </c>
      <c r="Q9" s="22">
        <f t="shared" si="1"/>
        <v>736680</v>
      </c>
      <c r="R9" s="22">
        <f>7366800/10</f>
        <v>736680</v>
      </c>
      <c r="S9" s="22"/>
      <c r="T9" s="14">
        <f t="shared" si="0"/>
        <v>7366800</v>
      </c>
    </row>
    <row r="10" spans="1:20" ht="24" x14ac:dyDescent="0.25">
      <c r="A10" s="15">
        <v>4</v>
      </c>
      <c r="B10" s="16"/>
      <c r="C10" s="17">
        <v>66542</v>
      </c>
      <c r="D10" s="23">
        <v>3501452179</v>
      </c>
      <c r="E10" s="24" t="s">
        <v>29</v>
      </c>
      <c r="F10" s="11" t="s">
        <v>30</v>
      </c>
      <c r="G10" s="12" t="s">
        <v>24</v>
      </c>
      <c r="H10" s="25">
        <v>95</v>
      </c>
      <c r="I10" s="26"/>
      <c r="J10" s="26"/>
      <c r="K10" s="26"/>
      <c r="L10" s="26"/>
      <c r="M10" s="26"/>
      <c r="N10" s="26"/>
      <c r="O10" s="26"/>
      <c r="P10" s="26"/>
      <c r="Q10" s="26"/>
      <c r="R10" s="26">
        <v>105336</v>
      </c>
      <c r="S10" s="26"/>
      <c r="T10" s="14">
        <f t="shared" si="0"/>
        <v>105336</v>
      </c>
    </row>
    <row r="11" spans="1:20" ht="24" x14ac:dyDescent="0.25">
      <c r="A11" s="7">
        <v>5</v>
      </c>
      <c r="B11" s="16"/>
      <c r="C11" s="9">
        <v>66543</v>
      </c>
      <c r="D11" s="23">
        <v>3501452179</v>
      </c>
      <c r="E11" s="24" t="s">
        <v>31</v>
      </c>
      <c r="F11" s="11" t="s">
        <v>30</v>
      </c>
      <c r="G11" s="12" t="s">
        <v>24</v>
      </c>
      <c r="H11" s="25">
        <v>73.2</v>
      </c>
      <c r="I11" s="27"/>
      <c r="J11" s="27"/>
      <c r="K11" s="27"/>
      <c r="L11" s="27"/>
      <c r="M11" s="27"/>
      <c r="N11" s="27"/>
      <c r="O11" s="27"/>
      <c r="P11" s="26"/>
      <c r="Q11" s="26"/>
      <c r="R11" s="26">
        <v>101455</v>
      </c>
      <c r="S11" s="26"/>
      <c r="T11" s="14">
        <f t="shared" si="0"/>
        <v>101455</v>
      </c>
    </row>
    <row r="12" spans="1:20" ht="18" x14ac:dyDescent="0.25">
      <c r="A12" s="15">
        <v>6</v>
      </c>
      <c r="B12" s="16"/>
      <c r="C12" s="17">
        <v>66544</v>
      </c>
      <c r="D12" s="28">
        <v>3502166639</v>
      </c>
      <c r="E12" s="29" t="s">
        <v>32</v>
      </c>
      <c r="F12" s="11" t="s">
        <v>33</v>
      </c>
      <c r="G12" s="12" t="s">
        <v>24</v>
      </c>
      <c r="H12" s="25">
        <v>125.5</v>
      </c>
      <c r="I12" s="30"/>
      <c r="J12" s="30"/>
      <c r="K12" s="30"/>
      <c r="L12" s="30"/>
      <c r="M12" s="30"/>
      <c r="N12" s="30"/>
      <c r="O12" s="30"/>
      <c r="P12" s="30"/>
      <c r="Q12" s="26"/>
      <c r="R12" s="26">
        <v>94734</v>
      </c>
      <c r="S12" s="26"/>
      <c r="T12" s="14">
        <f t="shared" si="0"/>
        <v>94734</v>
      </c>
    </row>
    <row r="13" spans="1:20" ht="24" x14ac:dyDescent="0.25">
      <c r="A13" s="7">
        <v>7</v>
      </c>
      <c r="B13" s="16"/>
      <c r="C13" s="9">
        <v>66545</v>
      </c>
      <c r="D13" s="23">
        <v>3501452179</v>
      </c>
      <c r="E13" s="24" t="s">
        <v>34</v>
      </c>
      <c r="F13" s="11" t="s">
        <v>35</v>
      </c>
      <c r="G13" s="12" t="s">
        <v>36</v>
      </c>
      <c r="H13" s="25">
        <v>80</v>
      </c>
      <c r="I13" s="30"/>
      <c r="J13" s="30"/>
      <c r="K13" s="30"/>
      <c r="L13" s="30"/>
      <c r="M13" s="30"/>
      <c r="N13" s="30"/>
      <c r="O13" s="30"/>
      <c r="P13" s="30"/>
      <c r="Q13" s="26"/>
      <c r="R13" s="26">
        <v>26952</v>
      </c>
      <c r="S13" s="26"/>
      <c r="T13" s="14">
        <f t="shared" si="0"/>
        <v>26952</v>
      </c>
    </row>
    <row r="14" spans="1:20" ht="24" x14ac:dyDescent="0.25">
      <c r="A14" s="15">
        <v>8</v>
      </c>
      <c r="B14" s="16"/>
      <c r="C14" s="17">
        <v>66546</v>
      </c>
      <c r="D14" s="23">
        <v>3501452179</v>
      </c>
      <c r="E14" s="24" t="s">
        <v>37</v>
      </c>
      <c r="F14" s="11" t="s">
        <v>30</v>
      </c>
      <c r="G14" s="12" t="s">
        <v>36</v>
      </c>
      <c r="H14" s="31">
        <v>68</v>
      </c>
      <c r="I14" s="32"/>
      <c r="J14" s="32"/>
      <c r="K14" s="32"/>
      <c r="L14" s="32"/>
      <c r="M14" s="32"/>
      <c r="N14" s="32"/>
      <c r="O14" s="32"/>
      <c r="P14" s="32"/>
      <c r="Q14" s="32"/>
      <c r="R14" s="32">
        <v>94248</v>
      </c>
      <c r="S14" s="32"/>
      <c r="T14" s="14">
        <f t="shared" si="0"/>
        <v>94248</v>
      </c>
    </row>
    <row r="15" spans="1:20" ht="18" x14ac:dyDescent="0.25">
      <c r="A15" s="7">
        <v>9</v>
      </c>
      <c r="B15" s="16"/>
      <c r="C15" s="9">
        <v>66547</v>
      </c>
      <c r="D15" s="28">
        <v>8229167719</v>
      </c>
      <c r="E15" s="29" t="s">
        <v>38</v>
      </c>
      <c r="F15" s="11" t="s">
        <v>39</v>
      </c>
      <c r="G15" s="33" t="s">
        <v>40</v>
      </c>
      <c r="H15" s="25">
        <v>96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>
        <v>266112</v>
      </c>
      <c r="T15" s="14">
        <f t="shared" si="0"/>
        <v>266112</v>
      </c>
    </row>
    <row r="16" spans="1:20" ht="25.5" x14ac:dyDescent="0.25">
      <c r="A16" s="15">
        <v>10</v>
      </c>
      <c r="B16" s="16"/>
      <c r="C16" s="17">
        <v>66548</v>
      </c>
      <c r="D16" s="20">
        <v>8335117519</v>
      </c>
      <c r="E16" s="20" t="s">
        <v>41</v>
      </c>
      <c r="F16" s="11" t="s">
        <v>39</v>
      </c>
      <c r="G16" s="33" t="s">
        <v>40</v>
      </c>
      <c r="H16" s="31">
        <v>100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>
        <v>166320</v>
      </c>
      <c r="T16" s="14">
        <f t="shared" si="0"/>
        <v>166320</v>
      </c>
    </row>
    <row r="17" spans="1:20" ht="18" x14ac:dyDescent="0.25">
      <c r="A17" s="7">
        <v>11</v>
      </c>
      <c r="B17" s="16"/>
      <c r="C17" s="9">
        <v>66549</v>
      </c>
      <c r="D17" s="28">
        <v>8040268907</v>
      </c>
      <c r="E17" s="29" t="s">
        <v>42</v>
      </c>
      <c r="F17" s="11" t="s">
        <v>43</v>
      </c>
      <c r="G17" s="33" t="s">
        <v>40</v>
      </c>
      <c r="H17" s="25">
        <v>200</v>
      </c>
      <c r="I17" s="30"/>
      <c r="J17" s="30"/>
      <c r="K17" s="30"/>
      <c r="L17" s="30"/>
      <c r="M17" s="30"/>
      <c r="N17" s="30"/>
      <c r="O17" s="30"/>
      <c r="P17" s="26"/>
      <c r="Q17" s="26">
        <f>831900/3</f>
        <v>277300</v>
      </c>
      <c r="R17" s="26">
        <f>831900/3</f>
        <v>277300</v>
      </c>
      <c r="S17" s="26">
        <f>831600/3</f>
        <v>277200</v>
      </c>
      <c r="T17" s="14">
        <f t="shared" si="0"/>
        <v>831800</v>
      </c>
    </row>
    <row r="18" spans="1:20" ht="22.5" x14ac:dyDescent="0.25">
      <c r="A18" s="15">
        <v>12</v>
      </c>
      <c r="B18" s="16"/>
      <c r="C18" s="17">
        <v>66550</v>
      </c>
      <c r="D18" s="10" t="s">
        <v>44</v>
      </c>
      <c r="E18" s="10" t="s">
        <v>45</v>
      </c>
      <c r="F18" s="11" t="s">
        <v>46</v>
      </c>
      <c r="G18" s="33" t="s">
        <v>40</v>
      </c>
      <c r="H18" s="25">
        <v>102.5</v>
      </c>
      <c r="I18" s="30"/>
      <c r="J18" s="30"/>
      <c r="K18" s="35"/>
      <c r="L18" s="35"/>
      <c r="M18" s="35"/>
      <c r="N18" s="35"/>
      <c r="O18" s="35"/>
      <c r="P18" s="35"/>
      <c r="Q18" s="35"/>
      <c r="R18" s="35"/>
      <c r="S18" s="35">
        <v>81180</v>
      </c>
      <c r="T18" s="14">
        <f t="shared" si="0"/>
        <v>81180</v>
      </c>
    </row>
    <row r="19" spans="1:20" x14ac:dyDescent="0.25">
      <c r="A19" s="36"/>
      <c r="B19" s="36"/>
      <c r="C19" s="36"/>
      <c r="D19" s="37"/>
      <c r="E19" s="38" t="s">
        <v>47</v>
      </c>
      <c r="F19" s="39"/>
      <c r="G19" s="36"/>
      <c r="H19" s="40"/>
      <c r="I19" s="41">
        <f t="shared" ref="I19:R19" si="2">SUM(I7:I18)</f>
        <v>736680</v>
      </c>
      <c r="J19" s="41">
        <f t="shared" si="2"/>
        <v>736680</v>
      </c>
      <c r="K19" s="41">
        <f t="shared" si="2"/>
        <v>736680</v>
      </c>
      <c r="L19" s="41">
        <f t="shared" si="2"/>
        <v>736680</v>
      </c>
      <c r="M19" s="41">
        <f t="shared" si="2"/>
        <v>736680</v>
      </c>
      <c r="N19" s="41">
        <f t="shared" si="2"/>
        <v>736680</v>
      </c>
      <c r="O19" s="41">
        <f t="shared" si="2"/>
        <v>736680</v>
      </c>
      <c r="P19" s="41">
        <f t="shared" si="2"/>
        <v>736680</v>
      </c>
      <c r="Q19" s="41">
        <f t="shared" si="2"/>
        <v>1164655</v>
      </c>
      <c r="R19" s="41">
        <f t="shared" si="2"/>
        <v>1650380</v>
      </c>
      <c r="S19" s="41">
        <f>SUM(S7:S18)</f>
        <v>790812</v>
      </c>
      <c r="T19" s="41">
        <f>SUM(T7:T18)</f>
        <v>9499287</v>
      </c>
    </row>
    <row r="20" spans="1:20" ht="33" customHeight="1" x14ac:dyDescent="0.25">
      <c r="A20" s="15">
        <v>1</v>
      </c>
      <c r="B20" s="8" t="s">
        <v>48</v>
      </c>
      <c r="C20" s="15">
        <v>67639</v>
      </c>
      <c r="D20" s="42">
        <v>8466965181</v>
      </c>
      <c r="E20" s="43" t="s">
        <v>49</v>
      </c>
      <c r="F20" s="11" t="s">
        <v>50</v>
      </c>
      <c r="G20" s="33" t="s">
        <v>51</v>
      </c>
      <c r="H20" s="25">
        <v>146.30000000000001</v>
      </c>
      <c r="I20" s="30"/>
      <c r="J20" s="30"/>
      <c r="K20" s="30"/>
      <c r="L20" s="30"/>
      <c r="M20" s="30"/>
      <c r="N20" s="30">
        <v>84488</v>
      </c>
      <c r="O20" s="30">
        <v>84488</v>
      </c>
      <c r="P20" s="30">
        <v>84488</v>
      </c>
      <c r="Q20" s="30">
        <v>84488</v>
      </c>
      <c r="R20" s="30">
        <v>84488</v>
      </c>
      <c r="S20" s="30">
        <v>84488</v>
      </c>
      <c r="T20" s="14">
        <f t="shared" ref="T20:T31" si="3">SUM(I20:S20)</f>
        <v>506928</v>
      </c>
    </row>
    <row r="21" spans="1:20" ht="33" customHeight="1" x14ac:dyDescent="0.25">
      <c r="A21" s="15">
        <v>2</v>
      </c>
      <c r="B21" s="15"/>
      <c r="C21" s="15">
        <v>67640</v>
      </c>
      <c r="D21" s="10">
        <v>8450773501</v>
      </c>
      <c r="E21" s="10" t="s">
        <v>52</v>
      </c>
      <c r="F21" s="11" t="s">
        <v>43</v>
      </c>
      <c r="G21" s="33" t="s">
        <v>51</v>
      </c>
      <c r="H21" s="25">
        <v>112.5</v>
      </c>
      <c r="I21" s="30"/>
      <c r="J21" s="30"/>
      <c r="K21" s="30"/>
      <c r="L21" s="30"/>
      <c r="M21" s="30"/>
      <c r="N21" s="35"/>
      <c r="O21" s="35"/>
      <c r="P21" s="35"/>
      <c r="Q21" s="35"/>
      <c r="R21" s="35">
        <f>419680/2</f>
        <v>209840</v>
      </c>
      <c r="S21" s="35">
        <f>419680/2</f>
        <v>209840</v>
      </c>
      <c r="T21" s="14">
        <f t="shared" si="3"/>
        <v>419680</v>
      </c>
    </row>
    <row r="22" spans="1:20" ht="33" customHeight="1" x14ac:dyDescent="0.25">
      <c r="A22" s="15">
        <v>3</v>
      </c>
      <c r="B22" s="15"/>
      <c r="C22" s="15">
        <v>67641</v>
      </c>
      <c r="D22" s="44" t="s">
        <v>53</v>
      </c>
      <c r="E22" s="45" t="s">
        <v>54</v>
      </c>
      <c r="F22" s="11" t="s">
        <v>55</v>
      </c>
      <c r="G22" s="33" t="s">
        <v>51</v>
      </c>
      <c r="H22" s="46">
        <v>100</v>
      </c>
      <c r="I22" s="47"/>
      <c r="J22" s="47"/>
      <c r="K22" s="47"/>
      <c r="L22" s="47"/>
      <c r="M22" s="47"/>
      <c r="N22" s="47"/>
      <c r="O22" s="47"/>
      <c r="P22" s="47"/>
      <c r="Q22" s="47"/>
      <c r="R22" s="47">
        <f>83160/2</f>
        <v>41580</v>
      </c>
      <c r="S22" s="47">
        <f>83160/2</f>
        <v>41580</v>
      </c>
      <c r="T22" s="14">
        <f t="shared" si="3"/>
        <v>83160</v>
      </c>
    </row>
    <row r="23" spans="1:20" ht="33" customHeight="1" x14ac:dyDescent="0.25">
      <c r="A23" s="15">
        <v>4</v>
      </c>
      <c r="B23" s="15"/>
      <c r="C23" s="15">
        <v>67642</v>
      </c>
      <c r="D23" s="10">
        <v>8195413145</v>
      </c>
      <c r="E23" s="10" t="s">
        <v>56</v>
      </c>
      <c r="F23" s="11" t="s">
        <v>57</v>
      </c>
      <c r="G23" s="33" t="s">
        <v>51</v>
      </c>
      <c r="H23" s="48">
        <v>128.1</v>
      </c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>
        <v>88774</v>
      </c>
      <c r="T23" s="14">
        <f t="shared" si="3"/>
        <v>88774</v>
      </c>
    </row>
    <row r="24" spans="1:20" ht="33" customHeight="1" x14ac:dyDescent="0.25">
      <c r="A24" s="15">
        <v>5</v>
      </c>
      <c r="B24" s="15"/>
      <c r="C24" s="15">
        <v>67643</v>
      </c>
      <c r="D24" s="10">
        <v>8195413145</v>
      </c>
      <c r="E24" s="10" t="s">
        <v>58</v>
      </c>
      <c r="F24" s="11" t="s">
        <v>57</v>
      </c>
      <c r="G24" s="33" t="s">
        <v>51</v>
      </c>
      <c r="H24" s="18">
        <v>127.2</v>
      </c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>
        <v>88150</v>
      </c>
      <c r="T24" s="14">
        <f t="shared" si="3"/>
        <v>88150</v>
      </c>
    </row>
    <row r="25" spans="1:20" ht="33" customHeight="1" x14ac:dyDescent="0.25">
      <c r="A25" s="15">
        <v>6</v>
      </c>
      <c r="B25" s="15"/>
      <c r="C25" s="15">
        <v>67644</v>
      </c>
      <c r="D25" s="10">
        <v>8195413145</v>
      </c>
      <c r="E25" s="10" t="s">
        <v>59</v>
      </c>
      <c r="F25" s="11" t="s">
        <v>57</v>
      </c>
      <c r="G25" s="33" t="s">
        <v>51</v>
      </c>
      <c r="H25" s="50">
        <v>126.7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>
        <v>87803</v>
      </c>
      <c r="T25" s="14">
        <f t="shared" si="3"/>
        <v>87803</v>
      </c>
    </row>
    <row r="26" spans="1:20" ht="33" customHeight="1" x14ac:dyDescent="0.25">
      <c r="A26" s="15">
        <v>7</v>
      </c>
      <c r="B26" s="15"/>
      <c r="C26" s="15">
        <v>67645</v>
      </c>
      <c r="D26" s="20">
        <v>3500209703</v>
      </c>
      <c r="E26" s="20" t="s">
        <v>60</v>
      </c>
      <c r="F26" s="11" t="s">
        <v>61</v>
      </c>
      <c r="G26" s="33" t="s">
        <v>51</v>
      </c>
      <c r="H26" s="51">
        <v>92.8</v>
      </c>
      <c r="I26" s="26"/>
      <c r="J26" s="26"/>
      <c r="K26" s="26"/>
      <c r="L26" s="26"/>
      <c r="M26" s="22"/>
      <c r="N26" s="22"/>
      <c r="O26" s="22"/>
      <c r="P26" s="22"/>
      <c r="Q26" s="22"/>
      <c r="R26" s="22"/>
      <c r="S26" s="22">
        <v>116000</v>
      </c>
      <c r="T26" s="14">
        <f t="shared" si="3"/>
        <v>116000</v>
      </c>
    </row>
    <row r="27" spans="1:20" ht="33" customHeight="1" x14ac:dyDescent="0.25">
      <c r="A27" s="15">
        <v>8</v>
      </c>
      <c r="B27" s="15"/>
      <c r="C27" s="15">
        <v>67646</v>
      </c>
      <c r="D27" s="52">
        <v>3501982176</v>
      </c>
      <c r="E27" s="52" t="s">
        <v>62</v>
      </c>
      <c r="F27" s="11" t="s">
        <v>61</v>
      </c>
      <c r="G27" s="33" t="s">
        <v>51</v>
      </c>
      <c r="H27" s="53">
        <v>90</v>
      </c>
      <c r="I27" s="54"/>
      <c r="J27" s="54"/>
      <c r="K27" s="54"/>
      <c r="L27" s="54"/>
      <c r="M27" s="54"/>
      <c r="N27" s="54"/>
      <c r="O27" s="54"/>
      <c r="P27" s="35"/>
      <c r="Q27" s="35"/>
      <c r="R27" s="35"/>
      <c r="S27" s="35">
        <v>53460</v>
      </c>
      <c r="T27" s="14">
        <f t="shared" si="3"/>
        <v>53460</v>
      </c>
    </row>
    <row r="28" spans="1:20" ht="33" customHeight="1" x14ac:dyDescent="0.25">
      <c r="A28" s="15">
        <v>9</v>
      </c>
      <c r="B28" s="15"/>
      <c r="C28" s="15">
        <v>67647</v>
      </c>
      <c r="D28" s="55">
        <v>3500166249</v>
      </c>
      <c r="E28" s="10" t="s">
        <v>63</v>
      </c>
      <c r="F28" s="11" t="s">
        <v>64</v>
      </c>
      <c r="G28" s="33" t="s">
        <v>51</v>
      </c>
      <c r="H28" s="53">
        <v>106.7</v>
      </c>
      <c r="I28" s="54"/>
      <c r="J28" s="54"/>
      <c r="K28" s="54"/>
      <c r="L28" s="54"/>
      <c r="M28" s="54"/>
      <c r="N28" s="54"/>
      <c r="O28" s="54"/>
      <c r="P28" s="54"/>
      <c r="Q28" s="54"/>
      <c r="R28" s="54">
        <f>126760/2</f>
        <v>63380</v>
      </c>
      <c r="S28" s="54">
        <f>126760/2</f>
        <v>63380</v>
      </c>
      <c r="T28" s="14">
        <f t="shared" si="3"/>
        <v>126760</v>
      </c>
    </row>
    <row r="29" spans="1:20" ht="33" customHeight="1" x14ac:dyDescent="0.25">
      <c r="A29" s="15">
        <v>10</v>
      </c>
      <c r="B29" s="15"/>
      <c r="C29" s="15">
        <v>67648</v>
      </c>
      <c r="D29" s="56">
        <v>3500500454</v>
      </c>
      <c r="E29" s="57" t="s">
        <v>65</v>
      </c>
      <c r="F29" s="11" t="s">
        <v>66</v>
      </c>
      <c r="G29" s="33" t="s">
        <v>51</v>
      </c>
      <c r="H29" s="25">
        <v>99</v>
      </c>
      <c r="I29" s="58"/>
      <c r="J29" s="58"/>
      <c r="K29" s="58"/>
      <c r="L29" s="58"/>
      <c r="M29" s="58"/>
      <c r="N29" s="58"/>
      <c r="O29" s="58"/>
      <c r="P29" s="58"/>
      <c r="Q29" s="58"/>
      <c r="R29" s="58">
        <f>219542/2</f>
        <v>109771</v>
      </c>
      <c r="S29" s="58">
        <f>219542/2</f>
        <v>109771</v>
      </c>
      <c r="T29" s="14">
        <f t="shared" si="3"/>
        <v>219542</v>
      </c>
    </row>
    <row r="30" spans="1:20" ht="33" customHeight="1" x14ac:dyDescent="0.25">
      <c r="A30" s="15">
        <v>11</v>
      </c>
      <c r="B30" s="15"/>
      <c r="C30" s="15">
        <v>67649</v>
      </c>
      <c r="D30" s="59">
        <v>8210678068</v>
      </c>
      <c r="E30" s="60" t="s">
        <v>67</v>
      </c>
      <c r="F30" s="11" t="s">
        <v>68</v>
      </c>
      <c r="G30" s="33" t="s">
        <v>69</v>
      </c>
      <c r="H30" s="61">
        <v>200</v>
      </c>
      <c r="I30" s="62"/>
      <c r="J30" s="62"/>
      <c r="K30" s="62"/>
      <c r="L30" s="62"/>
      <c r="M30" s="62"/>
      <c r="N30" s="62"/>
      <c r="O30" s="63"/>
      <c r="P30" s="63"/>
      <c r="Q30" s="63">
        <f>594000/3</f>
        <v>198000</v>
      </c>
      <c r="R30" s="63">
        <f>594000/3</f>
        <v>198000</v>
      </c>
      <c r="S30" s="63">
        <f>594000/3</f>
        <v>198000</v>
      </c>
      <c r="T30" s="14">
        <f t="shared" si="3"/>
        <v>594000</v>
      </c>
    </row>
    <row r="31" spans="1:20" ht="33" customHeight="1" x14ac:dyDescent="0.25">
      <c r="A31" s="15">
        <v>12</v>
      </c>
      <c r="B31" s="15"/>
      <c r="C31" s="15">
        <v>67650</v>
      </c>
      <c r="D31" s="11"/>
      <c r="E31" s="11" t="s">
        <v>70</v>
      </c>
      <c r="F31" s="11" t="s">
        <v>71</v>
      </c>
      <c r="G31" s="33" t="s">
        <v>69</v>
      </c>
      <c r="H31" s="61">
        <v>210.1</v>
      </c>
      <c r="I31" s="62"/>
      <c r="J31" s="63"/>
      <c r="K31" s="63"/>
      <c r="L31" s="63"/>
      <c r="M31" s="63"/>
      <c r="N31" s="63"/>
      <c r="O31" s="63"/>
      <c r="P31" s="63"/>
      <c r="Q31" s="63"/>
      <c r="R31" s="63"/>
      <c r="S31" s="63">
        <v>145600</v>
      </c>
      <c r="T31" s="14">
        <f t="shared" si="3"/>
        <v>145600</v>
      </c>
    </row>
    <row r="32" spans="1:20" ht="33" customHeight="1" x14ac:dyDescent="0.25">
      <c r="A32" s="36"/>
      <c r="B32" s="36"/>
      <c r="C32" s="36"/>
      <c r="D32" s="37"/>
      <c r="E32" s="38" t="s">
        <v>47</v>
      </c>
      <c r="F32" s="39"/>
      <c r="G32" s="36"/>
      <c r="H32" s="40"/>
      <c r="I32" s="41">
        <f>SUM(I20:I31)</f>
        <v>0</v>
      </c>
      <c r="J32" s="41">
        <f t="shared" ref="J32:T32" si="4">SUM(J20:J31)</f>
        <v>0</v>
      </c>
      <c r="K32" s="41">
        <f t="shared" si="4"/>
        <v>0</v>
      </c>
      <c r="L32" s="41">
        <f t="shared" si="4"/>
        <v>0</v>
      </c>
      <c r="M32" s="41">
        <f t="shared" si="4"/>
        <v>0</v>
      </c>
      <c r="N32" s="41">
        <f t="shared" si="4"/>
        <v>84488</v>
      </c>
      <c r="O32" s="41">
        <f t="shared" si="4"/>
        <v>84488</v>
      </c>
      <c r="P32" s="41">
        <f t="shared" si="4"/>
        <v>84488</v>
      </c>
      <c r="Q32" s="41">
        <f t="shared" si="4"/>
        <v>282488</v>
      </c>
      <c r="R32" s="41">
        <f t="shared" si="4"/>
        <v>707059</v>
      </c>
      <c r="S32" s="41">
        <f t="shared" si="4"/>
        <v>1286846</v>
      </c>
      <c r="T32" s="41">
        <f t="shared" si="4"/>
        <v>2529857</v>
      </c>
    </row>
    <row r="33" spans="1:20" ht="33" customHeight="1" x14ac:dyDescent="0.25">
      <c r="A33" s="15">
        <v>1</v>
      </c>
      <c r="B33" s="64" t="s">
        <v>72</v>
      </c>
      <c r="C33" s="16">
        <v>67651</v>
      </c>
      <c r="D33" s="65">
        <v>3501934020</v>
      </c>
      <c r="E33" s="65" t="s">
        <v>73</v>
      </c>
      <c r="F33" s="65" t="s">
        <v>74</v>
      </c>
      <c r="G33" s="66" t="s">
        <v>75</v>
      </c>
      <c r="H33" s="25">
        <v>160</v>
      </c>
      <c r="I33" s="49"/>
      <c r="J33" s="49"/>
      <c r="K33" s="49"/>
      <c r="L33" s="49"/>
      <c r="M33" s="49"/>
      <c r="N33" s="49"/>
      <c r="O33" s="49"/>
      <c r="P33" s="49"/>
      <c r="Q33" s="49">
        <f>931392/3</f>
        <v>310464</v>
      </c>
      <c r="R33" s="49">
        <f>931392/3</f>
        <v>310464</v>
      </c>
      <c r="S33" s="49">
        <f>931392/3</f>
        <v>310464</v>
      </c>
      <c r="T33" s="14">
        <f>SUM(I33:S33)</f>
        <v>931392</v>
      </c>
    </row>
    <row r="34" spans="1:20" ht="33" customHeight="1" x14ac:dyDescent="0.25">
      <c r="A34" s="15">
        <v>2</v>
      </c>
      <c r="B34" s="16"/>
      <c r="C34" s="15">
        <v>67652</v>
      </c>
      <c r="D34" s="11">
        <v>8371204037</v>
      </c>
      <c r="E34" s="11" t="s">
        <v>76</v>
      </c>
      <c r="F34" s="65" t="s">
        <v>55</v>
      </c>
      <c r="G34" s="66" t="s">
        <v>75</v>
      </c>
      <c r="H34" s="50">
        <v>133.5</v>
      </c>
      <c r="I34" s="14"/>
      <c r="J34" s="14"/>
      <c r="K34" s="14"/>
      <c r="L34" s="14"/>
      <c r="M34" s="14"/>
      <c r="N34" s="14">
        <f t="shared" ref="N34:S34" si="5">1177470/6</f>
        <v>196245</v>
      </c>
      <c r="O34" s="14">
        <f t="shared" si="5"/>
        <v>196245</v>
      </c>
      <c r="P34" s="14">
        <f t="shared" si="5"/>
        <v>196245</v>
      </c>
      <c r="Q34" s="14">
        <f t="shared" si="5"/>
        <v>196245</v>
      </c>
      <c r="R34" s="14">
        <f t="shared" si="5"/>
        <v>196245</v>
      </c>
      <c r="S34" s="14">
        <f t="shared" si="5"/>
        <v>196245</v>
      </c>
      <c r="T34" s="14">
        <f t="shared" ref="T34:T54" si="6">SUM(I34:S34)</f>
        <v>1177470</v>
      </c>
    </row>
    <row r="35" spans="1:20" ht="33" customHeight="1" x14ac:dyDescent="0.25">
      <c r="A35" s="15">
        <v>3</v>
      </c>
      <c r="B35" s="16"/>
      <c r="C35" s="16">
        <v>67653</v>
      </c>
      <c r="D35" s="65">
        <v>8479911095</v>
      </c>
      <c r="E35" s="65" t="s">
        <v>77</v>
      </c>
      <c r="F35" s="65" t="s">
        <v>61</v>
      </c>
      <c r="G35" s="66" t="s">
        <v>75</v>
      </c>
      <c r="H35" s="47">
        <v>90</v>
      </c>
      <c r="I35" s="49"/>
      <c r="J35" s="49"/>
      <c r="K35" s="49"/>
      <c r="L35" s="49"/>
      <c r="M35" s="49"/>
      <c r="N35" s="49"/>
      <c r="O35" s="49"/>
      <c r="P35" s="30"/>
      <c r="Q35" s="30"/>
      <c r="R35" s="30"/>
      <c r="S35" s="30">
        <v>132300</v>
      </c>
      <c r="T35" s="14">
        <f t="shared" si="6"/>
        <v>132300</v>
      </c>
    </row>
    <row r="36" spans="1:20" ht="33" customHeight="1" x14ac:dyDescent="0.25">
      <c r="A36" s="15">
        <v>4</v>
      </c>
      <c r="B36" s="16"/>
      <c r="C36" s="15">
        <v>67654</v>
      </c>
      <c r="D36" s="65">
        <v>3500500454</v>
      </c>
      <c r="E36" s="65" t="s">
        <v>78</v>
      </c>
      <c r="F36" s="65" t="s">
        <v>61</v>
      </c>
      <c r="G36" s="66" t="s">
        <v>75</v>
      </c>
      <c r="H36" s="25">
        <v>98.9</v>
      </c>
      <c r="I36" s="49"/>
      <c r="J36" s="49"/>
      <c r="K36" s="49"/>
      <c r="L36" s="49"/>
      <c r="M36" s="49"/>
      <c r="N36" s="49"/>
      <c r="O36" s="14"/>
      <c r="P36" s="14"/>
      <c r="Q36" s="14">
        <f>436149/3</f>
        <v>145383</v>
      </c>
      <c r="R36" s="14">
        <f>436149/3</f>
        <v>145383</v>
      </c>
      <c r="S36" s="14">
        <f>436149/3</f>
        <v>145383</v>
      </c>
      <c r="T36" s="14">
        <f t="shared" si="6"/>
        <v>436149</v>
      </c>
    </row>
    <row r="37" spans="1:20" ht="33" customHeight="1" x14ac:dyDescent="0.25">
      <c r="A37" s="15">
        <v>5</v>
      </c>
      <c r="B37" s="16"/>
      <c r="C37" s="16">
        <v>67655</v>
      </c>
      <c r="D37" s="65">
        <v>3500429522</v>
      </c>
      <c r="E37" s="65" t="s">
        <v>79</v>
      </c>
      <c r="F37" s="65" t="s">
        <v>46</v>
      </c>
      <c r="G37" s="66" t="s">
        <v>75</v>
      </c>
      <c r="H37" s="25">
        <v>93.5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>
        <v>185130</v>
      </c>
      <c r="T37" s="14">
        <f t="shared" si="6"/>
        <v>185130</v>
      </c>
    </row>
    <row r="38" spans="1:20" ht="33" customHeight="1" x14ac:dyDescent="0.25">
      <c r="A38" s="15">
        <v>6</v>
      </c>
      <c r="B38" s="16"/>
      <c r="C38" s="15">
        <v>67656</v>
      </c>
      <c r="D38" s="65">
        <v>3500429522</v>
      </c>
      <c r="E38" s="65" t="s">
        <v>80</v>
      </c>
      <c r="F38" s="65" t="s">
        <v>46</v>
      </c>
      <c r="G38" s="66" t="s">
        <v>75</v>
      </c>
      <c r="H38" s="25">
        <v>93.5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>
        <v>259182</v>
      </c>
      <c r="T38" s="14">
        <f t="shared" si="6"/>
        <v>259182</v>
      </c>
    </row>
    <row r="39" spans="1:20" ht="33" customHeight="1" x14ac:dyDescent="0.25">
      <c r="A39" s="15">
        <v>7</v>
      </c>
      <c r="B39" s="16"/>
      <c r="C39" s="16">
        <v>67657</v>
      </c>
      <c r="D39" s="68">
        <v>8269716122</v>
      </c>
      <c r="E39" s="69" t="s">
        <v>81</v>
      </c>
      <c r="F39" s="65" t="s">
        <v>61</v>
      </c>
      <c r="G39" s="66" t="s">
        <v>75</v>
      </c>
      <c r="H39" s="25">
        <v>98.7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>
        <v>145089</v>
      </c>
      <c r="T39" s="14">
        <f t="shared" si="6"/>
        <v>145089</v>
      </c>
    </row>
    <row r="40" spans="1:20" ht="33" customHeight="1" x14ac:dyDescent="0.25">
      <c r="A40" s="15">
        <v>8</v>
      </c>
      <c r="B40" s="16"/>
      <c r="C40" s="15">
        <v>67658</v>
      </c>
      <c r="D40" s="68">
        <v>8061874433</v>
      </c>
      <c r="E40" s="69" t="s">
        <v>82</v>
      </c>
      <c r="F40" s="65" t="s">
        <v>83</v>
      </c>
      <c r="G40" s="66" t="s">
        <v>75</v>
      </c>
      <c r="H40" s="25">
        <v>90</v>
      </c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>
        <v>73224</v>
      </c>
      <c r="T40" s="14">
        <f t="shared" si="6"/>
        <v>73224</v>
      </c>
    </row>
    <row r="41" spans="1:20" ht="33" customHeight="1" x14ac:dyDescent="0.25">
      <c r="A41" s="15">
        <v>9</v>
      </c>
      <c r="B41" s="16"/>
      <c r="C41" s="16">
        <v>67659</v>
      </c>
      <c r="D41" s="70">
        <v>8153723956</v>
      </c>
      <c r="E41" s="65" t="s">
        <v>84</v>
      </c>
      <c r="F41" s="65" t="s">
        <v>85</v>
      </c>
      <c r="G41" s="66" t="s">
        <v>75</v>
      </c>
      <c r="H41" s="71">
        <v>90.1</v>
      </c>
      <c r="I41" s="32"/>
      <c r="J41" s="32"/>
      <c r="K41" s="32"/>
      <c r="L41" s="32"/>
      <c r="M41" s="32"/>
      <c r="N41" s="32"/>
      <c r="O41" s="32"/>
      <c r="P41" s="32"/>
      <c r="Q41" s="32"/>
      <c r="R41" s="32">
        <f>378420/2</f>
        <v>189210</v>
      </c>
      <c r="S41" s="32">
        <f>378420/2</f>
        <v>189210</v>
      </c>
      <c r="T41" s="14">
        <f t="shared" si="6"/>
        <v>378420</v>
      </c>
    </row>
    <row r="42" spans="1:20" ht="33" customHeight="1" x14ac:dyDescent="0.25">
      <c r="A42" s="15">
        <v>10</v>
      </c>
      <c r="B42" s="16"/>
      <c r="C42" s="15">
        <v>67660</v>
      </c>
      <c r="D42" s="68">
        <v>8148843133</v>
      </c>
      <c r="E42" s="69" t="s">
        <v>86</v>
      </c>
      <c r="F42" s="65" t="s">
        <v>57</v>
      </c>
      <c r="G42" s="66" t="s">
        <v>87</v>
      </c>
      <c r="H42" s="25">
        <v>70.3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2">
        <v>103341</v>
      </c>
      <c r="T42" s="14">
        <f t="shared" si="6"/>
        <v>103341</v>
      </c>
    </row>
    <row r="43" spans="1:20" ht="33" customHeight="1" x14ac:dyDescent="0.25">
      <c r="A43" s="15">
        <v>11</v>
      </c>
      <c r="B43" s="16"/>
      <c r="C43" s="16">
        <v>67661</v>
      </c>
      <c r="D43" s="68">
        <v>8300583300</v>
      </c>
      <c r="E43" s="69" t="s">
        <v>88</v>
      </c>
      <c r="F43" s="65" t="s">
        <v>89</v>
      </c>
      <c r="G43" s="66" t="s">
        <v>87</v>
      </c>
      <c r="H43" s="25">
        <v>85.5</v>
      </c>
      <c r="I43" s="30"/>
      <c r="J43" s="30"/>
      <c r="K43" s="30"/>
      <c r="L43" s="30"/>
      <c r="M43" s="30"/>
      <c r="N43" s="30"/>
      <c r="O43" s="30"/>
      <c r="P43" s="30"/>
      <c r="Q43" s="35">
        <f>368283/3</f>
        <v>122761</v>
      </c>
      <c r="R43" s="35">
        <f>368283/3</f>
        <v>122761</v>
      </c>
      <c r="S43" s="35">
        <f>368283/3</f>
        <v>122761</v>
      </c>
      <c r="T43" s="14">
        <f t="shared" si="6"/>
        <v>368283</v>
      </c>
    </row>
    <row r="44" spans="1:20" ht="33" customHeight="1" x14ac:dyDescent="0.25">
      <c r="A44" s="15">
        <v>12</v>
      </c>
      <c r="B44" s="16"/>
      <c r="C44" s="15">
        <v>67662</v>
      </c>
      <c r="D44" s="72" t="s">
        <v>90</v>
      </c>
      <c r="E44" s="69" t="s">
        <v>91</v>
      </c>
      <c r="F44" s="65" t="s">
        <v>61</v>
      </c>
      <c r="G44" s="66" t="s">
        <v>87</v>
      </c>
      <c r="H44" s="73">
        <v>109.3</v>
      </c>
      <c r="I44" s="22"/>
      <c r="J44" s="30"/>
      <c r="K44" s="30"/>
      <c r="L44" s="30"/>
      <c r="M44" s="30"/>
      <c r="N44" s="30"/>
      <c r="O44" s="30"/>
      <c r="P44" s="30"/>
      <c r="Q44" s="30"/>
      <c r="R44" s="30"/>
      <c r="S44" s="35">
        <v>75745</v>
      </c>
      <c r="T44" s="14">
        <f t="shared" si="6"/>
        <v>75745</v>
      </c>
    </row>
    <row r="45" spans="1:20" ht="33" customHeight="1" x14ac:dyDescent="0.25">
      <c r="A45" s="15">
        <v>13</v>
      </c>
      <c r="B45" s="16"/>
      <c r="C45" s="16">
        <v>67663</v>
      </c>
      <c r="D45" s="74">
        <v>3500176180</v>
      </c>
      <c r="E45" s="69" t="s">
        <v>92</v>
      </c>
      <c r="F45" s="65" t="s">
        <v>61</v>
      </c>
      <c r="G45" s="66" t="s">
        <v>87</v>
      </c>
      <c r="H45" s="25">
        <v>113</v>
      </c>
      <c r="I45" s="30"/>
      <c r="J45" s="30"/>
      <c r="K45" s="30"/>
      <c r="L45" s="30"/>
      <c r="M45" s="30"/>
      <c r="N45" s="30"/>
      <c r="O45" s="30"/>
      <c r="P45" s="32"/>
      <c r="Q45" s="35"/>
      <c r="R45" s="35"/>
      <c r="S45" s="35">
        <v>154245</v>
      </c>
      <c r="T45" s="14">
        <f t="shared" si="6"/>
        <v>154245</v>
      </c>
    </row>
    <row r="46" spans="1:20" ht="33" customHeight="1" x14ac:dyDescent="0.25">
      <c r="A46" s="15">
        <v>14</v>
      </c>
      <c r="B46" s="16"/>
      <c r="C46" s="15">
        <v>67664</v>
      </c>
      <c r="D46" s="68">
        <v>8566655169</v>
      </c>
      <c r="E46" s="69" t="s">
        <v>93</v>
      </c>
      <c r="F46" s="65" t="s">
        <v>61</v>
      </c>
      <c r="G46" s="66" t="s">
        <v>87</v>
      </c>
      <c r="H46" s="25">
        <v>92.8</v>
      </c>
      <c r="I46" s="30"/>
      <c r="J46" s="30"/>
      <c r="K46" s="30"/>
      <c r="L46" s="30"/>
      <c r="M46" s="30"/>
      <c r="N46" s="30"/>
      <c r="O46" s="30"/>
      <c r="P46" s="14"/>
      <c r="Q46" s="14"/>
      <c r="R46" s="14"/>
      <c r="S46" s="14">
        <v>116000</v>
      </c>
      <c r="T46" s="14">
        <f t="shared" si="6"/>
        <v>116000</v>
      </c>
    </row>
    <row r="47" spans="1:20" ht="33" customHeight="1" x14ac:dyDescent="0.25">
      <c r="A47" s="15">
        <v>15</v>
      </c>
      <c r="B47" s="16"/>
      <c r="C47" s="16">
        <v>67665</v>
      </c>
      <c r="D47" s="68">
        <v>8172469938</v>
      </c>
      <c r="E47" s="69" t="s">
        <v>94</v>
      </c>
      <c r="F47" s="65" t="s">
        <v>95</v>
      </c>
      <c r="G47" s="66" t="s">
        <v>87</v>
      </c>
      <c r="H47" s="25">
        <v>87.4</v>
      </c>
      <c r="I47" s="30"/>
      <c r="J47" s="30"/>
      <c r="K47" s="30"/>
      <c r="L47" s="30"/>
      <c r="M47" s="30"/>
      <c r="N47" s="30"/>
      <c r="O47" s="30"/>
      <c r="P47" s="35">
        <f>734160/4</f>
        <v>183540</v>
      </c>
      <c r="Q47" s="35">
        <f>734160/4</f>
        <v>183540</v>
      </c>
      <c r="R47" s="35">
        <f>734160/4</f>
        <v>183540</v>
      </c>
      <c r="S47" s="35">
        <f>734160/4</f>
        <v>183540</v>
      </c>
      <c r="T47" s="14">
        <f t="shared" si="6"/>
        <v>734160</v>
      </c>
    </row>
    <row r="48" spans="1:20" ht="33" customHeight="1" x14ac:dyDescent="0.25">
      <c r="A48" s="15">
        <v>16</v>
      </c>
      <c r="B48" s="16"/>
      <c r="C48" s="15">
        <v>67666</v>
      </c>
      <c r="D48" s="68">
        <v>8239420336</v>
      </c>
      <c r="E48" s="69" t="s">
        <v>96</v>
      </c>
      <c r="F48" s="65" t="s">
        <v>97</v>
      </c>
      <c r="G48" s="66" t="s">
        <v>87</v>
      </c>
      <c r="H48" s="25">
        <v>220</v>
      </c>
      <c r="I48" s="30"/>
      <c r="J48" s="30"/>
      <c r="K48" s="30"/>
      <c r="L48" s="30"/>
      <c r="M48" s="30"/>
      <c r="N48" s="30"/>
      <c r="O48" s="30"/>
      <c r="P48" s="22"/>
      <c r="Q48" s="22"/>
      <c r="R48" s="35">
        <f>209088/2</f>
        <v>104544</v>
      </c>
      <c r="S48" s="35">
        <f>209088/2</f>
        <v>104544</v>
      </c>
      <c r="T48" s="14">
        <f t="shared" si="6"/>
        <v>209088</v>
      </c>
    </row>
    <row r="49" spans="1:20" ht="33" customHeight="1" x14ac:dyDescent="0.25">
      <c r="A49" s="15">
        <v>17</v>
      </c>
      <c r="B49" s="16"/>
      <c r="C49" s="16">
        <v>67667</v>
      </c>
      <c r="D49" s="68">
        <v>8149316725</v>
      </c>
      <c r="E49" s="69" t="s">
        <v>98</v>
      </c>
      <c r="F49" s="65" t="s">
        <v>99</v>
      </c>
      <c r="G49" s="66" t="s">
        <v>100</v>
      </c>
      <c r="H49" s="25">
        <v>80</v>
      </c>
      <c r="I49" s="30"/>
      <c r="J49" s="30"/>
      <c r="K49" s="30"/>
      <c r="L49" s="30"/>
      <c r="M49" s="30"/>
      <c r="N49" s="30"/>
      <c r="O49" s="30"/>
      <c r="P49" s="22"/>
      <c r="Q49" s="22"/>
      <c r="R49" s="22"/>
      <c r="S49" s="35">
        <v>38016</v>
      </c>
      <c r="T49" s="14">
        <f t="shared" si="6"/>
        <v>38016</v>
      </c>
    </row>
    <row r="50" spans="1:20" ht="33" customHeight="1" x14ac:dyDescent="0.25">
      <c r="A50" s="15">
        <v>18</v>
      </c>
      <c r="B50" s="16"/>
      <c r="C50" s="15">
        <v>67668</v>
      </c>
      <c r="D50" s="68">
        <v>8141243994</v>
      </c>
      <c r="E50" s="69" t="s">
        <v>101</v>
      </c>
      <c r="F50" s="65" t="s">
        <v>102</v>
      </c>
      <c r="G50" s="66" t="s">
        <v>100</v>
      </c>
      <c r="H50" s="25">
        <v>91.5</v>
      </c>
      <c r="I50" s="30"/>
      <c r="J50" s="30"/>
      <c r="K50" s="30"/>
      <c r="L50" s="30"/>
      <c r="M50" s="30"/>
      <c r="N50" s="30"/>
      <c r="O50" s="35">
        <f>576450/5</f>
        <v>115290</v>
      </c>
      <c r="P50" s="35">
        <f>576450/5</f>
        <v>115290</v>
      </c>
      <c r="Q50" s="35">
        <f>576450/5</f>
        <v>115290</v>
      </c>
      <c r="R50" s="35">
        <f>576450/5</f>
        <v>115290</v>
      </c>
      <c r="S50" s="35">
        <f>576450/5</f>
        <v>115290</v>
      </c>
      <c r="T50" s="14">
        <f t="shared" si="6"/>
        <v>576450</v>
      </c>
    </row>
    <row r="51" spans="1:20" ht="33" customHeight="1" x14ac:dyDescent="0.25">
      <c r="A51" s="15">
        <v>19</v>
      </c>
      <c r="B51" s="16"/>
      <c r="C51" s="16">
        <v>67669</v>
      </c>
      <c r="D51" s="68">
        <v>8176209546</v>
      </c>
      <c r="E51" s="69" t="s">
        <v>103</v>
      </c>
      <c r="F51" s="65" t="s">
        <v>57</v>
      </c>
      <c r="G51" s="66" t="s">
        <v>100</v>
      </c>
      <c r="H51" s="25">
        <v>89</v>
      </c>
      <c r="I51" s="30"/>
      <c r="J51" s="30"/>
      <c r="K51" s="30"/>
      <c r="L51" s="30"/>
      <c r="M51" s="30"/>
      <c r="N51" s="30"/>
      <c r="O51" s="30"/>
      <c r="P51" s="22"/>
      <c r="Q51" s="22"/>
      <c r="R51" s="22"/>
      <c r="S51" s="35">
        <v>112140</v>
      </c>
      <c r="T51" s="14">
        <f t="shared" si="6"/>
        <v>112140</v>
      </c>
    </row>
    <row r="52" spans="1:20" ht="33" customHeight="1" x14ac:dyDescent="0.25">
      <c r="A52" s="15">
        <v>20</v>
      </c>
      <c r="B52" s="16"/>
      <c r="C52" s="15">
        <v>67670</v>
      </c>
      <c r="D52" s="68">
        <v>3500776572</v>
      </c>
      <c r="E52" s="69" t="s">
        <v>104</v>
      </c>
      <c r="F52" s="65" t="s">
        <v>105</v>
      </c>
      <c r="G52" s="66" t="s">
        <v>100</v>
      </c>
      <c r="H52" s="25">
        <v>96.4</v>
      </c>
      <c r="I52" s="35">
        <f t="shared" ref="I52:R52" si="7">2226840/11</f>
        <v>202440</v>
      </c>
      <c r="J52" s="35">
        <f t="shared" si="7"/>
        <v>202440</v>
      </c>
      <c r="K52" s="35">
        <f t="shared" si="7"/>
        <v>202440</v>
      </c>
      <c r="L52" s="35">
        <f t="shared" si="7"/>
        <v>202440</v>
      </c>
      <c r="M52" s="35">
        <f t="shared" si="7"/>
        <v>202440</v>
      </c>
      <c r="N52" s="35">
        <f t="shared" si="7"/>
        <v>202440</v>
      </c>
      <c r="O52" s="35">
        <f t="shared" si="7"/>
        <v>202440</v>
      </c>
      <c r="P52" s="35">
        <f t="shared" si="7"/>
        <v>202440</v>
      </c>
      <c r="Q52" s="35">
        <f t="shared" si="7"/>
        <v>202440</v>
      </c>
      <c r="R52" s="35">
        <f t="shared" si="7"/>
        <v>202440</v>
      </c>
      <c r="S52" s="35">
        <f>2226840/11</f>
        <v>202440</v>
      </c>
      <c r="T52" s="14">
        <f t="shared" si="6"/>
        <v>2226840</v>
      </c>
    </row>
    <row r="53" spans="1:20" ht="18" x14ac:dyDescent="0.25">
      <c r="A53" s="15">
        <v>21</v>
      </c>
      <c r="B53" s="16"/>
      <c r="C53" s="16">
        <v>67671</v>
      </c>
      <c r="D53" s="68">
        <v>8399905522</v>
      </c>
      <c r="E53" s="69" t="s">
        <v>106</v>
      </c>
      <c r="F53" s="65" t="s">
        <v>68</v>
      </c>
      <c r="G53" s="66" t="s">
        <v>100</v>
      </c>
      <c r="H53" s="25">
        <v>100</v>
      </c>
      <c r="I53" s="30"/>
      <c r="J53" s="30"/>
      <c r="K53" s="30"/>
      <c r="L53" s="30"/>
      <c r="M53" s="30"/>
      <c r="N53" s="30"/>
      <c r="O53" s="30"/>
      <c r="P53" s="22"/>
      <c r="Q53" s="22"/>
      <c r="R53" s="35">
        <f>277200/2</f>
        <v>138600</v>
      </c>
      <c r="S53" s="35">
        <f>277200/2</f>
        <v>138600</v>
      </c>
      <c r="T53" s="14">
        <f t="shared" si="6"/>
        <v>277200</v>
      </c>
    </row>
    <row r="54" spans="1:20" ht="18" x14ac:dyDescent="0.25">
      <c r="A54" s="15">
        <v>22</v>
      </c>
      <c r="B54" s="16"/>
      <c r="C54" s="15">
        <v>67672</v>
      </c>
      <c r="D54" s="68">
        <v>3501762854</v>
      </c>
      <c r="E54" s="69" t="s">
        <v>107</v>
      </c>
      <c r="F54" s="65" t="s">
        <v>102</v>
      </c>
      <c r="G54" s="66" t="s">
        <v>100</v>
      </c>
      <c r="H54" s="25">
        <v>100</v>
      </c>
      <c r="I54" s="30"/>
      <c r="J54" s="30"/>
      <c r="K54" s="30"/>
      <c r="L54" s="30"/>
      <c r="M54" s="30"/>
      <c r="N54" s="30"/>
      <c r="O54" s="30"/>
      <c r="P54" s="22"/>
      <c r="Q54" s="22"/>
      <c r="R54" s="35">
        <f>252000/2</f>
        <v>126000</v>
      </c>
      <c r="S54" s="35">
        <f>252000/2</f>
        <v>126000</v>
      </c>
      <c r="T54" s="14">
        <f t="shared" si="6"/>
        <v>252000</v>
      </c>
    </row>
    <row r="55" spans="1:20" x14ac:dyDescent="0.25">
      <c r="A55" s="75"/>
      <c r="B55" s="76"/>
      <c r="C55" s="76"/>
      <c r="D55" s="77"/>
      <c r="E55" s="38" t="s">
        <v>47</v>
      </c>
      <c r="F55" s="78"/>
      <c r="G55" s="79"/>
      <c r="H55" s="80"/>
      <c r="I55" s="81">
        <f t="shared" ref="I55:T55" si="8">SUM(I33:I54)</f>
        <v>202440</v>
      </c>
      <c r="J55" s="81">
        <f t="shared" si="8"/>
        <v>202440</v>
      </c>
      <c r="K55" s="81">
        <f t="shared" si="8"/>
        <v>202440</v>
      </c>
      <c r="L55" s="81">
        <f t="shared" si="8"/>
        <v>202440</v>
      </c>
      <c r="M55" s="81">
        <f t="shared" si="8"/>
        <v>202440</v>
      </c>
      <c r="N55" s="81">
        <f t="shared" si="8"/>
        <v>398685</v>
      </c>
      <c r="O55" s="81">
        <f t="shared" si="8"/>
        <v>513975</v>
      </c>
      <c r="P55" s="81">
        <f t="shared" si="8"/>
        <v>697515</v>
      </c>
      <c r="Q55" s="81">
        <f t="shared" si="8"/>
        <v>1276123</v>
      </c>
      <c r="R55" s="81">
        <f t="shared" si="8"/>
        <v>1834477</v>
      </c>
      <c r="S55" s="81">
        <f t="shared" si="8"/>
        <v>3228889</v>
      </c>
      <c r="T55" s="81">
        <f t="shared" si="8"/>
        <v>8961864</v>
      </c>
    </row>
    <row r="56" spans="1:20" ht="18" x14ac:dyDescent="0.25">
      <c r="A56" s="82"/>
      <c r="B56" s="83"/>
      <c r="C56" s="82"/>
      <c r="D56" s="84"/>
      <c r="E56" s="85" t="s">
        <v>108</v>
      </c>
      <c r="F56" s="86"/>
      <c r="G56" s="87"/>
      <c r="H56" s="88"/>
      <c r="I56" s="89">
        <f>I55+I32+I19</f>
        <v>939120</v>
      </c>
      <c r="J56" s="89">
        <f t="shared" ref="J56:S56" si="9">J55+J32+J19</f>
        <v>939120</v>
      </c>
      <c r="K56" s="89">
        <f t="shared" si="9"/>
        <v>939120</v>
      </c>
      <c r="L56" s="89">
        <f t="shared" si="9"/>
        <v>939120</v>
      </c>
      <c r="M56" s="89">
        <f t="shared" si="9"/>
        <v>939120</v>
      </c>
      <c r="N56" s="89">
        <f t="shared" si="9"/>
        <v>1219853</v>
      </c>
      <c r="O56" s="89">
        <f t="shared" si="9"/>
        <v>1335143</v>
      </c>
      <c r="P56" s="89">
        <f t="shared" si="9"/>
        <v>1518683</v>
      </c>
      <c r="Q56" s="89">
        <f t="shared" si="9"/>
        <v>2723266</v>
      </c>
      <c r="R56" s="89">
        <f t="shared" si="9"/>
        <v>4191916</v>
      </c>
      <c r="S56" s="89">
        <f t="shared" si="9"/>
        <v>5306547</v>
      </c>
      <c r="T56" s="89">
        <f>T55+T32+T19</f>
        <v>20991008</v>
      </c>
    </row>
    <row r="57" spans="1:20" x14ac:dyDescent="0.25">
      <c r="A57" s="90"/>
      <c r="B57" s="91"/>
      <c r="C57" s="90"/>
      <c r="D57" s="92"/>
      <c r="E57" s="93"/>
      <c r="F57" s="94"/>
      <c r="G57" s="95"/>
      <c r="H57" s="96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</row>
    <row r="58" spans="1:20" ht="18.75" x14ac:dyDescent="0.25">
      <c r="A58" s="98"/>
      <c r="B58" s="236" t="s">
        <v>109</v>
      </c>
      <c r="C58" s="236"/>
      <c r="D58" s="236"/>
      <c r="E58" s="236"/>
      <c r="F58" s="99"/>
      <c r="G58" s="98"/>
      <c r="H58" s="100"/>
      <c r="I58" s="101"/>
      <c r="J58" s="101"/>
      <c r="K58" s="101"/>
      <c r="L58" s="237" t="s">
        <v>110</v>
      </c>
      <c r="M58" s="237"/>
      <c r="N58" s="237"/>
      <c r="O58" s="237"/>
      <c r="P58" s="237"/>
      <c r="Q58" s="237"/>
      <c r="R58" s="237"/>
      <c r="S58" s="237"/>
      <c r="T58" s="99"/>
    </row>
    <row r="59" spans="1:20" ht="18.75" x14ac:dyDescent="0.25">
      <c r="A59" s="98"/>
      <c r="B59" s="98"/>
      <c r="C59" s="99"/>
      <c r="D59" s="102"/>
      <c r="E59" s="99"/>
      <c r="F59" s="99"/>
      <c r="G59" s="98"/>
      <c r="H59" s="100"/>
      <c r="I59" s="101"/>
      <c r="J59" s="101"/>
      <c r="K59" s="101"/>
      <c r="L59" s="238" t="s">
        <v>111</v>
      </c>
      <c r="M59" s="238"/>
      <c r="N59" s="238"/>
      <c r="O59" s="238"/>
      <c r="P59" s="238"/>
      <c r="Q59" s="238"/>
      <c r="R59" s="238"/>
      <c r="S59" s="238"/>
      <c r="T59" s="99"/>
    </row>
    <row r="60" spans="1:20" ht="18.75" x14ac:dyDescent="0.25">
      <c r="A60" s="98"/>
      <c r="B60" s="98"/>
      <c r="C60" s="99"/>
      <c r="D60" s="102"/>
      <c r="E60" s="99"/>
      <c r="F60" s="99"/>
      <c r="G60" s="98"/>
      <c r="H60" s="100"/>
      <c r="I60" s="101"/>
      <c r="J60" s="101"/>
      <c r="K60" s="101"/>
      <c r="L60" s="103"/>
      <c r="M60" s="103"/>
      <c r="N60" s="103"/>
      <c r="O60" s="103"/>
      <c r="P60" s="103"/>
      <c r="Q60" s="103"/>
      <c r="R60" s="103"/>
      <c r="S60" s="103"/>
      <c r="T60" s="99"/>
    </row>
    <row r="61" spans="1:20" ht="18.75" x14ac:dyDescent="0.25">
      <c r="A61" s="98"/>
      <c r="B61" s="98"/>
      <c r="C61" s="99"/>
      <c r="D61" s="102"/>
      <c r="E61" s="99"/>
      <c r="F61" s="99"/>
      <c r="G61" s="98"/>
      <c r="H61" s="100"/>
      <c r="I61" s="101"/>
      <c r="J61" s="101"/>
      <c r="K61" s="101"/>
      <c r="L61" s="103"/>
      <c r="M61" s="103"/>
      <c r="N61" s="103"/>
      <c r="O61" s="103"/>
      <c r="P61" s="103"/>
      <c r="Q61" s="103"/>
      <c r="R61" s="103"/>
      <c r="S61" s="103"/>
      <c r="T61" s="99"/>
    </row>
    <row r="62" spans="1:20" ht="18.75" x14ac:dyDescent="0.25">
      <c r="A62" s="98"/>
      <c r="B62" s="98"/>
      <c r="C62" s="99"/>
      <c r="D62" s="102"/>
      <c r="E62" s="99"/>
      <c r="F62" s="99"/>
      <c r="G62" s="98"/>
      <c r="H62" s="100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99"/>
    </row>
    <row r="63" spans="1:20" ht="18.75" x14ac:dyDescent="0.25">
      <c r="A63" s="231" t="s">
        <v>112</v>
      </c>
      <c r="B63" s="231"/>
      <c r="C63" s="231"/>
      <c r="D63" s="231"/>
      <c r="E63" s="231"/>
      <c r="F63" s="99"/>
      <c r="G63" s="98"/>
      <c r="H63" s="100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99"/>
    </row>
    <row r="64" spans="1:20" ht="18.75" x14ac:dyDescent="0.25">
      <c r="A64" s="98"/>
      <c r="B64" s="104"/>
      <c r="C64" s="104"/>
      <c r="D64" s="105"/>
      <c r="E64" s="99"/>
      <c r="F64" s="99"/>
      <c r="G64" s="98"/>
      <c r="H64" s="100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99"/>
    </row>
    <row r="65" spans="1:20" ht="18.75" x14ac:dyDescent="0.25">
      <c r="A65" s="98"/>
      <c r="B65" s="104"/>
      <c r="C65" s="104"/>
      <c r="D65" s="105"/>
      <c r="E65" s="99"/>
      <c r="F65" s="99"/>
      <c r="G65" s="98"/>
      <c r="H65" s="100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99"/>
    </row>
    <row r="66" spans="1:20" ht="18.75" x14ac:dyDescent="0.25">
      <c r="A66" s="98"/>
      <c r="B66" s="104"/>
      <c r="C66" s="104"/>
      <c r="D66" s="105"/>
      <c r="E66" s="99"/>
      <c r="F66" s="99"/>
      <c r="G66" s="98"/>
      <c r="H66" s="100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99"/>
    </row>
    <row r="67" spans="1:20" ht="18.75" x14ac:dyDescent="0.25">
      <c r="A67" s="98"/>
      <c r="B67" s="104"/>
      <c r="C67" s="104"/>
      <c r="D67" s="105"/>
      <c r="E67" s="99"/>
      <c r="F67" s="99"/>
      <c r="G67" s="98"/>
      <c r="H67" s="100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99"/>
    </row>
    <row r="68" spans="1:20" ht="18.75" x14ac:dyDescent="0.25">
      <c r="A68" s="98"/>
      <c r="B68" s="104"/>
      <c r="C68" s="104"/>
      <c r="D68" s="105"/>
      <c r="E68" s="99"/>
      <c r="F68" s="99"/>
      <c r="G68" s="98"/>
      <c r="H68" s="100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99"/>
    </row>
    <row r="69" spans="1:20" ht="18.75" x14ac:dyDescent="0.25">
      <c r="A69" s="98"/>
      <c r="B69" s="104"/>
      <c r="C69" s="104"/>
      <c r="D69" s="105"/>
      <c r="E69" s="99"/>
      <c r="F69" s="99"/>
      <c r="G69" s="98"/>
      <c r="H69" s="100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99"/>
    </row>
    <row r="70" spans="1:20" ht="18.75" x14ac:dyDescent="0.25">
      <c r="A70" s="98"/>
      <c r="B70" s="104"/>
      <c r="C70" s="104"/>
      <c r="D70" s="105"/>
      <c r="E70" s="99"/>
      <c r="F70" s="99"/>
      <c r="G70" s="98"/>
      <c r="H70" s="100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99"/>
    </row>
    <row r="71" spans="1:20" ht="18.75" x14ac:dyDescent="0.25">
      <c r="A71" s="98"/>
      <c r="B71" s="104"/>
      <c r="C71" s="104"/>
      <c r="D71" s="105"/>
      <c r="E71" s="99"/>
      <c r="F71" s="99"/>
      <c r="G71" s="98"/>
      <c r="H71" s="100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99"/>
    </row>
    <row r="72" spans="1:20" ht="18.75" x14ac:dyDescent="0.25">
      <c r="A72" s="98"/>
      <c r="B72" s="104"/>
      <c r="C72" s="104"/>
      <c r="D72" s="105"/>
      <c r="E72" s="99"/>
      <c r="F72" s="99"/>
      <c r="G72" s="98"/>
      <c r="H72" s="100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99"/>
    </row>
    <row r="73" spans="1:20" ht="18.75" x14ac:dyDescent="0.25">
      <c r="A73" s="98"/>
      <c r="B73" s="104"/>
      <c r="C73" s="104"/>
      <c r="D73" s="105"/>
      <c r="E73" s="99"/>
      <c r="F73" s="99"/>
      <c r="G73" s="98"/>
      <c r="H73" s="100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99"/>
    </row>
    <row r="74" spans="1:20" ht="18.75" x14ac:dyDescent="0.25">
      <c r="A74" s="98"/>
      <c r="B74" s="104"/>
      <c r="C74" s="104"/>
      <c r="D74" s="105"/>
      <c r="E74" s="99"/>
      <c r="F74" s="99"/>
      <c r="G74" s="98"/>
      <c r="H74" s="100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99"/>
    </row>
    <row r="75" spans="1:20" ht="18.75" x14ac:dyDescent="0.25">
      <c r="A75" s="98"/>
      <c r="B75" s="104"/>
      <c r="C75" s="104"/>
      <c r="D75" s="105"/>
      <c r="E75" s="99"/>
      <c r="F75" s="99"/>
      <c r="G75" s="98"/>
      <c r="H75" s="100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99"/>
    </row>
    <row r="76" spans="1:20" ht="18.75" x14ac:dyDescent="0.25">
      <c r="A76" s="98"/>
      <c r="B76" s="104"/>
      <c r="C76" s="104"/>
      <c r="D76" s="105"/>
      <c r="E76" s="99"/>
      <c r="F76" s="99"/>
      <c r="G76" s="98"/>
      <c r="H76" s="100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99"/>
    </row>
    <row r="77" spans="1:20" ht="18.75" x14ac:dyDescent="0.25">
      <c r="A77" s="98"/>
      <c r="B77" s="104"/>
      <c r="C77" s="104"/>
      <c r="D77" s="105"/>
      <c r="E77" s="99"/>
      <c r="F77" s="99"/>
      <c r="G77" s="98"/>
      <c r="H77" s="100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99"/>
    </row>
    <row r="78" spans="1:20" ht="18.75" x14ac:dyDescent="0.25">
      <c r="A78" s="98"/>
      <c r="B78" s="104"/>
      <c r="C78" s="104"/>
      <c r="D78" s="105"/>
      <c r="E78" s="99"/>
      <c r="F78" s="99"/>
      <c r="G78" s="98"/>
      <c r="H78" s="100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99"/>
    </row>
    <row r="79" spans="1:20" ht="18.75" x14ac:dyDescent="0.25">
      <c r="A79" s="98"/>
      <c r="B79" s="104"/>
      <c r="C79" s="104"/>
      <c r="D79" s="105"/>
      <c r="E79" s="99"/>
      <c r="F79" s="99"/>
      <c r="G79" s="98"/>
      <c r="H79" s="100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99"/>
    </row>
  </sheetData>
  <mergeCells count="28">
    <mergeCell ref="A1:H1"/>
    <mergeCell ref="A2:E2"/>
    <mergeCell ref="A3:T3"/>
    <mergeCell ref="A4:T4"/>
    <mergeCell ref="A5:A6"/>
    <mergeCell ref="B5:B6"/>
    <mergeCell ref="C5:C6"/>
    <mergeCell ref="D5:D6"/>
    <mergeCell ref="E5:E6"/>
    <mergeCell ref="F5:F6"/>
    <mergeCell ref="S5:S6"/>
    <mergeCell ref="T5:T6"/>
    <mergeCell ref="A63:E63"/>
    <mergeCell ref="M5:M6"/>
    <mergeCell ref="N5:N6"/>
    <mergeCell ref="O5:O6"/>
    <mergeCell ref="P5:P6"/>
    <mergeCell ref="G5:G6"/>
    <mergeCell ref="H5:H6"/>
    <mergeCell ref="I5:I6"/>
    <mergeCell ref="J5:J6"/>
    <mergeCell ref="K5:K6"/>
    <mergeCell ref="L5:L6"/>
    <mergeCell ref="B58:E58"/>
    <mergeCell ref="L58:S58"/>
    <mergeCell ref="L59:S59"/>
    <mergeCell ref="Q5:Q6"/>
    <mergeCell ref="R5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workbookViewId="0">
      <selection activeCell="U9" sqref="U9"/>
    </sheetView>
  </sheetViews>
  <sheetFormatPr defaultRowHeight="15.75" x14ac:dyDescent="0.25"/>
  <sheetData>
    <row r="1" spans="1:20" ht="16.5" x14ac:dyDescent="0.25">
      <c r="A1" s="241" t="s">
        <v>113</v>
      </c>
      <c r="B1" s="241"/>
      <c r="C1" s="241"/>
      <c r="D1" s="241"/>
      <c r="E1" s="241"/>
      <c r="F1" s="241"/>
      <c r="G1" s="5"/>
      <c r="H1" s="106"/>
      <c r="I1" s="107"/>
      <c r="J1" s="108"/>
      <c r="K1" s="107"/>
      <c r="L1" s="107"/>
      <c r="M1" s="107"/>
      <c r="N1" s="107"/>
      <c r="O1" s="108"/>
      <c r="P1" s="108"/>
      <c r="Q1" s="108"/>
      <c r="R1" s="108"/>
      <c r="S1" s="109"/>
      <c r="T1" s="3"/>
    </row>
    <row r="2" spans="1:20" x14ac:dyDescent="0.25">
      <c r="A2" s="242"/>
      <c r="B2" s="242"/>
      <c r="C2" s="242"/>
      <c r="D2" s="242"/>
      <c r="E2" s="242"/>
      <c r="F2" s="4"/>
      <c r="G2" s="5"/>
      <c r="H2" s="106"/>
      <c r="I2" s="107"/>
      <c r="J2" s="108"/>
      <c r="K2" s="107"/>
      <c r="L2" s="107"/>
      <c r="M2" s="107"/>
      <c r="N2" s="107"/>
      <c r="O2" s="108"/>
      <c r="P2" s="108"/>
      <c r="Q2" s="108"/>
      <c r="R2" s="108"/>
      <c r="S2" s="109"/>
      <c r="T2" s="3"/>
    </row>
    <row r="3" spans="1:20" ht="16.5" x14ac:dyDescent="0.25">
      <c r="A3" s="243" t="s">
        <v>1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</row>
    <row r="4" spans="1:20" ht="16.5" x14ac:dyDescent="0.25">
      <c r="A4" s="244" t="s">
        <v>114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</row>
    <row r="5" spans="1:20" x14ac:dyDescent="0.25">
      <c r="A5" s="245" t="s">
        <v>3</v>
      </c>
      <c r="B5" s="246" t="s">
        <v>4</v>
      </c>
      <c r="C5" s="252" t="s">
        <v>5</v>
      </c>
      <c r="D5" s="254" t="s">
        <v>6</v>
      </c>
      <c r="E5" s="253" t="s">
        <v>7</v>
      </c>
      <c r="F5" s="246" t="s">
        <v>8</v>
      </c>
      <c r="G5" s="234" t="s">
        <v>9</v>
      </c>
      <c r="H5" s="264" t="s">
        <v>115</v>
      </c>
      <c r="I5" s="260" t="s">
        <v>11</v>
      </c>
      <c r="J5" s="260" t="s">
        <v>12</v>
      </c>
      <c r="K5" s="260" t="s">
        <v>13</v>
      </c>
      <c r="L5" s="260" t="s">
        <v>14</v>
      </c>
      <c r="M5" s="260" t="s">
        <v>15</v>
      </c>
      <c r="N5" s="260" t="s">
        <v>16</v>
      </c>
      <c r="O5" s="260" t="s">
        <v>17</v>
      </c>
      <c r="P5" s="260" t="s">
        <v>18</v>
      </c>
      <c r="Q5" s="260" t="s">
        <v>19</v>
      </c>
      <c r="R5" s="260" t="s">
        <v>116</v>
      </c>
      <c r="S5" s="256" t="s">
        <v>117</v>
      </c>
      <c r="T5" s="258" t="s">
        <v>20</v>
      </c>
    </row>
    <row r="6" spans="1:20" x14ac:dyDescent="0.25">
      <c r="A6" s="245"/>
      <c r="B6" s="245"/>
      <c r="C6" s="253"/>
      <c r="D6" s="255"/>
      <c r="E6" s="253"/>
      <c r="F6" s="245"/>
      <c r="G6" s="234"/>
      <c r="H6" s="264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7"/>
      <c r="T6" s="259"/>
    </row>
    <row r="7" spans="1:20" ht="21" x14ac:dyDescent="0.25">
      <c r="A7" s="110">
        <v>1</v>
      </c>
      <c r="B7" s="111" t="s">
        <v>72</v>
      </c>
      <c r="C7" s="112">
        <v>67673</v>
      </c>
      <c r="D7" s="113" t="s">
        <v>118</v>
      </c>
      <c r="E7" s="114" t="s">
        <v>118</v>
      </c>
      <c r="F7" s="115" t="s">
        <v>118</v>
      </c>
      <c r="G7" s="115" t="s">
        <v>118</v>
      </c>
      <c r="H7" s="115" t="s">
        <v>118</v>
      </c>
      <c r="I7" s="115" t="s">
        <v>118</v>
      </c>
      <c r="J7" s="115" t="s">
        <v>118</v>
      </c>
      <c r="K7" s="115" t="s">
        <v>118</v>
      </c>
      <c r="L7" s="115" t="s">
        <v>118</v>
      </c>
      <c r="M7" s="115" t="s">
        <v>118</v>
      </c>
      <c r="N7" s="115" t="s">
        <v>118</v>
      </c>
      <c r="O7" s="115" t="s">
        <v>118</v>
      </c>
      <c r="P7" s="115" t="s">
        <v>118</v>
      </c>
      <c r="Q7" s="115" t="s">
        <v>118</v>
      </c>
      <c r="R7" s="115" t="s">
        <v>118</v>
      </c>
      <c r="S7" s="116" t="s">
        <v>118</v>
      </c>
      <c r="T7" s="117" t="s">
        <v>119</v>
      </c>
    </row>
    <row r="8" spans="1:20" ht="48" x14ac:dyDescent="0.25">
      <c r="A8" s="118">
        <v>2</v>
      </c>
      <c r="B8" s="119"/>
      <c r="C8" s="120">
        <v>67674</v>
      </c>
      <c r="D8" s="121" t="s">
        <v>120</v>
      </c>
      <c r="E8" s="121" t="s">
        <v>121</v>
      </c>
      <c r="F8" s="10" t="s">
        <v>89</v>
      </c>
      <c r="G8" s="122" t="s">
        <v>122</v>
      </c>
      <c r="H8" s="123">
        <v>90</v>
      </c>
      <c r="I8" s="124"/>
      <c r="J8" s="124"/>
      <c r="K8" s="124"/>
      <c r="L8" s="124"/>
      <c r="M8" s="124"/>
      <c r="N8" s="125">
        <f t="shared" ref="N8:S8" si="0">718500/6</f>
        <v>119750</v>
      </c>
      <c r="O8" s="125">
        <f t="shared" si="0"/>
        <v>119750</v>
      </c>
      <c r="P8" s="125">
        <f t="shared" si="0"/>
        <v>119750</v>
      </c>
      <c r="Q8" s="125">
        <f t="shared" si="0"/>
        <v>119750</v>
      </c>
      <c r="R8" s="125">
        <f t="shared" si="0"/>
        <v>119750</v>
      </c>
      <c r="S8" s="126">
        <f t="shared" si="0"/>
        <v>119750</v>
      </c>
      <c r="T8" s="127">
        <f t="shared" ref="T8:T34" si="1">SUM(I8:S8)</f>
        <v>718500</v>
      </c>
    </row>
    <row r="9" spans="1:20" ht="48" x14ac:dyDescent="0.25">
      <c r="A9" s="110">
        <v>3</v>
      </c>
      <c r="B9" s="119"/>
      <c r="C9" s="112">
        <v>67675</v>
      </c>
      <c r="D9" s="43">
        <v>3501566246</v>
      </c>
      <c r="E9" s="43" t="s">
        <v>123</v>
      </c>
      <c r="F9" s="10" t="s">
        <v>55</v>
      </c>
      <c r="G9" s="122" t="s">
        <v>122</v>
      </c>
      <c r="H9" s="128">
        <v>150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7">
        <v>148500</v>
      </c>
      <c r="T9" s="127">
        <f t="shared" si="1"/>
        <v>148500</v>
      </c>
    </row>
    <row r="10" spans="1:20" ht="24" x14ac:dyDescent="0.25">
      <c r="A10" s="118">
        <v>4</v>
      </c>
      <c r="B10" s="119"/>
      <c r="C10" s="120">
        <v>67676</v>
      </c>
      <c r="D10" s="43">
        <v>8176382879</v>
      </c>
      <c r="E10" s="43" t="s">
        <v>124</v>
      </c>
      <c r="F10" s="10" t="s">
        <v>55</v>
      </c>
      <c r="G10" s="122" t="s">
        <v>122</v>
      </c>
      <c r="H10" s="128">
        <v>110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1">
        <v>76230</v>
      </c>
      <c r="T10" s="127">
        <f t="shared" si="1"/>
        <v>76230</v>
      </c>
    </row>
    <row r="11" spans="1:20" ht="36" x14ac:dyDescent="0.25">
      <c r="A11" s="110">
        <v>5</v>
      </c>
      <c r="B11" s="119"/>
      <c r="C11" s="112">
        <v>67677</v>
      </c>
      <c r="D11" s="43">
        <v>8210678131</v>
      </c>
      <c r="E11" s="43" t="s">
        <v>125</v>
      </c>
      <c r="F11" s="10" t="s">
        <v>126</v>
      </c>
      <c r="G11" s="122" t="s">
        <v>127</v>
      </c>
      <c r="H11" s="132">
        <v>180.9</v>
      </c>
      <c r="I11" s="133"/>
      <c r="J11" s="133"/>
      <c r="K11" s="133"/>
      <c r="L11" s="133"/>
      <c r="M11" s="133"/>
      <c r="N11" s="133"/>
      <c r="O11" s="133"/>
      <c r="P11" s="130"/>
      <c r="Q11" s="130"/>
      <c r="R11" s="130"/>
      <c r="S11" s="131">
        <v>76141</v>
      </c>
      <c r="T11" s="127">
        <f t="shared" si="1"/>
        <v>76141</v>
      </c>
    </row>
    <row r="12" spans="1:20" ht="36" x14ac:dyDescent="0.25">
      <c r="A12" s="118">
        <v>6</v>
      </c>
      <c r="B12" s="119"/>
      <c r="C12" s="120">
        <v>67678</v>
      </c>
      <c r="D12" s="43">
        <v>8171771938</v>
      </c>
      <c r="E12" s="43" t="s">
        <v>128</v>
      </c>
      <c r="F12" s="10" t="s">
        <v>85</v>
      </c>
      <c r="G12" s="122" t="s">
        <v>127</v>
      </c>
      <c r="H12" s="134" t="s">
        <v>129</v>
      </c>
      <c r="I12" s="135"/>
      <c r="J12" s="135"/>
      <c r="K12" s="135"/>
      <c r="L12" s="135"/>
      <c r="M12" s="135"/>
      <c r="N12" s="135"/>
      <c r="O12" s="135"/>
      <c r="P12" s="135"/>
      <c r="Q12" s="130"/>
      <c r="R12" s="130"/>
      <c r="S12" s="131">
        <v>56000</v>
      </c>
      <c r="T12" s="127">
        <f t="shared" si="1"/>
        <v>56000</v>
      </c>
    </row>
    <row r="13" spans="1:20" ht="48" x14ac:dyDescent="0.25">
      <c r="A13" s="110">
        <v>7</v>
      </c>
      <c r="B13" s="119"/>
      <c r="C13" s="112">
        <v>67679</v>
      </c>
      <c r="D13" s="43">
        <v>8210677226</v>
      </c>
      <c r="E13" s="43" t="s">
        <v>130</v>
      </c>
      <c r="F13" s="10" t="s">
        <v>26</v>
      </c>
      <c r="G13" s="122" t="s">
        <v>127</v>
      </c>
      <c r="H13" s="134" t="s">
        <v>131</v>
      </c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6">
        <v>57000</v>
      </c>
      <c r="T13" s="127">
        <f t="shared" si="1"/>
        <v>57000</v>
      </c>
    </row>
    <row r="14" spans="1:20" ht="22.5" x14ac:dyDescent="0.25">
      <c r="A14" s="118">
        <v>8</v>
      </c>
      <c r="B14" s="119"/>
      <c r="C14" s="120">
        <v>67680</v>
      </c>
      <c r="D14" s="121" t="s">
        <v>132</v>
      </c>
      <c r="E14" s="121" t="s">
        <v>133</v>
      </c>
      <c r="F14" s="10" t="s">
        <v>89</v>
      </c>
      <c r="G14" s="122" t="s">
        <v>127</v>
      </c>
      <c r="H14" s="137" t="s">
        <v>134</v>
      </c>
      <c r="I14" s="138"/>
      <c r="J14" s="138"/>
      <c r="K14" s="138"/>
      <c r="L14" s="138"/>
      <c r="M14" s="138"/>
      <c r="N14" s="138"/>
      <c r="O14" s="138">
        <f>480995/5</f>
        <v>96199</v>
      </c>
      <c r="P14" s="138">
        <f>480995/5</f>
        <v>96199</v>
      </c>
      <c r="Q14" s="138">
        <f>480995/5</f>
        <v>96199</v>
      </c>
      <c r="R14" s="138">
        <f>480995/5</f>
        <v>96199</v>
      </c>
      <c r="S14" s="139">
        <f>480995/5</f>
        <v>96199</v>
      </c>
      <c r="T14" s="127">
        <f t="shared" si="1"/>
        <v>480995</v>
      </c>
    </row>
    <row r="15" spans="1:20" ht="24" x14ac:dyDescent="0.25">
      <c r="A15" s="110">
        <v>9</v>
      </c>
      <c r="B15" s="119"/>
      <c r="C15" s="112">
        <v>67681</v>
      </c>
      <c r="D15" s="43">
        <v>8303396147</v>
      </c>
      <c r="E15" s="140" t="s">
        <v>135</v>
      </c>
      <c r="F15" s="10" t="s">
        <v>68</v>
      </c>
      <c r="G15" s="122" t="s">
        <v>136</v>
      </c>
      <c r="H15" s="134" t="s">
        <v>137</v>
      </c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>
        <v>44352</v>
      </c>
      <c r="T15" s="127">
        <f t="shared" si="1"/>
        <v>44352</v>
      </c>
    </row>
    <row r="16" spans="1:20" ht="36" x14ac:dyDescent="0.25">
      <c r="A16" s="118">
        <v>10</v>
      </c>
      <c r="B16" s="119"/>
      <c r="C16" s="120">
        <v>67682</v>
      </c>
      <c r="D16" s="43">
        <v>8022603239</v>
      </c>
      <c r="E16" s="140" t="s">
        <v>138</v>
      </c>
      <c r="F16" s="10" t="s">
        <v>61</v>
      </c>
      <c r="G16" s="122" t="s">
        <v>136</v>
      </c>
      <c r="H16" s="142" t="s">
        <v>139</v>
      </c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1">
        <v>56430</v>
      </c>
      <c r="T16" s="127">
        <f t="shared" si="1"/>
        <v>56430</v>
      </c>
    </row>
    <row r="17" spans="1:20" ht="24" x14ac:dyDescent="0.25">
      <c r="A17" s="110">
        <v>11</v>
      </c>
      <c r="B17" s="119"/>
      <c r="C17" s="112">
        <v>67683</v>
      </c>
      <c r="D17" s="43">
        <v>8055898972</v>
      </c>
      <c r="E17" s="43" t="s">
        <v>140</v>
      </c>
      <c r="F17" s="10" t="s">
        <v>74</v>
      </c>
      <c r="G17" s="122" t="s">
        <v>136</v>
      </c>
      <c r="H17" s="142" t="s">
        <v>141</v>
      </c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5">
        <v>17810</v>
      </c>
      <c r="T17" s="127">
        <f t="shared" si="1"/>
        <v>17810</v>
      </c>
    </row>
    <row r="18" spans="1:20" ht="33.75" x14ac:dyDescent="0.25">
      <c r="A18" s="118">
        <v>12</v>
      </c>
      <c r="B18" s="119"/>
      <c r="C18" s="120">
        <v>67684</v>
      </c>
      <c r="D18" s="146">
        <v>8195413106</v>
      </c>
      <c r="E18" s="10" t="s">
        <v>142</v>
      </c>
      <c r="F18" s="10" t="s">
        <v>57</v>
      </c>
      <c r="G18" s="122" t="s">
        <v>136</v>
      </c>
      <c r="H18" s="134" t="s">
        <v>143</v>
      </c>
      <c r="I18" s="135"/>
      <c r="J18" s="135"/>
      <c r="K18" s="147"/>
      <c r="L18" s="147"/>
      <c r="M18" s="147"/>
      <c r="N18" s="147"/>
      <c r="O18" s="147"/>
      <c r="P18" s="147"/>
      <c r="Q18" s="127"/>
      <c r="R18" s="127"/>
      <c r="S18" s="127">
        <v>79300</v>
      </c>
      <c r="T18" s="127">
        <f t="shared" si="1"/>
        <v>79300</v>
      </c>
    </row>
    <row r="19" spans="1:20" ht="24" x14ac:dyDescent="0.25">
      <c r="A19" s="110">
        <v>13</v>
      </c>
      <c r="B19" s="148"/>
      <c r="C19" s="149">
        <v>67685</v>
      </c>
      <c r="D19" s="150">
        <v>8399802968</v>
      </c>
      <c r="E19" s="151" t="s">
        <v>144</v>
      </c>
      <c r="F19" s="152" t="s">
        <v>28</v>
      </c>
      <c r="G19" s="153" t="s">
        <v>136</v>
      </c>
      <c r="H19" s="154" t="s">
        <v>145</v>
      </c>
      <c r="I19" s="155"/>
      <c r="J19" s="155"/>
      <c r="K19" s="155"/>
      <c r="L19" s="155"/>
      <c r="M19" s="155"/>
      <c r="N19" s="155"/>
      <c r="O19" s="155"/>
      <c r="P19" s="155"/>
      <c r="Q19" s="155"/>
      <c r="R19" s="156">
        <f>832545/2</f>
        <v>416272.5</v>
      </c>
      <c r="S19" s="157">
        <f>832545/2</f>
        <v>416272.5</v>
      </c>
      <c r="T19" s="158">
        <f t="shared" si="1"/>
        <v>832545</v>
      </c>
    </row>
    <row r="20" spans="1:20" ht="24" x14ac:dyDescent="0.25">
      <c r="A20" s="118">
        <v>14</v>
      </c>
      <c r="B20" s="119"/>
      <c r="C20" s="120">
        <v>67686</v>
      </c>
      <c r="D20" s="43">
        <v>8447240856</v>
      </c>
      <c r="E20" s="43" t="s">
        <v>146</v>
      </c>
      <c r="F20" s="10" t="s">
        <v>46</v>
      </c>
      <c r="G20" s="122" t="s">
        <v>147</v>
      </c>
      <c r="H20" s="134" t="s">
        <v>148</v>
      </c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1">
        <v>172200</v>
      </c>
      <c r="T20" s="127">
        <f t="shared" si="1"/>
        <v>172200</v>
      </c>
    </row>
    <row r="21" spans="1:20" ht="36" x14ac:dyDescent="0.25">
      <c r="A21" s="110">
        <v>15</v>
      </c>
      <c r="B21" s="119"/>
      <c r="C21" s="112">
        <v>67687</v>
      </c>
      <c r="D21" s="43">
        <v>8532014706</v>
      </c>
      <c r="E21" s="43" t="s">
        <v>149</v>
      </c>
      <c r="F21" s="10" t="s">
        <v>64</v>
      </c>
      <c r="G21" s="122" t="s">
        <v>147</v>
      </c>
      <c r="H21" s="134" t="s">
        <v>150</v>
      </c>
      <c r="I21" s="141"/>
      <c r="J21" s="141"/>
      <c r="K21" s="141"/>
      <c r="L21" s="141"/>
      <c r="M21" s="141"/>
      <c r="N21" s="141"/>
      <c r="O21" s="141"/>
      <c r="P21" s="141"/>
      <c r="Q21" s="141"/>
      <c r="R21" s="141">
        <f>193652/2</f>
        <v>96826</v>
      </c>
      <c r="S21" s="141">
        <f>193652/2</f>
        <v>96826</v>
      </c>
      <c r="T21" s="127">
        <f t="shared" si="1"/>
        <v>193652</v>
      </c>
    </row>
    <row r="22" spans="1:20" ht="24" x14ac:dyDescent="0.25">
      <c r="A22" s="118">
        <v>16</v>
      </c>
      <c r="B22" s="119"/>
      <c r="C22" s="120">
        <v>67688</v>
      </c>
      <c r="D22" s="43">
        <v>8338233512</v>
      </c>
      <c r="E22" s="43" t="s">
        <v>151</v>
      </c>
      <c r="F22" s="10" t="s">
        <v>55</v>
      </c>
      <c r="G22" s="122" t="s">
        <v>147</v>
      </c>
      <c r="H22" s="134" t="s">
        <v>152</v>
      </c>
      <c r="I22" s="129"/>
      <c r="J22" s="129"/>
      <c r="K22" s="129"/>
      <c r="L22" s="129"/>
      <c r="M22" s="129"/>
      <c r="N22" s="129"/>
      <c r="O22" s="159"/>
      <c r="P22" s="159"/>
      <c r="Q22" s="159"/>
      <c r="R22" s="159"/>
      <c r="S22" s="160">
        <v>121652</v>
      </c>
      <c r="T22" s="127">
        <f t="shared" si="1"/>
        <v>121652</v>
      </c>
    </row>
    <row r="23" spans="1:20" ht="48" x14ac:dyDescent="0.25">
      <c r="A23" s="110">
        <v>17</v>
      </c>
      <c r="B23" s="119"/>
      <c r="C23" s="112">
        <v>67689</v>
      </c>
      <c r="D23" s="43">
        <v>8464567058</v>
      </c>
      <c r="E23" s="43" t="s">
        <v>153</v>
      </c>
      <c r="F23" s="10" t="s">
        <v>154</v>
      </c>
      <c r="G23" s="122" t="s">
        <v>147</v>
      </c>
      <c r="H23" s="161" t="s">
        <v>155</v>
      </c>
      <c r="I23" s="129"/>
      <c r="J23" s="129"/>
      <c r="K23" s="129"/>
      <c r="L23" s="129"/>
      <c r="M23" s="129"/>
      <c r="N23" s="129"/>
      <c r="O23" s="159"/>
      <c r="P23" s="159"/>
      <c r="Q23" s="159"/>
      <c r="R23" s="159"/>
      <c r="S23" s="160">
        <v>115710</v>
      </c>
      <c r="T23" s="127">
        <f t="shared" si="1"/>
        <v>115710</v>
      </c>
    </row>
    <row r="24" spans="1:20" ht="24" x14ac:dyDescent="0.25">
      <c r="A24" s="118">
        <v>18</v>
      </c>
      <c r="B24" s="119"/>
      <c r="C24" s="120">
        <v>67690</v>
      </c>
      <c r="D24" s="43">
        <v>8149777194</v>
      </c>
      <c r="E24" s="43" t="s">
        <v>156</v>
      </c>
      <c r="F24" s="10" t="s">
        <v>157</v>
      </c>
      <c r="G24" s="122" t="s">
        <v>158</v>
      </c>
      <c r="H24" s="161" t="s">
        <v>159</v>
      </c>
      <c r="I24" s="129"/>
      <c r="J24" s="129"/>
      <c r="K24" s="129"/>
      <c r="L24" s="129">
        <v>26096</v>
      </c>
      <c r="M24" s="129">
        <v>26096</v>
      </c>
      <c r="N24" s="129">
        <v>26096</v>
      </c>
      <c r="O24" s="129">
        <v>26096</v>
      </c>
      <c r="P24" s="159">
        <v>100346</v>
      </c>
      <c r="Q24" s="159">
        <v>100346</v>
      </c>
      <c r="R24" s="159">
        <v>100346</v>
      </c>
      <c r="S24" s="160">
        <v>217200</v>
      </c>
      <c r="T24" s="127">
        <f t="shared" si="1"/>
        <v>622622</v>
      </c>
    </row>
    <row r="25" spans="1:20" ht="24" x14ac:dyDescent="0.25">
      <c r="A25" s="110">
        <v>19</v>
      </c>
      <c r="B25" s="119"/>
      <c r="C25" s="112">
        <v>67691</v>
      </c>
      <c r="D25" s="162" t="s">
        <v>160</v>
      </c>
      <c r="E25" s="162" t="s">
        <v>161</v>
      </c>
      <c r="F25" s="10" t="s">
        <v>99</v>
      </c>
      <c r="G25" s="122" t="s">
        <v>158</v>
      </c>
      <c r="H25" s="161" t="s">
        <v>137</v>
      </c>
      <c r="I25" s="129"/>
      <c r="J25" s="129"/>
      <c r="K25" s="129"/>
      <c r="L25" s="129"/>
      <c r="M25" s="129"/>
      <c r="N25" s="129"/>
      <c r="O25" s="159"/>
      <c r="P25" s="159"/>
      <c r="Q25" s="159"/>
      <c r="R25" s="159"/>
      <c r="S25" s="163">
        <v>47520</v>
      </c>
      <c r="T25" s="127">
        <f t="shared" si="1"/>
        <v>47520</v>
      </c>
    </row>
    <row r="26" spans="1:20" ht="22.5" x14ac:dyDescent="0.25">
      <c r="A26" s="118">
        <v>20</v>
      </c>
      <c r="B26" s="119"/>
      <c r="C26" s="120">
        <v>67692</v>
      </c>
      <c r="D26" s="10" t="s">
        <v>162</v>
      </c>
      <c r="E26" s="10" t="s">
        <v>163</v>
      </c>
      <c r="F26" s="10" t="s">
        <v>28</v>
      </c>
      <c r="G26" s="122" t="s">
        <v>158</v>
      </c>
      <c r="H26" s="161" t="s">
        <v>164</v>
      </c>
      <c r="I26" s="129"/>
      <c r="J26" s="129"/>
      <c r="K26" s="129"/>
      <c r="L26" s="129"/>
      <c r="M26" s="129"/>
      <c r="N26" s="129"/>
      <c r="O26" s="159"/>
      <c r="P26" s="159"/>
      <c r="Q26" s="159"/>
      <c r="R26" s="159"/>
      <c r="S26" s="163">
        <v>104848</v>
      </c>
      <c r="T26" s="127">
        <f t="shared" si="1"/>
        <v>104848</v>
      </c>
    </row>
    <row r="27" spans="1:20" ht="22.5" x14ac:dyDescent="0.25">
      <c r="A27" s="110">
        <v>21</v>
      </c>
      <c r="B27" s="119"/>
      <c r="C27" s="112">
        <v>67693</v>
      </c>
      <c r="D27" s="10" t="s">
        <v>162</v>
      </c>
      <c r="E27" s="10" t="s">
        <v>163</v>
      </c>
      <c r="F27" s="10" t="s">
        <v>28</v>
      </c>
      <c r="G27" s="122" t="s">
        <v>158</v>
      </c>
      <c r="H27" s="161" t="s">
        <v>165</v>
      </c>
      <c r="I27" s="129"/>
      <c r="J27" s="129"/>
      <c r="K27" s="129"/>
      <c r="L27" s="129"/>
      <c r="M27" s="129"/>
      <c r="N27" s="129"/>
      <c r="O27" s="159"/>
      <c r="P27" s="159"/>
      <c r="Q27" s="159"/>
      <c r="R27" s="159"/>
      <c r="S27" s="160">
        <v>103251</v>
      </c>
      <c r="T27" s="127">
        <f t="shared" si="1"/>
        <v>103251</v>
      </c>
    </row>
    <row r="28" spans="1:20" ht="36" x14ac:dyDescent="0.25">
      <c r="A28" s="118">
        <v>22</v>
      </c>
      <c r="B28" s="119"/>
      <c r="C28" s="120">
        <v>67694</v>
      </c>
      <c r="D28" s="43">
        <v>3500638702</v>
      </c>
      <c r="E28" s="43" t="s">
        <v>166</v>
      </c>
      <c r="F28" s="10" t="s">
        <v>102</v>
      </c>
      <c r="G28" s="122" t="s">
        <v>158</v>
      </c>
      <c r="H28" s="161" t="s">
        <v>167</v>
      </c>
      <c r="I28" s="129"/>
      <c r="J28" s="129"/>
      <c r="K28" s="129"/>
      <c r="L28" s="129"/>
      <c r="M28" s="129"/>
      <c r="N28" s="159">
        <f t="shared" ref="N28:S28" si="2">1025892/6</f>
        <v>170982</v>
      </c>
      <c r="O28" s="159">
        <f t="shared" si="2"/>
        <v>170982</v>
      </c>
      <c r="P28" s="159">
        <f t="shared" si="2"/>
        <v>170982</v>
      </c>
      <c r="Q28" s="159">
        <f t="shared" si="2"/>
        <v>170982</v>
      </c>
      <c r="R28" s="159">
        <f t="shared" si="2"/>
        <v>170982</v>
      </c>
      <c r="S28" s="160">
        <f t="shared" si="2"/>
        <v>170982</v>
      </c>
      <c r="T28" s="127">
        <f t="shared" si="1"/>
        <v>1025892</v>
      </c>
    </row>
    <row r="29" spans="1:20" ht="22.5" x14ac:dyDescent="0.25">
      <c r="A29" s="110">
        <v>23</v>
      </c>
      <c r="B29" s="119"/>
      <c r="C29" s="112">
        <v>67695</v>
      </c>
      <c r="D29" s="146">
        <v>3500618343</v>
      </c>
      <c r="E29" s="164" t="s">
        <v>168</v>
      </c>
      <c r="F29" s="10" t="s">
        <v>169</v>
      </c>
      <c r="G29" s="122" t="s">
        <v>158</v>
      </c>
      <c r="H29" s="161" t="s">
        <v>170</v>
      </c>
      <c r="I29" s="129"/>
      <c r="J29" s="129"/>
      <c r="K29" s="129"/>
      <c r="L29" s="129"/>
      <c r="M29" s="129"/>
      <c r="N29" s="129"/>
      <c r="O29" s="159"/>
      <c r="P29" s="159"/>
      <c r="Q29" s="159"/>
      <c r="R29" s="159">
        <f>174636/2</f>
        <v>87318</v>
      </c>
      <c r="S29" s="160">
        <f>174636/2</f>
        <v>87318</v>
      </c>
      <c r="T29" s="127">
        <f t="shared" si="1"/>
        <v>174636</v>
      </c>
    </row>
    <row r="30" spans="1:20" ht="24" x14ac:dyDescent="0.25">
      <c r="A30" s="118">
        <v>24</v>
      </c>
      <c r="B30" s="119"/>
      <c r="C30" s="120">
        <v>67696</v>
      </c>
      <c r="D30" s="43">
        <v>8409982575</v>
      </c>
      <c r="E30" s="43" t="s">
        <v>171</v>
      </c>
      <c r="F30" s="10" t="s">
        <v>61</v>
      </c>
      <c r="G30" s="122" t="s">
        <v>158</v>
      </c>
      <c r="H30" s="161" t="s">
        <v>172</v>
      </c>
      <c r="I30" s="129"/>
      <c r="J30" s="129"/>
      <c r="K30" s="129"/>
      <c r="L30" s="129"/>
      <c r="M30" s="129"/>
      <c r="N30" s="129"/>
      <c r="O30" s="159"/>
      <c r="P30" s="159">
        <f>138600/4</f>
        <v>34650</v>
      </c>
      <c r="Q30" s="159">
        <f>138600/4</f>
        <v>34650</v>
      </c>
      <c r="R30" s="159">
        <f>138600/4</f>
        <v>34650</v>
      </c>
      <c r="S30" s="160">
        <f>138600/4</f>
        <v>34650</v>
      </c>
      <c r="T30" s="127">
        <f t="shared" si="1"/>
        <v>138600</v>
      </c>
    </row>
    <row r="31" spans="1:20" ht="33.75" x14ac:dyDescent="0.25">
      <c r="A31" s="110">
        <v>25</v>
      </c>
      <c r="B31" s="119"/>
      <c r="C31" s="112">
        <v>67697</v>
      </c>
      <c r="D31" s="10">
        <v>8354681488</v>
      </c>
      <c r="E31" s="10" t="s">
        <v>173</v>
      </c>
      <c r="F31" s="10" t="s">
        <v>61</v>
      </c>
      <c r="G31" s="122" t="s">
        <v>158</v>
      </c>
      <c r="H31" s="142" t="s">
        <v>174</v>
      </c>
      <c r="I31" s="129"/>
      <c r="J31" s="129"/>
      <c r="K31" s="129"/>
      <c r="L31" s="129"/>
      <c r="M31" s="129"/>
      <c r="N31" s="129"/>
      <c r="O31" s="159"/>
      <c r="P31" s="159"/>
      <c r="Q31" s="159"/>
      <c r="R31" s="159"/>
      <c r="S31" s="160">
        <v>53460</v>
      </c>
      <c r="T31" s="127">
        <f t="shared" si="1"/>
        <v>53460</v>
      </c>
    </row>
    <row r="32" spans="1:20" ht="22.5" x14ac:dyDescent="0.25">
      <c r="A32" s="118">
        <v>26</v>
      </c>
      <c r="B32" s="119"/>
      <c r="C32" s="120">
        <v>67698</v>
      </c>
      <c r="D32" s="10">
        <v>8094358970</v>
      </c>
      <c r="E32" s="10" t="s">
        <v>175</v>
      </c>
      <c r="F32" s="10" t="s">
        <v>61</v>
      </c>
      <c r="G32" s="122" t="s">
        <v>158</v>
      </c>
      <c r="H32" s="161" t="s">
        <v>131</v>
      </c>
      <c r="I32" s="129"/>
      <c r="J32" s="129"/>
      <c r="K32" s="129"/>
      <c r="L32" s="129"/>
      <c r="M32" s="129"/>
      <c r="N32" s="129"/>
      <c r="O32" s="159"/>
      <c r="P32" s="159"/>
      <c r="Q32" s="159"/>
      <c r="R32" s="159"/>
      <c r="S32" s="160">
        <v>83160</v>
      </c>
      <c r="T32" s="127">
        <f t="shared" si="1"/>
        <v>83160</v>
      </c>
    </row>
    <row r="33" spans="1:20" ht="24" x14ac:dyDescent="0.25">
      <c r="A33" s="110">
        <v>27</v>
      </c>
      <c r="B33" s="119"/>
      <c r="C33" s="112">
        <v>67699</v>
      </c>
      <c r="D33" s="165">
        <v>8484040598</v>
      </c>
      <c r="E33" s="43" t="s">
        <v>176</v>
      </c>
      <c r="F33" s="10" t="s">
        <v>83</v>
      </c>
      <c r="G33" s="122" t="s">
        <v>158</v>
      </c>
      <c r="H33" s="166" t="s">
        <v>177</v>
      </c>
      <c r="I33" s="167" t="s">
        <v>118</v>
      </c>
      <c r="J33" s="167" t="s">
        <v>118</v>
      </c>
      <c r="K33" s="167" t="s">
        <v>118</v>
      </c>
      <c r="L33" s="167" t="s">
        <v>118</v>
      </c>
      <c r="M33" s="167" t="s">
        <v>118</v>
      </c>
      <c r="N33" s="167" t="s">
        <v>118</v>
      </c>
      <c r="O33" s="167" t="s">
        <v>118</v>
      </c>
      <c r="P33" s="167" t="s">
        <v>118</v>
      </c>
      <c r="Q33" s="167" t="s">
        <v>118</v>
      </c>
      <c r="R33" s="167"/>
      <c r="S33" s="116">
        <v>40142</v>
      </c>
      <c r="T33" s="127">
        <f t="shared" si="1"/>
        <v>40142</v>
      </c>
    </row>
    <row r="34" spans="1:20" ht="22.5" x14ac:dyDescent="0.25">
      <c r="A34" s="118">
        <v>28</v>
      </c>
      <c r="B34" s="119"/>
      <c r="C34" s="168">
        <v>67700</v>
      </c>
      <c r="D34" s="169">
        <v>8492042140</v>
      </c>
      <c r="E34" s="169" t="s">
        <v>178</v>
      </c>
      <c r="F34" s="10" t="s">
        <v>179</v>
      </c>
      <c r="G34" s="122" t="s">
        <v>158</v>
      </c>
      <c r="H34" s="170" t="s">
        <v>180</v>
      </c>
      <c r="I34" s="129"/>
      <c r="J34" s="129"/>
      <c r="K34" s="129"/>
      <c r="L34" s="129"/>
      <c r="M34" s="129"/>
      <c r="N34" s="129"/>
      <c r="O34" s="159"/>
      <c r="P34" s="159"/>
      <c r="Q34" s="159"/>
      <c r="R34" s="159"/>
      <c r="S34" s="160">
        <v>74678</v>
      </c>
      <c r="T34" s="127">
        <f t="shared" si="1"/>
        <v>74678</v>
      </c>
    </row>
    <row r="35" spans="1:20" x14ac:dyDescent="0.25">
      <c r="A35" s="171"/>
      <c r="B35" s="172"/>
      <c r="C35" s="171"/>
      <c r="D35" s="173"/>
      <c r="E35" s="174"/>
      <c r="F35" s="175"/>
      <c r="G35" s="172"/>
      <c r="H35" s="176"/>
      <c r="I35" s="177">
        <f t="shared" ref="I35:T35" si="3">SUM(I7:I34)</f>
        <v>0</v>
      </c>
      <c r="J35" s="177">
        <f t="shared" si="3"/>
        <v>0</v>
      </c>
      <c r="K35" s="177">
        <f t="shared" si="3"/>
        <v>0</v>
      </c>
      <c r="L35" s="177">
        <f t="shared" si="3"/>
        <v>26096</v>
      </c>
      <c r="M35" s="177">
        <f t="shared" si="3"/>
        <v>26096</v>
      </c>
      <c r="N35" s="177">
        <f t="shared" si="3"/>
        <v>316828</v>
      </c>
      <c r="O35" s="177">
        <f t="shared" si="3"/>
        <v>413027</v>
      </c>
      <c r="P35" s="177">
        <f t="shared" si="3"/>
        <v>521927</v>
      </c>
      <c r="Q35" s="177">
        <f t="shared" si="3"/>
        <v>521927</v>
      </c>
      <c r="R35" s="177">
        <f t="shared" si="3"/>
        <v>1122343.5</v>
      </c>
      <c r="S35" s="178">
        <f t="shared" si="3"/>
        <v>2767581.5</v>
      </c>
      <c r="T35" s="177">
        <f t="shared" si="3"/>
        <v>5715826</v>
      </c>
    </row>
    <row r="36" spans="1:20" ht="22.5" x14ac:dyDescent="0.25">
      <c r="A36" s="110">
        <v>1</v>
      </c>
      <c r="B36" s="111" t="s">
        <v>181</v>
      </c>
      <c r="C36" s="112">
        <v>67701</v>
      </c>
      <c r="D36" s="10">
        <v>8288077986</v>
      </c>
      <c r="E36" s="10" t="s">
        <v>182</v>
      </c>
      <c r="F36" s="10" t="s">
        <v>183</v>
      </c>
      <c r="G36" s="122" t="s">
        <v>184</v>
      </c>
      <c r="H36" s="179">
        <v>60</v>
      </c>
      <c r="I36" s="180"/>
      <c r="J36" s="127"/>
      <c r="K36" s="127"/>
      <c r="L36" s="127"/>
      <c r="M36" s="127"/>
      <c r="N36" s="127"/>
      <c r="O36" s="127"/>
      <c r="P36" s="127"/>
      <c r="Q36" s="181">
        <f>80190/3</f>
        <v>26730</v>
      </c>
      <c r="R36" s="181">
        <f>80190/3</f>
        <v>26730</v>
      </c>
      <c r="S36" s="181">
        <f>80190/3</f>
        <v>26730</v>
      </c>
      <c r="T36" s="127">
        <f t="shared" ref="T36:T51" si="4">SUM(I36:S36)</f>
        <v>80190</v>
      </c>
    </row>
    <row r="37" spans="1:20" ht="25.5" x14ac:dyDescent="0.25">
      <c r="A37" s="118">
        <v>2</v>
      </c>
      <c r="B37" s="119"/>
      <c r="C37" s="120">
        <v>67702</v>
      </c>
      <c r="D37" s="10">
        <v>8296098235</v>
      </c>
      <c r="E37" s="20" t="s">
        <v>185</v>
      </c>
      <c r="F37" s="10" t="s">
        <v>186</v>
      </c>
      <c r="G37" s="122" t="s">
        <v>184</v>
      </c>
      <c r="H37" s="179">
        <v>150</v>
      </c>
      <c r="I37" s="124"/>
      <c r="J37" s="124"/>
      <c r="K37" s="124"/>
      <c r="L37" s="124"/>
      <c r="M37" s="124"/>
      <c r="N37" s="124"/>
      <c r="O37" s="124"/>
      <c r="P37" s="124"/>
      <c r="Q37" s="126">
        <f>124740/3</f>
        <v>41580</v>
      </c>
      <c r="R37" s="126">
        <f>124740/3</f>
        <v>41580</v>
      </c>
      <c r="S37" s="126">
        <f>124740/3</f>
        <v>41580</v>
      </c>
      <c r="T37" s="127">
        <f t="shared" si="4"/>
        <v>124740</v>
      </c>
    </row>
    <row r="38" spans="1:20" ht="24" x14ac:dyDescent="0.25">
      <c r="A38" s="110">
        <v>3</v>
      </c>
      <c r="B38" s="119"/>
      <c r="C38" s="112">
        <v>67703</v>
      </c>
      <c r="D38" s="182">
        <v>8479217955</v>
      </c>
      <c r="E38" s="140" t="s">
        <v>187</v>
      </c>
      <c r="F38" s="10" t="s">
        <v>188</v>
      </c>
      <c r="G38" s="122" t="s">
        <v>184</v>
      </c>
      <c r="H38" s="179">
        <v>186.3</v>
      </c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6">
        <v>391230</v>
      </c>
      <c r="T38" s="127">
        <f t="shared" si="4"/>
        <v>391230</v>
      </c>
    </row>
    <row r="39" spans="1:20" ht="36" x14ac:dyDescent="0.25">
      <c r="A39" s="118">
        <v>4</v>
      </c>
      <c r="B39" s="119"/>
      <c r="C39" s="120">
        <v>67704</v>
      </c>
      <c r="D39" s="10">
        <v>8438912974</v>
      </c>
      <c r="E39" s="43" t="s">
        <v>189</v>
      </c>
      <c r="F39" s="10" t="s">
        <v>190</v>
      </c>
      <c r="G39" s="122" t="s">
        <v>184</v>
      </c>
      <c r="H39" s="128">
        <v>100</v>
      </c>
      <c r="I39" s="130"/>
      <c r="J39" s="130"/>
      <c r="K39" s="130"/>
      <c r="L39" s="130"/>
      <c r="M39" s="130"/>
      <c r="N39" s="130"/>
      <c r="O39" s="131">
        <f>525000/5</f>
        <v>105000</v>
      </c>
      <c r="P39" s="131">
        <f>525000/5</f>
        <v>105000</v>
      </c>
      <c r="Q39" s="131">
        <f>525000/5</f>
        <v>105000</v>
      </c>
      <c r="R39" s="131">
        <f>525000/5</f>
        <v>105000</v>
      </c>
      <c r="S39" s="131">
        <f>525000/5</f>
        <v>105000</v>
      </c>
      <c r="T39" s="127">
        <f t="shared" si="4"/>
        <v>525000</v>
      </c>
    </row>
    <row r="40" spans="1:20" ht="33.75" x14ac:dyDescent="0.25">
      <c r="A40" s="110">
        <v>5</v>
      </c>
      <c r="B40" s="119"/>
      <c r="C40" s="112">
        <v>67705</v>
      </c>
      <c r="D40" s="10" t="s">
        <v>191</v>
      </c>
      <c r="E40" s="10" t="s">
        <v>192</v>
      </c>
      <c r="F40" s="10" t="s">
        <v>183</v>
      </c>
      <c r="G40" s="122" t="s">
        <v>184</v>
      </c>
      <c r="H40" s="183">
        <v>60</v>
      </c>
      <c r="I40" s="133"/>
      <c r="J40" s="133"/>
      <c r="K40" s="133"/>
      <c r="L40" s="133"/>
      <c r="M40" s="133"/>
      <c r="N40" s="133"/>
      <c r="O40" s="133"/>
      <c r="P40" s="130"/>
      <c r="Q40" s="130"/>
      <c r="R40" s="131">
        <f>61560/2</f>
        <v>30780</v>
      </c>
      <c r="S40" s="131">
        <f>61560/2</f>
        <v>30780</v>
      </c>
      <c r="T40" s="127">
        <f t="shared" si="4"/>
        <v>61560</v>
      </c>
    </row>
    <row r="41" spans="1:20" ht="24" x14ac:dyDescent="0.25">
      <c r="A41" s="118">
        <v>6</v>
      </c>
      <c r="B41" s="119"/>
      <c r="C41" s="120">
        <v>67706</v>
      </c>
      <c r="D41" s="10">
        <v>8514305861</v>
      </c>
      <c r="E41" s="43" t="s">
        <v>193</v>
      </c>
      <c r="F41" s="10" t="s">
        <v>85</v>
      </c>
      <c r="G41" s="122" t="s">
        <v>194</v>
      </c>
      <c r="H41" s="184">
        <v>90.8</v>
      </c>
      <c r="I41" s="135"/>
      <c r="J41" s="135"/>
      <c r="K41" s="135"/>
      <c r="L41" s="135"/>
      <c r="M41" s="135"/>
      <c r="N41" s="135"/>
      <c r="O41" s="135"/>
      <c r="P41" s="135"/>
      <c r="Q41" s="130"/>
      <c r="R41" s="131">
        <f>151018/2</f>
        <v>75509</v>
      </c>
      <c r="S41" s="131">
        <f>151018/2</f>
        <v>75509</v>
      </c>
      <c r="T41" s="127">
        <f t="shared" si="4"/>
        <v>151018</v>
      </c>
    </row>
    <row r="42" spans="1:20" ht="22.5" x14ac:dyDescent="0.25">
      <c r="A42" s="110">
        <v>7</v>
      </c>
      <c r="B42" s="119"/>
      <c r="C42" s="112">
        <v>67707</v>
      </c>
      <c r="D42" s="185" t="s">
        <v>195</v>
      </c>
      <c r="E42" s="185" t="s">
        <v>196</v>
      </c>
      <c r="F42" s="10" t="s">
        <v>179</v>
      </c>
      <c r="G42" s="122" t="s">
        <v>194</v>
      </c>
      <c r="H42" s="184">
        <v>92.6</v>
      </c>
      <c r="I42" s="135">
        <v>65100</v>
      </c>
      <c r="J42" s="135">
        <v>65100</v>
      </c>
      <c r="K42" s="135">
        <v>65100</v>
      </c>
      <c r="L42" s="135">
        <v>65100</v>
      </c>
      <c r="M42" s="135">
        <v>65100</v>
      </c>
      <c r="N42" s="135">
        <v>65100</v>
      </c>
      <c r="O42" s="135">
        <v>65100</v>
      </c>
      <c r="P42" s="135">
        <v>65100</v>
      </c>
      <c r="Q42" s="135">
        <v>65100</v>
      </c>
      <c r="R42" s="135">
        <v>65100</v>
      </c>
      <c r="S42" s="136">
        <v>194460</v>
      </c>
      <c r="T42" s="127">
        <f t="shared" si="4"/>
        <v>845460</v>
      </c>
    </row>
    <row r="43" spans="1:20" x14ac:dyDescent="0.25">
      <c r="A43" s="118">
        <v>8</v>
      </c>
      <c r="B43" s="119"/>
      <c r="C43" s="120">
        <v>67708</v>
      </c>
      <c r="D43" s="115" t="s">
        <v>118</v>
      </c>
      <c r="E43" s="115" t="s">
        <v>118</v>
      </c>
      <c r="F43" s="115" t="s">
        <v>118</v>
      </c>
      <c r="G43" s="115" t="s">
        <v>118</v>
      </c>
      <c r="H43" s="115" t="s">
        <v>118</v>
      </c>
      <c r="I43" s="115" t="s">
        <v>118</v>
      </c>
      <c r="J43" s="115" t="s">
        <v>118</v>
      </c>
      <c r="K43" s="115" t="s">
        <v>118</v>
      </c>
      <c r="L43" s="115" t="s">
        <v>118</v>
      </c>
      <c r="M43" s="115" t="s">
        <v>118</v>
      </c>
      <c r="N43" s="115" t="s">
        <v>118</v>
      </c>
      <c r="O43" s="115" t="s">
        <v>118</v>
      </c>
      <c r="P43" s="115" t="s">
        <v>118</v>
      </c>
      <c r="Q43" s="115" t="s">
        <v>118</v>
      </c>
      <c r="R43" s="115" t="s">
        <v>118</v>
      </c>
      <c r="S43" s="115" t="s">
        <v>118</v>
      </c>
      <c r="T43" s="186" t="s">
        <v>119</v>
      </c>
    </row>
    <row r="44" spans="1:20" ht="36" x14ac:dyDescent="0.25">
      <c r="A44" s="110">
        <v>9</v>
      </c>
      <c r="B44" s="119"/>
      <c r="C44" s="112">
        <v>67709</v>
      </c>
      <c r="D44" s="10">
        <v>8516082829</v>
      </c>
      <c r="E44" s="43" t="s">
        <v>197</v>
      </c>
      <c r="F44" s="10" t="s">
        <v>198</v>
      </c>
      <c r="G44" s="122" t="s">
        <v>194</v>
      </c>
      <c r="H44" s="184">
        <v>103.8</v>
      </c>
      <c r="I44" s="141"/>
      <c r="J44" s="141"/>
      <c r="K44" s="141"/>
      <c r="L44" s="141"/>
      <c r="M44" s="141"/>
      <c r="N44" s="141">
        <f t="shared" ref="N44:S44" si="5">828636/6</f>
        <v>138106</v>
      </c>
      <c r="O44" s="141">
        <f t="shared" si="5"/>
        <v>138106</v>
      </c>
      <c r="P44" s="141">
        <f t="shared" si="5"/>
        <v>138106</v>
      </c>
      <c r="Q44" s="141">
        <f t="shared" si="5"/>
        <v>138106</v>
      </c>
      <c r="R44" s="141">
        <f t="shared" si="5"/>
        <v>138106</v>
      </c>
      <c r="S44" s="141">
        <f t="shared" si="5"/>
        <v>138106</v>
      </c>
      <c r="T44" s="127">
        <f t="shared" si="4"/>
        <v>828636</v>
      </c>
    </row>
    <row r="45" spans="1:20" ht="24" x14ac:dyDescent="0.25">
      <c r="A45" s="118">
        <v>10</v>
      </c>
      <c r="B45" s="119"/>
      <c r="C45" s="120">
        <v>67710</v>
      </c>
      <c r="D45" s="10">
        <v>3501161412</v>
      </c>
      <c r="E45" s="43" t="s">
        <v>199</v>
      </c>
      <c r="F45" s="10" t="s">
        <v>85</v>
      </c>
      <c r="G45" s="122" t="s">
        <v>194</v>
      </c>
      <c r="H45" s="184">
        <v>93.1</v>
      </c>
      <c r="I45" s="143"/>
      <c r="J45" s="143"/>
      <c r="K45" s="143"/>
      <c r="L45" s="143"/>
      <c r="M45" s="143"/>
      <c r="N45" s="143"/>
      <c r="O45" s="143"/>
      <c r="P45" s="143"/>
      <c r="Q45" s="141">
        <f>221205/3</f>
        <v>73735</v>
      </c>
      <c r="R45" s="141">
        <f>221205/3</f>
        <v>73735</v>
      </c>
      <c r="S45" s="141">
        <f>221205/3</f>
        <v>73735</v>
      </c>
      <c r="T45" s="127">
        <f t="shared" si="4"/>
        <v>221205</v>
      </c>
    </row>
    <row r="46" spans="1:20" ht="33.75" x14ac:dyDescent="0.25">
      <c r="A46" s="110">
        <v>11</v>
      </c>
      <c r="B46" s="119"/>
      <c r="C46" s="112">
        <v>67711</v>
      </c>
      <c r="D46" s="187">
        <v>8490735414</v>
      </c>
      <c r="E46" s="188" t="s">
        <v>200</v>
      </c>
      <c r="F46" s="10" t="s">
        <v>85</v>
      </c>
      <c r="G46" s="122" t="s">
        <v>194</v>
      </c>
      <c r="H46" s="128">
        <v>89.9</v>
      </c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5">
        <v>74761</v>
      </c>
      <c r="T46" s="189">
        <f t="shared" si="4"/>
        <v>74761</v>
      </c>
    </row>
    <row r="47" spans="1:20" ht="24" x14ac:dyDescent="0.25">
      <c r="A47" s="118">
        <v>12</v>
      </c>
      <c r="B47" s="119"/>
      <c r="C47" s="120">
        <v>67712</v>
      </c>
      <c r="D47" s="10">
        <v>8302598905</v>
      </c>
      <c r="E47" s="43" t="s">
        <v>201</v>
      </c>
      <c r="F47" s="10" t="s">
        <v>190</v>
      </c>
      <c r="G47" s="122" t="s">
        <v>202</v>
      </c>
      <c r="H47" s="128">
        <v>300</v>
      </c>
      <c r="I47" s="135"/>
      <c r="J47" s="135"/>
      <c r="K47" s="147"/>
      <c r="L47" s="147"/>
      <c r="M47" s="147"/>
      <c r="N47" s="147"/>
      <c r="O47" s="147"/>
      <c r="P47" s="147"/>
      <c r="Q47" s="127"/>
      <c r="R47" s="127">
        <f>831600/2</f>
        <v>415800</v>
      </c>
      <c r="S47" s="127">
        <f>831600/2</f>
        <v>415800</v>
      </c>
      <c r="T47" s="127">
        <f t="shared" si="4"/>
        <v>831600</v>
      </c>
    </row>
    <row r="48" spans="1:20" ht="36" x14ac:dyDescent="0.25">
      <c r="A48" s="110">
        <v>13</v>
      </c>
      <c r="B48" s="148"/>
      <c r="C48" s="112">
        <v>67713</v>
      </c>
      <c r="D48" s="10">
        <v>311091440</v>
      </c>
      <c r="E48" s="43" t="s">
        <v>203</v>
      </c>
      <c r="F48" s="10" t="s">
        <v>183</v>
      </c>
      <c r="G48" s="122" t="s">
        <v>202</v>
      </c>
      <c r="H48" s="128">
        <v>70</v>
      </c>
      <c r="I48" s="135"/>
      <c r="J48" s="135"/>
      <c r="K48" s="147"/>
      <c r="L48" s="147"/>
      <c r="M48" s="147"/>
      <c r="N48" s="147"/>
      <c r="O48" s="147"/>
      <c r="P48" s="147"/>
      <c r="Q48" s="127">
        <f>220500/3</f>
        <v>73500</v>
      </c>
      <c r="R48" s="127">
        <f>220500/3</f>
        <v>73500</v>
      </c>
      <c r="S48" s="127">
        <f>220500/3</f>
        <v>73500</v>
      </c>
      <c r="T48" s="127">
        <f t="shared" si="4"/>
        <v>220500</v>
      </c>
    </row>
    <row r="49" spans="1:20" ht="24" x14ac:dyDescent="0.25">
      <c r="A49" s="118">
        <v>14</v>
      </c>
      <c r="B49" s="119"/>
      <c r="C49" s="120">
        <v>67714</v>
      </c>
      <c r="D49" s="10">
        <v>8736063437</v>
      </c>
      <c r="E49" s="43" t="s">
        <v>204</v>
      </c>
      <c r="F49" s="10" t="s">
        <v>126</v>
      </c>
      <c r="G49" s="122" t="s">
        <v>202</v>
      </c>
      <c r="H49" s="184">
        <v>100</v>
      </c>
      <c r="I49" s="131">
        <f t="shared" ref="I49:R49" si="6">1155000/11</f>
        <v>105000</v>
      </c>
      <c r="J49" s="131">
        <f t="shared" si="6"/>
        <v>105000</v>
      </c>
      <c r="K49" s="131">
        <f t="shared" si="6"/>
        <v>105000</v>
      </c>
      <c r="L49" s="131">
        <f t="shared" si="6"/>
        <v>105000</v>
      </c>
      <c r="M49" s="131">
        <f t="shared" si="6"/>
        <v>105000</v>
      </c>
      <c r="N49" s="131">
        <f t="shared" si="6"/>
        <v>105000</v>
      </c>
      <c r="O49" s="131">
        <f t="shared" si="6"/>
        <v>105000</v>
      </c>
      <c r="P49" s="131">
        <f t="shared" si="6"/>
        <v>105000</v>
      </c>
      <c r="Q49" s="131">
        <f t="shared" si="6"/>
        <v>105000</v>
      </c>
      <c r="R49" s="131">
        <f t="shared" si="6"/>
        <v>105000</v>
      </c>
      <c r="S49" s="131">
        <f>1155000/11</f>
        <v>105000</v>
      </c>
      <c r="T49" s="127">
        <f t="shared" si="4"/>
        <v>1155000</v>
      </c>
    </row>
    <row r="50" spans="1:20" ht="36" x14ac:dyDescent="0.25">
      <c r="A50" s="110">
        <v>15</v>
      </c>
      <c r="B50" s="119"/>
      <c r="C50" s="112">
        <v>67715</v>
      </c>
      <c r="D50" s="190" t="s">
        <v>205</v>
      </c>
      <c r="E50" s="191" t="s">
        <v>206</v>
      </c>
      <c r="F50" s="10" t="s">
        <v>207</v>
      </c>
      <c r="G50" s="122" t="s">
        <v>208</v>
      </c>
      <c r="H50" s="184">
        <v>75</v>
      </c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>
        <v>103950</v>
      </c>
      <c r="T50" s="127">
        <f t="shared" si="4"/>
        <v>103950</v>
      </c>
    </row>
    <row r="51" spans="1:20" ht="24" x14ac:dyDescent="0.25">
      <c r="A51" s="118">
        <v>16</v>
      </c>
      <c r="B51" s="119"/>
      <c r="C51" s="120">
        <v>67716</v>
      </c>
      <c r="D51" s="190">
        <v>8574843399</v>
      </c>
      <c r="E51" s="191" t="s">
        <v>209</v>
      </c>
      <c r="F51" s="10" t="s">
        <v>207</v>
      </c>
      <c r="G51" s="122" t="s">
        <v>208</v>
      </c>
      <c r="H51" s="184">
        <v>75</v>
      </c>
      <c r="I51" s="129"/>
      <c r="J51" s="129"/>
      <c r="K51" s="129"/>
      <c r="L51" s="129"/>
      <c r="M51" s="129"/>
      <c r="N51" s="129"/>
      <c r="O51" s="159"/>
      <c r="P51" s="159"/>
      <c r="Q51" s="159"/>
      <c r="R51" s="159"/>
      <c r="S51" s="141">
        <v>103950</v>
      </c>
      <c r="T51" s="127">
        <f t="shared" si="4"/>
        <v>103950</v>
      </c>
    </row>
    <row r="52" spans="1:20" x14ac:dyDescent="0.25">
      <c r="A52" s="171"/>
      <c r="B52" s="172"/>
      <c r="C52" s="171"/>
      <c r="D52" s="173"/>
      <c r="E52" s="174"/>
      <c r="F52" s="175"/>
      <c r="G52" s="172"/>
      <c r="H52" s="176"/>
      <c r="I52" s="177">
        <f t="shared" ref="I52:T52" si="7">SUM(I36:I51)</f>
        <v>170100</v>
      </c>
      <c r="J52" s="177">
        <f t="shared" si="7"/>
        <v>170100</v>
      </c>
      <c r="K52" s="177">
        <f t="shared" si="7"/>
        <v>170100</v>
      </c>
      <c r="L52" s="177">
        <f t="shared" si="7"/>
        <v>170100</v>
      </c>
      <c r="M52" s="177">
        <f t="shared" si="7"/>
        <v>170100</v>
      </c>
      <c r="N52" s="177">
        <f t="shared" si="7"/>
        <v>308206</v>
      </c>
      <c r="O52" s="177">
        <f t="shared" si="7"/>
        <v>413206</v>
      </c>
      <c r="P52" s="177">
        <f t="shared" si="7"/>
        <v>413206</v>
      </c>
      <c r="Q52" s="177">
        <f t="shared" si="7"/>
        <v>628751</v>
      </c>
      <c r="R52" s="177">
        <f t="shared" si="7"/>
        <v>1150840</v>
      </c>
      <c r="S52" s="178">
        <f t="shared" si="7"/>
        <v>1954091</v>
      </c>
      <c r="T52" s="177">
        <f t="shared" si="7"/>
        <v>5718800</v>
      </c>
    </row>
    <row r="53" spans="1:20" x14ac:dyDescent="0.25">
      <c r="A53" s="261" t="s">
        <v>210</v>
      </c>
      <c r="B53" s="262"/>
      <c r="C53" s="262"/>
      <c r="D53" s="262"/>
      <c r="E53" s="263"/>
      <c r="F53" s="192"/>
      <c r="G53" s="192"/>
      <c r="H53" s="192"/>
      <c r="I53" s="193">
        <f>I52+I35</f>
        <v>170100</v>
      </c>
      <c r="J53" s="193">
        <f t="shared" ref="J53:T53" si="8">J52+J35</f>
        <v>170100</v>
      </c>
      <c r="K53" s="193">
        <f t="shared" si="8"/>
        <v>170100</v>
      </c>
      <c r="L53" s="193">
        <f t="shared" si="8"/>
        <v>196196</v>
      </c>
      <c r="M53" s="193">
        <f t="shared" si="8"/>
        <v>196196</v>
      </c>
      <c r="N53" s="193">
        <f t="shared" si="8"/>
        <v>625034</v>
      </c>
      <c r="O53" s="193">
        <f t="shared" si="8"/>
        <v>826233</v>
      </c>
      <c r="P53" s="193">
        <f t="shared" si="8"/>
        <v>935133</v>
      </c>
      <c r="Q53" s="193">
        <f t="shared" si="8"/>
        <v>1150678</v>
      </c>
      <c r="R53" s="193">
        <f t="shared" si="8"/>
        <v>2273183.5</v>
      </c>
      <c r="S53" s="193">
        <f t="shared" si="8"/>
        <v>4721672.5</v>
      </c>
      <c r="T53" s="193">
        <f t="shared" si="8"/>
        <v>11434626</v>
      </c>
    </row>
  </sheetData>
  <mergeCells count="25">
    <mergeCell ref="A53:E53"/>
    <mergeCell ref="M5:M6"/>
    <mergeCell ref="N5:N6"/>
    <mergeCell ref="O5:O6"/>
    <mergeCell ref="P5:P6"/>
    <mergeCell ref="G5:G6"/>
    <mergeCell ref="H5:H6"/>
    <mergeCell ref="I5:I6"/>
    <mergeCell ref="J5:J6"/>
    <mergeCell ref="K5:K6"/>
    <mergeCell ref="L5:L6"/>
    <mergeCell ref="A1:F1"/>
    <mergeCell ref="A2:E2"/>
    <mergeCell ref="A3:T3"/>
    <mergeCell ref="A4:T4"/>
    <mergeCell ref="A5:A6"/>
    <mergeCell ref="B5:B6"/>
    <mergeCell ref="C5:C6"/>
    <mergeCell ref="D5:D6"/>
    <mergeCell ref="E5:E6"/>
    <mergeCell ref="F5:F6"/>
    <mergeCell ref="S5:S6"/>
    <mergeCell ref="T5:T6"/>
    <mergeCell ref="Q5:Q6"/>
    <mergeCell ref="R5:R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5"/>
  <sheetViews>
    <sheetView tabSelected="1" topLeftCell="G1" zoomScaleNormal="100" workbookViewId="0">
      <selection activeCell="Q8" sqref="Q8"/>
    </sheetView>
  </sheetViews>
  <sheetFormatPr defaultRowHeight="15.75" x14ac:dyDescent="0.25"/>
  <cols>
    <col min="6" max="6" width="29.875" customWidth="1"/>
  </cols>
  <sheetData>
    <row r="1" spans="1:24" ht="21" x14ac:dyDescent="0.25">
      <c r="A1" s="194" t="s">
        <v>3</v>
      </c>
      <c r="B1" s="195" t="s">
        <v>498</v>
      </c>
      <c r="C1" s="195" t="s">
        <v>499</v>
      </c>
      <c r="D1" s="266" t="s">
        <v>504</v>
      </c>
      <c r="E1" s="265" t="s">
        <v>501</v>
      </c>
      <c r="F1" s="265" t="s">
        <v>502</v>
      </c>
      <c r="G1" s="265" t="s">
        <v>503</v>
      </c>
      <c r="H1" s="266" t="s">
        <v>506</v>
      </c>
      <c r="I1" s="197" t="s">
        <v>473</v>
      </c>
      <c r="J1" s="196" t="s">
        <v>11</v>
      </c>
      <c r="K1" s="196" t="s">
        <v>12</v>
      </c>
      <c r="L1" s="196" t="s">
        <v>13</v>
      </c>
      <c r="M1" s="196" t="s">
        <v>14</v>
      </c>
      <c r="N1" s="196" t="s">
        <v>15</v>
      </c>
      <c r="O1" s="196" t="s">
        <v>16</v>
      </c>
      <c r="P1" s="196" t="s">
        <v>17</v>
      </c>
      <c r="Q1" s="196" t="s">
        <v>18</v>
      </c>
      <c r="R1" s="196" t="s">
        <v>19</v>
      </c>
      <c r="S1" s="196" t="s">
        <v>116</v>
      </c>
      <c r="T1" s="196" t="s">
        <v>117</v>
      </c>
      <c r="U1" s="266" t="s">
        <v>505</v>
      </c>
      <c r="V1" s="230" t="s">
        <v>495</v>
      </c>
      <c r="W1" s="230" t="s">
        <v>496</v>
      </c>
      <c r="X1" s="230" t="s">
        <v>497</v>
      </c>
    </row>
    <row r="2" spans="1:24" x14ac:dyDescent="0.25">
      <c r="A2" s="110">
        <v>1</v>
      </c>
      <c r="B2" s="111">
        <v>1355</v>
      </c>
      <c r="C2" s="111" t="s">
        <v>500</v>
      </c>
      <c r="D2" s="112">
        <v>67717</v>
      </c>
      <c r="E2" s="113">
        <v>8445679937</v>
      </c>
      <c r="F2" s="114" t="s">
        <v>211</v>
      </c>
      <c r="G2" s="115" t="s">
        <v>212</v>
      </c>
      <c r="H2" s="115" t="s">
        <v>213</v>
      </c>
      <c r="I2" s="115">
        <v>262.39999999999998</v>
      </c>
      <c r="J2" s="115"/>
      <c r="K2" s="115"/>
      <c r="L2" s="115"/>
      <c r="M2" s="115"/>
      <c r="N2" s="116">
        <f t="shared" ref="N2:S2" si="0">2507232/7</f>
        <v>358176</v>
      </c>
      <c r="O2" s="116">
        <f t="shared" si="0"/>
        <v>358176</v>
      </c>
      <c r="P2" s="116">
        <f t="shared" si="0"/>
        <v>358176</v>
      </c>
      <c r="Q2" s="116">
        <f t="shared" si="0"/>
        <v>358176</v>
      </c>
      <c r="R2" s="116">
        <f t="shared" si="0"/>
        <v>358176</v>
      </c>
      <c r="S2" s="116">
        <f t="shared" si="0"/>
        <v>358176</v>
      </c>
      <c r="T2" s="116">
        <f>2507232/7</f>
        <v>358176</v>
      </c>
      <c r="U2" s="127">
        <f>SUM(J2:T2)</f>
        <v>2507232</v>
      </c>
    </row>
    <row r="3" spans="1:24" x14ac:dyDescent="0.25">
      <c r="A3" s="118">
        <v>2</v>
      </c>
      <c r="B3" s="111">
        <v>1355</v>
      </c>
      <c r="C3" s="111" t="s">
        <v>500</v>
      </c>
      <c r="D3" s="120">
        <v>67718</v>
      </c>
      <c r="E3" s="43" t="s">
        <v>214</v>
      </c>
      <c r="F3" s="43" t="s">
        <v>215</v>
      </c>
      <c r="G3" s="115" t="s">
        <v>216</v>
      </c>
      <c r="H3" s="115" t="s">
        <v>213</v>
      </c>
      <c r="I3" s="123">
        <v>80</v>
      </c>
      <c r="J3" s="124"/>
      <c r="K3" s="124"/>
      <c r="L3" s="124"/>
      <c r="M3" s="124"/>
      <c r="N3" s="124"/>
      <c r="O3" s="125"/>
      <c r="P3" s="125"/>
      <c r="Q3" s="125"/>
      <c r="R3" s="125"/>
      <c r="S3" s="126">
        <f>51996/2</f>
        <v>25998</v>
      </c>
      <c r="T3" s="126">
        <f>51996/2</f>
        <v>25998</v>
      </c>
      <c r="U3" s="127">
        <f t="shared" ref="U3:U35" si="1">SUM(J3:T3)</f>
        <v>51996</v>
      </c>
    </row>
    <row r="4" spans="1:24" x14ac:dyDescent="0.25">
      <c r="A4" s="110">
        <v>3</v>
      </c>
      <c r="B4" s="111">
        <v>1355</v>
      </c>
      <c r="C4" s="111" t="s">
        <v>500</v>
      </c>
      <c r="D4" s="112">
        <v>67719</v>
      </c>
      <c r="E4" s="198">
        <v>3500178117</v>
      </c>
      <c r="F4" s="199" t="s">
        <v>217</v>
      </c>
      <c r="G4" s="115" t="s">
        <v>218</v>
      </c>
      <c r="H4" s="200" t="s">
        <v>219</v>
      </c>
      <c r="I4" s="128">
        <v>150</v>
      </c>
      <c r="J4" s="129"/>
      <c r="K4" s="129"/>
      <c r="L4" s="129"/>
      <c r="M4" s="129"/>
      <c r="N4" s="129"/>
      <c r="O4" s="129"/>
      <c r="P4" s="129"/>
      <c r="Q4" s="129"/>
      <c r="R4" s="127">
        <f>623700/3</f>
        <v>207900</v>
      </c>
      <c r="S4" s="127">
        <f>623700/3</f>
        <v>207900</v>
      </c>
      <c r="T4" s="127">
        <f>623700/3</f>
        <v>207900</v>
      </c>
      <c r="U4" s="127">
        <f t="shared" si="1"/>
        <v>623700</v>
      </c>
    </row>
    <row r="5" spans="1:24" x14ac:dyDescent="0.25">
      <c r="A5" s="118">
        <v>4</v>
      </c>
      <c r="B5" s="111">
        <v>1355</v>
      </c>
      <c r="C5" s="111" t="s">
        <v>500</v>
      </c>
      <c r="D5" s="120">
        <v>67720</v>
      </c>
      <c r="E5" s="42" t="s">
        <v>220</v>
      </c>
      <c r="F5" s="42" t="s">
        <v>221</v>
      </c>
      <c r="G5" s="115" t="s">
        <v>222</v>
      </c>
      <c r="H5" s="200" t="s">
        <v>219</v>
      </c>
      <c r="I5" s="128">
        <v>150</v>
      </c>
      <c r="J5" s="201"/>
      <c r="K5" s="201"/>
      <c r="L5" s="201"/>
      <c r="M5" s="201"/>
      <c r="N5" s="201"/>
      <c r="O5" s="201"/>
      <c r="P5" s="201"/>
      <c r="Q5" s="202">
        <f t="shared" ref="Q5:S6" si="2">207900/4</f>
        <v>51975</v>
      </c>
      <c r="R5" s="202">
        <f t="shared" si="2"/>
        <v>51975</v>
      </c>
      <c r="S5" s="202">
        <f t="shared" si="2"/>
        <v>51975</v>
      </c>
      <c r="T5" s="202">
        <f>207900/4</f>
        <v>51975</v>
      </c>
      <c r="U5" s="127">
        <f t="shared" si="1"/>
        <v>207900</v>
      </c>
    </row>
    <row r="6" spans="1:24" x14ac:dyDescent="0.25">
      <c r="A6" s="110">
        <v>5</v>
      </c>
      <c r="B6" s="111">
        <v>1355</v>
      </c>
      <c r="C6" s="111" t="s">
        <v>500</v>
      </c>
      <c r="D6" s="112">
        <v>67721</v>
      </c>
      <c r="E6" s="42" t="s">
        <v>223</v>
      </c>
      <c r="F6" s="42" t="s">
        <v>224</v>
      </c>
      <c r="G6" s="115" t="s">
        <v>222</v>
      </c>
      <c r="H6" s="200" t="s">
        <v>219</v>
      </c>
      <c r="I6" s="132" t="s">
        <v>225</v>
      </c>
      <c r="J6" s="133"/>
      <c r="K6" s="133"/>
      <c r="L6" s="133"/>
      <c r="M6" s="133"/>
      <c r="N6" s="133"/>
      <c r="O6" s="133"/>
      <c r="P6" s="133"/>
      <c r="Q6" s="202">
        <f t="shared" si="2"/>
        <v>51975</v>
      </c>
      <c r="R6" s="202">
        <f t="shared" si="2"/>
        <v>51975</v>
      </c>
      <c r="S6" s="202">
        <f t="shared" si="2"/>
        <v>51975</v>
      </c>
      <c r="T6" s="202">
        <f>207900/4</f>
        <v>51975</v>
      </c>
      <c r="U6" s="127">
        <f t="shared" si="1"/>
        <v>207900</v>
      </c>
    </row>
    <row r="7" spans="1:24" x14ac:dyDescent="0.25">
      <c r="A7" s="118">
        <v>6</v>
      </c>
      <c r="B7" s="111">
        <v>1355</v>
      </c>
      <c r="C7" s="111" t="s">
        <v>500</v>
      </c>
      <c r="D7" s="120">
        <v>67722</v>
      </c>
      <c r="E7" s="43">
        <v>303488097</v>
      </c>
      <c r="F7" s="43" t="s">
        <v>226</v>
      </c>
      <c r="G7" s="115" t="s">
        <v>227</v>
      </c>
      <c r="H7" s="200" t="s">
        <v>219</v>
      </c>
      <c r="I7" s="134" t="s">
        <v>228</v>
      </c>
      <c r="J7" s="135"/>
      <c r="K7" s="135"/>
      <c r="L7" s="135"/>
      <c r="M7" s="135"/>
      <c r="N7" s="135"/>
      <c r="O7" s="135"/>
      <c r="P7" s="135"/>
      <c r="Q7" s="135"/>
      <c r="R7" s="201"/>
      <c r="S7" s="202">
        <f>255420/2</f>
        <v>127710</v>
      </c>
      <c r="T7" s="202">
        <f>255420/2</f>
        <v>127710</v>
      </c>
      <c r="U7" s="127">
        <f t="shared" si="1"/>
        <v>255420</v>
      </c>
    </row>
    <row r="8" spans="1:24" x14ac:dyDescent="0.25">
      <c r="A8" s="110">
        <v>7</v>
      </c>
      <c r="B8" s="111">
        <v>1355</v>
      </c>
      <c r="C8" s="111" t="s">
        <v>500</v>
      </c>
      <c r="D8" s="112">
        <v>67723</v>
      </c>
      <c r="E8" s="198">
        <v>3500178117</v>
      </c>
      <c r="F8" s="199" t="s">
        <v>229</v>
      </c>
      <c r="G8" s="115" t="s">
        <v>218</v>
      </c>
      <c r="H8" s="200" t="s">
        <v>219</v>
      </c>
      <c r="I8" s="134" t="s">
        <v>225</v>
      </c>
      <c r="J8" s="135"/>
      <c r="K8" s="135"/>
      <c r="L8" s="135"/>
      <c r="M8" s="135"/>
      <c r="N8" s="135"/>
      <c r="O8" s="135"/>
      <c r="P8" s="135"/>
      <c r="Q8" s="135"/>
      <c r="R8" s="136">
        <f>623700/3</f>
        <v>207900</v>
      </c>
      <c r="S8" s="136">
        <f>623700/3</f>
        <v>207900</v>
      </c>
      <c r="T8" s="136">
        <f>623700/3</f>
        <v>207900</v>
      </c>
      <c r="U8" s="127">
        <f t="shared" si="1"/>
        <v>623700</v>
      </c>
    </row>
    <row r="9" spans="1:24" x14ac:dyDescent="0.25">
      <c r="A9" s="118">
        <v>8</v>
      </c>
      <c r="B9" s="111">
        <v>1355</v>
      </c>
      <c r="C9" s="111" t="s">
        <v>500</v>
      </c>
      <c r="D9" s="120">
        <v>67724</v>
      </c>
      <c r="E9" s="121">
        <v>8223921182</v>
      </c>
      <c r="F9" s="121" t="s">
        <v>230</v>
      </c>
      <c r="G9" s="115" t="s">
        <v>231</v>
      </c>
      <c r="H9" s="200" t="s">
        <v>219</v>
      </c>
      <c r="I9" s="137" t="s">
        <v>232</v>
      </c>
      <c r="J9" s="138"/>
      <c r="K9" s="138"/>
      <c r="L9" s="138"/>
      <c r="M9" s="138"/>
      <c r="N9" s="138"/>
      <c r="O9" s="138"/>
      <c r="P9" s="138"/>
      <c r="Q9" s="138"/>
      <c r="R9" s="139">
        <f>198396/3</f>
        <v>66132</v>
      </c>
      <c r="S9" s="139">
        <f>198396/3</f>
        <v>66132</v>
      </c>
      <c r="T9" s="139">
        <f>198396/3</f>
        <v>66132</v>
      </c>
      <c r="U9" s="127">
        <f t="shared" si="1"/>
        <v>198396</v>
      </c>
    </row>
    <row r="10" spans="1:24" x14ac:dyDescent="0.25">
      <c r="A10" s="110">
        <v>9</v>
      </c>
      <c r="B10" s="111">
        <v>1355</v>
      </c>
      <c r="C10" s="111" t="s">
        <v>500</v>
      </c>
      <c r="D10" s="112">
        <v>67725</v>
      </c>
      <c r="E10" s="43">
        <v>8513297706</v>
      </c>
      <c r="F10" s="140" t="s">
        <v>474</v>
      </c>
      <c r="G10" s="115" t="s">
        <v>233</v>
      </c>
      <c r="H10" s="200" t="s">
        <v>219</v>
      </c>
      <c r="I10" s="134" t="s">
        <v>234</v>
      </c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>
        <v>112266</v>
      </c>
      <c r="U10" s="127">
        <f t="shared" si="1"/>
        <v>112266</v>
      </c>
    </row>
    <row r="11" spans="1:24" x14ac:dyDescent="0.25">
      <c r="A11" s="118">
        <v>10</v>
      </c>
      <c r="B11" s="111">
        <v>1355</v>
      </c>
      <c r="C11" s="111" t="s">
        <v>500</v>
      </c>
      <c r="D11" s="120">
        <v>67726</v>
      </c>
      <c r="E11" s="43">
        <v>3502269578</v>
      </c>
      <c r="F11" s="140" t="s">
        <v>235</v>
      </c>
      <c r="G11" s="115" t="s">
        <v>218</v>
      </c>
      <c r="H11" s="200" t="s">
        <v>236</v>
      </c>
      <c r="I11" s="142" t="s">
        <v>237</v>
      </c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1">
        <v>208740</v>
      </c>
      <c r="U11" s="127">
        <f t="shared" si="1"/>
        <v>208740</v>
      </c>
    </row>
    <row r="12" spans="1:24" x14ac:dyDescent="0.25">
      <c r="A12" s="110">
        <v>11</v>
      </c>
      <c r="B12" s="111">
        <v>1355</v>
      </c>
      <c r="C12" s="111" t="s">
        <v>500</v>
      </c>
      <c r="D12" s="112">
        <v>67727</v>
      </c>
      <c r="E12" s="43">
        <v>8210694197</v>
      </c>
      <c r="F12" s="43" t="s">
        <v>238</v>
      </c>
      <c r="G12" s="115" t="s">
        <v>239</v>
      </c>
      <c r="H12" s="200" t="s">
        <v>236</v>
      </c>
      <c r="I12" s="142" t="s">
        <v>240</v>
      </c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5">
        <v>135630</v>
      </c>
      <c r="U12" s="127">
        <f t="shared" si="1"/>
        <v>135630</v>
      </c>
    </row>
    <row r="13" spans="1:24" x14ac:dyDescent="0.25">
      <c r="A13" s="118">
        <v>12</v>
      </c>
      <c r="B13" s="111">
        <v>1355</v>
      </c>
      <c r="C13" s="111" t="s">
        <v>500</v>
      </c>
      <c r="D13" s="120">
        <v>67728</v>
      </c>
      <c r="E13" s="198">
        <v>81495833784</v>
      </c>
      <c r="F13" s="43" t="s">
        <v>475</v>
      </c>
      <c r="G13" s="115" t="s">
        <v>227</v>
      </c>
      <c r="H13" s="200" t="s">
        <v>236</v>
      </c>
      <c r="I13" s="134" t="s">
        <v>241</v>
      </c>
      <c r="J13" s="135"/>
      <c r="K13" s="135"/>
      <c r="L13" s="147"/>
      <c r="M13" s="147"/>
      <c r="N13" s="147"/>
      <c r="O13" s="147"/>
      <c r="P13" s="147"/>
      <c r="Q13" s="147"/>
      <c r="R13" s="127"/>
      <c r="S13" s="127"/>
      <c r="T13" s="127">
        <v>74760</v>
      </c>
      <c r="U13" s="127">
        <f t="shared" si="1"/>
        <v>74760</v>
      </c>
    </row>
    <row r="14" spans="1:24" x14ac:dyDescent="0.25">
      <c r="A14" s="110">
        <v>13</v>
      </c>
      <c r="B14" s="111">
        <v>1355</v>
      </c>
      <c r="C14" s="111" t="s">
        <v>500</v>
      </c>
      <c r="D14" s="112">
        <v>67729</v>
      </c>
      <c r="E14" s="43">
        <v>3501982176</v>
      </c>
      <c r="F14" s="43" t="s">
        <v>62</v>
      </c>
      <c r="G14" s="115" t="s">
        <v>242</v>
      </c>
      <c r="H14" s="200" t="s">
        <v>236</v>
      </c>
      <c r="I14" s="203" t="s">
        <v>174</v>
      </c>
      <c r="J14" s="144"/>
      <c r="K14" s="144"/>
      <c r="L14" s="144"/>
      <c r="M14" s="144"/>
      <c r="N14" s="144"/>
      <c r="O14" s="144"/>
      <c r="P14" s="144"/>
      <c r="Q14" s="144"/>
      <c r="R14" s="144"/>
      <c r="S14" s="204"/>
      <c r="T14" s="205">
        <v>53460</v>
      </c>
      <c r="U14" s="127">
        <f t="shared" si="1"/>
        <v>53460</v>
      </c>
    </row>
    <row r="15" spans="1:24" x14ac:dyDescent="0.25">
      <c r="A15" s="118">
        <v>14</v>
      </c>
      <c r="B15" s="111">
        <v>1355</v>
      </c>
      <c r="C15" s="111" t="s">
        <v>500</v>
      </c>
      <c r="D15" s="120">
        <v>67730</v>
      </c>
      <c r="E15" s="43">
        <v>3501553610</v>
      </c>
      <c r="F15" s="43" t="s">
        <v>243</v>
      </c>
      <c r="G15" s="115" t="s">
        <v>244</v>
      </c>
      <c r="H15" s="200" t="s">
        <v>236</v>
      </c>
      <c r="I15" s="134" t="s">
        <v>172</v>
      </c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2">
        <v>34650</v>
      </c>
      <c r="U15" s="127">
        <f t="shared" si="1"/>
        <v>34650</v>
      </c>
    </row>
    <row r="16" spans="1:24" x14ac:dyDescent="0.25">
      <c r="A16" s="110">
        <v>15</v>
      </c>
      <c r="B16" s="111">
        <v>1355</v>
      </c>
      <c r="C16" s="111" t="s">
        <v>500</v>
      </c>
      <c r="D16" s="112">
        <v>67731</v>
      </c>
      <c r="E16" s="43">
        <v>8149316764</v>
      </c>
      <c r="F16" s="43" t="s">
        <v>245</v>
      </c>
      <c r="G16" s="115" t="s">
        <v>246</v>
      </c>
      <c r="H16" s="200" t="s">
        <v>236</v>
      </c>
      <c r="I16" s="134" t="s">
        <v>247</v>
      </c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>
        <v>107762</v>
      </c>
      <c r="U16" s="127">
        <f t="shared" si="1"/>
        <v>107762</v>
      </c>
    </row>
    <row r="17" spans="1:21" x14ac:dyDescent="0.25">
      <c r="A17" s="118">
        <v>16</v>
      </c>
      <c r="B17" s="111">
        <v>1355</v>
      </c>
      <c r="C17" s="111" t="s">
        <v>500</v>
      </c>
      <c r="D17" s="120">
        <v>67732</v>
      </c>
      <c r="E17" s="121">
        <v>8223921182</v>
      </c>
      <c r="F17" s="121" t="s">
        <v>248</v>
      </c>
      <c r="G17" s="115" t="s">
        <v>231</v>
      </c>
      <c r="H17" s="200" t="s">
        <v>236</v>
      </c>
      <c r="I17" s="134" t="s">
        <v>249</v>
      </c>
      <c r="J17" s="129"/>
      <c r="K17" s="129"/>
      <c r="L17" s="129"/>
      <c r="M17" s="129"/>
      <c r="N17" s="129"/>
      <c r="O17" s="129">
        <v>134400</v>
      </c>
      <c r="P17" s="129">
        <v>134400</v>
      </c>
      <c r="Q17" s="129">
        <v>134400</v>
      </c>
      <c r="R17" s="159">
        <v>142464</v>
      </c>
      <c r="S17" s="159">
        <v>142464</v>
      </c>
      <c r="T17" s="159">
        <v>142464</v>
      </c>
      <c r="U17" s="127">
        <f t="shared" si="1"/>
        <v>830592</v>
      </c>
    </row>
    <row r="18" spans="1:21" x14ac:dyDescent="0.25">
      <c r="A18" s="110">
        <v>17</v>
      </c>
      <c r="B18" s="111">
        <v>1355</v>
      </c>
      <c r="C18" s="111" t="s">
        <v>500</v>
      </c>
      <c r="D18" s="112">
        <v>67733</v>
      </c>
      <c r="E18" s="43">
        <v>3502078735</v>
      </c>
      <c r="F18" s="43" t="s">
        <v>250</v>
      </c>
      <c r="G18" s="115" t="s">
        <v>233</v>
      </c>
      <c r="H18" s="200" t="s">
        <v>236</v>
      </c>
      <c r="I18" s="161" t="s">
        <v>251</v>
      </c>
      <c r="J18" s="129"/>
      <c r="K18" s="129"/>
      <c r="L18" s="129"/>
      <c r="M18" s="129"/>
      <c r="N18" s="129"/>
      <c r="O18" s="129"/>
      <c r="P18" s="159"/>
      <c r="Q18" s="159"/>
      <c r="R18" s="159"/>
      <c r="S18" s="160">
        <f>276192/2</f>
        <v>138096</v>
      </c>
      <c r="T18" s="160">
        <f>276192/2</f>
        <v>138096</v>
      </c>
      <c r="U18" s="127">
        <f t="shared" si="1"/>
        <v>276192</v>
      </c>
    </row>
    <row r="19" spans="1:21" x14ac:dyDescent="0.25">
      <c r="A19" s="118">
        <v>18</v>
      </c>
      <c r="B19" s="111">
        <v>1355</v>
      </c>
      <c r="C19" s="111" t="s">
        <v>500</v>
      </c>
      <c r="D19" s="120">
        <v>67734</v>
      </c>
      <c r="E19" s="43">
        <v>8558829051</v>
      </c>
      <c r="F19" s="43" t="s">
        <v>252</v>
      </c>
      <c r="G19" s="115" t="s">
        <v>244</v>
      </c>
      <c r="H19" s="200" t="s">
        <v>236</v>
      </c>
      <c r="I19" s="161" t="s">
        <v>253</v>
      </c>
      <c r="J19" s="129"/>
      <c r="K19" s="129"/>
      <c r="L19" s="129"/>
      <c r="M19" s="129"/>
      <c r="N19" s="129"/>
      <c r="O19" s="129"/>
      <c r="P19" s="129"/>
      <c r="Q19" s="159"/>
      <c r="R19" s="160">
        <f>190140/3</f>
        <v>63380</v>
      </c>
      <c r="S19" s="160">
        <f>190140/3</f>
        <v>63380</v>
      </c>
      <c r="T19" s="160">
        <f>190140/3</f>
        <v>63380</v>
      </c>
      <c r="U19" s="127">
        <f t="shared" si="1"/>
        <v>190140</v>
      </c>
    </row>
    <row r="20" spans="1:21" x14ac:dyDescent="0.25">
      <c r="A20" s="110">
        <v>19</v>
      </c>
      <c r="B20" s="111">
        <v>1355</v>
      </c>
      <c r="C20" s="111" t="s">
        <v>500</v>
      </c>
      <c r="D20" s="112">
        <v>67735</v>
      </c>
      <c r="E20" s="43">
        <v>8558829051</v>
      </c>
      <c r="F20" s="43" t="s">
        <v>254</v>
      </c>
      <c r="G20" s="115" t="s">
        <v>244</v>
      </c>
      <c r="H20" s="200" t="s">
        <v>236</v>
      </c>
      <c r="I20" s="161" t="s">
        <v>174</v>
      </c>
      <c r="J20" s="129"/>
      <c r="K20" s="129"/>
      <c r="L20" s="129"/>
      <c r="M20" s="129"/>
      <c r="N20" s="129"/>
      <c r="O20" s="129"/>
      <c r="P20" s="159"/>
      <c r="Q20" s="159"/>
      <c r="R20" s="159"/>
      <c r="S20" s="159"/>
      <c r="T20" s="163">
        <v>53460</v>
      </c>
      <c r="U20" s="127">
        <f t="shared" si="1"/>
        <v>53460</v>
      </c>
    </row>
    <row r="21" spans="1:21" x14ac:dyDescent="0.25">
      <c r="A21" s="118">
        <v>20</v>
      </c>
      <c r="B21" s="111">
        <v>1355</v>
      </c>
      <c r="C21" s="111" t="s">
        <v>500</v>
      </c>
      <c r="D21" s="120">
        <v>67736</v>
      </c>
      <c r="E21" s="43">
        <v>8397989358</v>
      </c>
      <c r="F21" s="43" t="s">
        <v>255</v>
      </c>
      <c r="G21" s="115" t="s">
        <v>256</v>
      </c>
      <c r="H21" s="200" t="s">
        <v>257</v>
      </c>
      <c r="I21" s="161" t="s">
        <v>258</v>
      </c>
      <c r="J21" s="129"/>
      <c r="K21" s="129"/>
      <c r="L21" s="129"/>
      <c r="M21" s="129"/>
      <c r="N21" s="129"/>
      <c r="O21" s="129"/>
      <c r="P21" s="159"/>
      <c r="Q21" s="159"/>
      <c r="R21" s="159"/>
      <c r="S21" s="159"/>
      <c r="T21" s="163">
        <v>130562</v>
      </c>
      <c r="U21" s="127">
        <f t="shared" si="1"/>
        <v>130562</v>
      </c>
    </row>
    <row r="22" spans="1:21" x14ac:dyDescent="0.25">
      <c r="A22" s="110">
        <v>21</v>
      </c>
      <c r="B22" s="111">
        <v>1355</v>
      </c>
      <c r="C22" s="111" t="s">
        <v>500</v>
      </c>
      <c r="D22" s="112">
        <v>67737</v>
      </c>
      <c r="E22" s="43">
        <v>8587161516</v>
      </c>
      <c r="F22" s="43" t="s">
        <v>259</v>
      </c>
      <c r="G22" s="115" t="s">
        <v>260</v>
      </c>
      <c r="H22" s="200" t="s">
        <v>257</v>
      </c>
      <c r="I22" s="161" t="s">
        <v>261</v>
      </c>
      <c r="J22" s="129"/>
      <c r="K22" s="129"/>
      <c r="L22" s="129"/>
      <c r="M22" s="129"/>
      <c r="N22" s="129"/>
      <c r="O22" s="129"/>
      <c r="P22" s="159"/>
      <c r="Q22" s="159"/>
      <c r="R22" s="160">
        <f>94698/3</f>
        <v>31566</v>
      </c>
      <c r="S22" s="160">
        <f>94698/3</f>
        <v>31566</v>
      </c>
      <c r="T22" s="160">
        <f>94698/3</f>
        <v>31566</v>
      </c>
      <c r="U22" s="127">
        <f t="shared" si="1"/>
        <v>94698</v>
      </c>
    </row>
    <row r="23" spans="1:21" x14ac:dyDescent="0.25">
      <c r="A23" s="118">
        <v>22</v>
      </c>
      <c r="B23" s="111">
        <v>1355</v>
      </c>
      <c r="C23" s="111" t="s">
        <v>500</v>
      </c>
      <c r="D23" s="120">
        <v>67738</v>
      </c>
      <c r="E23" s="43">
        <v>3500175081</v>
      </c>
      <c r="F23" s="43" t="s">
        <v>262</v>
      </c>
      <c r="G23" s="115" t="s">
        <v>233</v>
      </c>
      <c r="H23" s="200" t="s">
        <v>257</v>
      </c>
      <c r="I23" s="170" t="s">
        <v>263</v>
      </c>
      <c r="J23" s="129"/>
      <c r="K23" s="129"/>
      <c r="L23" s="129"/>
      <c r="M23" s="129"/>
      <c r="N23" s="129"/>
      <c r="O23" s="159"/>
      <c r="P23" s="159"/>
      <c r="Q23" s="159"/>
      <c r="R23" s="159"/>
      <c r="S23" s="159"/>
      <c r="T23" s="160">
        <v>113022</v>
      </c>
      <c r="U23" s="127">
        <f t="shared" si="1"/>
        <v>113022</v>
      </c>
    </row>
    <row r="24" spans="1:21" x14ac:dyDescent="0.25">
      <c r="A24" s="110">
        <v>23</v>
      </c>
      <c r="B24" s="111">
        <v>1355</v>
      </c>
      <c r="C24" s="111" t="s">
        <v>500</v>
      </c>
      <c r="D24" s="112">
        <v>67739</v>
      </c>
      <c r="E24" s="206" t="s">
        <v>264</v>
      </c>
      <c r="F24" s="42" t="s">
        <v>265</v>
      </c>
      <c r="G24" s="115" t="s">
        <v>266</v>
      </c>
      <c r="H24" s="200" t="s">
        <v>267</v>
      </c>
      <c r="I24" s="161" t="s">
        <v>268</v>
      </c>
      <c r="J24" s="129"/>
      <c r="K24" s="129"/>
      <c r="L24" s="129"/>
      <c r="M24" s="129"/>
      <c r="N24" s="129"/>
      <c r="O24" s="129"/>
      <c r="P24" s="159"/>
      <c r="Q24" s="159"/>
      <c r="R24" s="159"/>
      <c r="S24" s="160">
        <f>242966/2</f>
        <v>121483</v>
      </c>
      <c r="T24" s="160">
        <f>242966/2</f>
        <v>121483</v>
      </c>
      <c r="U24" s="127">
        <f t="shared" si="1"/>
        <v>242966</v>
      </c>
    </row>
    <row r="25" spans="1:21" x14ac:dyDescent="0.25">
      <c r="A25" s="118">
        <v>24</v>
      </c>
      <c r="B25" s="111">
        <v>1355</v>
      </c>
      <c r="C25" s="111" t="s">
        <v>500</v>
      </c>
      <c r="D25" s="120">
        <v>67740</v>
      </c>
      <c r="E25" s="207">
        <v>8456853425</v>
      </c>
      <c r="F25" s="208" t="s">
        <v>476</v>
      </c>
      <c r="G25" s="115" t="s">
        <v>269</v>
      </c>
      <c r="H25" s="200" t="s">
        <v>267</v>
      </c>
      <c r="I25" s="161" t="s">
        <v>270</v>
      </c>
      <c r="J25" s="129"/>
      <c r="K25" s="129"/>
      <c r="L25" s="129"/>
      <c r="M25" s="129"/>
      <c r="N25" s="129"/>
      <c r="O25" s="129"/>
      <c r="P25" s="159"/>
      <c r="Q25" s="159"/>
      <c r="R25" s="159"/>
      <c r="S25" s="159"/>
      <c r="T25" s="160">
        <v>97891</v>
      </c>
      <c r="U25" s="127">
        <f t="shared" si="1"/>
        <v>97891</v>
      </c>
    </row>
    <row r="26" spans="1:21" x14ac:dyDescent="0.25">
      <c r="A26" s="110">
        <v>25</v>
      </c>
      <c r="B26" s="111">
        <v>1355</v>
      </c>
      <c r="C26" s="111" t="s">
        <v>500</v>
      </c>
      <c r="D26" s="112">
        <v>67741</v>
      </c>
      <c r="E26" s="43" t="s">
        <v>271</v>
      </c>
      <c r="F26" s="43" t="s">
        <v>272</v>
      </c>
      <c r="G26" s="115" t="s">
        <v>273</v>
      </c>
      <c r="H26" s="200" t="s">
        <v>274</v>
      </c>
      <c r="I26" s="142" t="s">
        <v>275</v>
      </c>
      <c r="J26" s="129"/>
      <c r="K26" s="129"/>
      <c r="L26" s="129"/>
      <c r="M26" s="129"/>
      <c r="N26" s="129"/>
      <c r="O26" s="129"/>
      <c r="P26" s="159"/>
      <c r="Q26" s="159"/>
      <c r="R26" s="159"/>
      <c r="S26" s="159"/>
      <c r="T26" s="160">
        <v>136679</v>
      </c>
      <c r="U26" s="127">
        <f t="shared" si="1"/>
        <v>136679</v>
      </c>
    </row>
    <row r="27" spans="1:21" x14ac:dyDescent="0.25">
      <c r="A27" s="118">
        <v>26</v>
      </c>
      <c r="B27" s="111">
        <v>1355</v>
      </c>
      <c r="C27" s="111" t="s">
        <v>500</v>
      </c>
      <c r="D27" s="120">
        <v>67742</v>
      </c>
      <c r="E27" s="43">
        <v>805494374</v>
      </c>
      <c r="F27" s="43" t="s">
        <v>276</v>
      </c>
      <c r="G27" s="115" t="s">
        <v>277</v>
      </c>
      <c r="H27" s="200" t="s">
        <v>274</v>
      </c>
      <c r="I27" s="161" t="s">
        <v>278</v>
      </c>
      <c r="J27" s="129"/>
      <c r="K27" s="129"/>
      <c r="L27" s="129"/>
      <c r="M27" s="129"/>
      <c r="N27" s="129"/>
      <c r="O27" s="129"/>
      <c r="P27" s="159"/>
      <c r="Q27" s="159"/>
      <c r="R27" s="159"/>
      <c r="S27" s="159"/>
      <c r="T27" s="160">
        <v>78004</v>
      </c>
      <c r="U27" s="127">
        <f t="shared" si="1"/>
        <v>78004</v>
      </c>
    </row>
    <row r="28" spans="1:21" x14ac:dyDescent="0.25">
      <c r="A28" s="110">
        <v>27</v>
      </c>
      <c r="B28" s="111">
        <v>1355</v>
      </c>
      <c r="C28" s="111" t="s">
        <v>500</v>
      </c>
      <c r="D28" s="112">
        <v>67743</v>
      </c>
      <c r="E28" s="43">
        <v>3501112341</v>
      </c>
      <c r="F28" s="43" t="s">
        <v>279</v>
      </c>
      <c r="G28" s="115" t="s">
        <v>256</v>
      </c>
      <c r="H28" s="200" t="s">
        <v>274</v>
      </c>
      <c r="I28" s="161" t="s">
        <v>280</v>
      </c>
      <c r="J28" s="129"/>
      <c r="K28" s="129"/>
      <c r="L28" s="129"/>
      <c r="M28" s="129"/>
      <c r="N28" s="129"/>
      <c r="O28" s="129"/>
      <c r="P28" s="160">
        <f>764190/5</f>
        <v>152838</v>
      </c>
      <c r="Q28" s="160">
        <f>764190/5</f>
        <v>152838</v>
      </c>
      <c r="R28" s="160">
        <f>764190/5</f>
        <v>152838</v>
      </c>
      <c r="S28" s="160">
        <f>764190/5</f>
        <v>152838</v>
      </c>
      <c r="T28" s="160">
        <f>764190/5</f>
        <v>152838</v>
      </c>
      <c r="U28" s="127">
        <f t="shared" si="1"/>
        <v>764190</v>
      </c>
    </row>
    <row r="29" spans="1:21" x14ac:dyDescent="0.25">
      <c r="A29" s="118">
        <v>28</v>
      </c>
      <c r="B29" s="111">
        <v>1355</v>
      </c>
      <c r="C29" s="111" t="s">
        <v>500</v>
      </c>
      <c r="D29" s="120">
        <v>67744</v>
      </c>
      <c r="E29" s="43">
        <v>3500175116</v>
      </c>
      <c r="F29" s="43" t="s">
        <v>281</v>
      </c>
      <c r="G29" s="115" t="s">
        <v>282</v>
      </c>
      <c r="H29" s="200" t="s">
        <v>274</v>
      </c>
      <c r="I29" s="161" t="s">
        <v>283</v>
      </c>
      <c r="J29" s="129"/>
      <c r="K29" s="129"/>
      <c r="L29" s="129"/>
      <c r="M29" s="129"/>
      <c r="N29" s="129"/>
      <c r="O29" s="129"/>
      <c r="P29" s="159"/>
      <c r="Q29" s="159"/>
      <c r="R29" s="159"/>
      <c r="S29" s="160">
        <f>655200/2</f>
        <v>327600</v>
      </c>
      <c r="T29" s="160">
        <f>655200/2</f>
        <v>327600</v>
      </c>
      <c r="U29" s="127">
        <f t="shared" si="1"/>
        <v>655200</v>
      </c>
    </row>
    <row r="30" spans="1:21" x14ac:dyDescent="0.25">
      <c r="A30" s="110">
        <v>29</v>
      </c>
      <c r="B30" s="111">
        <v>1355</v>
      </c>
      <c r="C30" s="111" t="s">
        <v>500</v>
      </c>
      <c r="D30" s="112">
        <v>67745</v>
      </c>
      <c r="E30" s="43" t="s">
        <v>284</v>
      </c>
      <c r="F30" s="43" t="s">
        <v>285</v>
      </c>
      <c r="G30" s="115" t="s">
        <v>286</v>
      </c>
      <c r="H30" s="200" t="s">
        <v>287</v>
      </c>
      <c r="I30" s="161" t="s">
        <v>288</v>
      </c>
      <c r="J30" s="129"/>
      <c r="K30" s="129"/>
      <c r="L30" s="129"/>
      <c r="M30" s="129"/>
      <c r="N30" s="129"/>
      <c r="O30" s="129"/>
      <c r="P30" s="159"/>
      <c r="Q30" s="159"/>
      <c r="R30" s="159"/>
      <c r="S30" s="160">
        <f>336562/2</f>
        <v>168281</v>
      </c>
      <c r="T30" s="160">
        <f>336562/2</f>
        <v>168281</v>
      </c>
      <c r="U30" s="127">
        <f t="shared" si="1"/>
        <v>336562</v>
      </c>
    </row>
    <row r="31" spans="1:21" x14ac:dyDescent="0.25">
      <c r="A31" s="118">
        <v>30</v>
      </c>
      <c r="B31" s="111">
        <v>1355</v>
      </c>
      <c r="C31" s="111" t="s">
        <v>500</v>
      </c>
      <c r="D31" s="120">
        <v>67746</v>
      </c>
      <c r="E31" s="43" t="s">
        <v>289</v>
      </c>
      <c r="F31" s="43" t="s">
        <v>290</v>
      </c>
      <c r="G31" s="115" t="s">
        <v>291</v>
      </c>
      <c r="H31" s="200" t="s">
        <v>287</v>
      </c>
      <c r="I31" s="161" t="s">
        <v>292</v>
      </c>
      <c r="J31" s="129"/>
      <c r="K31" s="129"/>
      <c r="L31" s="129"/>
      <c r="M31" s="129"/>
      <c r="N31" s="129"/>
      <c r="O31" s="129"/>
      <c r="P31" s="159"/>
      <c r="Q31" s="159"/>
      <c r="R31" s="159"/>
      <c r="S31" s="159"/>
      <c r="T31" s="160">
        <v>207138</v>
      </c>
      <c r="U31" s="127">
        <f t="shared" si="1"/>
        <v>207138</v>
      </c>
    </row>
    <row r="32" spans="1:21" x14ac:dyDescent="0.25">
      <c r="A32" s="110">
        <v>31</v>
      </c>
      <c r="B32" s="111">
        <v>1355</v>
      </c>
      <c r="C32" s="111" t="s">
        <v>500</v>
      </c>
      <c r="D32" s="112">
        <v>67747</v>
      </c>
      <c r="E32" s="43" t="s">
        <v>293</v>
      </c>
      <c r="F32" s="43" t="s">
        <v>294</v>
      </c>
      <c r="G32" s="115" t="s">
        <v>291</v>
      </c>
      <c r="H32" s="200" t="s">
        <v>287</v>
      </c>
      <c r="I32" s="161" t="s">
        <v>295</v>
      </c>
      <c r="J32" s="129"/>
      <c r="K32" s="129"/>
      <c r="L32" s="129"/>
      <c r="M32" s="129"/>
      <c r="N32" s="129"/>
      <c r="O32" s="129"/>
      <c r="P32" s="159"/>
      <c r="Q32" s="159"/>
      <c r="R32" s="159"/>
      <c r="S32" s="159"/>
      <c r="T32" s="160">
        <v>44075</v>
      </c>
      <c r="U32" s="127">
        <f t="shared" si="1"/>
        <v>44075</v>
      </c>
    </row>
    <row r="33" spans="1:21" x14ac:dyDescent="0.25">
      <c r="A33" s="118">
        <v>32</v>
      </c>
      <c r="B33" s="111">
        <v>1355</v>
      </c>
      <c r="C33" s="111" t="s">
        <v>500</v>
      </c>
      <c r="D33" s="120">
        <v>67748</v>
      </c>
      <c r="E33" s="43" t="s">
        <v>293</v>
      </c>
      <c r="F33" s="43" t="s">
        <v>296</v>
      </c>
      <c r="G33" s="115" t="s">
        <v>291</v>
      </c>
      <c r="H33" s="200" t="s">
        <v>287</v>
      </c>
      <c r="I33" s="161" t="s">
        <v>297</v>
      </c>
      <c r="J33" s="129"/>
      <c r="K33" s="129"/>
      <c r="L33" s="129"/>
      <c r="M33" s="129"/>
      <c r="N33" s="129"/>
      <c r="O33" s="129"/>
      <c r="P33" s="159"/>
      <c r="Q33" s="159"/>
      <c r="R33" s="159"/>
      <c r="S33" s="159"/>
      <c r="T33" s="160">
        <v>117810</v>
      </c>
      <c r="U33" s="127">
        <f t="shared" si="1"/>
        <v>117810</v>
      </c>
    </row>
    <row r="34" spans="1:21" x14ac:dyDescent="0.25">
      <c r="A34" s="110">
        <v>33</v>
      </c>
      <c r="B34" s="111">
        <v>1355</v>
      </c>
      <c r="C34" s="111" t="s">
        <v>500</v>
      </c>
      <c r="D34" s="112">
        <v>67749</v>
      </c>
      <c r="E34" s="209">
        <v>8359375251</v>
      </c>
      <c r="F34" s="43" t="s">
        <v>298</v>
      </c>
      <c r="G34" s="115" t="s">
        <v>299</v>
      </c>
      <c r="H34" s="200" t="s">
        <v>287</v>
      </c>
      <c r="I34" s="166" t="s">
        <v>300</v>
      </c>
      <c r="J34" s="167"/>
      <c r="K34" s="167"/>
      <c r="L34" s="167"/>
      <c r="M34" s="167"/>
      <c r="N34" s="167"/>
      <c r="O34" s="167"/>
      <c r="P34" s="167"/>
      <c r="Q34" s="167"/>
      <c r="R34" s="167"/>
      <c r="S34" s="116">
        <f>116760/2</f>
        <v>58380</v>
      </c>
      <c r="T34" s="116">
        <f>116760/2</f>
        <v>58380</v>
      </c>
      <c r="U34" s="127">
        <f t="shared" si="1"/>
        <v>116760</v>
      </c>
    </row>
    <row r="35" spans="1:21" x14ac:dyDescent="0.25">
      <c r="A35" s="118">
        <v>34</v>
      </c>
      <c r="B35" s="111">
        <v>1355</v>
      </c>
      <c r="C35" s="111" t="s">
        <v>500</v>
      </c>
      <c r="D35" s="120">
        <v>67750</v>
      </c>
      <c r="E35" s="210">
        <v>8195413138</v>
      </c>
      <c r="F35" s="211" t="s">
        <v>477</v>
      </c>
      <c r="G35" s="115" t="s">
        <v>227</v>
      </c>
      <c r="H35" s="200" t="s">
        <v>287</v>
      </c>
      <c r="I35" s="170" t="s">
        <v>301</v>
      </c>
      <c r="J35" s="129"/>
      <c r="K35" s="129"/>
      <c r="L35" s="129"/>
      <c r="M35" s="129"/>
      <c r="N35" s="129"/>
      <c r="O35" s="160">
        <f t="shared" ref="O35:T35" si="3">972972/6</f>
        <v>162162</v>
      </c>
      <c r="P35" s="160">
        <f t="shared" si="3"/>
        <v>162162</v>
      </c>
      <c r="Q35" s="160">
        <f t="shared" si="3"/>
        <v>162162</v>
      </c>
      <c r="R35" s="160">
        <f t="shared" si="3"/>
        <v>162162</v>
      </c>
      <c r="S35" s="160">
        <f t="shared" si="3"/>
        <v>162162</v>
      </c>
      <c r="T35" s="160">
        <f t="shared" si="3"/>
        <v>162162</v>
      </c>
      <c r="U35" s="127">
        <f t="shared" si="1"/>
        <v>972972</v>
      </c>
    </row>
    <row r="36" spans="1:21" x14ac:dyDescent="0.25">
      <c r="A36" s="110">
        <v>1</v>
      </c>
      <c r="B36" s="111">
        <v>1356</v>
      </c>
      <c r="C36" s="111" t="s">
        <v>500</v>
      </c>
      <c r="D36" s="112">
        <v>67751</v>
      </c>
      <c r="E36" s="113">
        <v>3500931316</v>
      </c>
      <c r="F36" s="114" t="s">
        <v>478</v>
      </c>
      <c r="G36" s="115" t="s">
        <v>302</v>
      </c>
      <c r="H36" s="200" t="s">
        <v>303</v>
      </c>
      <c r="I36" s="115">
        <v>100</v>
      </c>
      <c r="J36" s="115"/>
      <c r="K36" s="115"/>
      <c r="L36" s="115"/>
      <c r="M36" s="115"/>
      <c r="N36" s="116"/>
      <c r="O36" s="116"/>
      <c r="P36" s="116"/>
      <c r="Q36" s="116"/>
      <c r="R36" s="116"/>
      <c r="S36" s="116"/>
      <c r="T36" s="116">
        <v>59400</v>
      </c>
      <c r="U36" s="127">
        <f>SUM(J36:T36)</f>
        <v>59400</v>
      </c>
    </row>
    <row r="37" spans="1:21" x14ac:dyDescent="0.25">
      <c r="A37" s="118">
        <v>2</v>
      </c>
      <c r="B37" s="111">
        <v>1356</v>
      </c>
      <c r="C37" s="111" t="s">
        <v>500</v>
      </c>
      <c r="D37" s="120">
        <v>67752</v>
      </c>
      <c r="E37" s="42" t="s">
        <v>304</v>
      </c>
      <c r="F37" s="185" t="s">
        <v>305</v>
      </c>
      <c r="G37" s="115" t="s">
        <v>306</v>
      </c>
      <c r="H37" s="200" t="s">
        <v>303</v>
      </c>
      <c r="I37" s="123">
        <v>63.7</v>
      </c>
      <c r="J37" s="124"/>
      <c r="K37" s="124"/>
      <c r="L37" s="124"/>
      <c r="M37" s="124"/>
      <c r="N37" s="124"/>
      <c r="O37" s="125"/>
      <c r="P37" s="125"/>
      <c r="Q37" s="125"/>
      <c r="R37" s="125"/>
      <c r="S37" s="126"/>
      <c r="T37" s="126">
        <v>61607</v>
      </c>
      <c r="U37" s="127">
        <f t="shared" ref="U37:U65" si="4">SUM(J37:T37)</f>
        <v>61607</v>
      </c>
    </row>
    <row r="38" spans="1:21" x14ac:dyDescent="0.25">
      <c r="A38" s="110">
        <v>3</v>
      </c>
      <c r="B38" s="111">
        <v>1356</v>
      </c>
      <c r="C38" s="111" t="s">
        <v>500</v>
      </c>
      <c r="D38" s="112">
        <v>67753</v>
      </c>
      <c r="E38" s="198">
        <v>8700566691</v>
      </c>
      <c r="F38" s="199" t="s">
        <v>479</v>
      </c>
      <c r="G38" s="115" t="s">
        <v>307</v>
      </c>
      <c r="H38" s="200" t="s">
        <v>303</v>
      </c>
      <c r="I38" s="128">
        <v>101.2</v>
      </c>
      <c r="J38" s="129"/>
      <c r="K38" s="129"/>
      <c r="L38" s="129"/>
      <c r="M38" s="129"/>
      <c r="N38" s="129"/>
      <c r="O38" s="129"/>
      <c r="P38" s="129"/>
      <c r="Q38" s="129"/>
      <c r="R38" s="127"/>
      <c r="S38" s="127">
        <f>425040/2</f>
        <v>212520</v>
      </c>
      <c r="T38" s="127">
        <f>425040/2</f>
        <v>212520</v>
      </c>
      <c r="U38" s="127">
        <f t="shared" si="4"/>
        <v>425040</v>
      </c>
    </row>
    <row r="39" spans="1:21" x14ac:dyDescent="0.25">
      <c r="A39" s="118">
        <v>4</v>
      </c>
      <c r="B39" s="111">
        <v>1356</v>
      </c>
      <c r="C39" s="111" t="s">
        <v>500</v>
      </c>
      <c r="D39" s="120">
        <v>67754</v>
      </c>
      <c r="E39" s="212">
        <v>8366880103</v>
      </c>
      <c r="F39" s="185" t="s">
        <v>308</v>
      </c>
      <c r="G39" s="115" t="s">
        <v>306</v>
      </c>
      <c r="H39" s="200" t="s">
        <v>303</v>
      </c>
      <c r="I39" s="128">
        <v>38.200000000000003</v>
      </c>
      <c r="J39" s="201"/>
      <c r="K39" s="201"/>
      <c r="L39" s="201"/>
      <c r="M39" s="201"/>
      <c r="N39" s="201"/>
      <c r="O39" s="201"/>
      <c r="P39" s="201"/>
      <c r="Q39" s="202"/>
      <c r="R39" s="202"/>
      <c r="S39" s="202"/>
      <c r="T39" s="202">
        <v>63535</v>
      </c>
      <c r="U39" s="127">
        <f t="shared" si="4"/>
        <v>63535</v>
      </c>
    </row>
    <row r="40" spans="1:21" x14ac:dyDescent="0.25">
      <c r="A40" s="110">
        <v>5</v>
      </c>
      <c r="B40" s="111">
        <v>1356</v>
      </c>
      <c r="C40" s="111" t="s">
        <v>500</v>
      </c>
      <c r="D40" s="112">
        <v>67755</v>
      </c>
      <c r="E40" s="213" t="s">
        <v>309</v>
      </c>
      <c r="F40" s="42" t="s">
        <v>310</v>
      </c>
      <c r="G40" s="115" t="s">
        <v>227</v>
      </c>
      <c r="H40" s="200" t="s">
        <v>303</v>
      </c>
      <c r="I40" s="132" t="s">
        <v>311</v>
      </c>
      <c r="J40" s="133"/>
      <c r="K40" s="133"/>
      <c r="L40" s="133"/>
      <c r="M40" s="133"/>
      <c r="N40" s="133"/>
      <c r="O40" s="202">
        <f t="shared" ref="O40:T40" si="5">1634220/6</f>
        <v>272370</v>
      </c>
      <c r="P40" s="202">
        <f t="shared" si="5"/>
        <v>272370</v>
      </c>
      <c r="Q40" s="202">
        <f t="shared" si="5"/>
        <v>272370</v>
      </c>
      <c r="R40" s="202">
        <f t="shared" si="5"/>
        <v>272370</v>
      </c>
      <c r="S40" s="202">
        <f t="shared" si="5"/>
        <v>272370</v>
      </c>
      <c r="T40" s="202">
        <f t="shared" si="5"/>
        <v>272370</v>
      </c>
      <c r="U40" s="127">
        <f t="shared" si="4"/>
        <v>1634220</v>
      </c>
    </row>
    <row r="41" spans="1:21" x14ac:dyDescent="0.25">
      <c r="A41" s="118">
        <v>6</v>
      </c>
      <c r="B41" s="111">
        <v>1356</v>
      </c>
      <c r="C41" s="111" t="s">
        <v>500</v>
      </c>
      <c r="D41" s="120">
        <v>67756</v>
      </c>
      <c r="E41" s="213" t="s">
        <v>309</v>
      </c>
      <c r="F41" s="42" t="s">
        <v>312</v>
      </c>
      <c r="G41" s="115" t="s">
        <v>227</v>
      </c>
      <c r="H41" s="200" t="s">
        <v>303</v>
      </c>
      <c r="I41" s="134" t="s">
        <v>313</v>
      </c>
      <c r="J41" s="135"/>
      <c r="K41" s="135"/>
      <c r="L41" s="135"/>
      <c r="M41" s="135"/>
      <c r="N41" s="135"/>
      <c r="O41" s="202">
        <f t="shared" ref="O41:T41" si="6">1641780/6</f>
        <v>273630</v>
      </c>
      <c r="P41" s="202">
        <f t="shared" si="6"/>
        <v>273630</v>
      </c>
      <c r="Q41" s="202">
        <f t="shared" si="6"/>
        <v>273630</v>
      </c>
      <c r="R41" s="202">
        <f t="shared" si="6"/>
        <v>273630</v>
      </c>
      <c r="S41" s="202">
        <f t="shared" si="6"/>
        <v>273630</v>
      </c>
      <c r="T41" s="202">
        <f t="shared" si="6"/>
        <v>273630</v>
      </c>
      <c r="U41" s="127">
        <f t="shared" si="4"/>
        <v>1641780</v>
      </c>
    </row>
    <row r="42" spans="1:21" x14ac:dyDescent="0.25">
      <c r="A42" s="110">
        <v>7</v>
      </c>
      <c r="B42" s="111">
        <v>1356</v>
      </c>
      <c r="C42" s="111" t="s">
        <v>500</v>
      </c>
      <c r="D42" s="112">
        <v>67757</v>
      </c>
      <c r="E42" s="198">
        <v>3500175081</v>
      </c>
      <c r="F42" s="199" t="s">
        <v>314</v>
      </c>
      <c r="G42" s="115" t="s">
        <v>315</v>
      </c>
      <c r="H42" s="200" t="s">
        <v>316</v>
      </c>
      <c r="I42" s="134" t="s">
        <v>137</v>
      </c>
      <c r="J42" s="135"/>
      <c r="K42" s="135"/>
      <c r="L42" s="135"/>
      <c r="M42" s="135"/>
      <c r="N42" s="135"/>
      <c r="O42" s="135"/>
      <c r="P42" s="135"/>
      <c r="Q42" s="135"/>
      <c r="R42" s="136"/>
      <c r="S42" s="136"/>
      <c r="T42" s="136">
        <v>134400</v>
      </c>
      <c r="U42" s="127">
        <f t="shared" si="4"/>
        <v>134400</v>
      </c>
    </row>
    <row r="43" spans="1:21" x14ac:dyDescent="0.25">
      <c r="A43" s="118">
        <v>8</v>
      </c>
      <c r="B43" s="111">
        <v>1356</v>
      </c>
      <c r="C43" s="111" t="s">
        <v>500</v>
      </c>
      <c r="D43" s="120">
        <v>67758</v>
      </c>
      <c r="E43" s="198">
        <v>3500175081</v>
      </c>
      <c r="F43" s="199" t="s">
        <v>317</v>
      </c>
      <c r="G43" s="115" t="s">
        <v>233</v>
      </c>
      <c r="H43" s="200" t="s">
        <v>316</v>
      </c>
      <c r="I43" s="137" t="s">
        <v>318</v>
      </c>
      <c r="J43" s="138"/>
      <c r="K43" s="138"/>
      <c r="L43" s="138"/>
      <c r="M43" s="138"/>
      <c r="N43" s="138"/>
      <c r="O43" s="138"/>
      <c r="P43" s="138"/>
      <c r="Q43" s="138"/>
      <c r="R43" s="139"/>
      <c r="S43" s="139"/>
      <c r="T43" s="139">
        <v>126071</v>
      </c>
      <c r="U43" s="127">
        <f t="shared" si="4"/>
        <v>126071</v>
      </c>
    </row>
    <row r="44" spans="1:21" x14ac:dyDescent="0.25">
      <c r="A44" s="110">
        <v>9</v>
      </c>
      <c r="B44" s="111">
        <v>1356</v>
      </c>
      <c r="C44" s="111" t="s">
        <v>500</v>
      </c>
      <c r="D44" s="112">
        <v>67759</v>
      </c>
      <c r="E44" s="198">
        <v>3500175081</v>
      </c>
      <c r="F44" s="199" t="s">
        <v>319</v>
      </c>
      <c r="G44" s="115" t="s">
        <v>233</v>
      </c>
      <c r="H44" s="200" t="s">
        <v>316</v>
      </c>
      <c r="I44" s="134" t="s">
        <v>320</v>
      </c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>
        <v>125155</v>
      </c>
      <c r="U44" s="127">
        <f t="shared" si="4"/>
        <v>125155</v>
      </c>
    </row>
    <row r="45" spans="1:21" x14ac:dyDescent="0.25">
      <c r="A45" s="118">
        <v>10</v>
      </c>
      <c r="B45" s="111">
        <v>1356</v>
      </c>
      <c r="C45" s="111" t="s">
        <v>500</v>
      </c>
      <c r="D45" s="120">
        <v>67760</v>
      </c>
      <c r="E45" s="43">
        <v>3501999740</v>
      </c>
      <c r="F45" s="140" t="s">
        <v>321</v>
      </c>
      <c r="G45" s="115" t="s">
        <v>222</v>
      </c>
      <c r="H45" s="200" t="s">
        <v>316</v>
      </c>
      <c r="I45" s="142" t="s">
        <v>322</v>
      </c>
      <c r="J45" s="143"/>
      <c r="K45" s="143"/>
      <c r="L45" s="143"/>
      <c r="M45" s="143"/>
      <c r="N45" s="143"/>
      <c r="O45" s="143"/>
      <c r="P45" s="143"/>
      <c r="Q45" s="143"/>
      <c r="R45" s="214">
        <f>257742/3</f>
        <v>85914</v>
      </c>
      <c r="S45" s="214">
        <f>257742/3</f>
        <v>85914</v>
      </c>
      <c r="T45" s="214">
        <f>257742/3</f>
        <v>85914</v>
      </c>
      <c r="U45" s="127">
        <f t="shared" si="4"/>
        <v>257742</v>
      </c>
    </row>
    <row r="46" spans="1:21" x14ac:dyDescent="0.25">
      <c r="A46" s="110">
        <v>11</v>
      </c>
      <c r="B46" s="111">
        <v>1356</v>
      </c>
      <c r="C46" s="111" t="s">
        <v>500</v>
      </c>
      <c r="D46" s="112">
        <v>67761</v>
      </c>
      <c r="E46" s="43">
        <v>8412852054</v>
      </c>
      <c r="F46" s="43" t="s">
        <v>323</v>
      </c>
      <c r="G46" s="115" t="s">
        <v>233</v>
      </c>
      <c r="H46" s="200" t="s">
        <v>324</v>
      </c>
      <c r="I46" s="142" t="s">
        <v>325</v>
      </c>
      <c r="J46" s="144"/>
      <c r="K46" s="144"/>
      <c r="L46" s="144"/>
      <c r="M46" s="144"/>
      <c r="N46" s="144"/>
      <c r="O46" s="144"/>
      <c r="P46" s="144"/>
      <c r="Q46" s="144"/>
      <c r="R46" s="145">
        <f>139860/3</f>
        <v>46620</v>
      </c>
      <c r="S46" s="145">
        <f>139860/3</f>
        <v>46620</v>
      </c>
      <c r="T46" s="145">
        <f>139860/3</f>
        <v>46620</v>
      </c>
      <c r="U46" s="127">
        <f t="shared" si="4"/>
        <v>139860</v>
      </c>
    </row>
    <row r="47" spans="1:21" x14ac:dyDescent="0.25">
      <c r="A47" s="118">
        <v>12</v>
      </c>
      <c r="B47" s="111">
        <v>1356</v>
      </c>
      <c r="C47" s="111" t="s">
        <v>500</v>
      </c>
      <c r="D47" s="120">
        <v>67762</v>
      </c>
      <c r="E47" s="198">
        <v>8491502081</v>
      </c>
      <c r="F47" s="43" t="s">
        <v>326</v>
      </c>
      <c r="G47" s="115" t="s">
        <v>327</v>
      </c>
      <c r="H47" s="200" t="s">
        <v>324</v>
      </c>
      <c r="I47" s="134" t="s">
        <v>137</v>
      </c>
      <c r="J47" s="135"/>
      <c r="K47" s="135"/>
      <c r="L47" s="147"/>
      <c r="M47" s="147"/>
      <c r="N47" s="147"/>
      <c r="O47" s="147"/>
      <c r="P47" s="147"/>
      <c r="Q47" s="147"/>
      <c r="R47" s="127"/>
      <c r="S47" s="127">
        <f>134400/2</f>
        <v>67200</v>
      </c>
      <c r="T47" s="127">
        <f>134400/2</f>
        <v>67200</v>
      </c>
      <c r="U47" s="127">
        <f t="shared" si="4"/>
        <v>134400</v>
      </c>
    </row>
    <row r="48" spans="1:21" x14ac:dyDescent="0.25">
      <c r="A48" s="110">
        <v>13</v>
      </c>
      <c r="B48" s="111">
        <v>1356</v>
      </c>
      <c r="C48" s="111" t="s">
        <v>500</v>
      </c>
      <c r="D48" s="112">
        <v>67763</v>
      </c>
      <c r="E48" s="43">
        <v>3500210917</v>
      </c>
      <c r="F48" s="43" t="s">
        <v>328</v>
      </c>
      <c r="G48" s="115" t="s">
        <v>315</v>
      </c>
      <c r="H48" s="200" t="s">
        <v>324</v>
      </c>
      <c r="I48" s="203" t="s">
        <v>329</v>
      </c>
      <c r="J48" s="144"/>
      <c r="K48" s="144"/>
      <c r="L48" s="144"/>
      <c r="M48" s="144"/>
      <c r="N48" s="144"/>
      <c r="O48" s="144"/>
      <c r="P48" s="144"/>
      <c r="Q48" s="144"/>
      <c r="R48" s="144"/>
      <c r="S48" s="205">
        <f>174720/2</f>
        <v>87360</v>
      </c>
      <c r="T48" s="205">
        <f>174720/2</f>
        <v>87360</v>
      </c>
      <c r="U48" s="127">
        <f t="shared" si="4"/>
        <v>174720</v>
      </c>
    </row>
    <row r="49" spans="1:21" x14ac:dyDescent="0.25">
      <c r="A49" s="118">
        <v>14</v>
      </c>
      <c r="B49" s="111">
        <v>1356</v>
      </c>
      <c r="C49" s="111" t="s">
        <v>500</v>
      </c>
      <c r="D49" s="120">
        <v>67764</v>
      </c>
      <c r="E49" s="43" t="s">
        <v>330</v>
      </c>
      <c r="F49" s="43" t="s">
        <v>480</v>
      </c>
      <c r="G49" s="115" t="s">
        <v>273</v>
      </c>
      <c r="H49" s="200" t="s">
        <v>324</v>
      </c>
      <c r="I49" s="134" t="s">
        <v>331</v>
      </c>
      <c r="J49" s="201"/>
      <c r="K49" s="201"/>
      <c r="L49" s="201"/>
      <c r="M49" s="201"/>
      <c r="N49" s="201"/>
      <c r="O49" s="201"/>
      <c r="P49" s="202">
        <f>582750/5</f>
        <v>116550</v>
      </c>
      <c r="Q49" s="202">
        <f>582750/5</f>
        <v>116550</v>
      </c>
      <c r="R49" s="202">
        <f>582750/5</f>
        <v>116550</v>
      </c>
      <c r="S49" s="202">
        <f>582750/5</f>
        <v>116550</v>
      </c>
      <c r="T49" s="202">
        <f>582750/5</f>
        <v>116550</v>
      </c>
      <c r="U49" s="127">
        <f t="shared" si="4"/>
        <v>582750</v>
      </c>
    </row>
    <row r="50" spans="1:21" x14ac:dyDescent="0.25">
      <c r="A50" s="110">
        <v>15</v>
      </c>
      <c r="B50" s="111">
        <v>1356</v>
      </c>
      <c r="C50" s="111" t="s">
        <v>500</v>
      </c>
      <c r="D50" s="112">
        <v>67765</v>
      </c>
      <c r="E50" s="113" t="s">
        <v>332</v>
      </c>
      <c r="F50" s="43" t="s">
        <v>333</v>
      </c>
      <c r="G50" s="115" t="s">
        <v>334</v>
      </c>
      <c r="H50" s="200" t="s">
        <v>324</v>
      </c>
      <c r="I50" s="134" t="s">
        <v>225</v>
      </c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>
        <v>315000</v>
      </c>
      <c r="U50" s="127">
        <f t="shared" si="4"/>
        <v>315000</v>
      </c>
    </row>
    <row r="51" spans="1:21" x14ac:dyDescent="0.25">
      <c r="A51" s="118">
        <v>16</v>
      </c>
      <c r="B51" s="111">
        <v>1356</v>
      </c>
      <c r="C51" s="111" t="s">
        <v>500</v>
      </c>
      <c r="D51" s="120">
        <v>67766</v>
      </c>
      <c r="E51" s="199" t="s">
        <v>335</v>
      </c>
      <c r="F51" s="43" t="s">
        <v>336</v>
      </c>
      <c r="G51" s="115" t="s">
        <v>337</v>
      </c>
      <c r="H51" s="200" t="s">
        <v>324</v>
      </c>
      <c r="I51" s="134" t="s">
        <v>137</v>
      </c>
      <c r="J51" s="129"/>
      <c r="K51" s="129"/>
      <c r="L51" s="129"/>
      <c r="M51" s="129"/>
      <c r="N51" s="129"/>
      <c r="O51" s="129"/>
      <c r="P51" s="129"/>
      <c r="Q51" s="129"/>
      <c r="R51" s="159"/>
      <c r="S51" s="159">
        <f>49392/2</f>
        <v>24696</v>
      </c>
      <c r="T51" s="159">
        <f>49392/2</f>
        <v>24696</v>
      </c>
      <c r="U51" s="127">
        <f t="shared" si="4"/>
        <v>49392</v>
      </c>
    </row>
    <row r="52" spans="1:21" x14ac:dyDescent="0.25">
      <c r="A52" s="110">
        <v>17</v>
      </c>
      <c r="B52" s="111">
        <v>1356</v>
      </c>
      <c r="C52" s="111" t="s">
        <v>500</v>
      </c>
      <c r="D52" s="112">
        <v>67767</v>
      </c>
      <c r="E52" s="215">
        <v>8328522202</v>
      </c>
      <c r="F52" s="216" t="s">
        <v>481</v>
      </c>
      <c r="G52" s="115" t="s">
        <v>338</v>
      </c>
      <c r="H52" s="200" t="s">
        <v>324</v>
      </c>
      <c r="I52" s="161" t="s">
        <v>339</v>
      </c>
      <c r="J52" s="129"/>
      <c r="K52" s="129"/>
      <c r="L52" s="129"/>
      <c r="M52" s="129"/>
      <c r="N52" s="129"/>
      <c r="O52" s="129"/>
      <c r="P52" s="159"/>
      <c r="Q52" s="159"/>
      <c r="R52" s="159"/>
      <c r="S52" s="160"/>
      <c r="T52" s="160">
        <v>41136</v>
      </c>
      <c r="U52" s="127">
        <f t="shared" si="4"/>
        <v>41136</v>
      </c>
    </row>
    <row r="53" spans="1:21" x14ac:dyDescent="0.25">
      <c r="A53" s="118">
        <v>18</v>
      </c>
      <c r="B53" s="111">
        <v>1356</v>
      </c>
      <c r="C53" s="111" t="s">
        <v>500</v>
      </c>
      <c r="D53" s="120">
        <v>67768</v>
      </c>
      <c r="E53" s="215">
        <v>8328522202</v>
      </c>
      <c r="F53" s="216" t="s">
        <v>482</v>
      </c>
      <c r="G53" s="115" t="s">
        <v>307</v>
      </c>
      <c r="H53" s="200" t="s">
        <v>324</v>
      </c>
      <c r="I53" s="161" t="s">
        <v>340</v>
      </c>
      <c r="J53" s="129"/>
      <c r="K53" s="129"/>
      <c r="L53" s="129"/>
      <c r="M53" s="129"/>
      <c r="N53" s="129"/>
      <c r="O53" s="129"/>
      <c r="P53" s="129"/>
      <c r="Q53" s="159"/>
      <c r="R53" s="160"/>
      <c r="S53" s="160"/>
      <c r="T53" s="160">
        <v>82710</v>
      </c>
      <c r="U53" s="127">
        <f t="shared" si="4"/>
        <v>82710</v>
      </c>
    </row>
    <row r="54" spans="1:21" x14ac:dyDescent="0.25">
      <c r="A54" s="110">
        <v>19</v>
      </c>
      <c r="B54" s="111">
        <v>1356</v>
      </c>
      <c r="C54" s="111" t="s">
        <v>500</v>
      </c>
      <c r="D54" s="112">
        <v>67769</v>
      </c>
      <c r="E54" s="43" t="s">
        <v>341</v>
      </c>
      <c r="F54" s="10" t="s">
        <v>342</v>
      </c>
      <c r="G54" s="115" t="s">
        <v>227</v>
      </c>
      <c r="H54" s="200" t="s">
        <v>324</v>
      </c>
      <c r="I54" s="161" t="s">
        <v>343</v>
      </c>
      <c r="J54" s="129"/>
      <c r="K54" s="129"/>
      <c r="L54" s="129"/>
      <c r="M54" s="129"/>
      <c r="N54" s="129"/>
      <c r="O54" s="129"/>
      <c r="P54" s="159"/>
      <c r="Q54" s="159"/>
      <c r="R54" s="159"/>
      <c r="S54" s="163">
        <f>139708/2</f>
        <v>69854</v>
      </c>
      <c r="T54" s="163">
        <f>139708/2</f>
        <v>69854</v>
      </c>
      <c r="U54" s="127">
        <f t="shared" si="4"/>
        <v>139708</v>
      </c>
    </row>
    <row r="55" spans="1:21" x14ac:dyDescent="0.25">
      <c r="A55" s="118">
        <v>20</v>
      </c>
      <c r="B55" s="111">
        <v>1356</v>
      </c>
      <c r="C55" s="111" t="s">
        <v>500</v>
      </c>
      <c r="D55" s="120">
        <v>67770</v>
      </c>
      <c r="E55" s="43" t="s">
        <v>341</v>
      </c>
      <c r="F55" s="10" t="s">
        <v>344</v>
      </c>
      <c r="G55" s="115" t="s">
        <v>227</v>
      </c>
      <c r="H55" s="200" t="s">
        <v>324</v>
      </c>
      <c r="I55" s="161" t="s">
        <v>345</v>
      </c>
      <c r="J55" s="129"/>
      <c r="K55" s="129"/>
      <c r="L55" s="129"/>
      <c r="M55" s="129"/>
      <c r="N55" s="129"/>
      <c r="O55" s="129"/>
      <c r="P55" s="159"/>
      <c r="Q55" s="159"/>
      <c r="R55" s="159"/>
      <c r="S55" s="163">
        <f>138758/2</f>
        <v>69379</v>
      </c>
      <c r="T55" s="163">
        <f>138758/2</f>
        <v>69379</v>
      </c>
      <c r="U55" s="127">
        <f t="shared" si="4"/>
        <v>138758</v>
      </c>
    </row>
    <row r="56" spans="1:21" x14ac:dyDescent="0.25">
      <c r="A56" s="110">
        <v>21</v>
      </c>
      <c r="B56" s="111">
        <v>1356</v>
      </c>
      <c r="C56" s="111" t="s">
        <v>500</v>
      </c>
      <c r="D56" s="112">
        <v>67771</v>
      </c>
      <c r="E56" s="43" t="s">
        <v>341</v>
      </c>
      <c r="F56" s="10" t="s">
        <v>346</v>
      </c>
      <c r="G56" s="115" t="s">
        <v>227</v>
      </c>
      <c r="H56" s="200" t="s">
        <v>324</v>
      </c>
      <c r="I56" s="161" t="s">
        <v>347</v>
      </c>
      <c r="J56" s="129"/>
      <c r="K56" s="129"/>
      <c r="L56" s="129"/>
      <c r="M56" s="129"/>
      <c r="N56" s="129"/>
      <c r="O56" s="129"/>
      <c r="P56" s="159"/>
      <c r="Q56" s="159"/>
      <c r="R56" s="160"/>
      <c r="S56" s="160">
        <f>147470/2</f>
        <v>73735</v>
      </c>
      <c r="T56" s="160">
        <f>147470/2</f>
        <v>73735</v>
      </c>
      <c r="U56" s="127">
        <f t="shared" si="4"/>
        <v>147470</v>
      </c>
    </row>
    <row r="57" spans="1:21" x14ac:dyDescent="0.25">
      <c r="A57" s="118">
        <v>22</v>
      </c>
      <c r="B57" s="111">
        <v>1356</v>
      </c>
      <c r="C57" s="111" t="s">
        <v>500</v>
      </c>
      <c r="D57" s="120">
        <v>67772</v>
      </c>
      <c r="E57" s="43" t="s">
        <v>341</v>
      </c>
      <c r="F57" s="10" t="s">
        <v>348</v>
      </c>
      <c r="G57" s="115" t="s">
        <v>227</v>
      </c>
      <c r="H57" s="200" t="s">
        <v>324</v>
      </c>
      <c r="I57" s="161" t="s">
        <v>347</v>
      </c>
      <c r="J57" s="129"/>
      <c r="K57" s="129"/>
      <c r="L57" s="129"/>
      <c r="M57" s="129"/>
      <c r="N57" s="129"/>
      <c r="O57" s="159"/>
      <c r="P57" s="159"/>
      <c r="Q57" s="159"/>
      <c r="R57" s="159"/>
      <c r="S57" s="160">
        <f>147470/2</f>
        <v>73735</v>
      </c>
      <c r="T57" s="160">
        <f>147470/2</f>
        <v>73735</v>
      </c>
      <c r="U57" s="127">
        <f t="shared" si="4"/>
        <v>147470</v>
      </c>
    </row>
    <row r="58" spans="1:21" x14ac:dyDescent="0.25">
      <c r="A58" s="110">
        <v>23</v>
      </c>
      <c r="B58" s="111">
        <v>1356</v>
      </c>
      <c r="C58" s="111" t="s">
        <v>500</v>
      </c>
      <c r="D58" s="112">
        <v>67773</v>
      </c>
      <c r="E58" s="43" t="s">
        <v>349</v>
      </c>
      <c r="F58" s="43" t="s">
        <v>350</v>
      </c>
      <c r="G58" s="115" t="s">
        <v>351</v>
      </c>
      <c r="H58" s="200" t="s">
        <v>324</v>
      </c>
      <c r="I58" s="161" t="s">
        <v>352</v>
      </c>
      <c r="J58" s="129"/>
      <c r="K58" s="129"/>
      <c r="L58" s="129"/>
      <c r="M58" s="129"/>
      <c r="N58" s="129"/>
      <c r="O58" s="129"/>
      <c r="P58" s="159"/>
      <c r="Q58" s="159"/>
      <c r="R58" s="160">
        <f>1363824/3</f>
        <v>454608</v>
      </c>
      <c r="S58" s="160">
        <f>1363824/3</f>
        <v>454608</v>
      </c>
      <c r="T58" s="160">
        <f>1363824/3</f>
        <v>454608</v>
      </c>
      <c r="U58" s="127">
        <f t="shared" si="4"/>
        <v>1363824</v>
      </c>
    </row>
    <row r="59" spans="1:21" x14ac:dyDescent="0.25">
      <c r="A59" s="118">
        <v>24</v>
      </c>
      <c r="B59" s="111">
        <v>1356</v>
      </c>
      <c r="C59" s="111" t="s">
        <v>500</v>
      </c>
      <c r="D59" s="120">
        <v>67774</v>
      </c>
      <c r="E59" s="217">
        <v>8195413113</v>
      </c>
      <c r="F59" s="218" t="s">
        <v>483</v>
      </c>
      <c r="G59" s="115" t="s">
        <v>227</v>
      </c>
      <c r="H59" s="200" t="s">
        <v>353</v>
      </c>
      <c r="I59" s="161" t="s">
        <v>354</v>
      </c>
      <c r="J59" s="129"/>
      <c r="K59" s="129"/>
      <c r="L59" s="129"/>
      <c r="M59" s="129"/>
      <c r="N59" s="129"/>
      <c r="O59" s="160">
        <f t="shared" ref="O59:T59" si="7">993384/6</f>
        <v>165564</v>
      </c>
      <c r="P59" s="160">
        <f t="shared" si="7"/>
        <v>165564</v>
      </c>
      <c r="Q59" s="160">
        <f t="shared" si="7"/>
        <v>165564</v>
      </c>
      <c r="R59" s="160">
        <f t="shared" si="7"/>
        <v>165564</v>
      </c>
      <c r="S59" s="160">
        <f t="shared" si="7"/>
        <v>165564</v>
      </c>
      <c r="T59" s="160">
        <f t="shared" si="7"/>
        <v>165564</v>
      </c>
      <c r="U59" s="127">
        <f t="shared" si="4"/>
        <v>993384</v>
      </c>
    </row>
    <row r="60" spans="1:21" x14ac:dyDescent="0.25">
      <c r="A60" s="110">
        <v>25</v>
      </c>
      <c r="B60" s="111">
        <v>1356</v>
      </c>
      <c r="C60" s="111" t="s">
        <v>500</v>
      </c>
      <c r="D60" s="112">
        <v>67775</v>
      </c>
      <c r="E60" s="217">
        <v>8195413113</v>
      </c>
      <c r="F60" s="218" t="s">
        <v>484</v>
      </c>
      <c r="G60" s="115" t="s">
        <v>227</v>
      </c>
      <c r="H60" s="200" t="s">
        <v>353</v>
      </c>
      <c r="I60" s="142" t="s">
        <v>355</v>
      </c>
      <c r="J60" s="129"/>
      <c r="K60" s="129"/>
      <c r="L60" s="129"/>
      <c r="M60" s="129"/>
      <c r="N60" s="129"/>
      <c r="O60" s="160">
        <f t="shared" ref="O60:T60" si="8">990360/6</f>
        <v>165060</v>
      </c>
      <c r="P60" s="160">
        <f t="shared" si="8"/>
        <v>165060</v>
      </c>
      <c r="Q60" s="160">
        <f t="shared" si="8"/>
        <v>165060</v>
      </c>
      <c r="R60" s="160">
        <f t="shared" si="8"/>
        <v>165060</v>
      </c>
      <c r="S60" s="160">
        <f t="shared" si="8"/>
        <v>165060</v>
      </c>
      <c r="T60" s="160">
        <f t="shared" si="8"/>
        <v>165060</v>
      </c>
      <c r="U60" s="127">
        <f t="shared" si="4"/>
        <v>990360</v>
      </c>
    </row>
    <row r="61" spans="1:21" x14ac:dyDescent="0.25">
      <c r="A61" s="118">
        <v>26</v>
      </c>
      <c r="B61" s="111">
        <v>1356</v>
      </c>
      <c r="C61" s="111" t="s">
        <v>500</v>
      </c>
      <c r="D61" s="120">
        <v>67776</v>
      </c>
      <c r="E61" s="217">
        <v>8195413113</v>
      </c>
      <c r="F61" s="218" t="s">
        <v>485</v>
      </c>
      <c r="G61" s="115" t="s">
        <v>227</v>
      </c>
      <c r="H61" s="200" t="s">
        <v>353</v>
      </c>
      <c r="I61" s="161" t="s">
        <v>356</v>
      </c>
      <c r="J61" s="129"/>
      <c r="K61" s="129"/>
      <c r="L61" s="129"/>
      <c r="M61" s="129"/>
      <c r="N61" s="129"/>
      <c r="O61" s="160">
        <f t="shared" ref="O61:T61" si="9">983556/6</f>
        <v>163926</v>
      </c>
      <c r="P61" s="160">
        <f t="shared" si="9"/>
        <v>163926</v>
      </c>
      <c r="Q61" s="160">
        <f t="shared" si="9"/>
        <v>163926</v>
      </c>
      <c r="R61" s="160">
        <f t="shared" si="9"/>
        <v>163926</v>
      </c>
      <c r="S61" s="160">
        <f t="shared" si="9"/>
        <v>163926</v>
      </c>
      <c r="T61" s="160">
        <f t="shared" si="9"/>
        <v>163926</v>
      </c>
      <c r="U61" s="127">
        <f t="shared" si="4"/>
        <v>983556</v>
      </c>
    </row>
    <row r="62" spans="1:21" x14ac:dyDescent="0.25">
      <c r="A62" s="110">
        <v>27</v>
      </c>
      <c r="B62" s="111">
        <v>1356</v>
      </c>
      <c r="C62" s="111" t="s">
        <v>500</v>
      </c>
      <c r="D62" s="112">
        <v>67777</v>
      </c>
      <c r="E62" s="42" t="s">
        <v>357</v>
      </c>
      <c r="F62" s="185" t="s">
        <v>358</v>
      </c>
      <c r="G62" s="115" t="s">
        <v>359</v>
      </c>
      <c r="H62" s="200" t="s">
        <v>353</v>
      </c>
      <c r="I62" s="161" t="s">
        <v>360</v>
      </c>
      <c r="J62" s="129"/>
      <c r="K62" s="129"/>
      <c r="L62" s="129"/>
      <c r="M62" s="129"/>
      <c r="N62" s="129"/>
      <c r="O62" s="129"/>
      <c r="P62" s="160"/>
      <c r="Q62" s="160"/>
      <c r="R62" s="160"/>
      <c r="S62" s="160">
        <f>133488/2</f>
        <v>66744</v>
      </c>
      <c r="T62" s="160">
        <f>133488/2</f>
        <v>66744</v>
      </c>
      <c r="U62" s="127">
        <f t="shared" si="4"/>
        <v>133488</v>
      </c>
    </row>
    <row r="63" spans="1:21" x14ac:dyDescent="0.25">
      <c r="A63" s="118">
        <v>28</v>
      </c>
      <c r="B63" s="111">
        <v>1356</v>
      </c>
      <c r="C63" s="111" t="s">
        <v>500</v>
      </c>
      <c r="D63" s="120">
        <v>67778</v>
      </c>
      <c r="E63" s="42" t="s">
        <v>361</v>
      </c>
      <c r="F63" s="185" t="s">
        <v>362</v>
      </c>
      <c r="G63" s="115" t="s">
        <v>222</v>
      </c>
      <c r="H63" s="200" t="s">
        <v>353</v>
      </c>
      <c r="I63" s="161" t="s">
        <v>363</v>
      </c>
      <c r="J63" s="129"/>
      <c r="K63" s="129"/>
      <c r="L63" s="129"/>
      <c r="M63" s="129"/>
      <c r="N63" s="129"/>
      <c r="O63" s="129"/>
      <c r="P63" s="159"/>
      <c r="Q63" s="159"/>
      <c r="R63" s="159"/>
      <c r="S63" s="160"/>
      <c r="T63" s="160">
        <v>72150</v>
      </c>
      <c r="U63" s="127">
        <f t="shared" si="4"/>
        <v>72150</v>
      </c>
    </row>
    <row r="64" spans="1:21" x14ac:dyDescent="0.25">
      <c r="A64" s="110">
        <v>29</v>
      </c>
      <c r="B64" s="111">
        <v>1356</v>
      </c>
      <c r="C64" s="111" t="s">
        <v>500</v>
      </c>
      <c r="D64" s="112">
        <v>67779</v>
      </c>
      <c r="E64" s="42" t="s">
        <v>361</v>
      </c>
      <c r="F64" s="185" t="s">
        <v>364</v>
      </c>
      <c r="G64" s="115" t="s">
        <v>222</v>
      </c>
      <c r="H64" s="200" t="s">
        <v>353</v>
      </c>
      <c r="I64" s="161" t="s">
        <v>131</v>
      </c>
      <c r="J64" s="129"/>
      <c r="K64" s="129"/>
      <c r="L64" s="129"/>
      <c r="M64" s="129"/>
      <c r="N64" s="129"/>
      <c r="O64" s="129"/>
      <c r="P64" s="159"/>
      <c r="Q64" s="159"/>
      <c r="R64" s="159"/>
      <c r="S64" s="160"/>
      <c r="T64" s="160">
        <v>111000</v>
      </c>
      <c r="U64" s="127">
        <f t="shared" si="4"/>
        <v>111000</v>
      </c>
    </row>
    <row r="65" spans="1:21" x14ac:dyDescent="0.25">
      <c r="A65" s="118">
        <v>30</v>
      </c>
      <c r="B65" s="111">
        <v>1356</v>
      </c>
      <c r="C65" s="111" t="s">
        <v>500</v>
      </c>
      <c r="D65" s="120">
        <v>67780</v>
      </c>
      <c r="E65" s="42" t="s">
        <v>361</v>
      </c>
      <c r="F65" s="185" t="s">
        <v>365</v>
      </c>
      <c r="G65" s="115" t="s">
        <v>222</v>
      </c>
      <c r="H65" s="200" t="s">
        <v>353</v>
      </c>
      <c r="I65" s="161" t="s">
        <v>366</v>
      </c>
      <c r="J65" s="129"/>
      <c r="K65" s="129"/>
      <c r="L65" s="129"/>
      <c r="M65" s="129"/>
      <c r="N65" s="129"/>
      <c r="O65" s="129"/>
      <c r="P65" s="159"/>
      <c r="Q65" s="159"/>
      <c r="R65" s="159"/>
      <c r="S65" s="159"/>
      <c r="T65" s="160">
        <v>77700</v>
      </c>
      <c r="U65" s="127">
        <f t="shared" si="4"/>
        <v>77700</v>
      </c>
    </row>
    <row r="66" spans="1:21" x14ac:dyDescent="0.25">
      <c r="A66" s="110">
        <v>1</v>
      </c>
      <c r="B66" s="111">
        <v>1356</v>
      </c>
      <c r="C66" s="111" t="s">
        <v>500</v>
      </c>
      <c r="D66" s="112">
        <v>67781</v>
      </c>
      <c r="E66" s="43">
        <v>3501096474</v>
      </c>
      <c r="F66" s="43" t="s">
        <v>486</v>
      </c>
      <c r="G66" s="115" t="s">
        <v>227</v>
      </c>
      <c r="H66" s="200" t="s">
        <v>367</v>
      </c>
      <c r="I66" s="115">
        <v>123.4</v>
      </c>
      <c r="J66" s="115"/>
      <c r="K66" s="115"/>
      <c r="L66" s="115"/>
      <c r="M66" s="115"/>
      <c r="N66" s="116"/>
      <c r="O66" s="116"/>
      <c r="P66" s="116"/>
      <c r="Q66" s="116"/>
      <c r="R66" s="116"/>
      <c r="S66" s="116"/>
      <c r="T66" s="116">
        <v>240630</v>
      </c>
      <c r="U66" s="127">
        <f>SUM(J66:T66)</f>
        <v>240630</v>
      </c>
    </row>
    <row r="67" spans="1:21" x14ac:dyDescent="0.25">
      <c r="A67" s="118">
        <v>2</v>
      </c>
      <c r="B67" s="111">
        <v>1356</v>
      </c>
      <c r="C67" s="111" t="s">
        <v>500</v>
      </c>
      <c r="D67" s="120">
        <v>67782</v>
      </c>
      <c r="E67" s="43" t="s">
        <v>368</v>
      </c>
      <c r="F67" s="20" t="s">
        <v>369</v>
      </c>
      <c r="G67" s="115" t="s">
        <v>351</v>
      </c>
      <c r="H67" s="200" t="s">
        <v>367</v>
      </c>
      <c r="I67" s="123">
        <v>176.9</v>
      </c>
      <c r="J67" s="124"/>
      <c r="K67" s="124"/>
      <c r="L67" s="124"/>
      <c r="M67" s="124"/>
      <c r="N67" s="124"/>
      <c r="O67" s="125"/>
      <c r="P67" s="125"/>
      <c r="Q67" s="125"/>
      <c r="R67" s="125"/>
      <c r="S67" s="126">
        <f>588440/2</f>
        <v>294220</v>
      </c>
      <c r="T67" s="126">
        <f>588440/2</f>
        <v>294220</v>
      </c>
      <c r="U67" s="127">
        <f>SUM(J67:T67)</f>
        <v>588440</v>
      </c>
    </row>
    <row r="68" spans="1:21" x14ac:dyDescent="0.25">
      <c r="A68" s="110">
        <v>3</v>
      </c>
      <c r="B68" s="111">
        <v>1356</v>
      </c>
      <c r="C68" s="111" t="s">
        <v>500</v>
      </c>
      <c r="D68" s="112">
        <v>67783</v>
      </c>
      <c r="E68" s="198">
        <v>3500887635</v>
      </c>
      <c r="F68" s="199" t="s">
        <v>370</v>
      </c>
      <c r="G68" s="115" t="s">
        <v>315</v>
      </c>
      <c r="H68" s="200" t="s">
        <v>367</v>
      </c>
      <c r="I68" s="128">
        <v>106.7</v>
      </c>
      <c r="J68" s="129"/>
      <c r="K68" s="129"/>
      <c r="L68" s="129"/>
      <c r="M68" s="129"/>
      <c r="N68" s="129"/>
      <c r="O68" s="129"/>
      <c r="P68" s="129"/>
      <c r="Q68" s="129"/>
      <c r="R68" s="127"/>
      <c r="S68" s="127"/>
      <c r="T68" s="127">
        <v>179256</v>
      </c>
      <c r="U68" s="127">
        <v>179256</v>
      </c>
    </row>
    <row r="69" spans="1:21" x14ac:dyDescent="0.25">
      <c r="A69" s="118">
        <v>4</v>
      </c>
      <c r="B69" s="111">
        <v>1356</v>
      </c>
      <c r="C69" s="111" t="s">
        <v>500</v>
      </c>
      <c r="D69" s="120">
        <v>67784</v>
      </c>
      <c r="E69" s="43" t="s">
        <v>371</v>
      </c>
      <c r="F69" s="10" t="s">
        <v>372</v>
      </c>
      <c r="G69" s="115" t="s">
        <v>242</v>
      </c>
      <c r="H69" s="200" t="s">
        <v>367</v>
      </c>
      <c r="I69" s="128">
        <v>113</v>
      </c>
      <c r="J69" s="201"/>
      <c r="K69" s="201"/>
      <c r="L69" s="201"/>
      <c r="M69" s="201"/>
      <c r="N69" s="201"/>
      <c r="O69" s="201"/>
      <c r="P69" s="201"/>
      <c r="Q69" s="202"/>
      <c r="R69" s="202"/>
      <c r="S69" s="202">
        <f>145432/2</f>
        <v>72716</v>
      </c>
      <c r="T69" s="202">
        <f>145432/2</f>
        <v>72716</v>
      </c>
      <c r="U69" s="127">
        <f t="shared" ref="U69:U85" si="10">SUM(J69:T69)</f>
        <v>145432</v>
      </c>
    </row>
    <row r="70" spans="1:21" x14ac:dyDescent="0.25">
      <c r="A70" s="110">
        <v>5</v>
      </c>
      <c r="B70" s="111">
        <v>1356</v>
      </c>
      <c r="C70" s="111" t="s">
        <v>500</v>
      </c>
      <c r="D70" s="112">
        <v>67785</v>
      </c>
      <c r="E70" s="43" t="s">
        <v>373</v>
      </c>
      <c r="F70" s="10" t="s">
        <v>374</v>
      </c>
      <c r="G70" s="115" t="s">
        <v>375</v>
      </c>
      <c r="H70" s="200" t="s">
        <v>376</v>
      </c>
      <c r="I70" s="132" t="s">
        <v>131</v>
      </c>
      <c r="J70" s="133"/>
      <c r="K70" s="133"/>
      <c r="L70" s="133"/>
      <c r="M70" s="133"/>
      <c r="N70" s="133"/>
      <c r="O70" s="202"/>
      <c r="P70" s="202"/>
      <c r="Q70" s="202"/>
      <c r="R70" s="202"/>
      <c r="S70" s="202"/>
      <c r="T70" s="202">
        <v>69300</v>
      </c>
      <c r="U70" s="127">
        <f t="shared" si="10"/>
        <v>69300</v>
      </c>
    </row>
    <row r="71" spans="1:21" x14ac:dyDescent="0.25">
      <c r="A71" s="118">
        <v>6</v>
      </c>
      <c r="B71" s="111">
        <v>1356</v>
      </c>
      <c r="C71" s="111" t="s">
        <v>500</v>
      </c>
      <c r="D71" s="120">
        <v>67786</v>
      </c>
      <c r="E71" s="43" t="s">
        <v>377</v>
      </c>
      <c r="F71" s="10" t="s">
        <v>378</v>
      </c>
      <c r="G71" s="115" t="s">
        <v>299</v>
      </c>
      <c r="H71" s="200" t="s">
        <v>376</v>
      </c>
      <c r="I71" s="134" t="s">
        <v>137</v>
      </c>
      <c r="J71" s="135"/>
      <c r="K71" s="135"/>
      <c r="L71" s="135"/>
      <c r="M71" s="135"/>
      <c r="N71" s="135"/>
      <c r="O71" s="202"/>
      <c r="P71" s="202"/>
      <c r="Q71" s="202"/>
      <c r="R71" s="202"/>
      <c r="S71" s="202"/>
      <c r="T71" s="202">
        <v>41040</v>
      </c>
      <c r="U71" s="127">
        <f t="shared" si="10"/>
        <v>41040</v>
      </c>
    </row>
    <row r="72" spans="1:21" x14ac:dyDescent="0.25">
      <c r="A72" s="110">
        <v>7</v>
      </c>
      <c r="B72" s="111">
        <v>1356</v>
      </c>
      <c r="C72" s="111" t="s">
        <v>500</v>
      </c>
      <c r="D72" s="112">
        <v>67787</v>
      </c>
      <c r="E72" s="43" t="s">
        <v>379</v>
      </c>
      <c r="F72" s="10" t="s">
        <v>380</v>
      </c>
      <c r="G72" s="115" t="s">
        <v>299</v>
      </c>
      <c r="H72" s="200" t="s">
        <v>376</v>
      </c>
      <c r="I72" s="134" t="s">
        <v>137</v>
      </c>
      <c r="J72" s="135"/>
      <c r="K72" s="135"/>
      <c r="L72" s="135"/>
      <c r="M72" s="135"/>
      <c r="N72" s="135"/>
      <c r="O72" s="135"/>
      <c r="P72" s="135"/>
      <c r="Q72" s="135"/>
      <c r="R72" s="136"/>
      <c r="S72" s="136"/>
      <c r="T72" s="136">
        <v>33264</v>
      </c>
      <c r="U72" s="127">
        <f t="shared" si="10"/>
        <v>33264</v>
      </c>
    </row>
    <row r="73" spans="1:21" x14ac:dyDescent="0.25">
      <c r="A73" s="118">
        <v>8</v>
      </c>
      <c r="B73" s="111">
        <v>1356</v>
      </c>
      <c r="C73" s="111" t="s">
        <v>500</v>
      </c>
      <c r="D73" s="120">
        <v>67788</v>
      </c>
      <c r="E73" s="43" t="s">
        <v>381</v>
      </c>
      <c r="F73" s="10" t="s">
        <v>382</v>
      </c>
      <c r="G73" s="115" t="s">
        <v>299</v>
      </c>
      <c r="H73" s="200" t="s">
        <v>376</v>
      </c>
      <c r="I73" s="137" t="s">
        <v>383</v>
      </c>
      <c r="J73" s="138"/>
      <c r="K73" s="138"/>
      <c r="L73" s="138"/>
      <c r="M73" s="138"/>
      <c r="N73" s="138"/>
      <c r="O73" s="138"/>
      <c r="P73" s="138"/>
      <c r="Q73" s="138"/>
      <c r="R73" s="139"/>
      <c r="S73" s="139"/>
      <c r="T73" s="139">
        <v>97020</v>
      </c>
      <c r="U73" s="127">
        <f t="shared" si="10"/>
        <v>97020</v>
      </c>
    </row>
    <row r="74" spans="1:21" x14ac:dyDescent="0.25">
      <c r="A74" s="110">
        <v>9</v>
      </c>
      <c r="B74" s="111">
        <v>1356</v>
      </c>
      <c r="C74" s="111" t="s">
        <v>500</v>
      </c>
      <c r="D74" s="112">
        <v>67789</v>
      </c>
      <c r="E74" s="43" t="s">
        <v>384</v>
      </c>
      <c r="F74" s="10" t="s">
        <v>385</v>
      </c>
      <c r="G74" s="115" t="s">
        <v>386</v>
      </c>
      <c r="H74" s="200" t="s">
        <v>376</v>
      </c>
      <c r="I74" s="134" t="s">
        <v>172</v>
      </c>
      <c r="J74" s="141"/>
      <c r="K74" s="141"/>
      <c r="L74" s="141"/>
      <c r="M74" s="141"/>
      <c r="N74" s="141"/>
      <c r="O74" s="141"/>
      <c r="P74" s="141"/>
      <c r="Q74" s="141"/>
      <c r="R74" s="141">
        <f>94500/3</f>
        <v>31500</v>
      </c>
      <c r="S74" s="141">
        <f>94500/3</f>
        <v>31500</v>
      </c>
      <c r="T74" s="141">
        <f>94500/3</f>
        <v>31500</v>
      </c>
      <c r="U74" s="127">
        <f t="shared" si="10"/>
        <v>94500</v>
      </c>
    </row>
    <row r="75" spans="1:21" x14ac:dyDescent="0.25">
      <c r="A75" s="118">
        <v>10</v>
      </c>
      <c r="B75" s="111">
        <v>1356</v>
      </c>
      <c r="C75" s="111" t="s">
        <v>500</v>
      </c>
      <c r="D75" s="120">
        <v>67790</v>
      </c>
      <c r="E75" s="43">
        <v>8280717320</v>
      </c>
      <c r="F75" s="140" t="s">
        <v>487</v>
      </c>
      <c r="G75" s="115" t="s">
        <v>227</v>
      </c>
      <c r="H75" s="200" t="s">
        <v>376</v>
      </c>
      <c r="I75" s="142" t="s">
        <v>387</v>
      </c>
      <c r="J75" s="143"/>
      <c r="K75" s="143"/>
      <c r="L75" s="143"/>
      <c r="M75" s="143"/>
      <c r="N75" s="143"/>
      <c r="O75" s="143"/>
      <c r="P75" s="143"/>
      <c r="Q75" s="214">
        <f>567000/4</f>
        <v>141750</v>
      </c>
      <c r="R75" s="214">
        <f>567000/4</f>
        <v>141750</v>
      </c>
      <c r="S75" s="214">
        <f>567000/4</f>
        <v>141750</v>
      </c>
      <c r="T75" s="214">
        <f>567000/4</f>
        <v>141750</v>
      </c>
      <c r="U75" s="127">
        <f>SUM(J75:T75)</f>
        <v>567000</v>
      </c>
    </row>
    <row r="76" spans="1:21" x14ac:dyDescent="0.25">
      <c r="A76" s="110">
        <v>11</v>
      </c>
      <c r="B76" s="111">
        <v>1356</v>
      </c>
      <c r="C76" s="111" t="s">
        <v>500</v>
      </c>
      <c r="D76" s="112">
        <v>67791</v>
      </c>
      <c r="E76" s="43">
        <v>8319881036</v>
      </c>
      <c r="F76" s="43" t="s">
        <v>488</v>
      </c>
      <c r="G76" s="115" t="s">
        <v>338</v>
      </c>
      <c r="H76" s="200" t="s">
        <v>376</v>
      </c>
      <c r="I76" s="142" t="s">
        <v>388</v>
      </c>
      <c r="J76" s="144"/>
      <c r="K76" s="144"/>
      <c r="L76" s="144"/>
      <c r="M76" s="144"/>
      <c r="N76" s="144"/>
      <c r="O76" s="144"/>
      <c r="P76" s="144"/>
      <c r="Q76" s="144"/>
      <c r="R76" s="145"/>
      <c r="S76" s="145"/>
      <c r="T76" s="145">
        <v>56700</v>
      </c>
      <c r="U76" s="127">
        <f t="shared" si="10"/>
        <v>56700</v>
      </c>
    </row>
    <row r="77" spans="1:21" x14ac:dyDescent="0.25">
      <c r="A77" s="118">
        <v>12</v>
      </c>
      <c r="B77" s="111">
        <v>1356</v>
      </c>
      <c r="C77" s="111" t="s">
        <v>500</v>
      </c>
      <c r="D77" s="120">
        <v>67792</v>
      </c>
      <c r="E77" s="198">
        <v>8277545199</v>
      </c>
      <c r="F77" s="43" t="s">
        <v>389</v>
      </c>
      <c r="G77" s="115" t="s">
        <v>302</v>
      </c>
      <c r="H77" s="200" t="s">
        <v>376</v>
      </c>
      <c r="I77" s="134" t="s">
        <v>390</v>
      </c>
      <c r="J77" s="135"/>
      <c r="K77" s="135"/>
      <c r="L77" s="147"/>
      <c r="M77" s="147"/>
      <c r="N77" s="147"/>
      <c r="O77" s="127">
        <f t="shared" ref="O77:T77" si="11">1131480/6</f>
        <v>188580</v>
      </c>
      <c r="P77" s="127">
        <f t="shared" si="11"/>
        <v>188580</v>
      </c>
      <c r="Q77" s="127">
        <f t="shared" si="11"/>
        <v>188580</v>
      </c>
      <c r="R77" s="127">
        <f t="shared" si="11"/>
        <v>188580</v>
      </c>
      <c r="S77" s="127">
        <f t="shared" si="11"/>
        <v>188580</v>
      </c>
      <c r="T77" s="127">
        <f t="shared" si="11"/>
        <v>188580</v>
      </c>
      <c r="U77" s="127">
        <f t="shared" si="10"/>
        <v>1131480</v>
      </c>
    </row>
    <row r="78" spans="1:21" x14ac:dyDescent="0.25">
      <c r="A78" s="110">
        <v>13</v>
      </c>
      <c r="B78" s="111">
        <v>1356</v>
      </c>
      <c r="C78" s="111" t="s">
        <v>500</v>
      </c>
      <c r="D78" s="112">
        <v>67793</v>
      </c>
      <c r="E78" s="43">
        <v>8446466561</v>
      </c>
      <c r="F78" s="43" t="s">
        <v>391</v>
      </c>
      <c r="G78" s="115" t="s">
        <v>392</v>
      </c>
      <c r="H78" s="200" t="s">
        <v>376</v>
      </c>
      <c r="I78" s="203" t="s">
        <v>174</v>
      </c>
      <c r="J78" s="144"/>
      <c r="K78" s="144"/>
      <c r="L78" s="144"/>
      <c r="M78" s="144"/>
      <c r="N78" s="144"/>
      <c r="O78" s="144"/>
      <c r="P78" s="144"/>
      <c r="Q78" s="205">
        <f>604800/4</f>
        <v>151200</v>
      </c>
      <c r="R78" s="205">
        <f>604800/4</f>
        <v>151200</v>
      </c>
      <c r="S78" s="205">
        <f>604800/4</f>
        <v>151200</v>
      </c>
      <c r="T78" s="205">
        <f>604800/4</f>
        <v>151200</v>
      </c>
      <c r="U78" s="127">
        <f t="shared" si="10"/>
        <v>604800</v>
      </c>
    </row>
    <row r="79" spans="1:21" x14ac:dyDescent="0.25">
      <c r="A79" s="118">
        <v>14</v>
      </c>
      <c r="B79" s="111">
        <v>1356</v>
      </c>
      <c r="C79" s="111" t="s">
        <v>500</v>
      </c>
      <c r="D79" s="120">
        <v>67794</v>
      </c>
      <c r="E79" s="43">
        <v>3500978787</v>
      </c>
      <c r="F79" s="43" t="s">
        <v>393</v>
      </c>
      <c r="G79" s="115" t="s">
        <v>233</v>
      </c>
      <c r="H79" s="200" t="s">
        <v>376</v>
      </c>
      <c r="I79" s="134" t="s">
        <v>394</v>
      </c>
      <c r="J79" s="201"/>
      <c r="K79" s="201"/>
      <c r="L79" s="201"/>
      <c r="M79" s="201"/>
      <c r="N79" s="201"/>
      <c r="O79" s="201"/>
      <c r="P79" s="202"/>
      <c r="Q79" s="202"/>
      <c r="R79" s="202"/>
      <c r="S79" s="202"/>
      <c r="T79" s="202">
        <v>164535</v>
      </c>
      <c r="U79" s="127">
        <f t="shared" si="10"/>
        <v>164535</v>
      </c>
    </row>
    <row r="80" spans="1:21" x14ac:dyDescent="0.25">
      <c r="A80" s="110">
        <v>15</v>
      </c>
      <c r="B80" s="111">
        <v>1356</v>
      </c>
      <c r="C80" s="111" t="s">
        <v>500</v>
      </c>
      <c r="D80" s="112">
        <v>67795</v>
      </c>
      <c r="E80" s="199" t="s">
        <v>395</v>
      </c>
      <c r="F80" s="20" t="s">
        <v>396</v>
      </c>
      <c r="G80" s="115" t="s">
        <v>397</v>
      </c>
      <c r="H80" s="200" t="s">
        <v>398</v>
      </c>
      <c r="I80" s="134" t="s">
        <v>399</v>
      </c>
      <c r="J80" s="141"/>
      <c r="K80" s="141"/>
      <c r="L80" s="141"/>
      <c r="M80" s="141"/>
      <c r="N80" s="141"/>
      <c r="O80" s="141"/>
      <c r="P80" s="141"/>
      <c r="Q80" s="141"/>
      <c r="R80" s="141"/>
      <c r="S80" s="141">
        <f>40320/2</f>
        <v>20160</v>
      </c>
      <c r="T80" s="141">
        <f>40320/2</f>
        <v>20160</v>
      </c>
      <c r="U80" s="127">
        <f t="shared" si="10"/>
        <v>40320</v>
      </c>
    </row>
    <row r="81" spans="1:21" x14ac:dyDescent="0.25">
      <c r="A81" s="118">
        <v>16</v>
      </c>
      <c r="B81" s="111">
        <v>1356</v>
      </c>
      <c r="C81" s="111" t="s">
        <v>500</v>
      </c>
      <c r="D81" s="120">
        <v>67796</v>
      </c>
      <c r="E81" s="206" t="s">
        <v>400</v>
      </c>
      <c r="F81" s="42" t="s">
        <v>401</v>
      </c>
      <c r="G81" s="115" t="s">
        <v>266</v>
      </c>
      <c r="H81" s="200" t="s">
        <v>398</v>
      </c>
      <c r="I81" s="134" t="s">
        <v>399</v>
      </c>
      <c r="J81" s="129"/>
      <c r="K81" s="129"/>
      <c r="L81" s="129"/>
      <c r="M81" s="129"/>
      <c r="N81" s="129"/>
      <c r="O81" s="129"/>
      <c r="P81" s="129"/>
      <c r="Q81" s="159">
        <f>249480/4</f>
        <v>62370</v>
      </c>
      <c r="R81" s="159">
        <f>249480/4</f>
        <v>62370</v>
      </c>
      <c r="S81" s="159">
        <f>249480/4</f>
        <v>62370</v>
      </c>
      <c r="T81" s="159">
        <f>249480/4</f>
        <v>62370</v>
      </c>
      <c r="U81" s="127">
        <f t="shared" si="10"/>
        <v>249480</v>
      </c>
    </row>
    <row r="82" spans="1:21" x14ac:dyDescent="0.25">
      <c r="A82" s="110">
        <v>17</v>
      </c>
      <c r="B82" s="111">
        <v>1356</v>
      </c>
      <c r="C82" s="111" t="s">
        <v>500</v>
      </c>
      <c r="D82" s="112">
        <v>67797</v>
      </c>
      <c r="E82" s="219" t="s">
        <v>402</v>
      </c>
      <c r="F82" s="43" t="s">
        <v>403</v>
      </c>
      <c r="G82" s="115" t="s">
        <v>231</v>
      </c>
      <c r="H82" s="200" t="s">
        <v>398</v>
      </c>
      <c r="I82" s="161" t="s">
        <v>137</v>
      </c>
      <c r="J82" s="129"/>
      <c r="K82" s="129"/>
      <c r="L82" s="129"/>
      <c r="M82" s="129"/>
      <c r="N82" s="129"/>
      <c r="O82" s="129"/>
      <c r="P82" s="159"/>
      <c r="Q82" s="159"/>
      <c r="R82" s="159"/>
      <c r="S82" s="160"/>
      <c r="T82" s="160">
        <v>63360</v>
      </c>
      <c r="U82" s="127">
        <f t="shared" si="10"/>
        <v>63360</v>
      </c>
    </row>
    <row r="83" spans="1:21" x14ac:dyDescent="0.25">
      <c r="A83" s="118">
        <v>18</v>
      </c>
      <c r="B83" s="111">
        <v>1356</v>
      </c>
      <c r="C83" s="111" t="s">
        <v>500</v>
      </c>
      <c r="D83" s="120">
        <v>67798</v>
      </c>
      <c r="E83" s="220">
        <v>8004553666</v>
      </c>
      <c r="F83" s="163" t="s">
        <v>404</v>
      </c>
      <c r="G83" s="115" t="s">
        <v>218</v>
      </c>
      <c r="H83" s="200" t="s">
        <v>398</v>
      </c>
      <c r="I83" s="161" t="s">
        <v>405</v>
      </c>
      <c r="J83" s="129"/>
      <c r="K83" s="129"/>
      <c r="L83" s="129"/>
      <c r="M83" s="129"/>
      <c r="N83" s="129"/>
      <c r="O83" s="129"/>
      <c r="P83" s="129"/>
      <c r="Q83" s="159">
        <v>11970</v>
      </c>
      <c r="R83" s="160">
        <v>104049</v>
      </c>
      <c r="S83" s="160">
        <v>104049</v>
      </c>
      <c r="T83" s="160">
        <v>104049</v>
      </c>
      <c r="U83" s="127">
        <f t="shared" si="10"/>
        <v>324117</v>
      </c>
    </row>
    <row r="84" spans="1:21" x14ac:dyDescent="0.25">
      <c r="A84" s="110">
        <v>19</v>
      </c>
      <c r="B84" s="111">
        <v>1356</v>
      </c>
      <c r="C84" s="111" t="s">
        <v>500</v>
      </c>
      <c r="D84" s="112">
        <v>67799</v>
      </c>
      <c r="E84" s="43">
        <v>3500175035</v>
      </c>
      <c r="F84" s="10" t="s">
        <v>489</v>
      </c>
      <c r="G84" s="115" t="s">
        <v>406</v>
      </c>
      <c r="H84" s="200" t="s">
        <v>398</v>
      </c>
      <c r="I84" s="161" t="s">
        <v>407</v>
      </c>
      <c r="J84" s="129"/>
      <c r="K84" s="129"/>
      <c r="L84" s="129"/>
      <c r="M84" s="129"/>
      <c r="N84" s="163">
        <f t="shared" ref="N84:S84" si="12">852180/7</f>
        <v>121740</v>
      </c>
      <c r="O84" s="163">
        <f t="shared" si="12"/>
        <v>121740</v>
      </c>
      <c r="P84" s="163">
        <f t="shared" si="12"/>
        <v>121740</v>
      </c>
      <c r="Q84" s="163">
        <f t="shared" si="12"/>
        <v>121740</v>
      </c>
      <c r="R84" s="163">
        <f t="shared" si="12"/>
        <v>121740</v>
      </c>
      <c r="S84" s="163">
        <f t="shared" si="12"/>
        <v>121740</v>
      </c>
      <c r="T84" s="163">
        <f>852180/7</f>
        <v>121740</v>
      </c>
      <c r="U84" s="127">
        <f t="shared" si="10"/>
        <v>852180</v>
      </c>
    </row>
    <row r="85" spans="1:21" x14ac:dyDescent="0.25">
      <c r="A85" s="118">
        <v>20</v>
      </c>
      <c r="B85" s="111">
        <v>1356</v>
      </c>
      <c r="C85" s="111" t="s">
        <v>500</v>
      </c>
      <c r="D85" s="120">
        <v>67800</v>
      </c>
      <c r="E85" s="43">
        <v>3501329665</v>
      </c>
      <c r="F85" s="10" t="s">
        <v>490</v>
      </c>
      <c r="G85" s="115" t="s">
        <v>338</v>
      </c>
      <c r="H85" s="200" t="s">
        <v>398</v>
      </c>
      <c r="I85" s="161" t="s">
        <v>408</v>
      </c>
      <c r="J85" s="129"/>
      <c r="K85" s="129"/>
      <c r="L85" s="129"/>
      <c r="M85" s="129"/>
      <c r="N85" s="129"/>
      <c r="O85" s="129"/>
      <c r="P85" s="163">
        <f>341880/5</f>
        <v>68376</v>
      </c>
      <c r="Q85" s="163">
        <f>341880/5</f>
        <v>68376</v>
      </c>
      <c r="R85" s="163">
        <f>341880/5</f>
        <v>68376</v>
      </c>
      <c r="S85" s="163">
        <f>341880/5</f>
        <v>68376</v>
      </c>
      <c r="T85" s="163">
        <f>341880/5</f>
        <v>68376</v>
      </c>
      <c r="U85" s="127">
        <f t="shared" si="10"/>
        <v>341880</v>
      </c>
    </row>
    <row r="86" spans="1:21" x14ac:dyDescent="0.25">
      <c r="A86" s="110">
        <v>1</v>
      </c>
      <c r="B86" s="111">
        <v>1420</v>
      </c>
      <c r="C86" s="111" t="s">
        <v>500</v>
      </c>
      <c r="D86" s="112">
        <v>70951</v>
      </c>
      <c r="E86" s="43" t="s">
        <v>409</v>
      </c>
      <c r="F86" s="43" t="s">
        <v>410</v>
      </c>
      <c r="G86" s="115" t="s">
        <v>186</v>
      </c>
      <c r="H86" s="200" t="s">
        <v>411</v>
      </c>
      <c r="I86" s="115">
        <v>150</v>
      </c>
      <c r="J86" s="115"/>
      <c r="K86" s="115"/>
      <c r="L86" s="115"/>
      <c r="M86" s="115"/>
      <c r="N86" s="116"/>
      <c r="O86" s="116"/>
      <c r="P86" s="116"/>
      <c r="Q86" s="116"/>
      <c r="R86" s="116"/>
      <c r="S86" s="116"/>
      <c r="T86" s="116">
        <v>148500</v>
      </c>
      <c r="U86" s="127">
        <f>SUM(J86:T86)</f>
        <v>148500</v>
      </c>
    </row>
    <row r="87" spans="1:21" x14ac:dyDescent="0.25">
      <c r="A87" s="118">
        <v>2</v>
      </c>
      <c r="B87" s="111">
        <v>1420</v>
      </c>
      <c r="C87" s="111" t="s">
        <v>500</v>
      </c>
      <c r="D87" s="120">
        <v>70952</v>
      </c>
      <c r="E87" s="43" t="s">
        <v>412</v>
      </c>
      <c r="F87" s="10" t="s">
        <v>413</v>
      </c>
      <c r="G87" s="115" t="s">
        <v>414</v>
      </c>
      <c r="H87" s="200" t="s">
        <v>411</v>
      </c>
      <c r="I87" s="123">
        <v>106.3</v>
      </c>
      <c r="J87" s="124"/>
      <c r="K87" s="124"/>
      <c r="L87" s="124"/>
      <c r="M87" s="124"/>
      <c r="N87" s="126">
        <f t="shared" ref="N87:S87" si="13">154700/7</f>
        <v>22100</v>
      </c>
      <c r="O87" s="126">
        <f t="shared" si="13"/>
        <v>22100</v>
      </c>
      <c r="P87" s="126">
        <f t="shared" si="13"/>
        <v>22100</v>
      </c>
      <c r="Q87" s="126">
        <f t="shared" si="13"/>
        <v>22100</v>
      </c>
      <c r="R87" s="126">
        <f t="shared" si="13"/>
        <v>22100</v>
      </c>
      <c r="S87" s="126">
        <f t="shared" si="13"/>
        <v>22100</v>
      </c>
      <c r="T87" s="126">
        <f>154700/7</f>
        <v>22100</v>
      </c>
      <c r="U87" s="127">
        <f t="shared" ref="U87:U115" si="14">SUM(J87:T87)</f>
        <v>154700</v>
      </c>
    </row>
    <row r="88" spans="1:21" x14ac:dyDescent="0.25">
      <c r="A88" s="110">
        <v>3</v>
      </c>
      <c r="B88" s="111">
        <v>1420</v>
      </c>
      <c r="C88" s="111" t="s">
        <v>500</v>
      </c>
      <c r="D88" s="112">
        <v>70953</v>
      </c>
      <c r="E88" s="198">
        <v>3501386254</v>
      </c>
      <c r="F88" s="199" t="s">
        <v>415</v>
      </c>
      <c r="G88" s="115" t="s">
        <v>416</v>
      </c>
      <c r="H88" s="200" t="s">
        <v>417</v>
      </c>
      <c r="I88" s="128">
        <v>115</v>
      </c>
      <c r="J88" s="129"/>
      <c r="K88" s="129"/>
      <c r="L88" s="129"/>
      <c r="M88" s="129"/>
      <c r="N88" s="129"/>
      <c r="O88" s="129"/>
      <c r="P88" s="129"/>
      <c r="Q88" s="129"/>
      <c r="R88" s="127"/>
      <c r="S88" s="127"/>
      <c r="T88" s="127">
        <v>193200</v>
      </c>
      <c r="U88" s="127">
        <f t="shared" si="14"/>
        <v>193200</v>
      </c>
    </row>
    <row r="89" spans="1:21" x14ac:dyDescent="0.25">
      <c r="A89" s="118">
        <v>4</v>
      </c>
      <c r="B89" s="111">
        <v>1420</v>
      </c>
      <c r="C89" s="111" t="s">
        <v>500</v>
      </c>
      <c r="D89" s="120">
        <v>70954</v>
      </c>
      <c r="E89" s="191">
        <v>3500903710</v>
      </c>
      <c r="F89" s="52" t="s">
        <v>418</v>
      </c>
      <c r="G89" s="115" t="s">
        <v>242</v>
      </c>
      <c r="H89" s="200" t="s">
        <v>417</v>
      </c>
      <c r="I89" s="128">
        <v>96.9</v>
      </c>
      <c r="J89" s="201"/>
      <c r="K89" s="201"/>
      <c r="L89" s="201"/>
      <c r="M89" s="201"/>
      <c r="N89" s="201"/>
      <c r="O89" s="201"/>
      <c r="P89" s="201"/>
      <c r="Q89" s="202"/>
      <c r="R89" s="202"/>
      <c r="S89" s="202"/>
      <c r="T89" s="202">
        <v>80582</v>
      </c>
      <c r="U89" s="127">
        <f t="shared" si="14"/>
        <v>80582</v>
      </c>
    </row>
    <row r="90" spans="1:21" x14ac:dyDescent="0.25">
      <c r="A90" s="110">
        <v>5</v>
      </c>
      <c r="B90" s="111">
        <v>1420</v>
      </c>
      <c r="C90" s="111" t="s">
        <v>500</v>
      </c>
      <c r="D90" s="112">
        <v>70955</v>
      </c>
      <c r="E90" s="43">
        <v>8461073678</v>
      </c>
      <c r="F90" s="221" t="s">
        <v>419</v>
      </c>
      <c r="G90" s="115" t="s">
        <v>420</v>
      </c>
      <c r="H90" s="200" t="s">
        <v>417</v>
      </c>
      <c r="I90" s="132" t="s">
        <v>421</v>
      </c>
      <c r="J90" s="133"/>
      <c r="K90" s="133"/>
      <c r="L90" s="133"/>
      <c r="M90" s="133"/>
      <c r="N90" s="133"/>
      <c r="O90" s="202"/>
      <c r="P90" s="202"/>
      <c r="Q90" s="202"/>
      <c r="R90" s="202"/>
      <c r="S90" s="202"/>
      <c r="T90" s="202">
        <v>99099</v>
      </c>
      <c r="U90" s="127">
        <f t="shared" si="14"/>
        <v>99099</v>
      </c>
    </row>
    <row r="91" spans="1:21" x14ac:dyDescent="0.25">
      <c r="A91" s="118">
        <v>6</v>
      </c>
      <c r="B91" s="111">
        <v>1420</v>
      </c>
      <c r="C91" s="111" t="s">
        <v>500</v>
      </c>
      <c r="D91" s="120">
        <v>70956</v>
      </c>
      <c r="E91" s="43">
        <v>8344373283</v>
      </c>
      <c r="F91" s="10" t="s">
        <v>422</v>
      </c>
      <c r="G91" s="115" t="s">
        <v>338</v>
      </c>
      <c r="H91" s="200" t="s">
        <v>423</v>
      </c>
      <c r="I91" s="134" t="s">
        <v>137</v>
      </c>
      <c r="J91" s="135"/>
      <c r="K91" s="135"/>
      <c r="L91" s="135"/>
      <c r="M91" s="135"/>
      <c r="N91" s="135"/>
      <c r="O91" s="202"/>
      <c r="P91" s="202"/>
      <c r="Q91" s="202"/>
      <c r="R91" s="202"/>
      <c r="S91" s="202"/>
      <c r="T91" s="202">
        <v>55440</v>
      </c>
      <c r="U91" s="127">
        <f t="shared" si="14"/>
        <v>55440</v>
      </c>
    </row>
    <row r="92" spans="1:21" x14ac:dyDescent="0.25">
      <c r="A92" s="110">
        <v>7</v>
      </c>
      <c r="B92" s="111">
        <v>1420</v>
      </c>
      <c r="C92" s="111" t="s">
        <v>500</v>
      </c>
      <c r="D92" s="112">
        <v>70957</v>
      </c>
      <c r="E92" s="198">
        <v>3500271959</v>
      </c>
      <c r="F92" s="199" t="s">
        <v>424</v>
      </c>
      <c r="G92" s="115" t="s">
        <v>306</v>
      </c>
      <c r="H92" s="200" t="s">
        <v>423</v>
      </c>
      <c r="I92" s="134" t="s">
        <v>137</v>
      </c>
      <c r="J92" s="135"/>
      <c r="K92" s="135"/>
      <c r="L92" s="135"/>
      <c r="M92" s="135"/>
      <c r="N92" s="135"/>
      <c r="O92" s="135"/>
      <c r="P92" s="135"/>
      <c r="Q92" s="135"/>
      <c r="R92" s="136"/>
      <c r="S92" s="136">
        <f>266112/2</f>
        <v>133056</v>
      </c>
      <c r="T92" s="136">
        <f>266112/2</f>
        <v>133056</v>
      </c>
      <c r="U92" s="127">
        <f t="shared" si="14"/>
        <v>266112</v>
      </c>
    </row>
    <row r="93" spans="1:21" x14ac:dyDescent="0.25">
      <c r="A93" s="118">
        <v>8</v>
      </c>
      <c r="B93" s="111">
        <v>1420</v>
      </c>
      <c r="C93" s="111" t="s">
        <v>500</v>
      </c>
      <c r="D93" s="120">
        <v>70958</v>
      </c>
      <c r="E93" s="198">
        <v>3502246235</v>
      </c>
      <c r="F93" s="199" t="s">
        <v>425</v>
      </c>
      <c r="G93" s="115" t="s">
        <v>299</v>
      </c>
      <c r="H93" s="200" t="s">
        <v>423</v>
      </c>
      <c r="I93" s="137" t="s">
        <v>325</v>
      </c>
      <c r="J93" s="138"/>
      <c r="K93" s="138"/>
      <c r="L93" s="138"/>
      <c r="M93" s="138"/>
      <c r="N93" s="138"/>
      <c r="O93" s="138"/>
      <c r="P93" s="138"/>
      <c r="Q93" s="139">
        <f>504000/4</f>
        <v>126000</v>
      </c>
      <c r="R93" s="139">
        <f>504000/4</f>
        <v>126000</v>
      </c>
      <c r="S93" s="139">
        <f>504000/4</f>
        <v>126000</v>
      </c>
      <c r="T93" s="139">
        <f>504000/4</f>
        <v>126000</v>
      </c>
      <c r="U93" s="127">
        <f t="shared" si="14"/>
        <v>504000</v>
      </c>
    </row>
    <row r="94" spans="1:21" x14ac:dyDescent="0.25">
      <c r="A94" s="110">
        <v>9</v>
      </c>
      <c r="B94" s="111">
        <v>1420</v>
      </c>
      <c r="C94" s="111" t="s">
        <v>500</v>
      </c>
      <c r="D94" s="112">
        <v>70959</v>
      </c>
      <c r="E94" s="43">
        <v>8338226629</v>
      </c>
      <c r="F94" s="10" t="s">
        <v>426</v>
      </c>
      <c r="G94" s="115" t="s">
        <v>242</v>
      </c>
      <c r="H94" s="200" t="s">
        <v>423</v>
      </c>
      <c r="I94" s="134" t="s">
        <v>131</v>
      </c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>
        <v>59400</v>
      </c>
      <c r="U94" s="127">
        <f t="shared" si="14"/>
        <v>59400</v>
      </c>
    </row>
    <row r="95" spans="1:21" x14ac:dyDescent="0.25">
      <c r="A95" s="118">
        <v>10</v>
      </c>
      <c r="B95" s="111">
        <v>1420</v>
      </c>
      <c r="C95" s="111" t="s">
        <v>500</v>
      </c>
      <c r="D95" s="120">
        <v>70960</v>
      </c>
      <c r="E95" s="43" t="s">
        <v>427</v>
      </c>
      <c r="F95" s="10" t="s">
        <v>428</v>
      </c>
      <c r="G95" s="115" t="s">
        <v>227</v>
      </c>
      <c r="H95" s="200" t="s">
        <v>423</v>
      </c>
      <c r="I95" s="142" t="s">
        <v>429</v>
      </c>
      <c r="J95" s="143"/>
      <c r="K95" s="143"/>
      <c r="L95" s="143"/>
      <c r="M95" s="143"/>
      <c r="N95" s="143"/>
      <c r="O95" s="143"/>
      <c r="P95" s="143"/>
      <c r="Q95" s="143"/>
      <c r="R95" s="214"/>
      <c r="S95" s="214"/>
      <c r="T95" s="214">
        <v>247152</v>
      </c>
      <c r="U95" s="127">
        <f t="shared" si="14"/>
        <v>247152</v>
      </c>
    </row>
    <row r="96" spans="1:21" x14ac:dyDescent="0.25">
      <c r="A96" s="110">
        <v>11</v>
      </c>
      <c r="B96" s="111">
        <v>1420</v>
      </c>
      <c r="C96" s="111" t="s">
        <v>500</v>
      </c>
      <c r="D96" s="112">
        <v>70961</v>
      </c>
      <c r="E96" s="43">
        <v>8744269992</v>
      </c>
      <c r="F96" s="10" t="s">
        <v>430</v>
      </c>
      <c r="G96" s="115" t="s">
        <v>392</v>
      </c>
      <c r="H96" s="200" t="s">
        <v>431</v>
      </c>
      <c r="I96" s="142" t="s">
        <v>432</v>
      </c>
      <c r="J96" s="144"/>
      <c r="K96" s="144"/>
      <c r="L96" s="144"/>
      <c r="M96" s="145">
        <f t="shared" ref="M96:S96" si="15">1543920/8</f>
        <v>192990</v>
      </c>
      <c r="N96" s="145">
        <f t="shared" si="15"/>
        <v>192990</v>
      </c>
      <c r="O96" s="145">
        <f t="shared" si="15"/>
        <v>192990</v>
      </c>
      <c r="P96" s="145">
        <f t="shared" si="15"/>
        <v>192990</v>
      </c>
      <c r="Q96" s="145">
        <f t="shared" si="15"/>
        <v>192990</v>
      </c>
      <c r="R96" s="145">
        <f t="shared" si="15"/>
        <v>192990</v>
      </c>
      <c r="S96" s="145">
        <f t="shared" si="15"/>
        <v>192990</v>
      </c>
      <c r="T96" s="145">
        <f>1543920/8</f>
        <v>192990</v>
      </c>
      <c r="U96" s="127">
        <f t="shared" si="14"/>
        <v>1543920</v>
      </c>
    </row>
    <row r="97" spans="1:21" x14ac:dyDescent="0.25">
      <c r="A97" s="118">
        <v>12</v>
      </c>
      <c r="B97" s="111">
        <v>1420</v>
      </c>
      <c r="C97" s="111" t="s">
        <v>500</v>
      </c>
      <c r="D97" s="120">
        <v>70962</v>
      </c>
      <c r="E97" s="198">
        <v>8293527052</v>
      </c>
      <c r="F97" s="43" t="s">
        <v>433</v>
      </c>
      <c r="G97" s="115" t="s">
        <v>434</v>
      </c>
      <c r="H97" s="200" t="s">
        <v>431</v>
      </c>
      <c r="I97" s="134" t="s">
        <v>172</v>
      </c>
      <c r="J97" s="135"/>
      <c r="K97" s="127">
        <f t="shared" ref="K97:S97" si="16">840000/10</f>
        <v>84000</v>
      </c>
      <c r="L97" s="127">
        <f t="shared" si="16"/>
        <v>84000</v>
      </c>
      <c r="M97" s="127">
        <f t="shared" si="16"/>
        <v>84000</v>
      </c>
      <c r="N97" s="127">
        <f t="shared" si="16"/>
        <v>84000</v>
      </c>
      <c r="O97" s="127">
        <f t="shared" si="16"/>
        <v>84000</v>
      </c>
      <c r="P97" s="127">
        <f t="shared" si="16"/>
        <v>84000</v>
      </c>
      <c r="Q97" s="127">
        <f t="shared" si="16"/>
        <v>84000</v>
      </c>
      <c r="R97" s="127">
        <f t="shared" si="16"/>
        <v>84000</v>
      </c>
      <c r="S97" s="127">
        <f t="shared" si="16"/>
        <v>84000</v>
      </c>
      <c r="T97" s="127">
        <f>840000/10</f>
        <v>84000</v>
      </c>
      <c r="U97" s="127">
        <f t="shared" si="14"/>
        <v>840000</v>
      </c>
    </row>
    <row r="98" spans="1:21" x14ac:dyDescent="0.25">
      <c r="A98" s="110">
        <v>13</v>
      </c>
      <c r="B98" s="111">
        <v>1420</v>
      </c>
      <c r="C98" s="111" t="s">
        <v>500</v>
      </c>
      <c r="D98" s="112">
        <v>70963</v>
      </c>
      <c r="E98" s="222" t="s">
        <v>435</v>
      </c>
      <c r="F98" s="10" t="s">
        <v>436</v>
      </c>
      <c r="G98" s="115" t="s">
        <v>437</v>
      </c>
      <c r="H98" s="200" t="s">
        <v>431</v>
      </c>
      <c r="I98" s="203" t="s">
        <v>438</v>
      </c>
      <c r="J98" s="144"/>
      <c r="K98" s="144"/>
      <c r="L98" s="144"/>
      <c r="M98" s="144"/>
      <c r="N98" s="144"/>
      <c r="O98" s="144"/>
      <c r="P98" s="144"/>
      <c r="Q98" s="144"/>
      <c r="R98" s="144"/>
      <c r="S98" s="205"/>
      <c r="T98" s="205">
        <v>99198</v>
      </c>
      <c r="U98" s="127">
        <f t="shared" si="14"/>
        <v>99198</v>
      </c>
    </row>
    <row r="99" spans="1:21" x14ac:dyDescent="0.25">
      <c r="A99" s="118">
        <v>14</v>
      </c>
      <c r="B99" s="111">
        <v>1420</v>
      </c>
      <c r="C99" s="111" t="s">
        <v>500</v>
      </c>
      <c r="D99" s="120">
        <v>70964</v>
      </c>
      <c r="E99" s="43">
        <v>8142305481</v>
      </c>
      <c r="F99" s="43" t="s">
        <v>491</v>
      </c>
      <c r="G99" s="115" t="s">
        <v>338</v>
      </c>
      <c r="H99" s="200" t="s">
        <v>431</v>
      </c>
      <c r="I99" s="134" t="s">
        <v>225</v>
      </c>
      <c r="J99" s="201"/>
      <c r="K99" s="201"/>
      <c r="L99" s="201"/>
      <c r="M99" s="201"/>
      <c r="N99" s="201"/>
      <c r="O99" s="201"/>
      <c r="P99" s="202"/>
      <c r="Q99" s="202"/>
      <c r="R99" s="202"/>
      <c r="S99" s="202">
        <f>630000/2</f>
        <v>315000</v>
      </c>
      <c r="T99" s="202">
        <f>630000/2</f>
        <v>315000</v>
      </c>
      <c r="U99" s="127">
        <f t="shared" si="14"/>
        <v>630000</v>
      </c>
    </row>
    <row r="100" spans="1:21" x14ac:dyDescent="0.25">
      <c r="A100" s="110">
        <v>15</v>
      </c>
      <c r="B100" s="111">
        <v>1420</v>
      </c>
      <c r="C100" s="111" t="s">
        <v>500</v>
      </c>
      <c r="D100" s="112">
        <v>70965</v>
      </c>
      <c r="E100" s="223" t="s">
        <v>439</v>
      </c>
      <c r="F100" s="60" t="s">
        <v>440</v>
      </c>
      <c r="G100" s="115" t="s">
        <v>227</v>
      </c>
      <c r="H100" s="200" t="s">
        <v>431</v>
      </c>
      <c r="I100" s="134" t="s">
        <v>283</v>
      </c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>
        <v>498960</v>
      </c>
      <c r="U100" s="127">
        <f t="shared" si="14"/>
        <v>498960</v>
      </c>
    </row>
    <row r="101" spans="1:21" x14ac:dyDescent="0.25">
      <c r="A101" s="118">
        <v>16</v>
      </c>
      <c r="B101" s="111">
        <v>1420</v>
      </c>
      <c r="C101" s="111" t="s">
        <v>500</v>
      </c>
      <c r="D101" s="120">
        <v>70966</v>
      </c>
      <c r="E101" s="224" t="s">
        <v>441</v>
      </c>
      <c r="F101" s="60" t="s">
        <v>442</v>
      </c>
      <c r="G101" s="115" t="s">
        <v>443</v>
      </c>
      <c r="H101" s="200" t="s">
        <v>444</v>
      </c>
      <c r="I101" s="134" t="s">
        <v>283</v>
      </c>
      <c r="J101" s="129"/>
      <c r="K101" s="129"/>
      <c r="L101" s="129"/>
      <c r="M101" s="129"/>
      <c r="N101" s="129"/>
      <c r="O101" s="129"/>
      <c r="P101" s="129"/>
      <c r="Q101" s="129"/>
      <c r="R101" s="159"/>
      <c r="S101" s="159"/>
      <c r="T101" s="159">
        <v>207900</v>
      </c>
      <c r="U101" s="127">
        <f t="shared" si="14"/>
        <v>207900</v>
      </c>
    </row>
    <row r="102" spans="1:21" x14ac:dyDescent="0.25">
      <c r="A102" s="110">
        <v>17</v>
      </c>
      <c r="B102" s="111">
        <v>1420</v>
      </c>
      <c r="C102" s="111" t="s">
        <v>500</v>
      </c>
      <c r="D102" s="112">
        <v>70967</v>
      </c>
      <c r="E102" s="191" t="s">
        <v>445</v>
      </c>
      <c r="F102" s="52" t="s">
        <v>446</v>
      </c>
      <c r="G102" s="115" t="s">
        <v>218</v>
      </c>
      <c r="H102" s="200" t="s">
        <v>444</v>
      </c>
      <c r="I102" s="161" t="s">
        <v>237</v>
      </c>
      <c r="J102" s="129"/>
      <c r="K102" s="129"/>
      <c r="L102" s="129"/>
      <c r="M102" s="129"/>
      <c r="N102" s="129"/>
      <c r="O102" s="129"/>
      <c r="P102" s="159"/>
      <c r="Q102" s="159"/>
      <c r="R102" s="159"/>
      <c r="S102" s="160"/>
      <c r="T102" s="160">
        <v>68884</v>
      </c>
      <c r="U102" s="127">
        <f t="shared" si="14"/>
        <v>68884</v>
      </c>
    </row>
    <row r="103" spans="1:21" x14ac:dyDescent="0.25">
      <c r="A103" s="118">
        <v>18</v>
      </c>
      <c r="B103" s="111">
        <v>1420</v>
      </c>
      <c r="C103" s="111" t="s">
        <v>500</v>
      </c>
      <c r="D103" s="120">
        <v>70968</v>
      </c>
      <c r="E103" s="215">
        <v>3501067145</v>
      </c>
      <c r="F103" s="225" t="s">
        <v>492</v>
      </c>
      <c r="G103" s="115" t="s">
        <v>233</v>
      </c>
      <c r="H103" s="200" t="s">
        <v>444</v>
      </c>
      <c r="I103" s="161" t="s">
        <v>447</v>
      </c>
      <c r="J103" s="129"/>
      <c r="K103" s="129"/>
      <c r="L103" s="129"/>
      <c r="M103" s="129"/>
      <c r="N103" s="129"/>
      <c r="O103" s="129"/>
      <c r="P103" s="129"/>
      <c r="Q103" s="159"/>
      <c r="R103" s="160">
        <f>376866/3</f>
        <v>125622</v>
      </c>
      <c r="S103" s="160">
        <f>376866/3</f>
        <v>125622</v>
      </c>
      <c r="T103" s="160">
        <f>376866/3</f>
        <v>125622</v>
      </c>
      <c r="U103" s="127">
        <f t="shared" si="14"/>
        <v>376866</v>
      </c>
    </row>
    <row r="104" spans="1:21" x14ac:dyDescent="0.25">
      <c r="A104" s="110">
        <v>19</v>
      </c>
      <c r="B104" s="111">
        <v>1420</v>
      </c>
      <c r="C104" s="111" t="s">
        <v>500</v>
      </c>
      <c r="D104" s="112">
        <v>70969</v>
      </c>
      <c r="E104" s="43" t="s">
        <v>448</v>
      </c>
      <c r="F104" s="10" t="s">
        <v>449</v>
      </c>
      <c r="G104" s="115" t="s">
        <v>218</v>
      </c>
      <c r="H104" s="200" t="s">
        <v>444</v>
      </c>
      <c r="I104" s="161" t="s">
        <v>450</v>
      </c>
      <c r="J104" s="129"/>
      <c r="K104" s="129"/>
      <c r="L104" s="129"/>
      <c r="M104" s="129"/>
      <c r="N104" s="129"/>
      <c r="O104" s="129"/>
      <c r="P104" s="159"/>
      <c r="Q104" s="159"/>
      <c r="R104" s="159"/>
      <c r="S104" s="163"/>
      <c r="T104" s="163">
        <v>213147</v>
      </c>
      <c r="U104" s="127">
        <f t="shared" si="14"/>
        <v>213147</v>
      </c>
    </row>
    <row r="105" spans="1:21" x14ac:dyDescent="0.25">
      <c r="A105" s="118">
        <v>20</v>
      </c>
      <c r="B105" s="111">
        <v>1420</v>
      </c>
      <c r="C105" s="111" t="s">
        <v>500</v>
      </c>
      <c r="D105" s="120">
        <v>70970</v>
      </c>
      <c r="E105" s="226">
        <v>8171771952</v>
      </c>
      <c r="F105" s="188" t="s">
        <v>493</v>
      </c>
      <c r="G105" s="115" t="s">
        <v>233</v>
      </c>
      <c r="H105" s="200" t="s">
        <v>451</v>
      </c>
      <c r="I105" s="161" t="s">
        <v>263</v>
      </c>
      <c r="J105" s="129"/>
      <c r="K105" s="129"/>
      <c r="L105" s="129"/>
      <c r="M105" s="129"/>
      <c r="N105" s="129"/>
      <c r="O105" s="129"/>
      <c r="P105" s="159"/>
      <c r="Q105" s="159"/>
      <c r="R105" s="159"/>
      <c r="S105" s="163"/>
      <c r="T105" s="163">
        <v>88803</v>
      </c>
      <c r="U105" s="127">
        <f t="shared" si="14"/>
        <v>88803</v>
      </c>
    </row>
    <row r="106" spans="1:21" x14ac:dyDescent="0.25">
      <c r="A106" s="110">
        <v>21</v>
      </c>
      <c r="B106" s="111">
        <v>1420</v>
      </c>
      <c r="C106" s="111" t="s">
        <v>500</v>
      </c>
      <c r="D106" s="112">
        <v>70971</v>
      </c>
      <c r="E106" s="43">
        <v>8019995120</v>
      </c>
      <c r="F106" s="227" t="s">
        <v>452</v>
      </c>
      <c r="G106" s="115" t="s">
        <v>233</v>
      </c>
      <c r="H106" s="200" t="s">
        <v>451</v>
      </c>
      <c r="I106" s="161" t="s">
        <v>453</v>
      </c>
      <c r="J106" s="129"/>
      <c r="K106" s="129"/>
      <c r="L106" s="129"/>
      <c r="M106" s="129"/>
      <c r="N106" s="129"/>
      <c r="O106" s="129"/>
      <c r="P106" s="159"/>
      <c r="Q106" s="159"/>
      <c r="R106" s="160"/>
      <c r="S106" s="160"/>
      <c r="T106" s="160">
        <v>72981</v>
      </c>
      <c r="U106" s="127">
        <f t="shared" si="14"/>
        <v>72981</v>
      </c>
    </row>
    <row r="107" spans="1:21" x14ac:dyDescent="0.25">
      <c r="A107" s="118">
        <v>22</v>
      </c>
      <c r="B107" s="111">
        <v>1420</v>
      </c>
      <c r="C107" s="111" t="s">
        <v>500</v>
      </c>
      <c r="D107" s="120">
        <v>70972</v>
      </c>
      <c r="E107" s="43">
        <v>8019995120</v>
      </c>
      <c r="F107" s="227" t="s">
        <v>454</v>
      </c>
      <c r="G107" s="115" t="s">
        <v>327</v>
      </c>
      <c r="H107" s="200" t="s">
        <v>451</v>
      </c>
      <c r="I107" s="161" t="s">
        <v>455</v>
      </c>
      <c r="J107" s="129"/>
      <c r="K107" s="129"/>
      <c r="L107" s="129"/>
      <c r="M107" s="129"/>
      <c r="N107" s="129"/>
      <c r="O107" s="159"/>
      <c r="P107" s="159"/>
      <c r="Q107" s="159"/>
      <c r="R107" s="159"/>
      <c r="S107" s="160"/>
      <c r="T107" s="160">
        <v>61717</v>
      </c>
      <c r="U107" s="127">
        <f t="shared" si="14"/>
        <v>61717</v>
      </c>
    </row>
    <row r="108" spans="1:21" x14ac:dyDescent="0.25">
      <c r="A108" s="110">
        <v>23</v>
      </c>
      <c r="B108" s="111">
        <v>1420</v>
      </c>
      <c r="C108" s="111" t="s">
        <v>500</v>
      </c>
      <c r="D108" s="112">
        <v>70973</v>
      </c>
      <c r="E108" s="43" t="s">
        <v>456</v>
      </c>
      <c r="F108" s="10" t="s">
        <v>457</v>
      </c>
      <c r="G108" s="115" t="s">
        <v>242</v>
      </c>
      <c r="H108" s="200" t="s">
        <v>451</v>
      </c>
      <c r="I108" s="161" t="s">
        <v>458</v>
      </c>
      <c r="J108" s="129"/>
      <c r="K108" s="129"/>
      <c r="L108" s="129"/>
      <c r="M108" s="129"/>
      <c r="N108" s="129"/>
      <c r="O108" s="129"/>
      <c r="P108" s="159"/>
      <c r="Q108" s="159"/>
      <c r="R108" s="160"/>
      <c r="S108" s="160">
        <f>896448/2</f>
        <v>448224</v>
      </c>
      <c r="T108" s="160">
        <f>896448/2</f>
        <v>448224</v>
      </c>
      <c r="U108" s="127">
        <f t="shared" si="14"/>
        <v>896448</v>
      </c>
    </row>
    <row r="109" spans="1:21" x14ac:dyDescent="0.25">
      <c r="A109" s="118">
        <v>24</v>
      </c>
      <c r="B109" s="111">
        <v>1420</v>
      </c>
      <c r="C109" s="111" t="s">
        <v>500</v>
      </c>
      <c r="D109" s="120">
        <v>70974</v>
      </c>
      <c r="E109" s="217">
        <v>3500177459</v>
      </c>
      <c r="F109" s="218" t="s">
        <v>459</v>
      </c>
      <c r="G109" s="115" t="s">
        <v>416</v>
      </c>
      <c r="H109" s="200" t="s">
        <v>451</v>
      </c>
      <c r="I109" s="161" t="s">
        <v>225</v>
      </c>
      <c r="J109" s="129"/>
      <c r="K109" s="129"/>
      <c r="L109" s="129"/>
      <c r="M109" s="129"/>
      <c r="N109" s="129"/>
      <c r="O109" s="160"/>
      <c r="P109" s="160">
        <f>207900/5</f>
        <v>41580</v>
      </c>
      <c r="Q109" s="160">
        <f>207900/5</f>
        <v>41580</v>
      </c>
      <c r="R109" s="160">
        <f>207900/5</f>
        <v>41580</v>
      </c>
      <c r="S109" s="160">
        <f>207900/5</f>
        <v>41580</v>
      </c>
      <c r="T109" s="160">
        <f>207900/5</f>
        <v>41580</v>
      </c>
      <c r="U109" s="127">
        <f t="shared" si="14"/>
        <v>207900</v>
      </c>
    </row>
    <row r="110" spans="1:21" x14ac:dyDescent="0.25">
      <c r="A110" s="110">
        <v>25</v>
      </c>
      <c r="B110" s="111">
        <v>1420</v>
      </c>
      <c r="C110" s="111" t="s">
        <v>500</v>
      </c>
      <c r="D110" s="112">
        <v>70975</v>
      </c>
      <c r="E110" s="217">
        <v>8040845738</v>
      </c>
      <c r="F110" s="218" t="s">
        <v>460</v>
      </c>
      <c r="G110" s="115" t="s">
        <v>416</v>
      </c>
      <c r="H110" s="200" t="s">
        <v>451</v>
      </c>
      <c r="I110" s="142" t="s">
        <v>148</v>
      </c>
      <c r="J110" s="129"/>
      <c r="K110" s="129"/>
      <c r="L110" s="129"/>
      <c r="M110" s="129"/>
      <c r="N110" s="129"/>
      <c r="O110" s="160"/>
      <c r="P110" s="160"/>
      <c r="Q110" s="160"/>
      <c r="R110" s="160"/>
      <c r="S110" s="160"/>
      <c r="T110" s="160">
        <v>136376</v>
      </c>
      <c r="U110" s="127">
        <f t="shared" si="14"/>
        <v>136376</v>
      </c>
    </row>
    <row r="111" spans="1:21" x14ac:dyDescent="0.25">
      <c r="A111" s="118">
        <v>26</v>
      </c>
      <c r="B111" s="111">
        <v>1420</v>
      </c>
      <c r="C111" s="111" t="s">
        <v>500</v>
      </c>
      <c r="D111" s="120">
        <v>70976</v>
      </c>
      <c r="E111" s="217">
        <v>3501267017</v>
      </c>
      <c r="F111" s="218" t="s">
        <v>461</v>
      </c>
      <c r="G111" s="115" t="s">
        <v>302</v>
      </c>
      <c r="H111" s="200" t="s">
        <v>451</v>
      </c>
      <c r="I111" s="161" t="s">
        <v>462</v>
      </c>
      <c r="J111" s="129"/>
      <c r="K111" s="129"/>
      <c r="L111" s="129"/>
      <c r="M111" s="129"/>
      <c r="N111" s="129"/>
      <c r="O111" s="160"/>
      <c r="P111" s="160"/>
      <c r="Q111" s="160"/>
      <c r="R111" s="160"/>
      <c r="S111" s="160">
        <f>153180/2</f>
        <v>76590</v>
      </c>
      <c r="T111" s="160">
        <f>153180/2</f>
        <v>76590</v>
      </c>
      <c r="U111" s="127">
        <f t="shared" si="14"/>
        <v>153180</v>
      </c>
    </row>
    <row r="112" spans="1:21" x14ac:dyDescent="0.25">
      <c r="A112" s="110">
        <v>27</v>
      </c>
      <c r="B112" s="111">
        <v>1420</v>
      </c>
      <c r="C112" s="111" t="s">
        <v>500</v>
      </c>
      <c r="D112" s="112">
        <v>70977</v>
      </c>
      <c r="E112" s="43">
        <v>8304396686</v>
      </c>
      <c r="F112" s="42" t="s">
        <v>463</v>
      </c>
      <c r="G112" s="115" t="s">
        <v>464</v>
      </c>
      <c r="H112" s="200" t="s">
        <v>451</v>
      </c>
      <c r="I112" s="161" t="s">
        <v>465</v>
      </c>
      <c r="J112" s="129"/>
      <c r="K112" s="129"/>
      <c r="L112" s="129"/>
      <c r="M112" s="129"/>
      <c r="N112" s="129"/>
      <c r="O112" s="129"/>
      <c r="P112" s="160"/>
      <c r="Q112" s="160"/>
      <c r="R112" s="160"/>
      <c r="S112" s="160"/>
      <c r="T112" s="160">
        <v>167805</v>
      </c>
      <c r="U112" s="127">
        <f t="shared" si="14"/>
        <v>167805</v>
      </c>
    </row>
    <row r="113" spans="1:21" x14ac:dyDescent="0.25">
      <c r="A113" s="118">
        <v>28</v>
      </c>
      <c r="B113" s="111">
        <v>1420</v>
      </c>
      <c r="C113" s="111" t="s">
        <v>500</v>
      </c>
      <c r="D113" s="120">
        <v>70978</v>
      </c>
      <c r="E113" s="43">
        <v>8526355578</v>
      </c>
      <c r="F113" s="42" t="s">
        <v>466</v>
      </c>
      <c r="G113" s="115" t="s">
        <v>467</v>
      </c>
      <c r="H113" s="200" t="s">
        <v>451</v>
      </c>
      <c r="I113" s="200" t="s">
        <v>139</v>
      </c>
      <c r="J113" s="129"/>
      <c r="K113" s="129"/>
      <c r="L113" s="129"/>
      <c r="M113" s="129"/>
      <c r="N113" s="129"/>
      <c r="O113" s="129"/>
      <c r="P113" s="160"/>
      <c r="Q113" s="160"/>
      <c r="R113" s="160"/>
      <c r="S113" s="160"/>
      <c r="T113" s="160">
        <v>79002</v>
      </c>
      <c r="U113" s="127">
        <f t="shared" si="14"/>
        <v>79002</v>
      </c>
    </row>
    <row r="114" spans="1:21" x14ac:dyDescent="0.25">
      <c r="A114" s="110">
        <v>29</v>
      </c>
      <c r="B114" s="111">
        <v>1420</v>
      </c>
      <c r="C114" s="111" t="s">
        <v>500</v>
      </c>
      <c r="D114" s="112">
        <v>70979</v>
      </c>
      <c r="E114" s="43">
        <v>3500974327</v>
      </c>
      <c r="F114" s="42" t="s">
        <v>494</v>
      </c>
      <c r="G114" s="115" t="s">
        <v>468</v>
      </c>
      <c r="H114" s="200" t="s">
        <v>451</v>
      </c>
      <c r="I114" s="161" t="s">
        <v>469</v>
      </c>
      <c r="J114" s="129"/>
      <c r="K114" s="129"/>
      <c r="L114" s="129"/>
      <c r="M114" s="129"/>
      <c r="N114" s="129"/>
      <c r="O114" s="129"/>
      <c r="P114" s="160"/>
      <c r="Q114" s="160"/>
      <c r="R114" s="160"/>
      <c r="S114" s="160">
        <f>238872/2</f>
        <v>119436</v>
      </c>
      <c r="T114" s="160">
        <f>238872/2</f>
        <v>119436</v>
      </c>
      <c r="U114" s="127">
        <f t="shared" si="14"/>
        <v>238872</v>
      </c>
    </row>
    <row r="115" spans="1:21" x14ac:dyDescent="0.25">
      <c r="A115" s="118">
        <v>30</v>
      </c>
      <c r="B115" s="111">
        <v>1420</v>
      </c>
      <c r="C115" s="111" t="s">
        <v>500</v>
      </c>
      <c r="D115" s="120">
        <v>70980</v>
      </c>
      <c r="E115" s="228">
        <v>3501247356</v>
      </c>
      <c r="F115" s="229" t="s">
        <v>470</v>
      </c>
      <c r="G115" s="115" t="s">
        <v>471</v>
      </c>
      <c r="H115" s="200" t="s">
        <v>451</v>
      </c>
      <c r="I115" s="161" t="s">
        <v>472</v>
      </c>
      <c r="J115" s="129"/>
      <c r="K115" s="129"/>
      <c r="L115" s="129"/>
      <c r="M115" s="129"/>
      <c r="N115" s="129"/>
      <c r="O115" s="129"/>
      <c r="P115" s="160"/>
      <c r="Q115" s="160"/>
      <c r="R115" s="160"/>
      <c r="S115" s="160"/>
      <c r="T115" s="160">
        <v>110645</v>
      </c>
      <c r="U115" s="127">
        <f t="shared" si="14"/>
        <v>110645</v>
      </c>
    </row>
  </sheetData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1</vt:lpstr>
      <vt:lpstr>Tháng 2</vt:lpstr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Cuong Nguyen</cp:lastModifiedBy>
  <dcterms:created xsi:type="dcterms:W3CDTF">2022-02-15T07:30:46Z</dcterms:created>
  <dcterms:modified xsi:type="dcterms:W3CDTF">2022-04-09T16:23:11Z</dcterms:modified>
</cp:coreProperties>
</file>