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lavi\OneDrive\Documentos\Freela\Iomar Bezerra - GetNinjas\PFDR (V2.9)\"/>
    </mc:Choice>
  </mc:AlternateContent>
  <xr:revisionPtr revIDLastSave="0" documentId="13_ncr:1_{E3C4F1D8-5428-4DBA-A1F0-05E08B8696B2}" xr6:coauthVersionLast="36" xr6:coauthVersionMax="47" xr10:uidLastSave="{00000000-0000-0000-0000-000000000000}"/>
  <bookViews>
    <workbookView xWindow="-120" yWindow="-120" windowWidth="20730" windowHeight="11760" tabRatio="742" xr2:uid="{25AAD14B-C93D-417E-8909-A86A7D2460F7}"/>
  </bookViews>
  <sheets>
    <sheet name="NASEM 2016" sheetId="10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0" l="1"/>
  <c r="L10" i="10"/>
  <c r="L9" i="10"/>
  <c r="L8" i="10"/>
  <c r="S6" i="10"/>
  <c r="S4" i="10"/>
  <c r="U4" i="10" s="1"/>
  <c r="K8" i="10"/>
  <c r="B18" i="10"/>
  <c r="E2" i="10"/>
  <c r="D2" i="10"/>
  <c r="D5" i="10"/>
  <c r="D7" i="10"/>
  <c r="T4" i="10" l="1"/>
  <c r="M9" i="10" s="1"/>
  <c r="Y11" i="10"/>
  <c r="I2" i="10"/>
  <c r="Y28" i="10" s="1"/>
  <c r="H2" i="10"/>
  <c r="Y24" i="10" s="1"/>
  <c r="G2" i="10"/>
  <c r="Y20" i="10" s="1"/>
  <c r="F2" i="10"/>
  <c r="Y16" i="10" s="1"/>
  <c r="Y12" i="10"/>
  <c r="E10" i="10"/>
  <c r="D10" i="10"/>
  <c r="S3" i="10"/>
  <c r="T3" i="10" s="1"/>
  <c r="E5" i="10"/>
  <c r="F5" i="10"/>
  <c r="G5" i="10"/>
  <c r="H5" i="10"/>
  <c r="I5" i="10"/>
  <c r="S5" i="10"/>
  <c r="T5" i="10" s="1"/>
  <c r="D6" i="10"/>
  <c r="E6" i="10"/>
  <c r="F6" i="10"/>
  <c r="G6" i="10"/>
  <c r="H6" i="10"/>
  <c r="I6" i="10"/>
  <c r="E7" i="10"/>
  <c r="F7" i="10"/>
  <c r="G7" i="10"/>
  <c r="H7" i="10"/>
  <c r="I7" i="10"/>
  <c r="D8" i="10"/>
  <c r="E8" i="10"/>
  <c r="F8" i="10"/>
  <c r="G8" i="10"/>
  <c r="H8" i="10"/>
  <c r="I8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K12" i="10"/>
  <c r="X12" i="10" s="1"/>
  <c r="L12" i="10"/>
  <c r="D13" i="10"/>
  <c r="E13" i="10"/>
  <c r="F13" i="10"/>
  <c r="G13" i="10"/>
  <c r="H13" i="10"/>
  <c r="I13" i="10"/>
  <c r="L13" i="10"/>
  <c r="D14" i="10"/>
  <c r="E14" i="10"/>
  <c r="F14" i="10"/>
  <c r="G14" i="10"/>
  <c r="H14" i="10"/>
  <c r="I14" i="10"/>
  <c r="L14" i="10"/>
  <c r="L15" i="10"/>
  <c r="B16" i="10"/>
  <c r="K16" i="10"/>
  <c r="X16" i="10" s="1"/>
  <c r="L16" i="10"/>
  <c r="B17" i="10"/>
  <c r="L17" i="10"/>
  <c r="L18" i="10"/>
  <c r="B19" i="10"/>
  <c r="L19" i="10"/>
  <c r="B20" i="10"/>
  <c r="K20" i="10"/>
  <c r="X20" i="10" s="1"/>
  <c r="L20" i="10"/>
  <c r="L21" i="10"/>
  <c r="B22" i="10"/>
  <c r="L22" i="10"/>
  <c r="B23" i="10"/>
  <c r="L23" i="10"/>
  <c r="B24" i="10"/>
  <c r="K24" i="10"/>
  <c r="X24" i="10" s="1"/>
  <c r="L24" i="10"/>
  <c r="B25" i="10"/>
  <c r="L25" i="10"/>
  <c r="B26" i="10"/>
  <c r="L26" i="10"/>
  <c r="L27" i="10"/>
  <c r="B28" i="10"/>
  <c r="K28" i="10"/>
  <c r="L28" i="10"/>
  <c r="B29" i="10"/>
  <c r="L29" i="10"/>
  <c r="B30" i="10"/>
  <c r="L30" i="10"/>
  <c r="B31" i="10"/>
  <c r="L31" i="10"/>
  <c r="B32" i="10"/>
  <c r="M13" i="10" l="1"/>
  <c r="W13" i="10" s="1"/>
  <c r="W9" i="10"/>
  <c r="AB9" i="10"/>
  <c r="M8" i="10"/>
  <c r="I25" i="10"/>
  <c r="F26" i="10"/>
  <c r="E25" i="10"/>
  <c r="G30" i="10"/>
  <c r="E24" i="10"/>
  <c r="D29" i="10"/>
  <c r="F28" i="10"/>
  <c r="D28" i="10"/>
  <c r="H28" i="10"/>
  <c r="G22" i="10"/>
  <c r="X8" i="10"/>
  <c r="Y13" i="10"/>
  <c r="Y17" i="10"/>
  <c r="Y21" i="10"/>
  <c r="Y25" i="10"/>
  <c r="Y29" i="10"/>
  <c r="Y14" i="10"/>
  <c r="Y18" i="10"/>
  <c r="Y22" i="10"/>
  <c r="Y26" i="10"/>
  <c r="Y30" i="10"/>
  <c r="Y15" i="10"/>
  <c r="Y19" i="10"/>
  <c r="Y23" i="10"/>
  <c r="Y27" i="10"/>
  <c r="Y31" i="10"/>
  <c r="H16" i="10"/>
  <c r="Y8" i="10"/>
  <c r="Y9" i="10"/>
  <c r="Y10" i="10"/>
  <c r="D16" i="10"/>
  <c r="F16" i="10"/>
  <c r="E28" i="10"/>
  <c r="F31" i="10"/>
  <c r="F25" i="10"/>
  <c r="F30" i="10"/>
  <c r="I16" i="10"/>
  <c r="I17" i="10"/>
  <c r="X13" i="10"/>
  <c r="E16" i="10"/>
  <c r="X17" i="10"/>
  <c r="U5" i="10"/>
  <c r="M29" i="10"/>
  <c r="AB29" i="10" s="1"/>
  <c r="M28" i="10"/>
  <c r="AB28" i="10" s="1"/>
  <c r="X28" i="10"/>
  <c r="X29" i="10" s="1"/>
  <c r="X21" i="10"/>
  <c r="X22" i="10" s="1"/>
  <c r="F19" i="10"/>
  <c r="D32" i="10"/>
  <c r="D24" i="10"/>
  <c r="G23" i="10"/>
  <c r="G20" i="10"/>
  <c r="D18" i="10"/>
  <c r="M26" i="10"/>
  <c r="AB26" i="10" s="1"/>
  <c r="M22" i="10"/>
  <c r="M14" i="10"/>
  <c r="AB14" i="10" s="1"/>
  <c r="M30" i="10"/>
  <c r="AB30" i="10" s="1"/>
  <c r="U3" i="10"/>
  <c r="D26" i="10"/>
  <c r="G25" i="10"/>
  <c r="G24" i="10"/>
  <c r="I18" i="10"/>
  <c r="I24" i="10"/>
  <c r="E29" i="10"/>
  <c r="I23" i="10"/>
  <c r="D23" i="10"/>
  <c r="H23" i="10"/>
  <c r="E17" i="10"/>
  <c r="H26" i="10"/>
  <c r="I31" i="10"/>
  <c r="E31" i="10"/>
  <c r="G31" i="10"/>
  <c r="H31" i="10"/>
  <c r="D31" i="10"/>
  <c r="F18" i="10"/>
  <c r="I30" i="10"/>
  <c r="F24" i="10"/>
  <c r="E18" i="10"/>
  <c r="G29" i="10"/>
  <c r="E23" i="10"/>
  <c r="D17" i="10"/>
  <c r="F29" i="10"/>
  <c r="H17" i="10"/>
  <c r="H29" i="10"/>
  <c r="G28" i="10"/>
  <c r="D19" i="10"/>
  <c r="E30" i="10"/>
  <c r="D25" i="10"/>
  <c r="X25" i="10"/>
  <c r="G32" i="10"/>
  <c r="M20" i="10"/>
  <c r="M24" i="10"/>
  <c r="G19" i="10"/>
  <c r="G18" i="10"/>
  <c r="G16" i="10"/>
  <c r="G17" i="10"/>
  <c r="F32" i="10"/>
  <c r="H30" i="10"/>
  <c r="D30" i="10"/>
  <c r="D22" i="10"/>
  <c r="H22" i="10"/>
  <c r="E22" i="10"/>
  <c r="I22" i="10"/>
  <c r="F22" i="10"/>
  <c r="M16" i="10"/>
  <c r="M12" i="10"/>
  <c r="T6" i="10"/>
  <c r="U6" i="10"/>
  <c r="M18" i="10"/>
  <c r="M10" i="10"/>
  <c r="E32" i="10"/>
  <c r="E26" i="10"/>
  <c r="I26" i="10"/>
  <c r="D20" i="10"/>
  <c r="H20" i="10"/>
  <c r="E20" i="10"/>
  <c r="I20" i="10"/>
  <c r="F20" i="10"/>
  <c r="F17" i="10"/>
  <c r="F23" i="10"/>
  <c r="M21" i="10"/>
  <c r="M25" i="10"/>
  <c r="M17" i="10"/>
  <c r="I32" i="10"/>
  <c r="H32" i="10"/>
  <c r="I29" i="10"/>
  <c r="I28" i="10"/>
  <c r="G26" i="10"/>
  <c r="H25" i="10"/>
  <c r="H24" i="10"/>
  <c r="I19" i="10"/>
  <c r="E19" i="10"/>
  <c r="H18" i="10"/>
  <c r="H19" i="10"/>
  <c r="T8" i="10" l="1"/>
  <c r="M32" i="10"/>
  <c r="AB32" i="10" s="1"/>
  <c r="W8" i="10"/>
  <c r="AB8" i="10"/>
  <c r="N8" i="10"/>
  <c r="X9" i="10"/>
  <c r="X10" i="10" s="1"/>
  <c r="X11" i="10" s="1"/>
  <c r="X14" i="10"/>
  <c r="X15" i="10" s="1"/>
  <c r="T14" i="10"/>
  <c r="W30" i="10"/>
  <c r="T29" i="10"/>
  <c r="W29" i="10"/>
  <c r="N29" i="10" s="1"/>
  <c r="AA29" i="10" s="1"/>
  <c r="W22" i="10"/>
  <c r="N22" i="10" s="1"/>
  <c r="AA22" i="10" s="1"/>
  <c r="W14" i="10"/>
  <c r="T28" i="10"/>
  <c r="W28" i="10"/>
  <c r="N28" i="10" s="1"/>
  <c r="AA28" i="10" s="1"/>
  <c r="S28" i="10" s="1"/>
  <c r="X23" i="10"/>
  <c r="X18" i="10"/>
  <c r="X19" i="10" s="1"/>
  <c r="W26" i="10"/>
  <c r="X30" i="10"/>
  <c r="T26" i="10"/>
  <c r="T22" i="10"/>
  <c r="AB22" i="10"/>
  <c r="T30" i="10"/>
  <c r="W25" i="10"/>
  <c r="N25" i="10" s="1"/>
  <c r="AB25" i="10"/>
  <c r="T25" i="10"/>
  <c r="W20" i="10"/>
  <c r="N20" i="10" s="1"/>
  <c r="AB20" i="10"/>
  <c r="T20" i="10"/>
  <c r="T13" i="10"/>
  <c r="N13" i="10"/>
  <c r="AB13" i="10"/>
  <c r="AB10" i="10"/>
  <c r="T10" i="10"/>
  <c r="M34" i="10"/>
  <c r="AB34" i="10" s="1"/>
  <c r="W10" i="10"/>
  <c r="W16" i="10"/>
  <c r="N16" i="10" s="1"/>
  <c r="AB16" i="10"/>
  <c r="T16" i="10"/>
  <c r="W21" i="10"/>
  <c r="N21" i="10" s="1"/>
  <c r="AB21" i="10"/>
  <c r="T21" i="10"/>
  <c r="T18" i="10"/>
  <c r="W18" i="10"/>
  <c r="AB18" i="10"/>
  <c r="W12" i="10"/>
  <c r="N12" i="10" s="1"/>
  <c r="AB12" i="10"/>
  <c r="T12" i="10"/>
  <c r="AB17" i="10"/>
  <c r="T17" i="10"/>
  <c r="W17" i="10"/>
  <c r="N17" i="10" s="1"/>
  <c r="M33" i="10"/>
  <c r="AB33" i="10" s="1"/>
  <c r="T9" i="10"/>
  <c r="M11" i="10"/>
  <c r="M19" i="10"/>
  <c r="M23" i="10"/>
  <c r="M31" i="10"/>
  <c r="M27" i="10"/>
  <c r="M15" i="10"/>
  <c r="T24" i="10"/>
  <c r="AB24" i="10"/>
  <c r="W24" i="10"/>
  <c r="N24" i="10" s="1"/>
  <c r="X26" i="10"/>
  <c r="Q8" i="10" l="1"/>
  <c r="N10" i="10"/>
  <c r="AA10" i="10" s="1"/>
  <c r="S10" i="10" s="1"/>
  <c r="N9" i="10"/>
  <c r="Q9" i="10" s="1"/>
  <c r="AA8" i="10"/>
  <c r="N14" i="10"/>
  <c r="AA14" i="10" s="1"/>
  <c r="S14" i="10" s="1"/>
  <c r="N30" i="10"/>
  <c r="AA30" i="10" s="1"/>
  <c r="S30" i="10" s="1"/>
  <c r="R28" i="10"/>
  <c r="X31" i="10"/>
  <c r="N18" i="10"/>
  <c r="AA18" i="10" s="1"/>
  <c r="Q28" i="10"/>
  <c r="O28" i="10" s="1"/>
  <c r="Z28" i="10" s="1"/>
  <c r="P28" i="10" s="1"/>
  <c r="U28" i="10" s="1"/>
  <c r="Q22" i="10"/>
  <c r="O22" i="10" s="1"/>
  <c r="Z22" i="10" s="1"/>
  <c r="P22" i="10" s="1"/>
  <c r="U22" i="10" s="1"/>
  <c r="Q29" i="10"/>
  <c r="O29" i="10" s="1"/>
  <c r="Z29" i="10" s="1"/>
  <c r="P29" i="10" s="1"/>
  <c r="U29" i="10" s="1"/>
  <c r="Q24" i="10"/>
  <c r="O24" i="10" s="1"/>
  <c r="AA24" i="10"/>
  <c r="AA17" i="10"/>
  <c r="Q17" i="10"/>
  <c r="O17" i="10" s="1"/>
  <c r="X27" i="10"/>
  <c r="W31" i="10"/>
  <c r="T31" i="10"/>
  <c r="AB31" i="10"/>
  <c r="T33" i="10"/>
  <c r="N33" i="10"/>
  <c r="AA12" i="10"/>
  <c r="Q12" i="10"/>
  <c r="O12" i="10" s="1"/>
  <c r="T32" i="10"/>
  <c r="Q13" i="10"/>
  <c r="O13" i="10" s="1"/>
  <c r="AA13" i="10"/>
  <c r="Q20" i="10"/>
  <c r="O20" i="10" s="1"/>
  <c r="AA20" i="10"/>
  <c r="AA25" i="10"/>
  <c r="Q25" i="10"/>
  <c r="O25" i="10" s="1"/>
  <c r="W11" i="10"/>
  <c r="N11" i="10" s="1"/>
  <c r="AB11" i="10"/>
  <c r="M35" i="10"/>
  <c r="AB35" i="10" s="1"/>
  <c r="T11" i="10"/>
  <c r="N32" i="10"/>
  <c r="N26" i="10"/>
  <c r="AB23" i="10"/>
  <c r="T23" i="10"/>
  <c r="W23" i="10"/>
  <c r="N23" i="10" s="1"/>
  <c r="AA16" i="10"/>
  <c r="Q16" i="10"/>
  <c r="O16" i="10" s="1"/>
  <c r="AB27" i="10"/>
  <c r="T27" i="10"/>
  <c r="W27" i="10"/>
  <c r="S29" i="10"/>
  <c r="R29" i="10"/>
  <c r="W15" i="10"/>
  <c r="N15" i="10" s="1"/>
  <c r="AB15" i="10"/>
  <c r="T15" i="10"/>
  <c r="W19" i="10"/>
  <c r="N19" i="10" s="1"/>
  <c r="AB19" i="10"/>
  <c r="T19" i="10"/>
  <c r="R14" i="10"/>
  <c r="Q21" i="10"/>
  <c r="O21" i="10" s="1"/>
  <c r="AA21" i="10"/>
  <c r="T34" i="10"/>
  <c r="R22" i="10"/>
  <c r="S22" i="10"/>
  <c r="Q10" i="10" l="1"/>
  <c r="O10" i="10" s="1"/>
  <c r="R8" i="10"/>
  <c r="S8" i="10"/>
  <c r="AA9" i="10"/>
  <c r="O8" i="10"/>
  <c r="Q14" i="10"/>
  <c r="O14" i="10" s="1"/>
  <c r="Z14" i="10" s="1"/>
  <c r="P14" i="10" s="1"/>
  <c r="U14" i="10" s="1"/>
  <c r="R30" i="10"/>
  <c r="N34" i="10"/>
  <c r="Q30" i="10"/>
  <c r="O30" i="10" s="1"/>
  <c r="Z30" i="10" s="1"/>
  <c r="P30" i="10" s="1"/>
  <c r="U30" i="10" s="1"/>
  <c r="N31" i="10"/>
  <c r="Q31" i="10" s="1"/>
  <c r="O31" i="10" s="1"/>
  <c r="Q18" i="10"/>
  <c r="O18" i="10" s="1"/>
  <c r="Z18" i="10" s="1"/>
  <c r="P18" i="10" s="1"/>
  <c r="U18" i="10" s="1"/>
  <c r="N27" i="10"/>
  <c r="Z16" i="10"/>
  <c r="P16" i="10" s="1"/>
  <c r="U16" i="10" s="1"/>
  <c r="Z20" i="10"/>
  <c r="P20" i="10" s="1"/>
  <c r="U20" i="10" s="1"/>
  <c r="S24" i="10"/>
  <c r="R24" i="10"/>
  <c r="AA19" i="10"/>
  <c r="Q19" i="10"/>
  <c r="O19" i="10" s="1"/>
  <c r="AA15" i="10"/>
  <c r="Q15" i="10"/>
  <c r="O15" i="10" s="1"/>
  <c r="R16" i="10"/>
  <c r="S16" i="10"/>
  <c r="Q32" i="10"/>
  <c r="Z25" i="10"/>
  <c r="P25" i="10" s="1"/>
  <c r="U25" i="10" s="1"/>
  <c r="S13" i="10"/>
  <c r="R13" i="10"/>
  <c r="R18" i="10"/>
  <c r="S18" i="10"/>
  <c r="R9" i="10"/>
  <c r="S9" i="10"/>
  <c r="Z24" i="10"/>
  <c r="P24" i="10" s="1"/>
  <c r="U24" i="10" s="1"/>
  <c r="AA26" i="10"/>
  <c r="Q26" i="10"/>
  <c r="O26" i="10" s="1"/>
  <c r="R10" i="10"/>
  <c r="R21" i="10"/>
  <c r="S21" i="10"/>
  <c r="Q23" i="10"/>
  <c r="O23" i="10" s="1"/>
  <c r="AA23" i="10"/>
  <c r="T35" i="10"/>
  <c r="Q11" i="10"/>
  <c r="AA11" i="10"/>
  <c r="R25" i="10"/>
  <c r="S25" i="10"/>
  <c r="Z13" i="10"/>
  <c r="P13" i="10" s="1"/>
  <c r="U13" i="10" s="1"/>
  <c r="Z12" i="10"/>
  <c r="P12" i="10" s="1"/>
  <c r="U12" i="10" s="1"/>
  <c r="O9" i="10"/>
  <c r="Q33" i="10"/>
  <c r="Z17" i="10"/>
  <c r="P17" i="10" s="1"/>
  <c r="U17" i="10" s="1"/>
  <c r="Z21" i="10"/>
  <c r="P21" i="10" s="1"/>
  <c r="U21" i="10" s="1"/>
  <c r="R20" i="10"/>
  <c r="S20" i="10"/>
  <c r="S12" i="10"/>
  <c r="R12" i="10"/>
  <c r="S17" i="10"/>
  <c r="R17" i="10"/>
  <c r="Z8" i="10" l="1"/>
  <c r="P8" i="10" s="1"/>
  <c r="U8" i="10" s="1"/>
  <c r="AA31" i="10"/>
  <c r="R31" i="10" s="1"/>
  <c r="N35" i="10"/>
  <c r="AA27" i="10"/>
  <c r="R27" i="10" s="1"/>
  <c r="Q27" i="10"/>
  <c r="O27" i="10" s="1"/>
  <c r="Z27" i="10" s="1"/>
  <c r="P27" i="10" s="1"/>
  <c r="U27" i="10" s="1"/>
  <c r="Q34" i="10"/>
  <c r="O34" i="10"/>
  <c r="Z10" i="10"/>
  <c r="P10" i="10" s="1"/>
  <c r="O33" i="10"/>
  <c r="Z9" i="10"/>
  <c r="R11" i="10"/>
  <c r="S11" i="10"/>
  <c r="Z23" i="10"/>
  <c r="P23" i="10" s="1"/>
  <c r="U23" i="10" s="1"/>
  <c r="S26" i="10"/>
  <c r="S34" i="10" s="1"/>
  <c r="R26" i="10"/>
  <c r="R34" i="10" s="1"/>
  <c r="R19" i="10"/>
  <c r="S19" i="10"/>
  <c r="Z26" i="10"/>
  <c r="P26" i="10" s="1"/>
  <c r="U26" i="10" s="1"/>
  <c r="S32" i="10"/>
  <c r="O11" i="10"/>
  <c r="Z11" i="10" s="1"/>
  <c r="S33" i="10"/>
  <c r="Z15" i="10"/>
  <c r="P15" i="10" s="1"/>
  <c r="U15" i="10" s="1"/>
  <c r="R23" i="10"/>
  <c r="S23" i="10"/>
  <c r="Z19" i="10"/>
  <c r="P19" i="10" s="1"/>
  <c r="U19" i="10" s="1"/>
  <c r="R32" i="10"/>
  <c r="Z31" i="10"/>
  <c r="P31" i="10" s="1"/>
  <c r="U31" i="10" s="1"/>
  <c r="R33" i="10"/>
  <c r="O32" i="10"/>
  <c r="S15" i="10"/>
  <c r="R15" i="10"/>
  <c r="P32" i="10" l="1"/>
  <c r="P9" i="10"/>
  <c r="P33" i="10" s="1"/>
  <c r="S31" i="10"/>
  <c r="Q35" i="10"/>
  <c r="S27" i="10"/>
  <c r="P34" i="10"/>
  <c r="U10" i="10"/>
  <c r="U34" i="10" s="1"/>
  <c r="O35" i="10"/>
  <c r="P11" i="10"/>
  <c r="P35" i="10" s="1"/>
  <c r="R35" i="10"/>
  <c r="U32" i="10" l="1"/>
  <c r="U9" i="10"/>
  <c r="U33" i="10" s="1"/>
  <c r="S35" i="10"/>
  <c r="U11" i="10"/>
  <c r="U35" i="10" s="1"/>
</calcChain>
</file>

<file path=xl/sharedStrings.xml><?xml version="1.0" encoding="utf-8"?>
<sst xmlns="http://schemas.openxmlformats.org/spreadsheetml/2006/main" count="78" uniqueCount="43">
  <si>
    <t>Mantença</t>
  </si>
  <si>
    <t>Dietas</t>
  </si>
  <si>
    <t>A</t>
  </si>
  <si>
    <t>B</t>
  </si>
  <si>
    <t>C</t>
  </si>
  <si>
    <t>D</t>
  </si>
  <si>
    <t>Média</t>
  </si>
  <si>
    <t>NASEM (2016)</t>
  </si>
  <si>
    <t>Peso à Maturidade (kg)</t>
  </si>
  <si>
    <t>NDT (%)</t>
  </si>
  <si>
    <t>EM (Mcal/kgMS)</t>
  </si>
  <si>
    <t>EL m (Mcal/kgMS)</t>
  </si>
  <si>
    <t>EL g (Mcal/kgMS)</t>
  </si>
  <si>
    <t>Peso Vivo (kg)</t>
  </si>
  <si>
    <t>EL mantença</t>
  </si>
  <si>
    <t>Mcal/dia</t>
  </si>
  <si>
    <t>Proteína metabolizável</t>
  </si>
  <si>
    <t>g/dia</t>
  </si>
  <si>
    <t>Ca</t>
  </si>
  <si>
    <t>CMS (kg/dia)</t>
  </si>
  <si>
    <t>GMD (kg/dia)</t>
  </si>
  <si>
    <t>% PB</t>
  </si>
  <si>
    <t>PDR (% PB)</t>
  </si>
  <si>
    <t>PM (g/dia)</t>
  </si>
  <si>
    <t>Ca (%MS)</t>
  </si>
  <si>
    <t>P (%MS)</t>
  </si>
  <si>
    <t>CNDT (kg)</t>
  </si>
  <si>
    <t>PDR/NDT</t>
  </si>
  <si>
    <t>ER (Mcal/dia)</t>
  </si>
  <si>
    <t>EPCJ (kg)</t>
  </si>
  <si>
    <t>PM-PL</t>
  </si>
  <si>
    <t>PB (g/dia)</t>
  </si>
  <si>
    <t>PL (g/dia)</t>
  </si>
  <si>
    <t>%PC</t>
  </si>
  <si>
    <t>P</t>
  </si>
  <si>
    <t>Crescimento (GMD)</t>
  </si>
  <si>
    <t>Unid</t>
  </si>
  <si>
    <t>Exigência</t>
  </si>
  <si>
    <r>
      <t xml:space="preserve">Exigência de </t>
    </r>
    <r>
      <rPr>
        <b/>
        <sz val="9"/>
        <color rgb="FFFFFF00"/>
        <rFont val="Calibri"/>
        <family val="2"/>
        <scheme val="minor"/>
      </rPr>
      <t>Ca</t>
    </r>
    <r>
      <rPr>
        <sz val="9"/>
        <color theme="0"/>
        <rFont val="Calibri"/>
        <family val="2"/>
        <scheme val="minor"/>
      </rPr>
      <t xml:space="preserve"> para ganho (g/dia)</t>
    </r>
  </si>
  <si>
    <r>
      <t xml:space="preserve">Exigência de </t>
    </r>
    <r>
      <rPr>
        <b/>
        <sz val="9"/>
        <color rgb="FFFFFF00"/>
        <rFont val="Calibri"/>
        <family val="2"/>
        <scheme val="minor"/>
      </rPr>
      <t>PM</t>
    </r>
    <r>
      <rPr>
        <sz val="9"/>
        <color theme="0"/>
        <rFont val="Calibri"/>
        <family val="2"/>
        <scheme val="minor"/>
      </rPr>
      <t xml:space="preserve"> para ganho (g/dia)</t>
    </r>
  </si>
  <si>
    <r>
      <t xml:space="preserve">Exigência de </t>
    </r>
    <r>
      <rPr>
        <b/>
        <sz val="9"/>
        <color rgb="FFFFFF00"/>
        <rFont val="Calibri"/>
        <family val="2"/>
        <scheme val="minor"/>
      </rPr>
      <t>EL</t>
    </r>
    <r>
      <rPr>
        <sz val="9"/>
        <color theme="0"/>
        <rFont val="Calibri"/>
        <family val="2"/>
        <scheme val="minor"/>
      </rPr>
      <t xml:space="preserve"> g (Mcal/dia)</t>
    </r>
  </si>
  <si>
    <r>
      <t xml:space="preserve">Exigência de </t>
    </r>
    <r>
      <rPr>
        <b/>
        <sz val="9"/>
        <color rgb="FFFFFF00"/>
        <rFont val="Calibri"/>
        <family val="2"/>
        <scheme val="minor"/>
      </rPr>
      <t>P</t>
    </r>
    <r>
      <rPr>
        <sz val="9"/>
        <color theme="0"/>
        <rFont val="Calibri"/>
        <family val="2"/>
        <scheme val="minor"/>
      </rPr>
      <t xml:space="preserve"> para ganho (g/dia)</t>
    </r>
  </si>
  <si>
    <t>Preencha as céluas em branco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</si>
</sst>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"/>
    <numFmt numFmtId="166" formatCode="0.000\ &quot;kg&quot;"/>
    <numFmt numFmtId="167" formatCode="0.000%"/>
  </numFmts>
  <fonts count="13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9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ck">
        <color theme="1"/>
      </left>
      <right style="thin">
        <color theme="0" tint="-4.9989318521683403E-2"/>
      </right>
      <top style="thick">
        <color theme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ck">
        <color theme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ck">
        <color theme="1"/>
      </right>
      <top style="thick">
        <color theme="1"/>
      </top>
      <bottom style="thin">
        <color theme="0" tint="-4.9989318521683403E-2"/>
      </bottom>
      <diagonal/>
    </border>
    <border>
      <left style="thick">
        <color theme="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ck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ck">
        <color theme="1"/>
      </left>
      <right style="thin">
        <color theme="0" tint="-4.9989318521683403E-2"/>
      </right>
      <top style="thin">
        <color theme="0" tint="-4.9989318521683403E-2"/>
      </top>
      <bottom style="thick">
        <color theme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ck">
        <color theme="1"/>
      </bottom>
      <diagonal/>
    </border>
    <border>
      <left style="thin">
        <color theme="0" tint="-4.9989318521683403E-2"/>
      </left>
      <right style="thick">
        <color theme="1"/>
      </right>
      <top style="thin">
        <color theme="0" tint="-4.9989318521683403E-2"/>
      </top>
      <bottom style="thick">
        <color theme="1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theme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9">
    <xf numFmtId="0" fontId="0" fillId="0" borderId="0" xfId="0"/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4" fontId="2" fillId="0" borderId="0" xfId="0" applyNumberFormat="1" applyFont="1" applyProtection="1">
      <protection hidden="1"/>
    </xf>
    <xf numFmtId="0" fontId="1" fillId="2" borderId="13" xfId="0" applyFont="1" applyFill="1" applyBorder="1" applyAlignment="1" applyProtection="1">
      <alignment horizontal="center"/>
      <protection hidden="1"/>
    </xf>
    <xf numFmtId="2" fontId="1" fillId="2" borderId="13" xfId="0" applyNumberFormat="1" applyFont="1" applyFill="1" applyBorder="1" applyProtection="1">
      <protection hidden="1"/>
    </xf>
    <xf numFmtId="165" fontId="1" fillId="2" borderId="13" xfId="0" applyNumberFormat="1" applyFont="1" applyFill="1" applyBorder="1" applyProtection="1">
      <protection hidden="1"/>
    </xf>
    <xf numFmtId="0" fontId="1" fillId="2" borderId="25" xfId="0" applyFont="1" applyFill="1" applyBorder="1" applyAlignment="1" applyProtection="1">
      <alignment horizontal="center"/>
      <protection hidden="1"/>
    </xf>
    <xf numFmtId="2" fontId="1" fillId="2" borderId="25" xfId="0" applyNumberFormat="1" applyFont="1" applyFill="1" applyBorder="1" applyProtection="1">
      <protection hidden="1"/>
    </xf>
    <xf numFmtId="165" fontId="1" fillId="2" borderId="25" xfId="0" applyNumberFormat="1" applyFont="1" applyFill="1" applyBorder="1" applyProtection="1">
      <protection hidden="1"/>
    </xf>
    <xf numFmtId="165" fontId="1" fillId="2" borderId="26" xfId="0" applyNumberFormat="1" applyFont="1" applyFill="1" applyBorder="1" applyProtection="1">
      <protection hidden="1"/>
    </xf>
    <xf numFmtId="0" fontId="2" fillId="5" borderId="17" xfId="0" applyFont="1" applyFill="1" applyBorder="1" applyAlignment="1" applyProtection="1">
      <alignment horizontal="center"/>
      <protection hidden="1"/>
    </xf>
    <xf numFmtId="0" fontId="2" fillId="5" borderId="18" xfId="0" applyFont="1" applyFill="1" applyBorder="1" applyAlignment="1" applyProtection="1">
      <alignment horizontal="center"/>
      <protection hidden="1"/>
    </xf>
    <xf numFmtId="0" fontId="2" fillId="6" borderId="6" xfId="0" applyFont="1" applyFill="1" applyBorder="1" applyAlignment="1" applyProtection="1">
      <alignment horizontal="centerContinuous" vertical="center"/>
      <protection hidden="1"/>
    </xf>
    <xf numFmtId="0" fontId="2" fillId="6" borderId="8" xfId="0" applyFont="1" applyFill="1" applyBorder="1" applyAlignment="1" applyProtection="1">
      <alignment horizontal="centerContinuous" vertical="center"/>
      <protection hidden="1"/>
    </xf>
    <xf numFmtId="164" fontId="1" fillId="3" borderId="8" xfId="0" applyNumberFormat="1" applyFont="1" applyFill="1" applyBorder="1" applyAlignment="1" applyProtection="1">
      <alignment horizontal="center" vertical="center"/>
      <protection hidden="1"/>
    </xf>
    <xf numFmtId="164" fontId="1" fillId="3" borderId="13" xfId="0" applyNumberFormat="1" applyFont="1" applyFill="1" applyBorder="1" applyAlignment="1" applyProtection="1">
      <alignment horizontal="center" vertical="center"/>
      <protection hidden="1"/>
    </xf>
    <xf numFmtId="164" fontId="1" fillId="3" borderId="25" xfId="0" applyNumberFormat="1" applyFont="1" applyFill="1" applyBorder="1" applyAlignment="1" applyProtection="1">
      <alignment horizontal="center" vertical="center"/>
      <protection hidden="1"/>
    </xf>
    <xf numFmtId="164" fontId="1" fillId="2" borderId="8" xfId="0" applyNumberFormat="1" applyFont="1" applyFill="1" applyBorder="1" applyAlignment="1" applyProtection="1">
      <alignment horizontal="center" vertical="center"/>
      <protection hidden="1"/>
    </xf>
    <xf numFmtId="164" fontId="1" fillId="2" borderId="13" xfId="0" applyNumberFormat="1" applyFont="1" applyFill="1" applyBorder="1" applyAlignment="1" applyProtection="1">
      <alignment horizontal="center" vertical="center"/>
      <protection hidden="1"/>
    </xf>
    <xf numFmtId="164" fontId="1" fillId="2" borderId="25" xfId="0" applyNumberFormat="1" applyFont="1" applyFill="1" applyBorder="1" applyAlignment="1" applyProtection="1">
      <alignment horizontal="center" vertical="center"/>
      <protection hidden="1"/>
    </xf>
    <xf numFmtId="164" fontId="1" fillId="2" borderId="28" xfId="0" applyNumberFormat="1" applyFont="1" applyFill="1" applyBorder="1" applyAlignment="1" applyProtection="1">
      <alignment horizontal="center" vertical="center"/>
      <protection hidden="1"/>
    </xf>
    <xf numFmtId="164" fontId="1" fillId="3" borderId="20" xfId="0" applyNumberFormat="1" applyFont="1" applyFill="1" applyBorder="1" applyAlignment="1" applyProtection="1">
      <alignment horizontal="center" vertical="center"/>
      <protection hidden="1"/>
    </xf>
    <xf numFmtId="164" fontId="1" fillId="3" borderId="21" xfId="0" applyNumberFormat="1" applyFont="1" applyFill="1" applyBorder="1" applyAlignment="1" applyProtection="1">
      <alignment horizontal="center" vertical="center"/>
      <protection hidden="1"/>
    </xf>
    <xf numFmtId="164" fontId="1" fillId="3" borderId="26" xfId="0" applyNumberFormat="1" applyFont="1" applyFill="1" applyBorder="1" applyAlignment="1" applyProtection="1">
      <alignment horizontal="center" vertical="center"/>
      <protection hidden="1"/>
    </xf>
    <xf numFmtId="164" fontId="1" fillId="2" borderId="7" xfId="0" applyNumberFormat="1" applyFont="1" applyFill="1" applyBorder="1" applyAlignment="1" applyProtection="1">
      <alignment horizontal="center" vertical="center"/>
      <protection hidden="1"/>
    </xf>
    <xf numFmtId="164" fontId="1" fillId="2" borderId="21" xfId="0" applyNumberFormat="1" applyFont="1" applyFill="1" applyBorder="1" applyAlignment="1" applyProtection="1">
      <alignment horizontal="center" vertical="center"/>
      <protection hidden="1"/>
    </xf>
    <xf numFmtId="164" fontId="1" fillId="2" borderId="29" xfId="0" applyNumberFormat="1" applyFont="1" applyFill="1" applyBorder="1" applyAlignment="1" applyProtection="1">
      <alignment horizontal="center" vertical="center"/>
      <protection hidden="1"/>
    </xf>
    <xf numFmtId="164" fontId="1" fillId="2" borderId="26" xfId="0" applyNumberFormat="1" applyFont="1" applyFill="1" applyBorder="1" applyAlignment="1" applyProtection="1">
      <alignment horizontal="center" vertical="center"/>
      <protection hidden="1"/>
    </xf>
    <xf numFmtId="164" fontId="1" fillId="2" borderId="20" xfId="0" applyNumberFormat="1" applyFont="1" applyFill="1" applyBorder="1" applyAlignment="1" applyProtection="1">
      <alignment horizontal="center" vertical="center"/>
      <protection hidden="1"/>
    </xf>
    <xf numFmtId="0" fontId="2" fillId="4" borderId="32" xfId="0" applyFont="1" applyFill="1" applyBorder="1" applyAlignment="1" applyProtection="1">
      <alignment horizontal="center" vertical="center"/>
      <protection hidden="1"/>
    </xf>
    <xf numFmtId="164" fontId="1" fillId="4" borderId="1" xfId="0" applyNumberFormat="1" applyFont="1" applyFill="1" applyBorder="1" applyAlignment="1" applyProtection="1">
      <alignment horizontal="center" vertical="center"/>
      <protection hidden="1"/>
    </xf>
    <xf numFmtId="164" fontId="1" fillId="4" borderId="33" xfId="0" applyNumberFormat="1" applyFont="1" applyFill="1" applyBorder="1" applyAlignment="1" applyProtection="1">
      <alignment horizontal="center" vertical="center"/>
      <protection hidden="1"/>
    </xf>
    <xf numFmtId="0" fontId="2" fillId="6" borderId="13" xfId="0" applyFont="1" applyFill="1" applyBorder="1" applyAlignment="1" applyProtection="1">
      <alignment horizontal="centerContinuous" vertical="center"/>
      <protection hidden="1"/>
    </xf>
    <xf numFmtId="164" fontId="1" fillId="2" borderId="41" xfId="0" applyNumberFormat="1" applyFont="1" applyFill="1" applyBorder="1" applyAlignment="1" applyProtection="1">
      <alignment horizontal="center" vertical="center"/>
      <protection hidden="1"/>
    </xf>
    <xf numFmtId="0" fontId="2" fillId="4" borderId="42" xfId="0" applyFont="1" applyFill="1" applyBorder="1" applyAlignment="1" applyProtection="1">
      <alignment horizontal="center" vertical="center"/>
      <protection hidden="1"/>
    </xf>
    <xf numFmtId="0" fontId="2" fillId="4" borderId="44" xfId="0" applyFont="1" applyFill="1" applyBorder="1" applyAlignment="1" applyProtection="1">
      <alignment horizontal="center" vertical="center"/>
      <protection hidden="1"/>
    </xf>
    <xf numFmtId="0" fontId="2" fillId="4" borderId="49" xfId="0" applyFont="1" applyFill="1" applyBorder="1" applyAlignment="1" applyProtection="1">
      <alignment horizontal="center" vertical="center"/>
      <protection hidden="1"/>
    </xf>
    <xf numFmtId="164" fontId="2" fillId="4" borderId="44" xfId="0" applyNumberFormat="1" applyFont="1" applyFill="1" applyBorder="1" applyAlignment="1" applyProtection="1">
      <alignment horizontal="center" vertical="center"/>
      <protection hidden="1"/>
    </xf>
    <xf numFmtId="164" fontId="2" fillId="4" borderId="45" xfId="0" applyNumberFormat="1" applyFont="1" applyFill="1" applyBorder="1" applyAlignment="1" applyProtection="1">
      <alignment horizontal="center" vertical="center"/>
      <protection hidden="1"/>
    </xf>
    <xf numFmtId="164" fontId="2" fillId="4" borderId="42" xfId="0" applyNumberFormat="1" applyFont="1" applyFill="1" applyBorder="1" applyAlignment="1" applyProtection="1">
      <alignment horizontal="center" vertical="center"/>
      <protection hidden="1"/>
    </xf>
    <xf numFmtId="164" fontId="2" fillId="4" borderId="47" xfId="0" applyNumberFormat="1" applyFont="1" applyFill="1" applyBorder="1" applyAlignment="1" applyProtection="1">
      <alignment horizontal="center" vertical="center"/>
      <protection hidden="1"/>
    </xf>
    <xf numFmtId="164" fontId="2" fillId="4" borderId="49" xfId="0" applyNumberFormat="1" applyFont="1" applyFill="1" applyBorder="1" applyAlignment="1" applyProtection="1">
      <alignment horizontal="center" vertical="center"/>
      <protection hidden="1"/>
    </xf>
    <xf numFmtId="164" fontId="2" fillId="4" borderId="50" xfId="0" applyNumberFormat="1" applyFont="1" applyFill="1" applyBorder="1" applyAlignment="1" applyProtection="1">
      <alignment horizontal="center" vertical="center"/>
      <protection hidden="1"/>
    </xf>
    <xf numFmtId="2" fontId="1" fillId="2" borderId="14" xfId="0" applyNumberFormat="1" applyFont="1" applyFill="1" applyBorder="1" applyProtection="1">
      <protection hidden="1"/>
    </xf>
    <xf numFmtId="2" fontId="1" fillId="2" borderId="26" xfId="0" applyNumberFormat="1" applyFont="1" applyFill="1" applyBorder="1" applyProtection="1">
      <protection hidden="1"/>
    </xf>
    <xf numFmtId="0" fontId="1" fillId="4" borderId="32" xfId="0" applyFont="1" applyFill="1" applyBorder="1" applyProtection="1">
      <protection hidden="1"/>
    </xf>
    <xf numFmtId="0" fontId="1" fillId="4" borderId="1" xfId="0" applyFont="1" applyFill="1" applyBorder="1" applyProtection="1">
      <protection hidden="1"/>
    </xf>
    <xf numFmtId="0" fontId="1" fillId="4" borderId="33" xfId="0" applyFont="1" applyFill="1" applyBorder="1" applyProtection="1">
      <protection hidden="1"/>
    </xf>
    <xf numFmtId="0" fontId="1" fillId="4" borderId="34" xfId="0" applyFont="1" applyFill="1" applyBorder="1" applyProtection="1">
      <protection hidden="1"/>
    </xf>
    <xf numFmtId="0" fontId="1" fillId="4" borderId="0" xfId="0" applyFont="1" applyFill="1" applyProtection="1">
      <protection hidden="1"/>
    </xf>
    <xf numFmtId="0" fontId="1" fillId="4" borderId="35" xfId="0" applyFont="1" applyFill="1" applyBorder="1" applyProtection="1">
      <protection hidden="1"/>
    </xf>
    <xf numFmtId="0" fontId="1" fillId="4" borderId="36" xfId="0" applyFont="1" applyFill="1" applyBorder="1" applyProtection="1">
      <protection hidden="1"/>
    </xf>
    <xf numFmtId="0" fontId="1" fillId="4" borderId="2" xfId="0" applyFont="1" applyFill="1" applyBorder="1" applyProtection="1">
      <protection hidden="1"/>
    </xf>
    <xf numFmtId="0" fontId="1" fillId="4" borderId="37" xfId="0" applyFont="1" applyFill="1" applyBorder="1" applyProtection="1">
      <protection hidden="1"/>
    </xf>
    <xf numFmtId="0" fontId="4" fillId="7" borderId="10" xfId="0" applyFont="1" applyFill="1" applyBorder="1" applyAlignment="1" applyProtection="1">
      <alignment horizontal="center"/>
      <protection hidden="1"/>
    </xf>
    <xf numFmtId="2" fontId="1" fillId="7" borderId="12" xfId="0" applyNumberFormat="1" applyFont="1" applyFill="1" applyBorder="1" applyAlignment="1" applyProtection="1">
      <alignment horizontal="center"/>
      <protection hidden="1"/>
    </xf>
    <xf numFmtId="2" fontId="1" fillId="7" borderId="13" xfId="0" applyNumberFormat="1" applyFont="1" applyFill="1" applyBorder="1" applyAlignment="1" applyProtection="1">
      <alignment horizontal="center"/>
      <protection hidden="1"/>
    </xf>
    <xf numFmtId="2" fontId="1" fillId="7" borderId="14" xfId="0" applyNumberFormat="1" applyFont="1" applyFill="1" applyBorder="1" applyAlignment="1" applyProtection="1">
      <alignment horizontal="center"/>
      <protection hidden="1"/>
    </xf>
    <xf numFmtId="0" fontId="4" fillId="7" borderId="22" xfId="0" applyFont="1" applyFill="1" applyBorder="1" applyAlignment="1" applyProtection="1">
      <alignment horizontal="center"/>
      <protection hidden="1"/>
    </xf>
    <xf numFmtId="0" fontId="4" fillId="7" borderId="2" xfId="0" applyFont="1" applyFill="1" applyBorder="1" applyAlignment="1" applyProtection="1">
      <alignment horizontal="center"/>
      <protection hidden="1"/>
    </xf>
    <xf numFmtId="2" fontId="1" fillId="7" borderId="24" xfId="0" applyNumberFormat="1" applyFont="1" applyFill="1" applyBorder="1" applyAlignment="1" applyProtection="1">
      <alignment horizontal="center"/>
      <protection hidden="1"/>
    </xf>
    <xf numFmtId="2" fontId="1" fillId="7" borderId="25" xfId="0" applyNumberFormat="1" applyFont="1" applyFill="1" applyBorder="1" applyAlignment="1" applyProtection="1">
      <alignment horizontal="center"/>
      <protection hidden="1"/>
    </xf>
    <xf numFmtId="2" fontId="1" fillId="7" borderId="26" xfId="0" applyNumberFormat="1" applyFont="1" applyFill="1" applyBorder="1" applyAlignment="1" applyProtection="1">
      <alignment horizontal="center"/>
      <protection hidden="1"/>
    </xf>
    <xf numFmtId="165" fontId="1" fillId="0" borderId="11" xfId="0" applyNumberFormat="1" applyFont="1" applyBorder="1" applyAlignment="1" applyProtection="1">
      <alignment horizontal="center"/>
      <protection locked="0"/>
    </xf>
    <xf numFmtId="165" fontId="1" fillId="0" borderId="19" xfId="0" applyNumberFormat="1" applyFont="1" applyBorder="1" applyAlignment="1" applyProtection="1">
      <alignment horizontal="center"/>
      <protection locked="0"/>
    </xf>
    <xf numFmtId="165" fontId="1" fillId="0" borderId="23" xfId="0" applyNumberFormat="1" applyFont="1" applyBorder="1" applyAlignment="1" applyProtection="1">
      <alignment horizontal="center"/>
      <protection locked="0"/>
    </xf>
    <xf numFmtId="2" fontId="1" fillId="7" borderId="38" xfId="0" applyNumberFormat="1" applyFont="1" applyFill="1" applyBorder="1" applyAlignment="1" applyProtection="1">
      <alignment horizontal="center"/>
      <protection hidden="1"/>
    </xf>
    <xf numFmtId="2" fontId="1" fillId="7" borderId="20" xfId="0" applyNumberFormat="1" applyFont="1" applyFill="1" applyBorder="1" applyAlignment="1" applyProtection="1">
      <alignment horizontal="center"/>
      <protection hidden="1"/>
    </xf>
    <xf numFmtId="2" fontId="1" fillId="7" borderId="21" xfId="0" applyNumberFormat="1" applyFont="1" applyFill="1" applyBorder="1" applyAlignment="1" applyProtection="1">
      <alignment horizontal="center"/>
      <protection hidden="1"/>
    </xf>
    <xf numFmtId="0" fontId="2" fillId="4" borderId="16" xfId="0" applyFont="1" applyFill="1" applyBorder="1" applyAlignment="1" applyProtection="1">
      <alignment horizontal="center" vertical="center"/>
      <protection hidden="1"/>
    </xf>
    <xf numFmtId="0" fontId="2" fillId="4" borderId="17" xfId="0" applyFont="1" applyFill="1" applyBorder="1" applyAlignment="1" applyProtection="1">
      <alignment horizontal="center" vertical="center"/>
      <protection hidden="1"/>
    </xf>
    <xf numFmtId="0" fontId="6" fillId="4" borderId="3" xfId="0" applyFont="1" applyFill="1" applyBorder="1" applyAlignment="1" applyProtection="1">
      <alignment horizontal="centerContinuous" vertical="center"/>
      <protection hidden="1"/>
    </xf>
    <xf numFmtId="0" fontId="2" fillId="4" borderId="17" xfId="0" applyFont="1" applyFill="1" applyBorder="1" applyAlignment="1" applyProtection="1">
      <alignment horizontal="center" vertical="justify"/>
      <protection hidden="1"/>
    </xf>
    <xf numFmtId="0" fontId="2" fillId="4" borderId="18" xfId="0" applyFont="1" applyFill="1" applyBorder="1" applyAlignment="1" applyProtection="1">
      <alignment horizontal="center" vertical="justify"/>
      <protection hidden="1"/>
    </xf>
    <xf numFmtId="0" fontId="4" fillId="7" borderId="51" xfId="0" applyFont="1" applyFill="1" applyBorder="1" applyAlignment="1" applyProtection="1">
      <alignment horizontal="center"/>
      <protection hidden="1"/>
    </xf>
    <xf numFmtId="0" fontId="2" fillId="5" borderId="4" xfId="0" applyFont="1" applyFill="1" applyBorder="1" applyAlignment="1" applyProtection="1">
      <alignment horizontal="center"/>
      <protection hidden="1"/>
    </xf>
    <xf numFmtId="0" fontId="2" fillId="5" borderId="52" xfId="0" applyFont="1" applyFill="1" applyBorder="1" applyAlignment="1" applyProtection="1">
      <alignment horizontal="center"/>
      <protection hidden="1"/>
    </xf>
    <xf numFmtId="164" fontId="1" fillId="3" borderId="31" xfId="0" applyNumberFormat="1" applyFont="1" applyFill="1" applyBorder="1" applyAlignment="1" applyProtection="1">
      <alignment horizontal="center" vertical="center"/>
      <protection hidden="1"/>
    </xf>
    <xf numFmtId="164" fontId="1" fillId="3" borderId="12" xfId="0" applyNumberFormat="1" applyFont="1" applyFill="1" applyBorder="1" applyAlignment="1" applyProtection="1">
      <alignment horizontal="center" vertical="center"/>
      <protection hidden="1"/>
    </xf>
    <xf numFmtId="164" fontId="1" fillId="3" borderId="24" xfId="0" applyNumberFormat="1" applyFont="1" applyFill="1" applyBorder="1" applyAlignment="1" applyProtection="1">
      <alignment horizontal="center" vertical="center"/>
      <protection hidden="1"/>
    </xf>
    <xf numFmtId="164" fontId="1" fillId="2" borderId="31" xfId="0" applyNumberFormat="1" applyFont="1" applyFill="1" applyBorder="1" applyAlignment="1" applyProtection="1">
      <alignment horizontal="center" vertical="center"/>
      <protection hidden="1"/>
    </xf>
    <xf numFmtId="164" fontId="1" fillId="2" borderId="12" xfId="0" applyNumberFormat="1" applyFont="1" applyFill="1" applyBorder="1" applyAlignment="1" applyProtection="1">
      <alignment horizontal="center" vertical="center"/>
      <protection hidden="1"/>
    </xf>
    <xf numFmtId="164" fontId="1" fillId="2" borderId="24" xfId="0" applyNumberFormat="1" applyFont="1" applyFill="1" applyBorder="1" applyAlignment="1" applyProtection="1">
      <alignment horizontal="center" vertical="center"/>
      <protection hidden="1"/>
    </xf>
    <xf numFmtId="164" fontId="1" fillId="2" borderId="30" xfId="0" applyNumberFormat="1" applyFont="1" applyFill="1" applyBorder="1" applyAlignment="1" applyProtection="1">
      <alignment horizontal="center" vertical="center"/>
      <protection hidden="1"/>
    </xf>
    <xf numFmtId="0" fontId="2" fillId="5" borderId="5" xfId="0" applyFont="1" applyFill="1" applyBorder="1" applyAlignment="1" applyProtection="1">
      <alignment horizontal="center"/>
      <protection hidden="1"/>
    </xf>
    <xf numFmtId="0" fontId="1" fillId="3" borderId="11" xfId="0" applyFont="1" applyFill="1" applyBorder="1" applyAlignment="1" applyProtection="1">
      <alignment horizontal="center"/>
      <protection hidden="1"/>
    </xf>
    <xf numFmtId="0" fontId="1" fillId="3" borderId="19" xfId="0" applyFont="1" applyFill="1" applyBorder="1" applyAlignment="1" applyProtection="1">
      <alignment horizontal="center"/>
      <protection hidden="1"/>
    </xf>
    <xf numFmtId="0" fontId="1" fillId="3" borderId="23" xfId="0" applyFont="1" applyFill="1" applyBorder="1" applyAlignment="1" applyProtection="1">
      <alignment horizontal="center"/>
      <protection hidden="1"/>
    </xf>
    <xf numFmtId="0" fontId="1" fillId="2" borderId="11" xfId="0" applyFont="1" applyFill="1" applyBorder="1" applyAlignment="1" applyProtection="1">
      <alignment horizontal="center"/>
      <protection hidden="1"/>
    </xf>
    <xf numFmtId="0" fontId="1" fillId="2" borderId="19" xfId="0" applyFont="1" applyFill="1" applyBorder="1" applyAlignment="1" applyProtection="1">
      <alignment horizontal="center"/>
      <protection hidden="1"/>
    </xf>
    <xf numFmtId="0" fontId="1" fillId="2" borderId="23" xfId="0" applyFont="1" applyFill="1" applyBorder="1" applyAlignment="1" applyProtection="1">
      <alignment horizontal="center"/>
      <protection hidden="1"/>
    </xf>
    <xf numFmtId="0" fontId="1" fillId="2" borderId="53" xfId="0" applyFont="1" applyFill="1" applyBorder="1" applyAlignment="1" applyProtection="1">
      <alignment horizontal="center"/>
      <protection hidden="1"/>
    </xf>
    <xf numFmtId="165" fontId="1" fillId="3" borderId="11" xfId="0" applyNumberFormat="1" applyFont="1" applyFill="1" applyBorder="1" applyAlignment="1" applyProtection="1">
      <alignment horizontal="center"/>
      <protection hidden="1"/>
    </xf>
    <xf numFmtId="165" fontId="1" fillId="3" borderId="19" xfId="0" applyNumberFormat="1" applyFont="1" applyFill="1" applyBorder="1" applyAlignment="1" applyProtection="1">
      <alignment horizontal="center"/>
      <protection hidden="1"/>
    </xf>
    <xf numFmtId="165" fontId="1" fillId="3" borderId="23" xfId="0" applyNumberFormat="1" applyFont="1" applyFill="1" applyBorder="1" applyAlignment="1" applyProtection="1">
      <alignment horizontal="center"/>
      <protection hidden="1"/>
    </xf>
    <xf numFmtId="0" fontId="1" fillId="7" borderId="32" xfId="0" applyFont="1" applyFill="1" applyBorder="1" applyProtection="1">
      <protection hidden="1"/>
    </xf>
    <xf numFmtId="0" fontId="1" fillId="7" borderId="1" xfId="0" applyFont="1" applyFill="1" applyBorder="1" applyProtection="1">
      <protection hidden="1"/>
    </xf>
    <xf numFmtId="0" fontId="1" fillId="7" borderId="33" xfId="0" applyFont="1" applyFill="1" applyBorder="1" applyProtection="1">
      <protection hidden="1"/>
    </xf>
    <xf numFmtId="0" fontId="1" fillId="7" borderId="0" xfId="0" applyFont="1" applyFill="1" applyProtection="1">
      <protection hidden="1"/>
    </xf>
    <xf numFmtId="0" fontId="1" fillId="7" borderId="35" xfId="0" applyFont="1" applyFill="1" applyBorder="1" applyProtection="1">
      <protection hidden="1"/>
    </xf>
    <xf numFmtId="0" fontId="1" fillId="7" borderId="2" xfId="0" applyFont="1" applyFill="1" applyBorder="1" applyProtection="1">
      <protection hidden="1"/>
    </xf>
    <xf numFmtId="0" fontId="4" fillId="7" borderId="37" xfId="0" applyFont="1" applyFill="1" applyBorder="1" applyAlignment="1" applyProtection="1">
      <alignment horizontal="center"/>
      <protection hidden="1"/>
    </xf>
    <xf numFmtId="0" fontId="2" fillId="8" borderId="6" xfId="0" applyFont="1" applyFill="1" applyBorder="1" applyAlignment="1" applyProtection="1">
      <alignment horizontal="centerContinuous" vertical="center"/>
      <protection hidden="1"/>
    </xf>
    <xf numFmtId="0" fontId="2" fillId="8" borderId="8" xfId="0" applyFont="1" applyFill="1" applyBorder="1" applyAlignment="1" applyProtection="1">
      <alignment horizontal="center" vertical="center"/>
      <protection hidden="1"/>
    </xf>
    <xf numFmtId="0" fontId="2" fillId="8" borderId="8" xfId="0" applyFont="1" applyFill="1" applyBorder="1" applyAlignment="1" applyProtection="1">
      <alignment horizontal="centerContinuous" vertical="center"/>
      <protection hidden="1"/>
    </xf>
    <xf numFmtId="0" fontId="2" fillId="8" borderId="9" xfId="0" applyFont="1" applyFill="1" applyBorder="1" applyAlignment="1" applyProtection="1">
      <alignment horizontal="centerContinuous" vertical="center"/>
      <protection hidden="1"/>
    </xf>
    <xf numFmtId="0" fontId="2" fillId="8" borderId="39" xfId="0" applyFont="1" applyFill="1" applyBorder="1" applyAlignment="1" applyProtection="1">
      <alignment horizontal="centerContinuous" vertical="center"/>
      <protection hidden="1"/>
    </xf>
    <xf numFmtId="0" fontId="2" fillId="8" borderId="20" xfId="0" applyFont="1" applyFill="1" applyBorder="1" applyAlignment="1" applyProtection="1">
      <alignment horizontal="center" vertical="center"/>
      <protection hidden="1"/>
    </xf>
    <xf numFmtId="0" fontId="2" fillId="8" borderId="20" xfId="0" applyFont="1" applyFill="1" applyBorder="1" applyAlignment="1" applyProtection="1">
      <alignment horizontal="centerContinuous" vertical="center"/>
      <protection hidden="1"/>
    </xf>
    <xf numFmtId="0" fontId="2" fillId="8" borderId="21" xfId="0" applyFont="1" applyFill="1" applyBorder="1" applyAlignment="1" applyProtection="1">
      <alignment horizontal="centerContinuous" vertical="center"/>
      <protection hidden="1"/>
    </xf>
    <xf numFmtId="165" fontId="1" fillId="2" borderId="14" xfId="0" applyNumberFormat="1" applyFont="1" applyFill="1" applyBorder="1" applyProtection="1">
      <protection hidden="1"/>
    </xf>
    <xf numFmtId="0" fontId="2" fillId="6" borderId="9" xfId="0" applyFont="1" applyFill="1" applyBorder="1" applyAlignment="1" applyProtection="1">
      <alignment horizontal="centerContinuous" vertical="center"/>
      <protection hidden="1"/>
    </xf>
    <xf numFmtId="0" fontId="2" fillId="6" borderId="15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Protection="1">
      <protection hidden="1"/>
    </xf>
    <xf numFmtId="0" fontId="1" fillId="2" borderId="27" xfId="0" applyFont="1" applyFill="1" applyBorder="1" applyProtection="1">
      <protection hidden="1"/>
    </xf>
    <xf numFmtId="2" fontId="1" fillId="7" borderId="0" xfId="0" applyNumberFormat="1" applyFont="1" applyFill="1" applyProtection="1">
      <protection hidden="1"/>
    </xf>
    <xf numFmtId="2" fontId="1" fillId="7" borderId="34" xfId="0" applyNumberFormat="1" applyFont="1" applyFill="1" applyBorder="1" applyProtection="1">
      <protection hidden="1"/>
    </xf>
    <xf numFmtId="166" fontId="4" fillId="0" borderId="15" xfId="1" applyNumberFormat="1" applyFont="1" applyFill="1" applyBorder="1" applyAlignment="1" applyProtection="1">
      <alignment horizontal="center"/>
      <protection locked="0"/>
    </xf>
    <xf numFmtId="166" fontId="4" fillId="0" borderId="27" xfId="1" applyNumberFormat="1" applyFont="1" applyFill="1" applyBorder="1" applyAlignment="1" applyProtection="1">
      <alignment horizontal="center"/>
      <protection locked="0"/>
    </xf>
    <xf numFmtId="166" fontId="1" fillId="2" borderId="15" xfId="0" applyNumberFormat="1" applyFont="1" applyFill="1" applyBorder="1" applyAlignment="1" applyProtection="1">
      <alignment horizontal="center"/>
      <protection hidden="1"/>
    </xf>
    <xf numFmtId="166" fontId="1" fillId="2" borderId="27" xfId="0" applyNumberFormat="1" applyFont="1" applyFill="1" applyBorder="1" applyAlignment="1" applyProtection="1">
      <alignment horizontal="center"/>
      <protection hidden="1"/>
    </xf>
    <xf numFmtId="166" fontId="1" fillId="2" borderId="15" xfId="0" applyNumberFormat="1" applyFont="1" applyFill="1" applyBorder="1" applyAlignment="1" applyProtection="1">
      <alignment horizontal="center" vertical="center"/>
      <protection hidden="1"/>
    </xf>
    <xf numFmtId="166" fontId="1" fillId="2" borderId="27" xfId="0" applyNumberFormat="1" applyFont="1" applyFill="1" applyBorder="1" applyAlignment="1" applyProtection="1">
      <alignment horizontal="center" vertical="center"/>
      <protection hidden="1"/>
    </xf>
    <xf numFmtId="167" fontId="1" fillId="7" borderId="0" xfId="2" applyNumberFormat="1" applyFont="1" applyFill="1" applyBorder="1" applyProtection="1">
      <protection hidden="1"/>
    </xf>
    <xf numFmtId="2" fontId="1" fillId="7" borderId="36" xfId="0" applyNumberFormat="1" applyFont="1" applyFill="1" applyBorder="1" applyProtection="1">
      <protection hidden="1"/>
    </xf>
    <xf numFmtId="2" fontId="1" fillId="7" borderId="2" xfId="0" applyNumberFormat="1" applyFont="1" applyFill="1" applyBorder="1" applyProtection="1">
      <protection hidden="1"/>
    </xf>
    <xf numFmtId="0" fontId="8" fillId="7" borderId="0" xfId="0" applyFont="1" applyFill="1" applyAlignment="1" applyProtection="1">
      <alignment horizontal="centerContinuous" vertical="center"/>
      <protection hidden="1"/>
    </xf>
    <xf numFmtId="0" fontId="8" fillId="7" borderId="35" xfId="0" applyFont="1" applyFill="1" applyBorder="1" applyAlignment="1" applyProtection="1">
      <alignment horizontal="centerContinuous" vertical="center"/>
      <protection hidden="1"/>
    </xf>
    <xf numFmtId="0" fontId="2" fillId="9" borderId="0" xfId="0" applyFont="1" applyFill="1" applyProtection="1">
      <protection hidden="1"/>
    </xf>
    <xf numFmtId="0" fontId="1" fillId="9" borderId="0" xfId="0" applyFont="1" applyFill="1" applyProtection="1">
      <protection hidden="1"/>
    </xf>
    <xf numFmtId="0" fontId="1" fillId="9" borderId="0" xfId="0" applyFont="1" applyFill="1" applyAlignment="1" applyProtection="1">
      <alignment horizontal="center" vertical="justify"/>
      <protection hidden="1"/>
    </xf>
    <xf numFmtId="0" fontId="2" fillId="9" borderId="0" xfId="0" applyFont="1" applyFill="1" applyAlignment="1" applyProtection="1">
      <alignment horizontal="center" vertical="justify"/>
      <protection hidden="1"/>
    </xf>
    <xf numFmtId="164" fontId="2" fillId="9" borderId="0" xfId="0" applyNumberFormat="1" applyFont="1" applyFill="1" applyAlignment="1" applyProtection="1">
      <alignment horizontal="center" vertical="justify"/>
      <protection hidden="1"/>
    </xf>
    <xf numFmtId="164" fontId="2" fillId="9" borderId="0" xfId="0" applyNumberFormat="1" applyFont="1" applyFill="1" applyProtection="1">
      <protection hidden="1"/>
    </xf>
    <xf numFmtId="0" fontId="2" fillId="9" borderId="0" xfId="0" applyFont="1" applyFill="1" applyAlignment="1" applyProtection="1">
      <alignment horizontal="center"/>
      <protection hidden="1"/>
    </xf>
    <xf numFmtId="164" fontId="2" fillId="9" borderId="0" xfId="0" applyNumberFormat="1" applyFont="1" applyFill="1" applyAlignment="1" applyProtection="1">
      <alignment horizontal="center"/>
      <protection hidden="1"/>
    </xf>
    <xf numFmtId="2" fontId="2" fillId="9" borderId="0" xfId="0" applyNumberFormat="1" applyFont="1" applyFill="1" applyProtection="1">
      <protection hidden="1"/>
    </xf>
    <xf numFmtId="0" fontId="10" fillId="7" borderId="0" xfId="0" applyFont="1" applyFill="1" applyAlignment="1" applyProtection="1">
      <alignment horizontal="centerContinuous" vertical="center"/>
      <protection hidden="1"/>
    </xf>
    <xf numFmtId="0" fontId="11" fillId="7" borderId="34" xfId="0" applyFont="1" applyFill="1" applyBorder="1" applyAlignment="1" applyProtection="1">
      <alignment horizontal="centerContinuous" vertical="center"/>
      <protection hidden="1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164" fontId="12" fillId="3" borderId="8" xfId="0" applyNumberFormat="1" applyFont="1" applyFill="1" applyBorder="1" applyAlignment="1" applyProtection="1">
      <alignment horizontal="center" vertical="center"/>
      <protection hidden="1"/>
    </xf>
    <xf numFmtId="164" fontId="12" fillId="3" borderId="13" xfId="0" applyNumberFormat="1" applyFont="1" applyFill="1" applyBorder="1" applyAlignment="1" applyProtection="1">
      <alignment horizontal="center" vertical="center"/>
      <protection hidden="1"/>
    </xf>
    <xf numFmtId="164" fontId="12" fillId="3" borderId="25" xfId="0" applyNumberFormat="1" applyFont="1" applyFill="1" applyBorder="1" applyAlignment="1" applyProtection="1">
      <alignment horizontal="center" vertical="center"/>
      <protection hidden="1"/>
    </xf>
    <xf numFmtId="164" fontId="12" fillId="2" borderId="8" xfId="0" applyNumberFormat="1" applyFont="1" applyFill="1" applyBorder="1" applyAlignment="1" applyProtection="1">
      <alignment horizontal="center" vertical="center"/>
      <protection hidden="1"/>
    </xf>
    <xf numFmtId="164" fontId="12" fillId="2" borderId="13" xfId="0" applyNumberFormat="1" applyFont="1" applyFill="1" applyBorder="1" applyAlignment="1" applyProtection="1">
      <alignment horizontal="center" vertical="center"/>
      <protection hidden="1"/>
    </xf>
    <xf numFmtId="164" fontId="12" fillId="2" borderId="25" xfId="0" applyNumberFormat="1" applyFont="1" applyFill="1" applyBorder="1" applyAlignment="1" applyProtection="1">
      <alignment horizontal="center" vertical="center"/>
      <protection hidden="1"/>
    </xf>
    <xf numFmtId="164" fontId="12" fillId="2" borderId="28" xfId="0" applyNumberFormat="1" applyFont="1" applyFill="1" applyBorder="1" applyAlignment="1" applyProtection="1">
      <alignment horizontal="center" vertical="center"/>
      <protection hidden="1"/>
    </xf>
    <xf numFmtId="0" fontId="1" fillId="2" borderId="32" xfId="0" applyFont="1" applyFill="1" applyBorder="1" applyAlignment="1" applyProtection="1">
      <alignment horizontal="center" vertical="center"/>
      <protection hidden="1"/>
    </xf>
    <xf numFmtId="0" fontId="1" fillId="2" borderId="34" xfId="0" applyFont="1" applyFill="1" applyBorder="1" applyAlignment="1" applyProtection="1">
      <alignment horizontal="center" vertical="center"/>
      <protection hidden="1"/>
    </xf>
    <xf numFmtId="0" fontId="7" fillId="4" borderId="43" xfId="0" applyFont="1" applyFill="1" applyBorder="1" applyAlignment="1" applyProtection="1">
      <alignment horizontal="center" vertical="center"/>
      <protection hidden="1"/>
    </xf>
    <xf numFmtId="0" fontId="7" fillId="4" borderId="46" xfId="0" applyFont="1" applyFill="1" applyBorder="1" applyAlignment="1" applyProtection="1">
      <alignment horizontal="center" vertical="center"/>
      <protection hidden="1"/>
    </xf>
    <xf numFmtId="0" fontId="7" fillId="4" borderId="48" xfId="0" applyFont="1" applyFill="1" applyBorder="1" applyAlignment="1" applyProtection="1">
      <alignment horizontal="center" vertical="center"/>
      <protection hidden="1"/>
    </xf>
    <xf numFmtId="0" fontId="1" fillId="3" borderId="32" xfId="0" applyFont="1" applyFill="1" applyBorder="1" applyAlignment="1" applyProtection="1">
      <alignment horizontal="center" vertical="center"/>
      <protection hidden="1"/>
    </xf>
    <xf numFmtId="0" fontId="1" fillId="3" borderId="34" xfId="0" applyFont="1" applyFill="1" applyBorder="1" applyAlignment="1" applyProtection="1">
      <alignment horizontal="center" vertical="center"/>
      <protection hidden="1"/>
    </xf>
    <xf numFmtId="0" fontId="1" fillId="3" borderId="36" xfId="0" applyFont="1" applyFill="1" applyBorder="1" applyAlignment="1" applyProtection="1">
      <alignment horizontal="center" vertical="center"/>
      <protection hidden="1"/>
    </xf>
    <xf numFmtId="0" fontId="1" fillId="2" borderId="36" xfId="0" applyFont="1" applyFill="1" applyBorder="1" applyAlignment="1" applyProtection="1">
      <alignment horizontal="center" vertical="center"/>
      <protection hidden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D74B-B9AD-49BC-AAB7-E846C2253487}">
  <sheetPr codeName="Planilha1">
    <pageSetUpPr fitToPage="1"/>
  </sheetPr>
  <dimension ref="A1:AH45"/>
  <sheetViews>
    <sheetView showGridLines="0" showRowColHeaders="0" tabSelected="1" zoomScaleNormal="100" workbookViewId="0">
      <selection activeCell="N8" sqref="N8"/>
    </sheetView>
  </sheetViews>
  <sheetFormatPr defaultColWidth="0" defaultRowHeight="12" x14ac:dyDescent="0.2"/>
  <cols>
    <col min="1" max="1" width="2.28515625" style="2" customWidth="1"/>
    <col min="2" max="2" width="20.28515625" style="1" customWidth="1"/>
    <col min="3" max="3" width="8" style="1" bestFit="1" customWidth="1"/>
    <col min="4" max="9" width="5.42578125" style="1" bestFit="1" customWidth="1"/>
    <col min="10" max="10" width="1.7109375" style="1" customWidth="1"/>
    <col min="11" max="11" width="11.85546875" style="1" bestFit="1" customWidth="1"/>
    <col min="12" max="12" width="7.140625" style="1" bestFit="1" customWidth="1"/>
    <col min="13" max="13" width="10.85546875" style="1" bestFit="1" customWidth="1"/>
    <col min="14" max="14" width="11.42578125" style="1" bestFit="1" customWidth="1"/>
    <col min="15" max="16" width="9.28515625" style="1" bestFit="1" customWidth="1"/>
    <col min="17" max="17" width="9.140625" style="1" bestFit="1" customWidth="1"/>
    <col min="18" max="18" width="8.140625" style="1" bestFit="1" customWidth="1"/>
    <col min="19" max="19" width="7.140625" style="1" bestFit="1" customWidth="1"/>
    <col min="20" max="20" width="8.42578125" style="1" bestFit="1" customWidth="1"/>
    <col min="21" max="21" width="8" style="1" bestFit="1" customWidth="1"/>
    <col min="22" max="22" width="2.42578125" style="1" customWidth="1"/>
    <col min="23" max="23" width="12.28515625" style="2" hidden="1" customWidth="1"/>
    <col min="24" max="24" width="9.85546875" style="2" hidden="1" customWidth="1"/>
    <col min="25" max="25" width="8.5703125" style="3" hidden="1" customWidth="1"/>
    <col min="26" max="26" width="9.7109375" style="2" hidden="1" customWidth="1"/>
    <col min="27" max="27" width="10.140625" style="2" hidden="1" customWidth="1"/>
    <col min="28" max="28" width="7.140625" style="2" hidden="1" customWidth="1"/>
    <col min="29" max="34" width="0" style="2" hidden="1" customWidth="1"/>
    <col min="35" max="16384" width="8.7109375" style="2" hidden="1"/>
  </cols>
  <sheetData>
    <row r="1" spans="1:28" ht="12.75" thickBot="1" x14ac:dyDescent="0.25">
      <c r="A1" s="129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</row>
    <row r="2" spans="1:28" s="132" customFormat="1" ht="37.5" thickTop="1" thickBot="1" x14ac:dyDescent="0.25">
      <c r="B2" s="30" t="s">
        <v>8</v>
      </c>
      <c r="C2" s="142">
        <v>570</v>
      </c>
      <c r="D2" s="31">
        <f>((0.834-0.00114*(((D4*0.96)*(478/$C$2)))))</f>
        <v>0.54490559999999999</v>
      </c>
      <c r="E2" s="31">
        <f>((0.834-0.00114*(((E4*0.96)*(478/$C$2)))))</f>
        <v>0.59997119999999993</v>
      </c>
      <c r="F2" s="31">
        <f t="shared" ref="F2:I2" si="0">((0.834-0.00114*(((F4*0.96)*(478/$C$2)))))</f>
        <v>0.56326079999999989</v>
      </c>
      <c r="G2" s="31">
        <f t="shared" si="0"/>
        <v>0.52655039999999997</v>
      </c>
      <c r="H2" s="31">
        <f t="shared" si="0"/>
        <v>0.48984</v>
      </c>
      <c r="I2" s="32">
        <f t="shared" si="0"/>
        <v>0.44854079999999996</v>
      </c>
      <c r="J2" s="130"/>
      <c r="K2" s="70" t="s">
        <v>1</v>
      </c>
      <c r="L2" s="71" t="s">
        <v>9</v>
      </c>
      <c r="M2" s="72" t="s">
        <v>7</v>
      </c>
      <c r="N2" s="72"/>
      <c r="O2" s="72"/>
      <c r="P2" s="72"/>
      <c r="Q2" s="72"/>
      <c r="R2" s="72"/>
      <c r="S2" s="73" t="s">
        <v>10</v>
      </c>
      <c r="T2" s="73" t="s">
        <v>11</v>
      </c>
      <c r="U2" s="74" t="s">
        <v>12</v>
      </c>
      <c r="V2" s="131"/>
      <c r="Y2" s="133"/>
    </row>
    <row r="3" spans="1:28" s="129" customFormat="1" ht="16.5" customHeight="1" thickTop="1" x14ac:dyDescent="0.2">
      <c r="B3" s="13" t="s">
        <v>0</v>
      </c>
      <c r="C3" s="14"/>
      <c r="D3" s="14" t="s">
        <v>13</v>
      </c>
      <c r="E3" s="14"/>
      <c r="F3" s="14"/>
      <c r="G3" s="14"/>
      <c r="H3" s="14"/>
      <c r="I3" s="112"/>
      <c r="J3" s="130"/>
      <c r="K3" s="75" t="s">
        <v>2</v>
      </c>
      <c r="L3" s="64">
        <v>55</v>
      </c>
      <c r="M3" s="96"/>
      <c r="N3" s="97"/>
      <c r="O3" s="97"/>
      <c r="P3" s="97"/>
      <c r="Q3" s="97"/>
      <c r="R3" s="98"/>
      <c r="S3" s="67">
        <f>(L3/100)*3.62</f>
        <v>1.9910000000000003</v>
      </c>
      <c r="T3" s="68">
        <f>1.37*S3-0.138*POWER(S3,2)+0.0105*POWER(S3,3)-1.12</f>
        <v>1.1434979173455004</v>
      </c>
      <c r="U3" s="69">
        <f>(1.42*S3-0.174*POWER(S3,2)+0.0122*POWER(S3,3)-1.65)</f>
        <v>0.58375822630620089</v>
      </c>
      <c r="V3" s="131"/>
      <c r="Y3" s="134"/>
    </row>
    <row r="4" spans="1:28" s="129" customFormat="1" ht="12.75" customHeight="1" x14ac:dyDescent="0.2">
      <c r="B4" s="113" t="s">
        <v>37</v>
      </c>
      <c r="C4" s="33" t="s">
        <v>36</v>
      </c>
      <c r="D4" s="140">
        <v>315</v>
      </c>
      <c r="E4" s="140">
        <v>255</v>
      </c>
      <c r="F4" s="140">
        <v>295</v>
      </c>
      <c r="G4" s="140">
        <v>335</v>
      </c>
      <c r="H4" s="140">
        <v>375</v>
      </c>
      <c r="I4" s="141">
        <v>420</v>
      </c>
      <c r="J4" s="130"/>
      <c r="K4" s="55" t="s">
        <v>3</v>
      </c>
      <c r="L4" s="65">
        <v>52</v>
      </c>
      <c r="M4" s="139" t="s">
        <v>42</v>
      </c>
      <c r="N4" s="138"/>
      <c r="O4" s="127"/>
      <c r="P4" s="127"/>
      <c r="Q4" s="127"/>
      <c r="R4" s="128"/>
      <c r="S4" s="56">
        <f>(L4/100)*3.62</f>
        <v>1.8824000000000001</v>
      </c>
      <c r="T4" s="57">
        <f>1.37*S4-0.138*POWER(S4,2)+0.0105*POWER(S4,3)-1.12</f>
        <v>1.0399312910123526</v>
      </c>
      <c r="U4" s="58">
        <f>(1.42*S4-0.174*POWER(S4,2)+0.0122*POWER(S4,3)-1.65)</f>
        <v>0.48782707835873262</v>
      </c>
      <c r="V4" s="131"/>
      <c r="Y4" s="134"/>
    </row>
    <row r="5" spans="1:28" s="129" customFormat="1" x14ac:dyDescent="0.2">
      <c r="B5" s="114" t="s">
        <v>14</v>
      </c>
      <c r="C5" s="4" t="s">
        <v>15</v>
      </c>
      <c r="D5" s="5">
        <f>POWER(D4,0.75)*0.077</f>
        <v>5.7573633719896264</v>
      </c>
      <c r="E5" s="5">
        <f t="shared" ref="E5:I5" si="1">POWER(E4,0.75)*0.077</f>
        <v>4.913555438940282</v>
      </c>
      <c r="F5" s="5">
        <f t="shared" si="1"/>
        <v>5.4809676296517793</v>
      </c>
      <c r="G5" s="5">
        <f t="shared" si="1"/>
        <v>6.0294032464680916</v>
      </c>
      <c r="H5" s="5">
        <f t="shared" si="1"/>
        <v>6.5616668413498092</v>
      </c>
      <c r="I5" s="44">
        <f t="shared" si="1"/>
        <v>7.1437737727866608</v>
      </c>
      <c r="J5" s="130"/>
      <c r="K5" s="55" t="s">
        <v>4</v>
      </c>
      <c r="L5" s="65">
        <v>56</v>
      </c>
      <c r="M5" s="117"/>
      <c r="N5" s="116"/>
      <c r="O5" s="124"/>
      <c r="P5" s="124"/>
      <c r="Q5" s="99"/>
      <c r="R5" s="100"/>
      <c r="S5" s="56">
        <f>(L5/100)*3.62</f>
        <v>2.0272000000000001</v>
      </c>
      <c r="T5" s="57">
        <f>1.37*S5-0.138*POWER(S5,2)+0.0105*POWER(S5,3)-1.12</f>
        <v>1.1776215232983036</v>
      </c>
      <c r="U5" s="58">
        <f>(1.42*S5-0.174*POWER(S5,2)+0.0122*POWER(S5,3)-1.65)</f>
        <v>0.61520054963650539</v>
      </c>
      <c r="V5" s="131"/>
      <c r="Y5" s="134"/>
    </row>
    <row r="6" spans="1:28" s="129" customFormat="1" ht="12.75" thickBot="1" x14ac:dyDescent="0.25">
      <c r="B6" s="114" t="s">
        <v>16</v>
      </c>
      <c r="C6" s="4" t="s">
        <v>17</v>
      </c>
      <c r="D6" s="6">
        <f t="shared" ref="D6:I6" si="2">3.8*POWER(D4*0.96,0.75)</f>
        <v>275.56238614950752</v>
      </c>
      <c r="E6" s="6">
        <f t="shared" si="2"/>
        <v>235.17554369064666</v>
      </c>
      <c r="F6" s="6">
        <f t="shared" si="2"/>
        <v>262.3333670032207</v>
      </c>
      <c r="G6" s="6">
        <f t="shared" si="2"/>
        <v>288.58292213023242</v>
      </c>
      <c r="H6" s="6">
        <f t="shared" si="2"/>
        <v>314.05844222328403</v>
      </c>
      <c r="I6" s="111">
        <f t="shared" si="2"/>
        <v>341.91959404866782</v>
      </c>
      <c r="J6" s="130"/>
      <c r="K6" s="59" t="s">
        <v>5</v>
      </c>
      <c r="L6" s="66">
        <v>60</v>
      </c>
      <c r="M6" s="125"/>
      <c r="N6" s="126"/>
      <c r="O6" s="124"/>
      <c r="P6" s="101"/>
      <c r="Q6" s="60"/>
      <c r="R6" s="102"/>
      <c r="S6" s="61">
        <f>(L6/100)*3.62</f>
        <v>2.1720000000000002</v>
      </c>
      <c r="T6" s="62">
        <f>1.37*S6-0.138*POWER(S6,2)+0.0105*POWER(S6,3)-1.12</f>
        <v>1.3122026287040001</v>
      </c>
      <c r="U6" s="63">
        <f>(1.42*S6-0.174*POWER(S6,2)+0.0122*POWER(S6,3)-1.65)</f>
        <v>0.73838881186560013</v>
      </c>
      <c r="V6" s="131"/>
      <c r="Y6" s="134"/>
    </row>
    <row r="7" spans="1:28" s="129" customFormat="1" ht="13.5" thickTop="1" thickBot="1" x14ac:dyDescent="0.25">
      <c r="B7" s="114" t="s">
        <v>18</v>
      </c>
      <c r="C7" s="4" t="s">
        <v>17</v>
      </c>
      <c r="D7" s="5">
        <f>(D4*0.96)*0.0308</f>
        <v>9.3139199999999995</v>
      </c>
      <c r="E7" s="5">
        <f t="shared" ref="E7:I7" si="3">(E4*0.96)*0.0308</f>
        <v>7.5398399999999999</v>
      </c>
      <c r="F7" s="5">
        <f t="shared" si="3"/>
        <v>8.7225599999999996</v>
      </c>
      <c r="G7" s="5">
        <f t="shared" si="3"/>
        <v>9.9052799999999994</v>
      </c>
      <c r="H7" s="5">
        <f t="shared" si="3"/>
        <v>11.088000000000001</v>
      </c>
      <c r="I7" s="44">
        <f t="shared" si="3"/>
        <v>12.418559999999999</v>
      </c>
      <c r="J7" s="130"/>
      <c r="K7" s="76" t="s">
        <v>13</v>
      </c>
      <c r="L7" s="85" t="s">
        <v>9</v>
      </c>
      <c r="M7" s="77" t="s">
        <v>19</v>
      </c>
      <c r="N7" s="11" t="s">
        <v>20</v>
      </c>
      <c r="O7" s="11" t="s">
        <v>21</v>
      </c>
      <c r="P7" s="11" t="s">
        <v>22</v>
      </c>
      <c r="Q7" s="11" t="s">
        <v>23</v>
      </c>
      <c r="R7" s="11" t="s">
        <v>24</v>
      </c>
      <c r="S7" s="11" t="s">
        <v>25</v>
      </c>
      <c r="T7" s="11" t="s">
        <v>26</v>
      </c>
      <c r="U7" s="12" t="s">
        <v>27</v>
      </c>
      <c r="V7" s="131"/>
      <c r="W7" s="135" t="s">
        <v>28</v>
      </c>
      <c r="X7" s="135" t="s">
        <v>29</v>
      </c>
      <c r="Y7" s="136" t="s">
        <v>30</v>
      </c>
      <c r="Z7" s="135" t="s">
        <v>31</v>
      </c>
      <c r="AA7" s="135" t="s">
        <v>32</v>
      </c>
      <c r="AB7" s="135" t="s">
        <v>33</v>
      </c>
    </row>
    <row r="8" spans="1:28" s="129" customFormat="1" ht="13.5" thickTop="1" thickBot="1" x14ac:dyDescent="0.25">
      <c r="B8" s="115" t="s">
        <v>34</v>
      </c>
      <c r="C8" s="7" t="s">
        <v>17</v>
      </c>
      <c r="D8" s="8">
        <f t="shared" ref="D8:I8" si="4">(D4*0.96)*0.02353</f>
        <v>7.1154719999999987</v>
      </c>
      <c r="E8" s="8">
        <f t="shared" si="4"/>
        <v>5.7601439999999995</v>
      </c>
      <c r="F8" s="8">
        <f t="shared" si="4"/>
        <v>6.6636959999999998</v>
      </c>
      <c r="G8" s="8">
        <f t="shared" si="4"/>
        <v>7.5672479999999984</v>
      </c>
      <c r="H8" s="8">
        <f t="shared" si="4"/>
        <v>8.4707999999999988</v>
      </c>
      <c r="I8" s="45">
        <f t="shared" si="4"/>
        <v>9.4872959999999988</v>
      </c>
      <c r="J8" s="130"/>
      <c r="K8" s="155">
        <f>D4</f>
        <v>315</v>
      </c>
      <c r="L8" s="93">
        <f>L3</f>
        <v>55</v>
      </c>
      <c r="M8" s="78">
        <f>((1.2425+(1.9218*T3)-0.7259*(T3*T3))/100*$K$8)</f>
        <v>7.8463241033956423</v>
      </c>
      <c r="N8" s="143">
        <f>13.91*POWER(W8,0.9116)*POWER(X8,-0.6897)/0.96</f>
        <v>0.50011239428508525</v>
      </c>
      <c r="O8" s="16">
        <f>((Q8/0.6)/(M8*10))</f>
        <v>8.9881310448522616</v>
      </c>
      <c r="P8" s="15">
        <f>(0.087*(M8*1000*($L$3/100))+42.73)/Z8*100</f>
        <v>59.295822406208529</v>
      </c>
      <c r="Q8" s="15">
        <f>D6+(N8*0.96*(268-29.4*(W8/(N8*0.96))))/D2</f>
        <v>423.14273557021772</v>
      </c>
      <c r="R8" s="15">
        <f>(((D7+(AA8*0.142))/(M8*10)))</f>
        <v>0.26424074105769074</v>
      </c>
      <c r="S8" s="15">
        <f>((($D$8+(AA8*0.05735))/(M8*10)))</f>
        <v>0.14946371543500481</v>
      </c>
      <c r="T8" s="22">
        <f>L3*M8/100</f>
        <v>4.3154782568676033</v>
      </c>
      <c r="U8" s="23">
        <f>((M8*(O8/10))*P8)/T8</f>
        <v>96.90156767259802</v>
      </c>
      <c r="V8" s="131"/>
      <c r="W8" s="134">
        <f>(M8-(D5/T3))*U3</f>
        <v>1.6412094541620732</v>
      </c>
      <c r="X8" s="137">
        <f>(K8*0.96)*(478/$C$2)</f>
        <v>253.59157894736842</v>
      </c>
      <c r="Y8" s="134">
        <f>D2</f>
        <v>0.54490559999999999</v>
      </c>
      <c r="Z8" s="137">
        <f>M8*O8*10</f>
        <v>705.23789261702962</v>
      </c>
      <c r="AA8" s="137">
        <f>(N8*0.96)*(268-(29.4*(W8/(N8*0.96))))</f>
        <v>80.417358849301763</v>
      </c>
      <c r="AB8" s="137">
        <f>(M8/K$8)*100</f>
        <v>2.4908965407605215</v>
      </c>
    </row>
    <row r="9" spans="1:28" s="129" customFormat="1" ht="12.75" thickTop="1" x14ac:dyDescent="0.2">
      <c r="B9" s="103" t="s">
        <v>35</v>
      </c>
      <c r="C9" s="104" t="s">
        <v>36</v>
      </c>
      <c r="D9" s="105" t="s">
        <v>40</v>
      </c>
      <c r="E9" s="105"/>
      <c r="F9" s="105"/>
      <c r="G9" s="105"/>
      <c r="H9" s="105"/>
      <c r="I9" s="106"/>
      <c r="J9" s="130"/>
      <c r="K9" s="156"/>
      <c r="L9" s="94">
        <f>L4</f>
        <v>52</v>
      </c>
      <c r="M9" s="79">
        <f>(1.2425+(1.9218*T4)-0.7259*(T4*T4))/100*$K$8</f>
        <v>7.7364322982642317</v>
      </c>
      <c r="N9" s="144">
        <f>13.91*POWER(W9,0.9116)*POWER(X9,-0.6897)/0.96</f>
        <v>0.33956666686894477</v>
      </c>
      <c r="O9" s="16">
        <f t="shared" ref="O9:O31" si="5">((Q9/0.6)/(M9*10))</f>
        <v>8.1429016710022015</v>
      </c>
      <c r="P9" s="16">
        <f>(0.087*(M9*1000*($L$4/100))+42.73)/Z9*100</f>
        <v>62.340452797099978</v>
      </c>
      <c r="Q9" s="16">
        <f>D6+(N9*0.96*(268-29.4*(W9/(N9*0.96))))/Y9</f>
        <v>377.98204493478727</v>
      </c>
      <c r="R9" s="16">
        <f>(((D7+(AA9*0.142))/(M9*10)))</f>
        <v>0.22282628237073132</v>
      </c>
      <c r="S9" s="16">
        <f>((($D$8+(AA9*0.05735))/(M9*10)))</f>
        <v>0.13334467838291617</v>
      </c>
      <c r="T9" s="22">
        <f>L4*M9/100</f>
        <v>4.0229447950974002</v>
      </c>
      <c r="U9" s="23">
        <f t="shared" ref="U9:U31" si="6">((M9*(O9/10))*P9)/T9</f>
        <v>97.621572548565254</v>
      </c>
      <c r="V9" s="131"/>
      <c r="W9" s="134">
        <f>(M9-(D5/T4))*U4</f>
        <v>1.0732879738045562</v>
      </c>
      <c r="X9" s="137">
        <f>X8</f>
        <v>253.59157894736842</v>
      </c>
      <c r="Y9" s="134">
        <f>D2</f>
        <v>0.54490559999999999</v>
      </c>
      <c r="Z9" s="137">
        <f t="shared" ref="Z9:Z31" si="7">M9*O9*10</f>
        <v>629.97007489131215</v>
      </c>
      <c r="AA9" s="137">
        <f t="shared" ref="AA9:AA31" si="8">(N9*0.96)*(268-(29.4*(W9/(N9*0.96))))</f>
        <v>55.809045622188151</v>
      </c>
      <c r="AB9" s="137">
        <f>(M9/K$8)*100</f>
        <v>2.4560102534172166</v>
      </c>
    </row>
    <row r="10" spans="1:28" s="129" customFormat="1" x14ac:dyDescent="0.2">
      <c r="B10" s="118">
        <v>0.25</v>
      </c>
      <c r="C10" s="4" t="s">
        <v>15</v>
      </c>
      <c r="D10" s="5">
        <f>0.0635*POWER((((D$4*0.96)*(478/$C$2))*0.891),0.75)*POWER(($B10*0.91776),1.097)</f>
        <v>0.73610058712346627</v>
      </c>
      <c r="E10" s="5">
        <f>0.0635*POWER((((E$4*0.96)*(478/$C$2))*0.891),0.75)*POWER(($B10*0.91776),1.097)</f>
        <v>0.62821656542719262</v>
      </c>
      <c r="F10" s="5">
        <f t="shared" ref="D10:I14" si="9">0.0635*POWER((((F$4*0.96)*(478/$C$2))*0.891),0.75)*POWER(($B10*0.91776),1.097)</f>
        <v>0.70076235066558479</v>
      </c>
      <c r="G10" s="5">
        <f t="shared" si="9"/>
        <v>0.77088190947300395</v>
      </c>
      <c r="H10" s="5">
        <f t="shared" si="9"/>
        <v>0.83893381437847481</v>
      </c>
      <c r="I10" s="44">
        <f t="shared" si="9"/>
        <v>0.91335837755334148</v>
      </c>
      <c r="J10" s="130"/>
      <c r="K10" s="156"/>
      <c r="L10" s="94">
        <f>L5</f>
        <v>56</v>
      </c>
      <c r="M10" s="79">
        <f>(1.2425+(1.9218*T5)-0.7259*(T5*T5))/100*$K$8</f>
        <v>7.8717882677791779</v>
      </c>
      <c r="N10" s="144">
        <f t="shared" ref="N10:N31" si="10">13.91*POWER(W10,0.9116)*POWER(X10,-0.6897)/0.96</f>
        <v>0.55368241669057661</v>
      </c>
      <c r="O10" s="16">
        <f>((Q10/0.6)/(M10*10))</f>
        <v>9.2731738979815255</v>
      </c>
      <c r="P10" s="16">
        <f>(0.087*(M10*1000*($L$5/100))+42.73)/Z10*100</f>
        <v>58.392354324488529</v>
      </c>
      <c r="Q10" s="16">
        <f>D6+(N10*0.96*(268-29.4*(W10/(N10*0.96))))/Y10</f>
        <v>437.9787689712424</v>
      </c>
      <c r="R10" s="16">
        <f>(((D7+(AA10*0.142))/(M10*10)))</f>
        <v>0.27796919788873858</v>
      </c>
      <c r="S10" s="16">
        <f>((($D$8+(AA10*0.05735))/(M10*10)))</f>
        <v>0.15487000089891712</v>
      </c>
      <c r="T10" s="22">
        <f>L5*M10/100</f>
        <v>4.408201429956339</v>
      </c>
      <c r="U10" s="23">
        <f t="shared" si="6"/>
        <v>96.69329570777424</v>
      </c>
      <c r="V10" s="131"/>
      <c r="W10" s="134">
        <f>(M10-(D5/T5))*U5</f>
        <v>1.8350277426817836</v>
      </c>
      <c r="X10" s="137">
        <f>X9</f>
        <v>253.59157894736842</v>
      </c>
      <c r="Y10" s="134">
        <f>D2</f>
        <v>0.54490559999999999</v>
      </c>
      <c r="Z10" s="137">
        <f t="shared" si="7"/>
        <v>729.96461495207086</v>
      </c>
      <c r="AA10" s="137">
        <f>(N10*0.96)*(268-(29.4*(W10/(N10*0.96))))</f>
        <v>88.501596531307129</v>
      </c>
      <c r="AB10" s="137">
        <f>(M10/K$8)*100</f>
        <v>2.4989804024695803</v>
      </c>
    </row>
    <row r="11" spans="1:28" s="129" customFormat="1" ht="12.75" thickBot="1" x14ac:dyDescent="0.25">
      <c r="B11" s="118">
        <v>0.3</v>
      </c>
      <c r="C11" s="4" t="s">
        <v>15</v>
      </c>
      <c r="D11" s="5">
        <f t="shared" si="9"/>
        <v>0.89908135419928403</v>
      </c>
      <c r="E11" s="5">
        <f t="shared" si="9"/>
        <v>0.76731062337811506</v>
      </c>
      <c r="F11" s="5">
        <f t="shared" si="9"/>
        <v>0.85591884346997593</v>
      </c>
      <c r="G11" s="5">
        <f t="shared" si="9"/>
        <v>0.94156364391062075</v>
      </c>
      <c r="H11" s="5">
        <f t="shared" si="9"/>
        <v>1.0246829891312885</v>
      </c>
      <c r="I11" s="44">
        <f t="shared" si="9"/>
        <v>1.1155859692612662</v>
      </c>
      <c r="J11" s="130"/>
      <c r="K11" s="157"/>
      <c r="L11" s="95">
        <f>L6</f>
        <v>60</v>
      </c>
      <c r="M11" s="80">
        <f>(1.2425+(1.9218*T6)-0.7259*(T6*T6))/100*$K$8</f>
        <v>7.9203014511535628</v>
      </c>
      <c r="N11" s="145">
        <f t="shared" si="10"/>
        <v>0.7629778880052851</v>
      </c>
      <c r="O11" s="17">
        <f t="shared" si="5"/>
        <v>10.417626179007826</v>
      </c>
      <c r="P11" s="17">
        <f>(0.087*(M11*1000*($L$6/100))+42.73)/Z11*100</f>
        <v>55.286104229597655</v>
      </c>
      <c r="Q11" s="17">
        <f>D6+(N11*0.96*(268-29.4*(W11/(N11*0.96))))/Y11</f>
        <v>495.06443845902618</v>
      </c>
      <c r="R11" s="17">
        <f>(((D7+(AA11*0.142))/(M11*10)))</f>
        <v>0.33203586516637706</v>
      </c>
      <c r="S11" s="17">
        <f>((($D$8+(AA11*0.05735))/(M11*10)))</f>
        <v>0.17644511397286472</v>
      </c>
      <c r="T11" s="22">
        <f>L6*M11/100</f>
        <v>4.752180870692138</v>
      </c>
      <c r="U11" s="24">
        <f t="shared" si="6"/>
        <v>95.991661126268625</v>
      </c>
      <c r="V11" s="131"/>
      <c r="W11" s="134">
        <f>(M11-(D5/T6))*U6</f>
        <v>2.6085392350697298</v>
      </c>
      <c r="X11" s="137">
        <f>X10</f>
        <v>253.59157894736842</v>
      </c>
      <c r="Y11" s="134">
        <f>D2</f>
        <v>0.54490559999999999</v>
      </c>
      <c r="Z11" s="137">
        <f>M11*O11*10</f>
        <v>825.1073974317103</v>
      </c>
      <c r="AA11" s="137">
        <f t="shared" si="8"/>
        <v>119.60789751494967</v>
      </c>
      <c r="AB11" s="137">
        <f>(M11/K$8)*100</f>
        <v>2.5143814130646231</v>
      </c>
    </row>
    <row r="12" spans="1:28" s="129" customFormat="1" ht="12.75" thickTop="1" x14ac:dyDescent="0.2">
      <c r="B12" s="118">
        <v>0.4</v>
      </c>
      <c r="C12" s="4" t="s">
        <v>15</v>
      </c>
      <c r="D12" s="5">
        <f t="shared" si="9"/>
        <v>1.2326982660893071</v>
      </c>
      <c r="E12" s="5">
        <f t="shared" si="9"/>
        <v>1.05203213321278</v>
      </c>
      <c r="F12" s="5">
        <f t="shared" si="9"/>
        <v>1.1735196924401357</v>
      </c>
      <c r="G12" s="5">
        <f t="shared" si="9"/>
        <v>1.2909442130462505</v>
      </c>
      <c r="H12" s="5">
        <f t="shared" si="9"/>
        <v>1.4049061723877909</v>
      </c>
      <c r="I12" s="44">
        <f t="shared" si="9"/>
        <v>1.5295399949725896</v>
      </c>
      <c r="J12" s="130"/>
      <c r="K12" s="150">
        <f>E4</f>
        <v>255</v>
      </c>
      <c r="L12" s="89" t="str">
        <f>$K$3</f>
        <v>A</v>
      </c>
      <c r="M12" s="81">
        <f>(1.2425+(1.9218*T3)-0.7259*(T3*T3))/100*$K$12</f>
        <v>6.3517861789393297</v>
      </c>
      <c r="N12" s="146">
        <f t="shared" si="10"/>
        <v>0.434753912687251</v>
      </c>
      <c r="O12" s="18">
        <f t="shared" si="5"/>
        <v>9.5203496435577861</v>
      </c>
      <c r="P12" s="18">
        <f>(0.087*(M12*1000*($L$3/100))+42.73)/Z12*100</f>
        <v>57.326929796875461</v>
      </c>
      <c r="Q12" s="18">
        <f>E6+(N12*0.96*(268-29.4*(W12/(N12*0.96))))/Y12</f>
        <v>362.82735170772185</v>
      </c>
      <c r="R12" s="18">
        <f>(((E7+(AA12*0.142))/(M12*10)))</f>
        <v>0.28992241677278646</v>
      </c>
      <c r="S12" s="18">
        <f>((($E$8+(AA12*0.05735))/(M12*10)))</f>
        <v>0.15983585700022132</v>
      </c>
      <c r="T12" s="25">
        <f>L3*M12/100</f>
        <v>3.4934823984166314</v>
      </c>
      <c r="U12" s="26">
        <f t="shared" si="6"/>
        <v>99.23134830144464</v>
      </c>
      <c r="V12" s="131"/>
      <c r="W12" s="134">
        <f>(M12-(E5/T3))*U3</f>
        <v>1.1995264700000594</v>
      </c>
      <c r="X12" s="137">
        <f>(K12*0.96)*(478/$C$2)</f>
        <v>205.28842105263158</v>
      </c>
      <c r="Y12" s="134">
        <f>E2</f>
        <v>0.59997119999999993</v>
      </c>
      <c r="Z12" s="137">
        <f t="shared" si="7"/>
        <v>604.71225284620323</v>
      </c>
      <c r="AA12" s="137">
        <f t="shared" si="8"/>
        <v>76.587408438174194</v>
      </c>
      <c r="AB12" s="137">
        <f>(M12/K$12)*100</f>
        <v>2.4908965407605215</v>
      </c>
    </row>
    <row r="13" spans="1:28" s="129" customFormat="1" x14ac:dyDescent="0.2">
      <c r="B13" s="118">
        <v>0.5</v>
      </c>
      <c r="C13" s="4" t="s">
        <v>15</v>
      </c>
      <c r="D13" s="5">
        <f t="shared" si="9"/>
        <v>1.5745884786970445</v>
      </c>
      <c r="E13" s="5">
        <f t="shared" si="9"/>
        <v>1.3438143962278486</v>
      </c>
      <c r="F13" s="5">
        <f t="shared" si="9"/>
        <v>1.4989966629079901</v>
      </c>
      <c r="G13" s="5">
        <f t="shared" si="9"/>
        <v>1.6489890027605367</v>
      </c>
      <c r="H13" s="5">
        <f t="shared" si="9"/>
        <v>1.7945584361939166</v>
      </c>
      <c r="I13" s="44">
        <f t="shared" si="9"/>
        <v>1.953759585815537</v>
      </c>
      <c r="J13" s="130"/>
      <c r="K13" s="151"/>
      <c r="L13" s="90" t="str">
        <f>$K$4</f>
        <v>B</v>
      </c>
      <c r="M13" s="82">
        <f>(1.2425+(1.9218*T4)-0.7259*(T4*T4))/100*$K$12</f>
        <v>6.2628261462139019</v>
      </c>
      <c r="N13" s="147">
        <f>13.91*POWER(W13,0.9116)*POWER(X13,-0.6897)/0.96</f>
        <v>0.28343642049576129</v>
      </c>
      <c r="O13" s="19">
        <f>((Q13/0.6)/(M13*10))</f>
        <v>8.5146577051440957</v>
      </c>
      <c r="P13" s="19">
        <f>(0.087*(M13*1000*($L$4/100))+42.73)/Z13*100</f>
        <v>61.144910540604144</v>
      </c>
      <c r="Q13" s="19">
        <f>E6+(N13*0.96*(268-29.4*(W13/(N13*0.96))))/Y13</f>
        <v>319.95492541102863</v>
      </c>
      <c r="R13" s="19">
        <f>(((E7+(AA13*0.142))/(M13*10)))</f>
        <v>0.23571940628978855</v>
      </c>
      <c r="S13" s="19">
        <f>((($E$8+(AA13*0.05735))/(M13*10)))</f>
        <v>0.13855186610656359</v>
      </c>
      <c r="T13" s="21">
        <f>L4*M13/100</f>
        <v>3.2566695960312289</v>
      </c>
      <c r="U13" s="26">
        <f t="shared" si="6"/>
        <v>100.12076608940413</v>
      </c>
      <c r="V13" s="131"/>
      <c r="W13" s="134">
        <f>(M13-(E5/T4))*U4</f>
        <v>0.75024948568414451</v>
      </c>
      <c r="X13" s="137">
        <f>X12</f>
        <v>205.28842105263158</v>
      </c>
      <c r="Y13" s="134">
        <f>E2</f>
        <v>0.59997119999999993</v>
      </c>
      <c r="Z13" s="137">
        <f t="shared" si="7"/>
        <v>533.25820901838097</v>
      </c>
      <c r="AA13" s="137">
        <f t="shared" si="8"/>
        <v>50.865187386035615</v>
      </c>
      <c r="AB13" s="137">
        <f>(M13/K$12)*100</f>
        <v>2.4560102534172166</v>
      </c>
    </row>
    <row r="14" spans="1:28" s="129" customFormat="1" ht="12.75" thickBot="1" x14ac:dyDescent="0.25">
      <c r="B14" s="119">
        <v>0.6</v>
      </c>
      <c r="C14" s="7" t="s">
        <v>15</v>
      </c>
      <c r="D14" s="8">
        <f t="shared" si="9"/>
        <v>1.9232196883115329</v>
      </c>
      <c r="E14" s="8">
        <f t="shared" si="9"/>
        <v>1.6413496854749496</v>
      </c>
      <c r="F14" s="8">
        <f t="shared" si="9"/>
        <v>1.8308910129988389</v>
      </c>
      <c r="G14" s="8">
        <f t="shared" si="9"/>
        <v>2.0140933068064482</v>
      </c>
      <c r="H14" s="8">
        <f t="shared" si="9"/>
        <v>2.1918934140618349</v>
      </c>
      <c r="I14" s="45">
        <f t="shared" si="9"/>
        <v>2.3863434494180509</v>
      </c>
      <c r="J14" s="130"/>
      <c r="K14" s="151"/>
      <c r="L14" s="90" t="str">
        <f>$K$5</f>
        <v>C</v>
      </c>
      <c r="M14" s="82">
        <f>(1.2425+(1.9218*T5)-0.7259*(T5*T5))/100*$K$12</f>
        <v>6.3724000262974299</v>
      </c>
      <c r="N14" s="147">
        <f t="shared" si="10"/>
        <v>0.48532319485537251</v>
      </c>
      <c r="O14" s="19">
        <f t="shared" si="5"/>
        <v>9.8594858942763288</v>
      </c>
      <c r="P14" s="19">
        <f>(0.087*(M14*1000*($L$5/100))+42.73)/Z14*100</f>
        <v>56.215385313847811</v>
      </c>
      <c r="Q14" s="19">
        <f>E6+(N14*0.96*(268-29.4*(W14/(N14*0.96))))/Y14</f>
        <v>376.97152903179369</v>
      </c>
      <c r="R14" s="19">
        <f>(((E7+(AA14*0.142))/(M14*10)))</f>
        <v>0.30789463908787423</v>
      </c>
      <c r="S14" s="19">
        <f>((($E$8+(AA14*0.05735))/(M14*10)))</f>
        <v>0.16695608577758209</v>
      </c>
      <c r="T14" s="19">
        <f>L5*M14/100</f>
        <v>3.568544014726561</v>
      </c>
      <c r="U14" s="26">
        <f t="shared" si="6"/>
        <v>98.974071168426974</v>
      </c>
      <c r="V14" s="131"/>
      <c r="W14" s="134">
        <f>(M14-(E5/T5))*U5</f>
        <v>1.3534164657170011</v>
      </c>
      <c r="X14" s="137">
        <f>X13</f>
        <v>205.28842105263158</v>
      </c>
      <c r="Y14" s="134">
        <f>E2</f>
        <v>0.59997119999999993</v>
      </c>
      <c r="Z14" s="137">
        <f t="shared" si="7"/>
        <v>628.28588171965612</v>
      </c>
      <c r="AA14" s="137">
        <f t="shared" si="8"/>
        <v>85.073507480310397</v>
      </c>
      <c r="AB14" s="137">
        <f>(M14/K$12)*100</f>
        <v>2.4989804024695803</v>
      </c>
    </row>
    <row r="15" spans="1:28" s="129" customFormat="1" ht="13.5" thickTop="1" thickBot="1" x14ac:dyDescent="0.25">
      <c r="B15" s="103" t="s">
        <v>35</v>
      </c>
      <c r="C15" s="104" t="s">
        <v>36</v>
      </c>
      <c r="D15" s="105" t="s">
        <v>39</v>
      </c>
      <c r="E15" s="105"/>
      <c r="F15" s="105"/>
      <c r="G15" s="105"/>
      <c r="H15" s="105"/>
      <c r="I15" s="106"/>
      <c r="J15" s="130"/>
      <c r="K15" s="158"/>
      <c r="L15" s="91" t="str">
        <f>$K$6</f>
        <v>D</v>
      </c>
      <c r="M15" s="83">
        <f>(1.2425+(1.9218*T6)-0.7259*(T6*T6))/100*$K$12</f>
        <v>6.4116726033147886</v>
      </c>
      <c r="N15" s="148">
        <f t="shared" si="10"/>
        <v>0.6831775760636416</v>
      </c>
      <c r="O15" s="20">
        <f t="shared" si="5"/>
        <v>11.219920938167924</v>
      </c>
      <c r="P15" s="20">
        <f>(0.087*(M15*1000*($L$6/100))+42.73)/Z15*100</f>
        <v>52.464191131729201</v>
      </c>
      <c r="Q15" s="20">
        <f>E6+(N15*0.96*(268-29.4*(W15/(N15*0.96))))/Y15</f>
        <v>431.63075814365538</v>
      </c>
      <c r="R15" s="20">
        <f>(((E7+(AA15*0.142))/(M15*10)))</f>
        <v>0.37863787423581596</v>
      </c>
      <c r="S15" s="20">
        <f>((($E$8+(AA15*0.05735))/(M15*10)))</f>
        <v>0.19526641833999375</v>
      </c>
      <c r="T15" s="27">
        <f>L6*M15/100</f>
        <v>3.8470035619888732</v>
      </c>
      <c r="U15" s="28">
        <f t="shared" si="6"/>
        <v>98.1073460971554</v>
      </c>
      <c r="V15" s="131"/>
      <c r="W15" s="134">
        <f>(M15-(E5/T6))*U6</f>
        <v>1.9694032655790721</v>
      </c>
      <c r="X15" s="137">
        <f>X14</f>
        <v>205.28842105263158</v>
      </c>
      <c r="Y15" s="134">
        <f>E2</f>
        <v>0.59997119999999993</v>
      </c>
      <c r="Z15" s="137">
        <f t="shared" si="7"/>
        <v>719.38459690609238</v>
      </c>
      <c r="AA15" s="137">
        <f t="shared" si="8"/>
        <v>117.86747076162898</v>
      </c>
      <c r="AB15" s="137">
        <f>(M15/K$12)*100</f>
        <v>2.5143814130646231</v>
      </c>
    </row>
    <row r="16" spans="1:28" s="129" customFormat="1" ht="12.75" thickTop="1" x14ac:dyDescent="0.2">
      <c r="B16" s="120">
        <f>B10</f>
        <v>0.25</v>
      </c>
      <c r="C16" s="4" t="s">
        <v>17</v>
      </c>
      <c r="D16" s="6">
        <f>(($B16*0.96)*(268-29.4*(D10/($B16*0.96))))/$D$2</f>
        <v>78.323002623885827</v>
      </c>
      <c r="E16" s="6">
        <f>(($B16*0.96)*(268-29.4*(E10/($B16*0.96))))/$E$2</f>
        <v>76.421056504779799</v>
      </c>
      <c r="F16" s="6">
        <f>(($B16*0.96)*(268-29.4*(F10/($B16*0.96))))/$F$2</f>
        <v>77.615177357330424</v>
      </c>
      <c r="G16" s="6">
        <f>(($B16*0.96)*(268-29.4*(G10/($B16*0.96))))/$G$2</f>
        <v>79.111271896277515</v>
      </c>
      <c r="H16" s="6">
        <f>(($B16*0.96)*(268-29.4*(H10/($B16*0.96))))/$H$2</f>
        <v>80.955711777872025</v>
      </c>
      <c r="I16" s="111">
        <f>(($B16*0.96)*(268-29.4*(I10/($B16*0.96))))/$I$2</f>
        <v>83.53145065049101</v>
      </c>
      <c r="J16" s="130"/>
      <c r="K16" s="155">
        <f>F4</f>
        <v>295</v>
      </c>
      <c r="L16" s="86" t="str">
        <f>$K$3</f>
        <v>A</v>
      </c>
      <c r="M16" s="78">
        <f>(1.2425+(1.9218*T3)-0.7259*(T3*T3))/100*$K$16</f>
        <v>7.3481447952435381</v>
      </c>
      <c r="N16" s="143">
        <f t="shared" si="10"/>
        <v>0.47956333688541758</v>
      </c>
      <c r="O16" s="15">
        <f t="shared" si="5"/>
        <v>9.1527151127339543</v>
      </c>
      <c r="P16" s="15">
        <f>(0.087*(M16*1000*($L3/100))+42.73)/Z16*100</f>
        <v>58.632954873933819</v>
      </c>
      <c r="Q16" s="15">
        <f>F6+(N16*0.96*(268-29.4*(W16/(N16*0.96))))/Y16</f>
        <v>403.53285550789724</v>
      </c>
      <c r="R16" s="15">
        <f>((($F$7+(AA16*0.142))/(M16*10)))</f>
        <v>0.27239696537184205</v>
      </c>
      <c r="S16" s="15">
        <f>((($F$8+(AA16*0.05735))/(M16*10)))</f>
        <v>0.15275779617033283</v>
      </c>
      <c r="T16" s="15">
        <f>L3*M16/100</f>
        <v>4.0414796373839463</v>
      </c>
      <c r="U16" s="23">
        <f t="shared" si="6"/>
        <v>97.572860396164003</v>
      </c>
      <c r="V16" s="131"/>
      <c r="W16" s="134">
        <f>(M16-(F5/T3))*U3</f>
        <v>1.4914938251409982</v>
      </c>
      <c r="X16" s="137">
        <f>(K16*0.96)*(478/$C$2)</f>
        <v>237.49052631578948</v>
      </c>
      <c r="Y16" s="134">
        <f>F2</f>
        <v>0.56326079999999989</v>
      </c>
      <c r="Z16" s="137">
        <f t="shared" si="7"/>
        <v>672.55475917982881</v>
      </c>
      <c r="AA16" s="137">
        <f t="shared" si="8"/>
        <v>79.532136854734901</v>
      </c>
      <c r="AB16" s="137">
        <f>(M16/K$16)*100</f>
        <v>2.4908965407605215</v>
      </c>
    </row>
    <row r="17" spans="2:28" s="129" customFormat="1" x14ac:dyDescent="0.2">
      <c r="B17" s="120">
        <f>B11</f>
        <v>0.3</v>
      </c>
      <c r="C17" s="4" t="s">
        <v>17</v>
      </c>
      <c r="D17" s="6">
        <f>(($B17*0.96)*(268-29.4*(D11/($B17*0.96))))/$D$2</f>
        <v>93.137248335383305</v>
      </c>
      <c r="E17" s="6">
        <f>(($B17*0.96)*(268-29.4*(E11/($B17*0.96))))/$E$2</f>
        <v>91.046149669656515</v>
      </c>
      <c r="F17" s="6">
        <f>(($B17*0.96)*(268-29.4*(F11/($B17*0.96))))/$F$2</f>
        <v>92.355061815029046</v>
      </c>
      <c r="G17" s="6">
        <f>(($B17*0.96)*(268-29.4*(G11/($B17*0.96))))/$G$2</f>
        <v>94.011948085174282</v>
      </c>
      <c r="H17" s="6">
        <f>(($B17*0.96)*(268-29.4*(H11/($B17*0.96))))/$H$2</f>
        <v>96.068757389229361</v>
      </c>
      <c r="I17" s="111">
        <f>(($B17*0.96)*(268-29.4*(I11/($B17*0.96))))/$I$2</f>
        <v>98.955931107535307</v>
      </c>
      <c r="J17" s="130"/>
      <c r="K17" s="156"/>
      <c r="L17" s="87" t="str">
        <f>$K$4</f>
        <v>B</v>
      </c>
      <c r="M17" s="79">
        <f>(1.2425+(1.9218*T4)-0.7259*(T4*T4))/100*$K$16</f>
        <v>7.245230247580789</v>
      </c>
      <c r="N17" s="144">
        <f t="shared" si="10"/>
        <v>0.32194290429792544</v>
      </c>
      <c r="O17" s="16">
        <f t="shared" si="5"/>
        <v>8.2607272513781602</v>
      </c>
      <c r="P17" s="16">
        <f>(0.087*(M17*1000*($L$4/100))+42.73)/Z17*100</f>
        <v>61.904565552291736</v>
      </c>
      <c r="Q17" s="16">
        <f>F6+(N17*0.96*(268-29.4*(W17/(N17*0.96))))/Y17</f>
        <v>359.10522569219978</v>
      </c>
      <c r="R17" s="16">
        <f>((($F$7+(AA17*0.142))/(M17*10)))</f>
        <v>0.22722075437908976</v>
      </c>
      <c r="S17" s="16">
        <f>((($F$8+(AA17*0.05735))/(M17*10)))</f>
        <v>0.13511948802854543</v>
      </c>
      <c r="T17" s="22">
        <f>L4*M17/100</f>
        <v>3.7675197287420104</v>
      </c>
      <c r="U17" s="23">
        <f t="shared" si="6"/>
        <v>98.341679162027319</v>
      </c>
      <c r="V17" s="131"/>
      <c r="W17" s="134">
        <f>(M17-(F5/T4))*U4</f>
        <v>0.96332230867785584</v>
      </c>
      <c r="X17" s="137">
        <f>X16</f>
        <v>237.49052631578948</v>
      </c>
      <c r="Y17" s="134">
        <f>F2</f>
        <v>0.56326079999999989</v>
      </c>
      <c r="Z17" s="137">
        <f t="shared" si="7"/>
        <v>598.50870948699958</v>
      </c>
      <c r="AA17" s="137">
        <f t="shared" si="8"/>
        <v>54.507794542641292</v>
      </c>
      <c r="AB17" s="137">
        <f>(M17/K$16)*100</f>
        <v>2.4560102534172166</v>
      </c>
    </row>
    <row r="18" spans="2:28" s="129" customFormat="1" x14ac:dyDescent="0.2">
      <c r="B18" s="120">
        <f>B12</f>
        <v>0.4</v>
      </c>
      <c r="C18" s="4" t="s">
        <v>17</v>
      </c>
      <c r="D18" s="6">
        <f>(($B18*0.96)*(268-29.4*(D12/($B18*0.96))))/$D$2</f>
        <v>122.35269921427559</v>
      </c>
      <c r="E18" s="6">
        <f>(($B18*0.96)*(268-29.4*(E12/($B18*0.96))))/$E$2</f>
        <v>119.97618432942163</v>
      </c>
      <c r="F18" s="6">
        <f>(($B18*0.96)*(268-29.4*(F12/($B18*0.96))))/$F$2</f>
        <v>121.45443290614232</v>
      </c>
      <c r="G18" s="6">
        <f>(($B18*0.96)*(268-29.4*(G12/($B18*0.96))))/$G$2</f>
        <v>123.36566478050391</v>
      </c>
      <c r="H18" s="6">
        <f>(($B18*0.96)*(268-29.4*(H12/($B18*0.96))))/$H$2</f>
        <v>125.77118759553925</v>
      </c>
      <c r="I18" s="111">
        <f>(($B18*0.96)*(268-29.4*(I12/($B18*0.96))))/$I$2</f>
        <v>129.18228207513314</v>
      </c>
      <c r="J18" s="130"/>
      <c r="K18" s="156"/>
      <c r="L18" s="87" t="str">
        <f>$K$5</f>
        <v>C</v>
      </c>
      <c r="M18" s="79">
        <f>(1.2425+(1.9218*T5)-0.7259*(T5*T5))/100*$K$16</f>
        <v>7.3719921872852616</v>
      </c>
      <c r="N18" s="144">
        <f t="shared" si="10"/>
        <v>0.53218389978715175</v>
      </c>
      <c r="O18" s="16">
        <f t="shared" si="5"/>
        <v>9.4535609927997051</v>
      </c>
      <c r="P18" s="16">
        <f>(0.087*(M18*1000*($L$5/100))+42.73)/Z18*100</f>
        <v>57.667435888419263</v>
      </c>
      <c r="Q18" s="16">
        <f>F6+(N18*0.96*(268-29.4*(W18/(N18*0.96))))/Y18</f>
        <v>418.14946668566472</v>
      </c>
      <c r="R18" s="16">
        <f>((($F$7+(AA18*0.142))/(M18*10)))</f>
        <v>0.28737421036420452</v>
      </c>
      <c r="S18" s="16">
        <f>((($F$8+(AA18*0.05735))/(M18*10)))</f>
        <v>0.15866843375432535</v>
      </c>
      <c r="T18" s="22">
        <f>L5*M18/100</f>
        <v>4.1283156248797468</v>
      </c>
      <c r="U18" s="23">
        <f t="shared" si="6"/>
        <v>97.350468298131801</v>
      </c>
      <c r="V18" s="131"/>
      <c r="W18" s="134">
        <f>(M18-(F5/T5))*U5</f>
        <v>1.6719446522865733</v>
      </c>
      <c r="X18" s="137">
        <f>X17</f>
        <v>237.49052631578948</v>
      </c>
      <c r="Y18" s="134">
        <f>F2</f>
        <v>0.56326079999999989</v>
      </c>
      <c r="Z18" s="137">
        <f t="shared" si="7"/>
        <v>696.91577780944135</v>
      </c>
      <c r="AA18" s="137">
        <f t="shared" si="8"/>
        <v>87.765100960013143</v>
      </c>
      <c r="AB18" s="137">
        <f>(M18/K$16)*100</f>
        <v>2.4989804024695803</v>
      </c>
    </row>
    <row r="19" spans="2:28" s="129" customFormat="1" ht="12.75" thickBot="1" x14ac:dyDescent="0.25">
      <c r="B19" s="120">
        <f>B13</f>
        <v>0.5</v>
      </c>
      <c r="C19" s="4" t="s">
        <v>17</v>
      </c>
      <c r="D19" s="6">
        <f>(($B19*0.96)*(268-29.4*(D13/($B19*0.96))))/$D$2</f>
        <v>151.12176994750445</v>
      </c>
      <c r="E19" s="6">
        <f>(($B19*0.96)*(268-29.4*(E13/($B19*0.96))))/$E$2</f>
        <v>148.56022547565826</v>
      </c>
      <c r="F19" s="6">
        <f>(($B19*0.96)*(268-29.4*(F13/($B19*0.96))))/$F$2</f>
        <v>150.14270141026165</v>
      </c>
      <c r="G19" s="6">
        <f>(($B19*0.96)*(268-29.4*(G13/($B19*0.96))))/$G$2</f>
        <v>152.2356137586074</v>
      </c>
      <c r="H19" s="6">
        <f>(($B19*0.96)*(268-29.4*(H13/($B19*0.96))))/$H$2</f>
        <v>154.90768817552436</v>
      </c>
      <c r="I19" s="111">
        <f>(($B19*0.96)*(268-29.4*(I13/($B19*0.96))))/$I$2</f>
        <v>158.73576757571038</v>
      </c>
      <c r="J19" s="130"/>
      <c r="K19" s="157"/>
      <c r="L19" s="88" t="str">
        <f>$K$6</f>
        <v>D</v>
      </c>
      <c r="M19" s="80">
        <f>(1.2425+(1.9218*T6)-0.7259*(T6*T6))/100*$K$16</f>
        <v>7.417425168540638</v>
      </c>
      <c r="N19" s="145">
        <f t="shared" si="10"/>
        <v>0.73786294650706796</v>
      </c>
      <c r="O19" s="17">
        <f t="shared" si="5"/>
        <v>10.661246030397159</v>
      </c>
      <c r="P19" s="17">
        <f>(0.087*(M19*1000*($L$6/100))+42.73)/Z19*100</f>
        <v>54.365839599796097</v>
      </c>
      <c r="Q19" s="17">
        <f>F6+(N19*0.96*(268-29.4*(W19/(N19*0.96))))/Y19</f>
        <v>474.47396780323106</v>
      </c>
      <c r="R19" s="17">
        <f>((($F$7+(AA19*0.142))/(M19*10)))</f>
        <v>0.34634941665027824</v>
      </c>
      <c r="S19" s="17">
        <f>((($F$8+(AA19*0.05735))/(M19*10)))</f>
        <v>0.18222597437851071</v>
      </c>
      <c r="T19" s="17">
        <f>L6*M19/100</f>
        <v>4.4504551011243834</v>
      </c>
      <c r="U19" s="24">
        <f t="shared" si="6"/>
        <v>96.601265270422445</v>
      </c>
      <c r="V19" s="131"/>
      <c r="W19" s="134">
        <f>(M19-(F5/T6))*U6</f>
        <v>2.3927515087838094</v>
      </c>
      <c r="X19" s="137">
        <f>X18</f>
        <v>237.49052631578948</v>
      </c>
      <c r="Y19" s="134">
        <f>F2</f>
        <v>0.56326079999999989</v>
      </c>
      <c r="Z19" s="137">
        <f t="shared" si="7"/>
        <v>790.78994633871855</v>
      </c>
      <c r="AA19" s="137">
        <f t="shared" si="8"/>
        <v>119.49048451909447</v>
      </c>
      <c r="AB19" s="137">
        <f>(M19/K$16)*100</f>
        <v>2.5143814130646231</v>
      </c>
    </row>
    <row r="20" spans="2:28" s="129" customFormat="1" ht="13.5" thickTop="1" thickBot="1" x14ac:dyDescent="0.25">
      <c r="B20" s="121">
        <f>B14</f>
        <v>0.6</v>
      </c>
      <c r="C20" s="7" t="s">
        <v>17</v>
      </c>
      <c r="D20" s="9">
        <f>(($B20*0.96)*(268-29.4*(D14/($B20*0.96))))/$D$2</f>
        <v>179.52713490858034</v>
      </c>
      <c r="E20" s="9">
        <f>(($B20*0.96)*(268-29.4*(E14/($B20*0.96))))/$E$2</f>
        <v>176.8623548047581</v>
      </c>
      <c r="F20" s="9">
        <f>(($B20*0.96)*(268-29.4*(F14/($B20*0.96))))/$F$2</f>
        <v>178.4960079200153</v>
      </c>
      <c r="G20" s="9">
        <f>(($B20*0.96)*(268-29.4*(G14/($B20*0.96))))/$G$2</f>
        <v>180.71139397081538</v>
      </c>
      <c r="H20" s="9">
        <f>(($B20*0.96)*(268-29.4*(H14/($B20*0.96))))/$H$2</f>
        <v>183.58307534415735</v>
      </c>
      <c r="I20" s="10">
        <f>(($B20*0.96)*(268-29.4*(I14/($B20*0.96))))/$I$2</f>
        <v>187.74100948477664</v>
      </c>
      <c r="J20" s="130"/>
      <c r="K20" s="150">
        <f>G4</f>
        <v>335</v>
      </c>
      <c r="L20" s="89" t="str">
        <f>$K$3</f>
        <v>A</v>
      </c>
      <c r="M20" s="81">
        <f>(1.2425+(1.9218*T3)-0.7259*(T3*T3))/100*$K$20</f>
        <v>8.3445034115477466</v>
      </c>
      <c r="N20" s="146">
        <f t="shared" si="10"/>
        <v>0.51961553894223678</v>
      </c>
      <c r="O20" s="18">
        <f t="shared" si="5"/>
        <v>8.8352329795235782</v>
      </c>
      <c r="P20" s="18">
        <f>(0.087*(M20*1000*($L$3/100))+42.73)/Z20*100</f>
        <v>59.953977716276299</v>
      </c>
      <c r="Q20" s="18">
        <f>G6+(N20*0.96*(268-29.4*(W20/(N20*0.96))))/Y20</f>
        <v>442.35379043672197</v>
      </c>
      <c r="R20" s="18">
        <f>((($G$7+(AA20*0.142))/(M20*10)))</f>
        <v>0.25648922265319757</v>
      </c>
      <c r="S20" s="18">
        <f>((($G$8+(AA20*0.05735))/(M20*10)))</f>
        <v>0.1463330845864296</v>
      </c>
      <c r="T20" s="29">
        <f>L3*M20/100</f>
        <v>4.5894768763512603</v>
      </c>
      <c r="U20" s="26">
        <f t="shared" si="6"/>
        <v>96.310429304084749</v>
      </c>
      <c r="V20" s="131"/>
      <c r="W20" s="134">
        <f>(M20-(G5/T3))*U3</f>
        <v>1.7931487633989553</v>
      </c>
      <c r="X20" s="137">
        <f>(K20*0.96)*(478/$C$2)</f>
        <v>269.69263157894738</v>
      </c>
      <c r="Y20" s="134">
        <f>G2</f>
        <v>0.52655039999999997</v>
      </c>
      <c r="Z20" s="137">
        <f t="shared" si="7"/>
        <v>737.25631739453661</v>
      </c>
      <c r="AA20" s="137">
        <f t="shared" si="8"/>
        <v>80.968112215129381</v>
      </c>
      <c r="AB20" s="137">
        <f>(M20/K$20)*100</f>
        <v>2.4908965407605215</v>
      </c>
    </row>
    <row r="21" spans="2:28" s="129" customFormat="1" ht="12.75" thickTop="1" x14ac:dyDescent="0.2">
      <c r="B21" s="103" t="s">
        <v>35</v>
      </c>
      <c r="C21" s="104" t="s">
        <v>36</v>
      </c>
      <c r="D21" s="105" t="s">
        <v>38</v>
      </c>
      <c r="E21" s="105"/>
      <c r="F21" s="105"/>
      <c r="G21" s="105"/>
      <c r="H21" s="105"/>
      <c r="I21" s="106"/>
      <c r="J21" s="130"/>
      <c r="K21" s="151"/>
      <c r="L21" s="90" t="str">
        <f>$K$4</f>
        <v>B</v>
      </c>
      <c r="M21" s="82">
        <f>(1.2425+(1.9218*T4)-0.7259*(T4*T4))/100*$K$20</f>
        <v>8.2276343489476762</v>
      </c>
      <c r="N21" s="147">
        <f t="shared" si="10"/>
        <v>0.35627581268663561</v>
      </c>
      <c r="O21" s="19">
        <f t="shared" si="5"/>
        <v>8.0315340911290036</v>
      </c>
      <c r="P21" s="19">
        <f>(0.087*(M21*1000*($L$4/100))+42.73)/Z21*100</f>
        <v>62.794321497249875</v>
      </c>
      <c r="Q21" s="19">
        <f>G6+(N21*0.96*(268-29.4*(W21/(N21*0.96))))/Y21</f>
        <v>396.4831545775034</v>
      </c>
      <c r="R21" s="19">
        <f>((($G$7+(AA21*0.142))/(M21*10)))</f>
        <v>0.21844671914883609</v>
      </c>
      <c r="S21" s="19">
        <f>((($G$8+(AA21*0.05735))/(M21*10)))</f>
        <v>0.13157588999717185</v>
      </c>
      <c r="T21" s="19">
        <f>L4*M21/100</f>
        <v>4.2783698614527914</v>
      </c>
      <c r="U21" s="26">
        <f t="shared" si="6"/>
        <v>96.987448814322548</v>
      </c>
      <c r="V21" s="131"/>
      <c r="W21" s="134">
        <f>(M21-(G5/T4))*U4</f>
        <v>1.1852969568984382</v>
      </c>
      <c r="X21" s="137">
        <f>X20</f>
        <v>269.69263157894738</v>
      </c>
      <c r="Y21" s="134">
        <f>G2</f>
        <v>0.52655039999999997</v>
      </c>
      <c r="Z21" s="137">
        <f t="shared" si="7"/>
        <v>660.8052576291725</v>
      </c>
      <c r="AA21" s="137">
        <f t="shared" si="8"/>
        <v>56.814910555203518</v>
      </c>
      <c r="AB21" s="137">
        <f>(M21/K$20)*100</f>
        <v>2.456010253417217</v>
      </c>
    </row>
    <row r="22" spans="2:28" s="129" customFormat="1" x14ac:dyDescent="0.2">
      <c r="B22" s="120">
        <f>B10</f>
        <v>0.25</v>
      </c>
      <c r="C22" s="4" t="s">
        <v>17</v>
      </c>
      <c r="D22" s="5">
        <f t="shared" ref="D22:I26" si="11">(($B22*0.96)*(268-29.4*(D10/($B22*0.96))))*0.142</f>
        <v>6.0603672688769512</v>
      </c>
      <c r="E22" s="5">
        <f t="shared" si="11"/>
        <v>6.5107614826545559</v>
      </c>
      <c r="F22" s="5">
        <f t="shared" si="11"/>
        <v>6.2078973384413167</v>
      </c>
      <c r="G22" s="5">
        <f t="shared" si="11"/>
        <v>5.9151622043321019</v>
      </c>
      <c r="H22" s="5">
        <f t="shared" si="11"/>
        <v>5.6310591117327418</v>
      </c>
      <c r="I22" s="44">
        <f t="shared" si="11"/>
        <v>5.3203514453903091</v>
      </c>
      <c r="J22" s="130"/>
      <c r="K22" s="151"/>
      <c r="L22" s="90" t="str">
        <f>$K$5</f>
        <v>C</v>
      </c>
      <c r="M22" s="82">
        <f>(1.2425+(1.9218*T5)-0.7259*(T5*T5))/100*$K$20</f>
        <v>8.3715843482730943</v>
      </c>
      <c r="N22" s="147">
        <f t="shared" si="10"/>
        <v>0.57409123037875431</v>
      </c>
      <c r="O22" s="19">
        <f t="shared" si="5"/>
        <v>9.1062064293002116</v>
      </c>
      <c r="P22" s="19">
        <f>(0.087*(M22*1000*($L$5/100))+42.73)/Z22*100</f>
        <v>59.107128363801444</v>
      </c>
      <c r="Q22" s="19">
        <f>G6+(N22*0.96*(268-29.4*(W22/(N22*0.96))))/Y22</f>
        <v>457.4002512940408</v>
      </c>
      <c r="R22" s="19">
        <f>((($G$7+(AA22*0.142))/(M22*10)))</f>
        <v>0.26909814480675015</v>
      </c>
      <c r="S22" s="19">
        <f>((($G$8+(AA22*0.05735))/(M22*10)))</f>
        <v>0.15128721995348018</v>
      </c>
      <c r="T22" s="19">
        <f>L5*M22/100</f>
        <v>4.688087235032933</v>
      </c>
      <c r="U22" s="26">
        <f t="shared" si="6"/>
        <v>96.114591486414568</v>
      </c>
      <c r="V22" s="131"/>
      <c r="W22" s="134">
        <f>(M22-(G5/T5))*U5</f>
        <v>2.0003863793779235</v>
      </c>
      <c r="X22" s="137">
        <f>X21</f>
        <v>269.69263157894738</v>
      </c>
      <c r="Y22" s="134">
        <f>G2</f>
        <v>0.52655039999999997</v>
      </c>
      <c r="Z22" s="137">
        <f t="shared" si="7"/>
        <v>762.33375215673482</v>
      </c>
      <c r="AA22" s="137">
        <f t="shared" si="8"/>
        <v>88.890832198134959</v>
      </c>
      <c r="AB22" s="137">
        <f>(M22/K$20)*100</f>
        <v>2.4989804024695808</v>
      </c>
    </row>
    <row r="23" spans="2:28" s="129" customFormat="1" ht="12.75" thickBot="1" x14ac:dyDescent="0.25">
      <c r="B23" s="120">
        <f>B11</f>
        <v>0.3</v>
      </c>
      <c r="C23" s="4" t="s">
        <v>17</v>
      </c>
      <c r="D23" s="5">
        <f t="shared" si="11"/>
        <v>7.2066431624888274</v>
      </c>
      <c r="E23" s="5">
        <f t="shared" si="11"/>
        <v>7.756759609521044</v>
      </c>
      <c r="F23" s="5">
        <f t="shared" si="11"/>
        <v>7.3868380122815429</v>
      </c>
      <c r="G23" s="5">
        <f t="shared" si="11"/>
        <v>7.0292880994019393</v>
      </c>
      <c r="H23" s="5">
        <f t="shared" si="11"/>
        <v>6.6822814569746951</v>
      </c>
      <c r="I23" s="44">
        <f t="shared" si="11"/>
        <v>6.3027796955280646</v>
      </c>
      <c r="J23" s="130"/>
      <c r="K23" s="158"/>
      <c r="L23" s="91" t="str">
        <f>$K$6</f>
        <v>D</v>
      </c>
      <c r="M23" s="83">
        <f>(1.2425+(1.9218*T6)-0.7259*(T6*T6))/100*$K$20</f>
        <v>8.4231777337664866</v>
      </c>
      <c r="N23" s="148">
        <f t="shared" si="10"/>
        <v>0.78683381306540756</v>
      </c>
      <c r="O23" s="20">
        <f t="shared" si="5"/>
        <v>10.194245031559714</v>
      </c>
      <c r="P23" s="20">
        <f>(0.087*(M23*1000*($L$6/100))+42.73)/Z23*100</f>
        <v>56.181607509606501</v>
      </c>
      <c r="Q23" s="20">
        <f>G6+(N23*0.96*(268-29.4*(W23/(N23*0.96))))/Y23</f>
        <v>515.20762657436046</v>
      </c>
      <c r="R23" s="20">
        <f>((($G$7+(AA23*0.142))/(M23*10)))</f>
        <v>0.31876383871618619</v>
      </c>
      <c r="S23" s="20">
        <f>((($G$8+(AA23*0.05735))/(M23*10)))</f>
        <v>0.17108489765653762</v>
      </c>
      <c r="T23" s="20">
        <f>L6*M23/100</f>
        <v>5.0539066402598918</v>
      </c>
      <c r="U23" s="28">
        <f t="shared" si="6"/>
        <v>95.454845536640661</v>
      </c>
      <c r="V23" s="131"/>
      <c r="W23" s="134">
        <f>(M23-(G5/T6))*U6</f>
        <v>2.8267780493377779</v>
      </c>
      <c r="X23" s="137">
        <f>X22</f>
        <v>269.69263157894738</v>
      </c>
      <c r="Y23" s="134">
        <f>G2</f>
        <v>0.52655039999999997</v>
      </c>
      <c r="Z23" s="137">
        <f t="shared" si="7"/>
        <v>858.6793776239341</v>
      </c>
      <c r="AA23" s="137">
        <f t="shared" si="8"/>
        <v>119.32932877493739</v>
      </c>
      <c r="AB23" s="137">
        <f>(M23/K$20)*100</f>
        <v>2.5143814130646227</v>
      </c>
    </row>
    <row r="24" spans="2:28" s="129" customFormat="1" ht="12.75" thickTop="1" x14ac:dyDescent="0.2">
      <c r="B24" s="120">
        <f>B12</f>
        <v>0.4</v>
      </c>
      <c r="C24" s="4" t="s">
        <v>17</v>
      </c>
      <c r="D24" s="5">
        <f t="shared" si="11"/>
        <v>9.4672352787303584</v>
      </c>
      <c r="E24" s="5">
        <f t="shared" si="11"/>
        <v>10.221480250263287</v>
      </c>
      <c r="F24" s="5">
        <f t="shared" si="11"/>
        <v>9.7142939880009234</v>
      </c>
      <c r="G24" s="5">
        <f t="shared" si="11"/>
        <v>9.2240700993745133</v>
      </c>
      <c r="H24" s="5">
        <f t="shared" si="11"/>
        <v>8.7483017115154489</v>
      </c>
      <c r="I24" s="44">
        <f t="shared" si="11"/>
        <v>8.2279804289884328</v>
      </c>
      <c r="J24" s="130"/>
      <c r="K24" s="155">
        <f>H4</f>
        <v>375</v>
      </c>
      <c r="L24" s="86" t="str">
        <f>$K$3</f>
        <v>A</v>
      </c>
      <c r="M24" s="78">
        <f>(1.2425+(1.9218*T3)-0.7259*(T3*T3))/100*$K$24</f>
        <v>9.340862027851955</v>
      </c>
      <c r="N24" s="143">
        <f t="shared" si="10"/>
        <v>0.55591836607129907</v>
      </c>
      <c r="O24" s="15">
        <f t="shared" si="5"/>
        <v>8.5613114327079298</v>
      </c>
      <c r="P24" s="15">
        <f>(0.087*(M24*1000*($L$3/100))+42.73)/Z24*100</f>
        <v>61.234221739038531</v>
      </c>
      <c r="Q24" s="15">
        <f>H6+(N24*0.96*(268-29.4*(W24/(N24*0.96))))/Y24</f>
        <v>479.82017322237789</v>
      </c>
      <c r="R24" s="15">
        <f>((($H$7+(AA24*0.142))/(M24*10)))</f>
        <v>0.24213969833777668</v>
      </c>
      <c r="S24" s="15">
        <f>((($H$8+(AA24*0.05735))/(M24*10)))</f>
        <v>0.14053769571678601</v>
      </c>
      <c r="T24" s="22">
        <f>L3*M24/100</f>
        <v>5.1374741153185752</v>
      </c>
      <c r="U24" s="23">
        <f t="shared" si="6"/>
        <v>95.317316844982372</v>
      </c>
      <c r="V24" s="131"/>
      <c r="W24" s="134">
        <f>(M24-(H5/T3))*U3</f>
        <v>2.1030595547696485</v>
      </c>
      <c r="X24" s="137">
        <f>(K24*0.96)*(478/$C$2)</f>
        <v>301.89473684210526</v>
      </c>
      <c r="Y24" s="134">
        <f>H2</f>
        <v>0.48984</v>
      </c>
      <c r="Z24" s="137">
        <f t="shared" si="7"/>
        <v>799.70028870396322</v>
      </c>
      <c r="AA24" s="137">
        <f t="shared" si="8"/>
        <v>81.196726312596155</v>
      </c>
      <c r="AB24" s="137">
        <f>(M24/K$24)*100</f>
        <v>2.490896540760521</v>
      </c>
    </row>
    <row r="25" spans="2:28" s="129" customFormat="1" x14ac:dyDescent="0.2">
      <c r="B25" s="120">
        <f>B13</f>
        <v>0.5</v>
      </c>
      <c r="C25" s="4" t="s">
        <v>17</v>
      </c>
      <c r="D25" s="5">
        <f t="shared" si="11"/>
        <v>11.693288019135576</v>
      </c>
      <c r="E25" s="5">
        <f t="shared" si="11"/>
        <v>12.656723658627977</v>
      </c>
      <c r="F25" s="5">
        <f t="shared" si="11"/>
        <v>12.008868731691722</v>
      </c>
      <c r="G25" s="5">
        <f t="shared" si="11"/>
        <v>11.382680711275311</v>
      </c>
      <c r="H25" s="5">
        <f t="shared" si="11"/>
        <v>10.774957440577635</v>
      </c>
      <c r="I25" s="44">
        <f t="shared" si="11"/>
        <v>10.110324481137292</v>
      </c>
      <c r="J25" s="130"/>
      <c r="K25" s="156"/>
      <c r="L25" s="87" t="str">
        <f>$K$4</f>
        <v>B</v>
      </c>
      <c r="M25" s="79">
        <f>(1.2425+(1.9218*T4)-0.7259*(T4*T4))/100*$K$24</f>
        <v>9.2100384503145616</v>
      </c>
      <c r="N25" s="144">
        <f t="shared" si="10"/>
        <v>0.38733729920914317</v>
      </c>
      <c r="O25" s="16">
        <f t="shared" si="5"/>
        <v>7.8280793452900994</v>
      </c>
      <c r="P25" s="16">
        <f>(0.087*(M25*1000*($L$4/100))+42.73)/Z25*100</f>
        <v>63.718698660386188</v>
      </c>
      <c r="Q25" s="16">
        <f>H6+(N25*0.96*(268-29.4*(W25/(N25*0.96))))/Y25</f>
        <v>432.58147057341034</v>
      </c>
      <c r="R25" s="16">
        <f>((($H$7+(AA25*0.142))/(M25*10)))</f>
        <v>0.20990291814403228</v>
      </c>
      <c r="S25" s="16">
        <f>((($H$8+(AA25*0.05735))/(M25*10)))</f>
        <v>0.12812527740825988</v>
      </c>
      <c r="T25" s="16">
        <f>L4*M25/100</f>
        <v>4.789219994163572</v>
      </c>
      <c r="U25" s="23">
        <f t="shared" si="6"/>
        <v>95.922120940794827</v>
      </c>
      <c r="V25" s="131"/>
      <c r="W25" s="134">
        <f>(M25-(H5/T4))*U4</f>
        <v>1.4148578276701527</v>
      </c>
      <c r="X25" s="137">
        <f>X24</f>
        <v>301.89473684210526</v>
      </c>
      <c r="Y25" s="134">
        <f>H2</f>
        <v>0.48984</v>
      </c>
      <c r="Z25" s="137">
        <f t="shared" si="7"/>
        <v>720.9691176223505</v>
      </c>
      <c r="AA25" s="137">
        <f t="shared" si="8"/>
        <v>58.05732020702586</v>
      </c>
      <c r="AB25" s="137">
        <f>(M25/K$24)*100</f>
        <v>2.4560102534172166</v>
      </c>
    </row>
    <row r="26" spans="2:28" s="129" customFormat="1" ht="12.75" thickBot="1" x14ac:dyDescent="0.25">
      <c r="B26" s="121">
        <f>B14</f>
        <v>0.6</v>
      </c>
      <c r="C26" s="7" t="s">
        <v>17</v>
      </c>
      <c r="D26" s="8">
        <f t="shared" si="11"/>
        <v>13.891198445237009</v>
      </c>
      <c r="E26" s="8">
        <f t="shared" si="11"/>
        <v>15.067949333079177</v>
      </c>
      <c r="F26" s="8">
        <f t="shared" si="11"/>
        <v>14.276652198932446</v>
      </c>
      <c r="G26" s="8">
        <f t="shared" si="11"/>
        <v>13.511819262744439</v>
      </c>
      <c r="H26" s="8">
        <f t="shared" si="11"/>
        <v>12.769539374974649</v>
      </c>
      <c r="I26" s="45">
        <f t="shared" si="11"/>
        <v>11.957749367369519</v>
      </c>
      <c r="J26" s="130"/>
      <c r="K26" s="156"/>
      <c r="L26" s="87" t="str">
        <f>$K$5</f>
        <v>C</v>
      </c>
      <c r="M26" s="79">
        <f>(1.2425+(1.9218*T5)-0.7259*(T5*T5))/100*$K$24</f>
        <v>9.3711765092609252</v>
      </c>
      <c r="N26" s="144">
        <f t="shared" si="10"/>
        <v>0.61209052108274342</v>
      </c>
      <c r="O26" s="16">
        <f t="shared" si="5"/>
        <v>8.8083216070684411</v>
      </c>
      <c r="P26" s="16">
        <f>(0.087*(M26*1000*($L$5/100))+42.73)/Z26*100</f>
        <v>60.487943875915541</v>
      </c>
      <c r="Q26" s="16">
        <f>H6+(N26*0.96*(268-29.4*(W26/(N26*0.96))))/Y26</f>
        <v>495.26601918105126</v>
      </c>
      <c r="R26" s="16">
        <f>((($H$7+(AA26*0.142))/(M26*10)))</f>
        <v>0.25282104274910833</v>
      </c>
      <c r="S26" s="16">
        <f>((($H$8+(AA26*0.05735))/(M26*10)))</f>
        <v>0.14471333401681993</v>
      </c>
      <c r="T26" s="16">
        <f>L5*M26/100</f>
        <v>5.2478588451861183</v>
      </c>
      <c r="U26" s="23">
        <f t="shared" si="6"/>
        <v>95.142368394530351</v>
      </c>
      <c r="V26" s="131"/>
      <c r="W26" s="134">
        <f>(M26-(H5/T5))*U5</f>
        <v>2.3372765226930445</v>
      </c>
      <c r="X26" s="137">
        <f>X25</f>
        <v>301.89473684210526</v>
      </c>
      <c r="Y26" s="134">
        <f>H2</f>
        <v>0.48984</v>
      </c>
      <c r="Z26" s="137">
        <f t="shared" si="7"/>
        <v>825.44336530175212</v>
      </c>
      <c r="AA26" s="137">
        <f t="shared" si="8"/>
        <v>88.762719496992702</v>
      </c>
      <c r="AB26" s="137">
        <f>(M26/K$24)*100</f>
        <v>2.4989804024695803</v>
      </c>
    </row>
    <row r="27" spans="2:28" s="129" customFormat="1" ht="13.5" thickTop="1" thickBot="1" x14ac:dyDescent="0.25">
      <c r="B27" s="107" t="s">
        <v>35</v>
      </c>
      <c r="C27" s="108" t="s">
        <v>36</v>
      </c>
      <c r="D27" s="109" t="s">
        <v>41</v>
      </c>
      <c r="E27" s="109"/>
      <c r="F27" s="109"/>
      <c r="G27" s="109"/>
      <c r="H27" s="109"/>
      <c r="I27" s="110"/>
      <c r="J27" s="130"/>
      <c r="K27" s="157"/>
      <c r="L27" s="88" t="str">
        <f>$K$6</f>
        <v>D</v>
      </c>
      <c r="M27" s="80">
        <f>(1.2425+(1.9218*T6)-0.7259*(T6*T6))/100*$K$24</f>
        <v>9.428930298992336</v>
      </c>
      <c r="N27" s="145">
        <f t="shared" si="10"/>
        <v>0.8312845859116913</v>
      </c>
      <c r="O27" s="17">
        <f t="shared" si="5"/>
        <v>9.7999442070771643</v>
      </c>
      <c r="P27" s="17">
        <f>(0.087*(M27*1000*($L$6/100))+42.73)/Z27*100</f>
        <v>57.889918563689115</v>
      </c>
      <c r="Q27" s="17">
        <f>H6+(N27*0.96*(268-29.4*(W27/(N27*0.96))))/Y27</f>
        <v>554.4179451752658</v>
      </c>
      <c r="R27" s="17">
        <f>((($H$7+(AA27*0.142))/(M27*10)))</f>
        <v>0.29490888537444709</v>
      </c>
      <c r="S27" s="17">
        <f>((($H$8+(AA27*0.05735))/(M27*10)))</f>
        <v>0.16145052037380003</v>
      </c>
      <c r="T27" s="17">
        <f>L6*M27/100</f>
        <v>5.657358179395402</v>
      </c>
      <c r="U27" s="24">
        <f t="shared" si="6"/>
        <v>94.552995346065657</v>
      </c>
      <c r="V27" s="131"/>
      <c r="W27" s="134">
        <f>(M27-(H5/T6))*U6</f>
        <v>3.2699047393660265</v>
      </c>
      <c r="X27" s="137">
        <f>X26</f>
        <v>301.89473684210526</v>
      </c>
      <c r="Y27" s="134">
        <f>H2</f>
        <v>0.48984</v>
      </c>
      <c r="Z27" s="137">
        <f t="shared" si="7"/>
        <v>924.029908625443</v>
      </c>
      <c r="AA27" s="137">
        <f t="shared" si="8"/>
        <v>117.73769892599873</v>
      </c>
      <c r="AB27" s="137">
        <f>(M27/K$24)*100</f>
        <v>2.5143814130646231</v>
      </c>
    </row>
    <row r="28" spans="2:28" s="129" customFormat="1" ht="12.75" thickTop="1" x14ac:dyDescent="0.2">
      <c r="B28" s="122">
        <f>B10</f>
        <v>0.25</v>
      </c>
      <c r="C28" s="4" t="s">
        <v>17</v>
      </c>
      <c r="D28" s="5">
        <f t="shared" ref="D28:I32" si="12">(($B28*0.96)*(268-29.4*(D10/($B28*0.96))))*0.05735</f>
        <v>2.4476201610569941</v>
      </c>
      <c r="E28" s="5">
        <f t="shared" si="12"/>
        <v>2.6295223311988649</v>
      </c>
      <c r="F28" s="5">
        <f t="shared" si="12"/>
        <v>2.5072036081662641</v>
      </c>
      <c r="G28" s="5">
        <f t="shared" si="12"/>
        <v>2.3889757212566622</v>
      </c>
      <c r="H28" s="5">
        <f t="shared" si="12"/>
        <v>2.274234084914597</v>
      </c>
      <c r="I28" s="44">
        <f t="shared" si="12"/>
        <v>2.1487475731910863</v>
      </c>
      <c r="J28" s="130"/>
      <c r="K28" s="150">
        <f>I4</f>
        <v>420</v>
      </c>
      <c r="L28" s="89" t="str">
        <f>$K$3</f>
        <v>A</v>
      </c>
      <c r="M28" s="81">
        <f>(1.2425+(1.9218*T3)-0.7259*(T3*T3))/100*$K$28</f>
        <v>10.461765471194191</v>
      </c>
      <c r="N28" s="146">
        <f t="shared" si="10"/>
        <v>0.59315364134894377</v>
      </c>
      <c r="O28" s="18">
        <f t="shared" si="5"/>
        <v>8.2983231968127669</v>
      </c>
      <c r="P28" s="18">
        <f>(0.087*(M28*1000*($L$3/100))+42.73)/Z28*100</f>
        <v>62.58420578857875</v>
      </c>
      <c r="Q28" s="18">
        <f>I6+(N28*0.96*(268-29.4*(W28/(N28*0.96))))/Y28</f>
        <v>520.8906665353536</v>
      </c>
      <c r="R28" s="18">
        <f>((($I$7+(AA28*0.142))/(M28*10)))</f>
        <v>0.2276645146160628</v>
      </c>
      <c r="S28" s="18">
        <f>((($I$8+(AA28*0.05735))/(M28*10)))</f>
        <v>0.13469155637565719</v>
      </c>
      <c r="T28" s="29">
        <f>L3*M28/100</f>
        <v>5.753971009156805</v>
      </c>
      <c r="U28" s="26">
        <f t="shared" si="6"/>
        <v>94.426175754448522</v>
      </c>
      <c r="V28" s="131"/>
      <c r="W28" s="134">
        <f>(M28-(I5/T3))*U3</f>
        <v>2.4602292794632734</v>
      </c>
      <c r="X28" s="137">
        <f>(K28*0.96)*(478/$C$2)</f>
        <v>338.12210526315789</v>
      </c>
      <c r="Y28" s="134">
        <f>I2</f>
        <v>0.44854079999999996</v>
      </c>
      <c r="Z28" s="137">
        <f t="shared" si="7"/>
        <v>868.15111089225593</v>
      </c>
      <c r="AA28" s="137">
        <f t="shared" si="8"/>
        <v>80.275828030035996</v>
      </c>
      <c r="AB28" s="137">
        <f>(M28/K$28)*100</f>
        <v>2.4908965407605215</v>
      </c>
    </row>
    <row r="29" spans="2:28" s="129" customFormat="1" x14ac:dyDescent="0.2">
      <c r="B29" s="122">
        <f>B11</f>
        <v>0.3</v>
      </c>
      <c r="C29" s="4" t="s">
        <v>17</v>
      </c>
      <c r="D29" s="5">
        <f t="shared" si="12"/>
        <v>2.9105703194981287</v>
      </c>
      <c r="E29" s="5">
        <f t="shared" si="12"/>
        <v>3.1327476310283937</v>
      </c>
      <c r="F29" s="5">
        <f t="shared" si="12"/>
        <v>2.9833461972137076</v>
      </c>
      <c r="G29" s="5">
        <f t="shared" si="12"/>
        <v>2.8389413556387413</v>
      </c>
      <c r="H29" s="5">
        <f t="shared" si="12"/>
        <v>2.6987946588556255</v>
      </c>
      <c r="I29" s="44">
        <f t="shared" si="12"/>
        <v>2.5455240530882715</v>
      </c>
      <c r="J29" s="130"/>
      <c r="K29" s="151"/>
      <c r="L29" s="90" t="str">
        <f>$K$4</f>
        <v>B</v>
      </c>
      <c r="M29" s="82">
        <f>(1.2425+(1.9218*T4)-0.7259*(T4*T4))/100*$K$28</f>
        <v>10.315243064352309</v>
      </c>
      <c r="N29" s="147">
        <f t="shared" si="10"/>
        <v>0.41914850582800939</v>
      </c>
      <c r="O29" s="19">
        <f t="shared" si="5"/>
        <v>7.6288636858479926</v>
      </c>
      <c r="P29" s="19">
        <f>(0.087*(M29*1000*($L$4/100))+42.73)/Z29*100</f>
        <v>64.731020670283883</v>
      </c>
      <c r="Q29" s="19">
        <f>I6+(N29*0.96*(268-29.4*(W29/(N29*0.96))))/Y29</f>
        <v>472.16149934599616</v>
      </c>
      <c r="R29" s="19">
        <f>((($I$7+(AA29*0.142))/(M29*10)))</f>
        <v>0.20080991463747064</v>
      </c>
      <c r="S29" s="19">
        <f>((($I$8+(AA29*0.05735))/(M29*10)))</f>
        <v>0.1244528566258563</v>
      </c>
      <c r="T29" s="19">
        <f>L4*M29/100</f>
        <v>5.3639263934632</v>
      </c>
      <c r="U29" s="26">
        <f t="shared" si="6"/>
        <v>94.966179411423965</v>
      </c>
      <c r="V29" s="131"/>
      <c r="W29" s="134">
        <f>(M29-(I5/T4))*U4</f>
        <v>1.6809428293823931</v>
      </c>
      <c r="X29" s="137">
        <f>X28</f>
        <v>338.12210526315789</v>
      </c>
      <c r="Y29" s="134">
        <f>I2</f>
        <v>0.44854079999999996</v>
      </c>
      <c r="Z29" s="137">
        <f t="shared" si="7"/>
        <v>786.93583224332701</v>
      </c>
      <c r="AA29" s="137">
        <f t="shared" si="8"/>
        <v>58.418808395587895</v>
      </c>
      <c r="AB29" s="137">
        <f>(M29/K$28)*100</f>
        <v>2.4560102534172166</v>
      </c>
    </row>
    <row r="30" spans="2:28" s="129" customFormat="1" x14ac:dyDescent="0.2">
      <c r="B30" s="122">
        <f>B12</f>
        <v>0.4</v>
      </c>
      <c r="C30" s="4" t="s">
        <v>17</v>
      </c>
      <c r="D30" s="5">
        <f t="shared" si="12"/>
        <v>3.8235629805294797</v>
      </c>
      <c r="E30" s="5">
        <f t="shared" si="12"/>
        <v>4.1281823405112643</v>
      </c>
      <c r="F30" s="5">
        <f t="shared" si="12"/>
        <v>3.9233433817736127</v>
      </c>
      <c r="G30" s="5">
        <f t="shared" si="12"/>
        <v>3.7253550718248474</v>
      </c>
      <c r="H30" s="5">
        <f t="shared" si="12"/>
        <v>3.5332049517986692</v>
      </c>
      <c r="I30" s="44">
        <f t="shared" si="12"/>
        <v>3.3230611098766669</v>
      </c>
      <c r="J30" s="130"/>
      <c r="K30" s="151"/>
      <c r="L30" s="90" t="str">
        <f>$K$5</f>
        <v>C</v>
      </c>
      <c r="M30" s="82">
        <f>(1.2425+(1.9218*T5)-0.7259*(T5*T5))/100*$K$28</f>
        <v>10.495717690372237</v>
      </c>
      <c r="N30" s="147">
        <f t="shared" si="10"/>
        <v>0.65107870957674319</v>
      </c>
      <c r="O30" s="19">
        <f t="shared" si="5"/>
        <v>8.5235029192740548</v>
      </c>
      <c r="P30" s="19">
        <f>(0.087*(M30*1000*($L$5/100))+42.73)/Z30*100</f>
        <v>61.936019377537086</v>
      </c>
      <c r="Q30" s="19">
        <f>I6+(N30*0.96*(268-29.4*(W30/(N30*0.96))))/Y30</f>
        <v>536.76168224258458</v>
      </c>
      <c r="R30" s="19">
        <f>((($I$7+(AA30*0.142))/(M30*10)))</f>
        <v>0.2365593058081536</v>
      </c>
      <c r="S30" s="19">
        <f>((($I$8+(AA30*0.05735))/(M30*10)))</f>
        <v>0.1381456536396104</v>
      </c>
      <c r="T30" s="19">
        <f>L5*M30/100</f>
        <v>5.8776019066084526</v>
      </c>
      <c r="U30" s="26">
        <f t="shared" si="6"/>
        <v>94.269971780830673</v>
      </c>
      <c r="V30" s="131"/>
      <c r="W30" s="134">
        <f>(M30-(I5/T5))*U5</f>
        <v>2.724996744480765</v>
      </c>
      <c r="X30" s="137">
        <f>X29</f>
        <v>338.12210526315789</v>
      </c>
      <c r="Y30" s="134">
        <f>I2</f>
        <v>0.44854079999999996</v>
      </c>
      <c r="Z30" s="137">
        <f t="shared" si="7"/>
        <v>894.6028037376409</v>
      </c>
      <c r="AA30" s="137">
        <f t="shared" si="8"/>
        <v>87.394626112169988</v>
      </c>
      <c r="AB30" s="137">
        <f>(M30/K$28)*100</f>
        <v>2.4989804024695803</v>
      </c>
    </row>
    <row r="31" spans="2:28" s="129" customFormat="1" ht="12.75" thickBot="1" x14ac:dyDescent="0.25">
      <c r="B31" s="122">
        <f>B13</f>
        <v>0.5</v>
      </c>
      <c r="C31" s="4" t="s">
        <v>17</v>
      </c>
      <c r="D31" s="5">
        <f t="shared" si="12"/>
        <v>4.7226061119536995</v>
      </c>
      <c r="E31" s="5">
        <f t="shared" si="12"/>
        <v>5.1117119846641863</v>
      </c>
      <c r="F31" s="5">
        <f t="shared" si="12"/>
        <v>4.8500607166374667</v>
      </c>
      <c r="G31" s="5">
        <f t="shared" si="12"/>
        <v>4.5971601323354863</v>
      </c>
      <c r="H31" s="5">
        <f t="shared" si="12"/>
        <v>4.3517169663177988</v>
      </c>
      <c r="I31" s="44">
        <f t="shared" si="12"/>
        <v>4.0832894999522802</v>
      </c>
      <c r="J31" s="130"/>
      <c r="K31" s="151"/>
      <c r="L31" s="92" t="str">
        <f>$K$6</f>
        <v>D</v>
      </c>
      <c r="M31" s="84">
        <f>(1.2425+(1.9218*T6)-0.7259*(T6*T6))/100*$K$28</f>
        <v>10.560401934871416</v>
      </c>
      <c r="N31" s="149">
        <f t="shared" si="10"/>
        <v>0.87693283164976732</v>
      </c>
      <c r="O31" s="21">
        <f t="shared" si="5"/>
        <v>9.4267606156770469</v>
      </c>
      <c r="P31" s="21">
        <f>(0.087*(M31*1000*($L$6/100))+42.73)/Z31*100</f>
        <v>59.666570309721592</v>
      </c>
      <c r="Q31" s="21">
        <f>I6+(N31*0.96*(268-29.4*(W31/(N31*0.96))))/Y31</f>
        <v>597.30228627219333</v>
      </c>
      <c r="R31" s="21">
        <f>((($I$7+(AA31*0.142))/(M31*10)))</f>
        <v>0.27162410371982298</v>
      </c>
      <c r="S31" s="21">
        <f>((($I$8+(AA31*0.05735))/(M31*10)))</f>
        <v>0.15204642017737266</v>
      </c>
      <c r="T31" s="21">
        <f>L6*M31/100</f>
        <v>6.3362411609228504</v>
      </c>
      <c r="U31" s="34">
        <f t="shared" si="6"/>
        <v>93.743745844701479</v>
      </c>
      <c r="V31" s="131"/>
      <c r="W31" s="134">
        <f>(M31-(I5/T6))*U6</f>
        <v>3.7778136683931374</v>
      </c>
      <c r="X31" s="137">
        <f>X30</f>
        <v>338.12210526315789</v>
      </c>
      <c r="Y31" s="134">
        <f>I2</f>
        <v>0.44854079999999996</v>
      </c>
      <c r="Z31" s="137">
        <f t="shared" si="7"/>
        <v>995.50381045365555</v>
      </c>
      <c r="AA31" s="137">
        <f t="shared" si="8"/>
        <v>114.5495570760939</v>
      </c>
      <c r="AB31" s="137">
        <f>(M31/K$28)*100</f>
        <v>2.5143814130646231</v>
      </c>
    </row>
    <row r="32" spans="2:28" s="129" customFormat="1" ht="13.5" thickTop="1" thickBot="1" x14ac:dyDescent="0.25">
      <c r="B32" s="123">
        <f>B14</f>
        <v>0.6</v>
      </c>
      <c r="C32" s="7" t="s">
        <v>17</v>
      </c>
      <c r="D32" s="8">
        <f t="shared" si="12"/>
        <v>5.6102833157348062</v>
      </c>
      <c r="E32" s="8">
        <f t="shared" si="12"/>
        <v>6.0855415088175411</v>
      </c>
      <c r="F32" s="8">
        <f t="shared" si="12"/>
        <v>5.7659577718927872</v>
      </c>
      <c r="G32" s="8">
        <f t="shared" si="12"/>
        <v>5.4570622163267162</v>
      </c>
      <c r="H32" s="8">
        <f t="shared" si="12"/>
        <v>5.15727523348448</v>
      </c>
      <c r="I32" s="45">
        <f t="shared" si="12"/>
        <v>4.8294149733707181</v>
      </c>
      <c r="J32" s="130"/>
      <c r="K32" s="152" t="s">
        <v>6</v>
      </c>
      <c r="L32" s="36" t="s">
        <v>2</v>
      </c>
      <c r="M32" s="38">
        <f>(M8+M12+M16+M20+M24+M28)/6</f>
        <v>8.2822309980287336</v>
      </c>
      <c r="N32" s="38">
        <f t="shared" ref="N32:U32" si="13">(N8+N12+N16+N20+N24+N28)/6</f>
        <v>0.51385286503670558</v>
      </c>
      <c r="O32" s="38">
        <f t="shared" si="13"/>
        <v>8.8926772350313801</v>
      </c>
      <c r="P32" s="38">
        <f t="shared" si="13"/>
        <v>59.838018720151901</v>
      </c>
      <c r="Q32" s="38">
        <f t="shared" si="13"/>
        <v>438.76126216338162</v>
      </c>
      <c r="R32" s="38">
        <f t="shared" si="13"/>
        <v>0.25880892646822601</v>
      </c>
      <c r="S32" s="38">
        <f t="shared" si="13"/>
        <v>0.1472699508807386</v>
      </c>
      <c r="T32" s="38">
        <f t="shared" si="13"/>
        <v>4.5552270489158033</v>
      </c>
      <c r="U32" s="39">
        <f t="shared" si="13"/>
        <v>96.626616378953713</v>
      </c>
      <c r="V32" s="131"/>
      <c r="W32" s="134"/>
      <c r="X32" s="137"/>
      <c r="Y32" s="134"/>
      <c r="Z32" s="137"/>
      <c r="AA32" s="137"/>
      <c r="AB32" s="137">
        <f t="shared" ref="AB32:AB35" si="14">(M32/K$28)*100</f>
        <v>1.971959761435413</v>
      </c>
    </row>
    <row r="33" spans="1:28" s="129" customFormat="1" ht="12.75" thickTop="1" x14ac:dyDescent="0.2">
      <c r="B33" s="46"/>
      <c r="C33" s="47"/>
      <c r="D33" s="47"/>
      <c r="E33" s="47"/>
      <c r="F33" s="47"/>
      <c r="G33" s="47"/>
      <c r="H33" s="47"/>
      <c r="I33" s="48"/>
      <c r="J33" s="130"/>
      <c r="K33" s="153"/>
      <c r="L33" s="35" t="s">
        <v>3</v>
      </c>
      <c r="M33" s="40">
        <f t="shared" ref="M33:U33" si="15">(M9+M13+M17+M21+M25+M29)/6</f>
        <v>8.1662340926122443</v>
      </c>
      <c r="N33" s="40">
        <f t="shared" si="15"/>
        <v>0.35128460156440333</v>
      </c>
      <c r="O33" s="40">
        <f t="shared" si="15"/>
        <v>8.0677939582985925</v>
      </c>
      <c r="P33" s="40">
        <f t="shared" si="15"/>
        <v>62.772328286319301</v>
      </c>
      <c r="Q33" s="40">
        <f t="shared" si="15"/>
        <v>393.04472008915428</v>
      </c>
      <c r="R33" s="40">
        <f t="shared" si="15"/>
        <v>0.21915433249499147</v>
      </c>
      <c r="S33" s="40">
        <f t="shared" si="15"/>
        <v>0.13186167609155219</v>
      </c>
      <c r="T33" s="40">
        <f t="shared" si="15"/>
        <v>4.2464417281583673</v>
      </c>
      <c r="U33" s="41">
        <f t="shared" si="15"/>
        <v>97.32662782775634</v>
      </c>
      <c r="V33" s="131"/>
      <c r="W33" s="134"/>
      <c r="X33" s="137"/>
      <c r="Y33" s="134"/>
      <c r="Z33" s="137"/>
      <c r="AA33" s="137"/>
      <c r="AB33" s="137">
        <f>(M33/K$28)*100</f>
        <v>1.9443414506219627</v>
      </c>
    </row>
    <row r="34" spans="1:28" s="129" customFormat="1" x14ac:dyDescent="0.2">
      <c r="B34" s="49"/>
      <c r="C34" s="50"/>
      <c r="D34" s="50"/>
      <c r="E34" s="50"/>
      <c r="F34" s="50"/>
      <c r="G34" s="50"/>
      <c r="H34" s="50"/>
      <c r="I34" s="51"/>
      <c r="J34" s="130"/>
      <c r="K34" s="153"/>
      <c r="L34" s="35" t="s">
        <v>4</v>
      </c>
      <c r="M34" s="40">
        <f t="shared" ref="M34:U34" si="16">(M10+M14+M18+M22+M26+M30)/6</f>
        <v>8.309109838211354</v>
      </c>
      <c r="N34" s="40">
        <f t="shared" si="16"/>
        <v>0.56807499539522366</v>
      </c>
      <c r="O34" s="40">
        <f t="shared" si="16"/>
        <v>9.1707086234500448</v>
      </c>
      <c r="P34" s="40">
        <f t="shared" si="16"/>
        <v>58.96771119066829</v>
      </c>
      <c r="Q34" s="40">
        <f t="shared" si="16"/>
        <v>453.75461956772961</v>
      </c>
      <c r="R34" s="40">
        <f t="shared" si="16"/>
        <v>0.27195275678413822</v>
      </c>
      <c r="S34" s="40">
        <f t="shared" si="16"/>
        <v>0.1524401213401225</v>
      </c>
      <c r="T34" s="40">
        <f t="shared" si="16"/>
        <v>4.6531015093983585</v>
      </c>
      <c r="U34" s="41">
        <f t="shared" si="16"/>
        <v>96.424127806018092</v>
      </c>
      <c r="V34" s="131"/>
      <c r="W34" s="134"/>
      <c r="X34" s="137"/>
      <c r="Y34" s="134"/>
      <c r="Z34" s="137"/>
      <c r="AA34" s="137"/>
      <c r="AB34" s="137">
        <f t="shared" si="14"/>
        <v>1.9783594852884174</v>
      </c>
    </row>
    <row r="35" spans="1:28" s="129" customFormat="1" ht="12.75" thickBot="1" x14ac:dyDescent="0.25">
      <c r="B35" s="52"/>
      <c r="C35" s="53"/>
      <c r="D35" s="53"/>
      <c r="E35" s="53"/>
      <c r="F35" s="53"/>
      <c r="G35" s="53"/>
      <c r="H35" s="53"/>
      <c r="I35" s="54"/>
      <c r="J35" s="130"/>
      <c r="K35" s="154"/>
      <c r="L35" s="37" t="s">
        <v>5</v>
      </c>
      <c r="M35" s="42">
        <f t="shared" ref="M35:U35" si="17">(M11+M15+M19+M23+M27+M31)/6</f>
        <v>8.360318198439872</v>
      </c>
      <c r="N35" s="42">
        <f t="shared" si="17"/>
        <v>0.77984494020047679</v>
      </c>
      <c r="O35" s="42">
        <f t="shared" si="17"/>
        <v>10.286623833647806</v>
      </c>
      <c r="P35" s="42">
        <f t="shared" si="17"/>
        <v>55.975705224023358</v>
      </c>
      <c r="Q35" s="42">
        <f t="shared" si="17"/>
        <v>511.34950373795533</v>
      </c>
      <c r="R35" s="42">
        <f t="shared" si="17"/>
        <v>0.32371999731048789</v>
      </c>
      <c r="S35" s="42">
        <f t="shared" si="17"/>
        <v>0.17308655748317991</v>
      </c>
      <c r="T35" s="42">
        <f t="shared" si="17"/>
        <v>5.0161909190639227</v>
      </c>
      <c r="U35" s="43">
        <f t="shared" si="17"/>
        <v>95.741976536875711</v>
      </c>
      <c r="V35" s="131"/>
      <c r="W35" s="134"/>
      <c r="X35" s="137"/>
      <c r="Y35" s="134"/>
      <c r="Z35" s="137"/>
      <c r="AA35" s="137"/>
      <c r="AB35" s="137">
        <f t="shared" si="14"/>
        <v>1.9905519520094932</v>
      </c>
    </row>
    <row r="36" spans="1:28" s="129" customFormat="1" ht="12.75" thickTop="1" x14ac:dyDescent="0.2"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Y36" s="134"/>
    </row>
    <row r="37" spans="1:28" x14ac:dyDescent="0.2">
      <c r="A37" s="129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</row>
    <row r="38" spans="1:28" x14ac:dyDescent="0.2">
      <c r="A38" s="129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</row>
    <row r="39" spans="1:28" x14ac:dyDescent="0.2">
      <c r="A39" s="129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</row>
    <row r="40" spans="1:28" x14ac:dyDescent="0.2">
      <c r="A40" s="129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</row>
    <row r="41" spans="1:28" x14ac:dyDescent="0.2">
      <c r="A41" s="129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</row>
    <row r="42" spans="1:28" x14ac:dyDescent="0.2">
      <c r="A42" s="129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</row>
    <row r="43" spans="1:28" x14ac:dyDescent="0.2">
      <c r="A43" s="129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</row>
    <row r="44" spans="1:28" x14ac:dyDescent="0.2">
      <c r="A44" s="129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</row>
    <row r="45" spans="1:28" x14ac:dyDescent="0.2">
      <c r="A45" s="129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</row>
  </sheetData>
  <sheetProtection algorithmName="SHA-512" hashValue="xrdef+xcmWwce8jZ+K1oZdeekH4Tmnjjc+ZiQ47MKLAopw0rIH34q+/w3hote3UIJqPJHdwu/J2b6NmXiBYFjA==" saltValue="jWuQHzcswXLQEV46KOHCRg==" spinCount="100000" sheet="1" objects="1" scenarios="1"/>
  <mergeCells count="7">
    <mergeCell ref="K28:K31"/>
    <mergeCell ref="K32:K35"/>
    <mergeCell ref="K8:K11"/>
    <mergeCell ref="K12:K15"/>
    <mergeCell ref="K16:K19"/>
    <mergeCell ref="K20:K23"/>
    <mergeCell ref="K24:K2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5" fitToHeight="0" orientation="landscape" verticalDpi="0" r:id="rId1"/>
  <ignoredErrors>
    <ignoredError sqref="X16 X20 X24 X28 X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NASEM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Flávio E Pimentel</cp:lastModifiedBy>
  <cp:lastPrinted>2023-10-12T17:23:03Z</cp:lastPrinted>
  <dcterms:created xsi:type="dcterms:W3CDTF">2021-06-02T01:22:23Z</dcterms:created>
  <dcterms:modified xsi:type="dcterms:W3CDTF">2023-12-28T17:24:04Z</dcterms:modified>
</cp:coreProperties>
</file>