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Work\Teaching\FINC462_662\TIPSTreasuryCase\"/>
    </mc:Choice>
  </mc:AlternateContent>
  <xr:revisionPtr revIDLastSave="0" documentId="13_ncr:1_{78331BBA-AF22-4497-AD8C-1F3B6B28EA4E}" xr6:coauthVersionLast="47" xr6:coauthVersionMax="47" xr10:uidLastSave="{00000000-0000-0000-0000-000000000000}"/>
  <bookViews>
    <workbookView xWindow="28005" yWindow="495" windowWidth="20985" windowHeight="19800" xr2:uid="{00000000-000D-0000-FFFF-FFFF00000000}"/>
  </bookViews>
  <sheets>
    <sheet name="10-05-06 Details" sheetId="5" r:id="rId1"/>
  </sheets>
  <definedNames>
    <definedName name="c_TBond">'10-05-06 Details'!$B$72</definedName>
    <definedName name="c_TIPS">'10-05-06 Details'!$B$71</definedName>
    <definedName name="I_0">'10-05-06 Details'!$B$19</definedName>
    <definedName name="I_initial">'10-05-06 Details'!$B$13</definedName>
    <definedName name="I_t">'10-05-06 Details'!$B$73</definedName>
    <definedName name="P_1">'10-05-06 Details'!$E$41</definedName>
    <definedName name="P_10">'10-05-06 Details'!$E$50</definedName>
    <definedName name="P_11">'10-05-06 Details'!$E$51</definedName>
    <definedName name="P_12">'10-05-06 Details'!$E$52</definedName>
    <definedName name="P_13">'10-05-06 Details'!$E$53</definedName>
    <definedName name="P_14">'10-05-06 Details'!$E$54</definedName>
    <definedName name="P_15">'10-05-06 Details'!$E$55</definedName>
    <definedName name="P_16">'10-05-06 Details'!$E$56</definedName>
    <definedName name="P_17">'10-05-06 Details'!$E$57</definedName>
    <definedName name="P_18">'10-05-06 Details'!$E$58</definedName>
    <definedName name="P_2">'10-05-06 Details'!$E$42</definedName>
    <definedName name="P_3">'10-05-06 Details'!$E$43</definedName>
    <definedName name="P_4">'10-05-06 Details'!$E$44</definedName>
    <definedName name="P_5">'10-05-06 Details'!$E$45</definedName>
    <definedName name="P_6">'10-05-06 Details'!$E$46</definedName>
    <definedName name="P_7">'10-05-06 Details'!$E$47</definedName>
    <definedName name="P_8">'10-05-06 Details'!$E$48</definedName>
    <definedName name="P_9">'10-05-06 Details'!$E$49</definedName>
    <definedName name="x_1">'10-05-06 Details'!$F$41</definedName>
    <definedName name="x_10">'10-05-06 Details'!$F$50</definedName>
    <definedName name="x_11">'10-05-06 Details'!$F$51</definedName>
    <definedName name="x_12">'10-05-06 Details'!$F$52</definedName>
    <definedName name="x_13">'10-05-06 Details'!$F$53</definedName>
    <definedName name="x_14">'10-05-06 Details'!$F$54</definedName>
    <definedName name="x_15">'10-05-06 Details'!$F$55</definedName>
    <definedName name="x_16">'10-05-06 Details'!$F$56</definedName>
    <definedName name="x_17">'10-05-06 Details'!$F$57</definedName>
    <definedName name="x_18">'10-05-06 Details'!$F$58</definedName>
    <definedName name="x_2">'10-05-06 Details'!$F$42</definedName>
    <definedName name="x_3">'10-05-06 Details'!$F$43</definedName>
    <definedName name="x_4">'10-05-06 Details'!$F$44</definedName>
    <definedName name="x_5">'10-05-06 Details'!$F$45</definedName>
    <definedName name="x_6">'10-05-06 Details'!$F$46</definedName>
    <definedName name="x_7">'10-05-06 Details'!$F$47</definedName>
    <definedName name="x_8">'10-05-06 Details'!$F$48</definedName>
    <definedName name="x_9">'10-05-06 Details'!$F$49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5" l="1"/>
  <c r="G6" i="5"/>
  <c r="C15" i="5"/>
  <c r="G15" i="5" l="1"/>
  <c r="F109" i="5"/>
  <c r="F110" i="5" s="1"/>
  <c r="E57" i="5"/>
  <c r="F57" i="5" s="1"/>
  <c r="E58" i="5"/>
  <c r="F58" i="5" s="1"/>
  <c r="E41" i="5"/>
  <c r="F41" i="5" s="1"/>
  <c r="E49" i="5"/>
  <c r="F49" i="5" s="1"/>
  <c r="B72" i="5"/>
  <c r="F82" i="5" s="1"/>
  <c r="B71" i="5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A126" i="5"/>
  <c r="A125" i="5"/>
  <c r="A124" i="5"/>
  <c r="A123" i="5"/>
  <c r="B19" i="5"/>
  <c r="B20" i="5" s="1"/>
  <c r="B22" i="5" s="1"/>
  <c r="B23" i="5" s="1"/>
  <c r="A122" i="5"/>
  <c r="A121" i="5"/>
  <c r="A120" i="5"/>
  <c r="A119" i="5"/>
  <c r="A118" i="5"/>
  <c r="D29" i="5"/>
  <c r="B29" i="5"/>
  <c r="A117" i="5"/>
  <c r="D28" i="5"/>
  <c r="B28" i="5"/>
  <c r="A116" i="5"/>
  <c r="A115" i="5"/>
  <c r="A114" i="5"/>
  <c r="A113" i="5"/>
  <c r="A112" i="5"/>
  <c r="A111" i="5"/>
  <c r="A110" i="5"/>
  <c r="A109" i="5"/>
  <c r="A108" i="5"/>
  <c r="A107" i="5"/>
  <c r="B109" i="5" l="1"/>
  <c r="B110" i="5" s="1"/>
  <c r="F111" i="5"/>
  <c r="G110" i="5"/>
  <c r="G109" i="5"/>
  <c r="F84" i="5"/>
  <c r="F92" i="5"/>
  <c r="D32" i="5"/>
  <c r="D34" i="5" s="1"/>
  <c r="D102" i="5" s="1"/>
  <c r="D139" i="5" s="1"/>
  <c r="B83" i="5"/>
  <c r="B32" i="5"/>
  <c r="B34" i="5" s="1"/>
  <c r="D89" i="5"/>
  <c r="G52" i="5"/>
  <c r="D81" i="5"/>
  <c r="G44" i="5"/>
  <c r="G53" i="5"/>
  <c r="D90" i="5"/>
  <c r="G45" i="5"/>
  <c r="D82" i="5"/>
  <c r="D91" i="5"/>
  <c r="G54" i="5"/>
  <c r="D83" i="5"/>
  <c r="G46" i="5"/>
  <c r="G55" i="5"/>
  <c r="D92" i="5"/>
  <c r="D84" i="5"/>
  <c r="G47" i="5"/>
  <c r="D80" i="5"/>
  <c r="G43" i="5"/>
  <c r="D93" i="5"/>
  <c r="G56" i="5"/>
  <c r="D85" i="5"/>
  <c r="G48" i="5"/>
  <c r="D88" i="5"/>
  <c r="G51" i="5"/>
  <c r="D94" i="5"/>
  <c r="G57" i="5"/>
  <c r="G49" i="5"/>
  <c r="D86" i="5"/>
  <c r="G41" i="5"/>
  <c r="D78" i="5"/>
  <c r="G58" i="5"/>
  <c r="D95" i="5"/>
  <c r="G50" i="5"/>
  <c r="D87" i="5"/>
  <c r="G42" i="5"/>
  <c r="D79" i="5"/>
  <c r="C79" i="5"/>
  <c r="F91" i="5"/>
  <c r="F83" i="5"/>
  <c r="B92" i="5"/>
  <c r="B84" i="5"/>
  <c r="C80" i="5"/>
  <c r="C88" i="5"/>
  <c r="F93" i="5"/>
  <c r="F85" i="5"/>
  <c r="B94" i="5"/>
  <c r="B86" i="5"/>
  <c r="B95" i="5"/>
  <c r="C86" i="5"/>
  <c r="C94" i="5"/>
  <c r="C95" i="5"/>
  <c r="F94" i="5"/>
  <c r="F86" i="5"/>
  <c r="F95" i="5"/>
  <c r="B87" i="5"/>
  <c r="B79" i="5"/>
  <c r="C85" i="5"/>
  <c r="C93" i="5"/>
  <c r="C87" i="5"/>
  <c r="F78" i="5"/>
  <c r="F87" i="5"/>
  <c r="F79" i="5"/>
  <c r="B88" i="5"/>
  <c r="E88" i="5" s="1"/>
  <c r="B80" i="5"/>
  <c r="C84" i="5"/>
  <c r="C92" i="5"/>
  <c r="F88" i="5"/>
  <c r="F80" i="5"/>
  <c r="B89" i="5"/>
  <c r="B81" i="5"/>
  <c r="C83" i="5"/>
  <c r="C91" i="5"/>
  <c r="B93" i="5"/>
  <c r="C78" i="5"/>
  <c r="F89" i="5"/>
  <c r="F81" i="5"/>
  <c r="B90" i="5"/>
  <c r="B82" i="5"/>
  <c r="C82" i="5"/>
  <c r="C90" i="5"/>
  <c r="B85" i="5"/>
  <c r="B78" i="5"/>
  <c r="F90" i="5"/>
  <c r="B91" i="5"/>
  <c r="C81" i="5"/>
  <c r="C89" i="5"/>
  <c r="E89" i="5" s="1"/>
  <c r="C110" i="5"/>
  <c r="B111" i="5"/>
  <c r="C109" i="5"/>
  <c r="F112" i="5" l="1"/>
  <c r="G111" i="5"/>
  <c r="E84" i="5"/>
  <c r="E78" i="5"/>
  <c r="E81" i="5"/>
  <c r="E92" i="5"/>
  <c r="E86" i="5"/>
  <c r="E80" i="5"/>
  <c r="E95" i="5"/>
  <c r="E83" i="5"/>
  <c r="E90" i="5"/>
  <c r="E82" i="5"/>
  <c r="E93" i="5"/>
  <c r="E85" i="5"/>
  <c r="E94" i="5"/>
  <c r="E87" i="5"/>
  <c r="E91" i="5"/>
  <c r="E79" i="5"/>
  <c r="G59" i="5"/>
  <c r="B102" i="5" s="1"/>
  <c r="C111" i="5"/>
  <c r="B112" i="5"/>
  <c r="G112" i="5" l="1"/>
  <c r="F113" i="5"/>
  <c r="B113" i="5"/>
  <c r="C112" i="5"/>
  <c r="F114" i="5" l="1"/>
  <c r="G113" i="5"/>
  <c r="B114" i="5"/>
  <c r="C113" i="5"/>
  <c r="F115" i="5" l="1"/>
  <c r="G114" i="5"/>
  <c r="C114" i="5"/>
  <c r="B115" i="5"/>
  <c r="F116" i="5" l="1"/>
  <c r="G115" i="5"/>
  <c r="C115" i="5"/>
  <c r="B116" i="5"/>
  <c r="G116" i="5" l="1"/>
  <c r="F117" i="5"/>
  <c r="B117" i="5"/>
  <c r="C116" i="5"/>
  <c r="F118" i="5" l="1"/>
  <c r="G117" i="5"/>
  <c r="B118" i="5"/>
  <c r="C117" i="5"/>
  <c r="F119" i="5" l="1"/>
  <c r="G118" i="5"/>
  <c r="B119" i="5"/>
  <c r="C118" i="5"/>
  <c r="F120" i="5" l="1"/>
  <c r="G119" i="5"/>
  <c r="B120" i="5"/>
  <c r="C119" i="5"/>
  <c r="G120" i="5" l="1"/>
  <c r="F121" i="5"/>
  <c r="B121" i="5"/>
  <c r="C120" i="5"/>
  <c r="F122" i="5" l="1"/>
  <c r="G121" i="5"/>
  <c r="C121" i="5"/>
  <c r="B122" i="5"/>
  <c r="G122" i="5" l="1"/>
  <c r="F123" i="5"/>
  <c r="B123" i="5"/>
  <c r="C122" i="5"/>
  <c r="F124" i="5" l="1"/>
  <c r="G123" i="5"/>
  <c r="B124" i="5"/>
  <c r="C123" i="5"/>
  <c r="G124" i="5" l="1"/>
  <c r="F125" i="5"/>
  <c r="B125" i="5"/>
  <c r="C124" i="5"/>
  <c r="F126" i="5" l="1"/>
  <c r="G126" i="5" s="1"/>
  <c r="G125" i="5"/>
  <c r="B126" i="5"/>
  <c r="C126" i="5" s="1"/>
  <c r="C125" i="5"/>
  <c r="C127" i="5" l="1"/>
  <c r="B137" i="5" s="1"/>
  <c r="G127" i="5"/>
  <c r="B139" i="5"/>
</calcChain>
</file>

<file path=xl/sharedStrings.xml><?xml version="1.0" encoding="utf-8"?>
<sst xmlns="http://schemas.openxmlformats.org/spreadsheetml/2006/main" count="70" uniqueCount="59">
  <si>
    <t>Date</t>
  </si>
  <si>
    <t>TIPS</t>
  </si>
  <si>
    <t>IDENTIFIER -&gt;</t>
  </si>
  <si>
    <t>Maturity</t>
  </si>
  <si>
    <t>Issue_Dt</t>
  </si>
  <si>
    <t>Coupon</t>
  </si>
  <si>
    <t>Tbond</t>
  </si>
  <si>
    <t>Next Coupon</t>
  </si>
  <si>
    <t>Accr. Interest</t>
  </si>
  <si>
    <t>Last Coupon</t>
  </si>
  <si>
    <t>Days in Coupon Period</t>
  </si>
  <si>
    <t>Days since last coupon</t>
  </si>
  <si>
    <t>Dirty Price</t>
  </si>
  <si>
    <t>Ref. CPI</t>
  </si>
  <si>
    <t>Ref. CPI at Issue</t>
  </si>
  <si>
    <t>Index Ratio</t>
  </si>
  <si>
    <t>STRIPS</t>
  </si>
  <si>
    <t>Price Synthetic Bond</t>
  </si>
  <si>
    <t>Swap Rates</t>
  </si>
  <si>
    <t>912828EA Govt</t>
  </si>
  <si>
    <t>912828EE Govt</t>
  </si>
  <si>
    <t>7/15/2015</t>
  </si>
  <si>
    <t>7/15/2005</t>
  </si>
  <si>
    <t>8/15/2015</t>
  </si>
  <si>
    <t>8/15/2005</t>
  </si>
  <si>
    <t>First Cpn</t>
  </si>
  <si>
    <t>1/15/2006</t>
  </si>
  <si>
    <t>2/15/2006</t>
  </si>
  <si>
    <t>Second Cpn</t>
  </si>
  <si>
    <t>7/15/2006</t>
  </si>
  <si>
    <t>8/15/2006</t>
  </si>
  <si>
    <t>No. 9</t>
  </si>
  <si>
    <t>Yield to maturity</t>
  </si>
  <si>
    <t>Sum</t>
  </si>
  <si>
    <t>Delta</t>
  </si>
  <si>
    <t>Price Synthetic Tbond</t>
  </si>
  <si>
    <t>TBond</t>
  </si>
  <si>
    <t>No. 261</t>
  </si>
  <si>
    <t>TimeFactors</t>
  </si>
  <si>
    <t>Net Swaps/STRIPS</t>
  </si>
  <si>
    <t>CPI Jul 06</t>
  </si>
  <si>
    <t>CPI Aug 06</t>
  </si>
  <si>
    <t>Coupon Paid</t>
  </si>
  <si>
    <t>Price</t>
  </si>
  <si>
    <t>Price Clean</t>
  </si>
  <si>
    <t>Adjusted Price</t>
  </si>
  <si>
    <t>Pt</t>
  </si>
  <si>
    <t>Tenor</t>
  </si>
  <si>
    <t>x</t>
  </si>
  <si>
    <t>x*Pstrips</t>
  </si>
  <si>
    <t>Infl. Swaps</t>
  </si>
  <si>
    <t>Net</t>
  </si>
  <si>
    <t>c_TIPS</t>
  </si>
  <si>
    <t>c_Tbond</t>
  </si>
  <si>
    <t>I_t</t>
  </si>
  <si>
    <t>TIPS Coupon Dates</t>
  </si>
  <si>
    <t>PV of TIPS Coupons</t>
  </si>
  <si>
    <t>PV of Tbond Coupons</t>
  </si>
  <si>
    <t>Tbond Coupon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</si>
</sst>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/>
    <xf numFmtId="165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134</xdr:row>
      <xdr:rowOff>47625</xdr:rowOff>
    </xdr:from>
    <xdr:to>
      <xdr:col>3</xdr:col>
      <xdr:colOff>638175</xdr:colOff>
      <xdr:row>135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476500" y="26250900"/>
          <a:ext cx="1857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YTM</a:t>
          </a:r>
          <a:r>
            <a:rPr lang="en-US" sz="1100" baseline="0"/>
            <a:t> </a:t>
          </a:r>
          <a:r>
            <a:rPr lang="en-US" sz="1100"/>
            <a:t>Solved using Excel solver.</a:t>
          </a:r>
        </a:p>
      </xdr:txBody>
    </xdr:sp>
    <xdr:clientData/>
  </xdr:twoCellAnchor>
  <xdr:twoCellAnchor>
    <xdr:from>
      <xdr:col>2</xdr:col>
      <xdr:colOff>76203</xdr:colOff>
      <xdr:row>136</xdr:row>
      <xdr:rowOff>38099</xdr:rowOff>
    </xdr:from>
    <xdr:to>
      <xdr:col>2</xdr:col>
      <xdr:colOff>809626</xdr:colOff>
      <xdr:row>136</xdr:row>
      <xdr:rowOff>95252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2419353" y="26622374"/>
          <a:ext cx="733423" cy="57153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800104</xdr:colOff>
      <xdr:row>139</xdr:row>
      <xdr:rowOff>9525</xdr:rowOff>
    </xdr:from>
    <xdr:to>
      <xdr:col>1</xdr:col>
      <xdr:colOff>819152</xdr:colOff>
      <xdr:row>142</xdr:row>
      <xdr:rowOff>9526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V="1">
          <a:off x="1933577" y="7334252"/>
          <a:ext cx="571501" cy="1904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142</xdr:row>
      <xdr:rowOff>0</xdr:rowOff>
    </xdr:from>
    <xdr:to>
      <xdr:col>3</xdr:col>
      <xdr:colOff>361950</xdr:colOff>
      <xdr:row>143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09700" y="7620000"/>
          <a:ext cx="20193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Price of Synth. TBond after timing adjustment.</a:t>
          </a:r>
        </a:p>
      </xdr:txBody>
    </xdr:sp>
    <xdr:clientData/>
  </xdr:twoCellAnchor>
  <xdr:twoCellAnchor>
    <xdr:from>
      <xdr:col>3</xdr:col>
      <xdr:colOff>695326</xdr:colOff>
      <xdr:row>139</xdr:row>
      <xdr:rowOff>47626</xdr:rowOff>
    </xdr:from>
    <xdr:to>
      <xdr:col>5</xdr:col>
      <xdr:colOff>209553</xdr:colOff>
      <xdr:row>142</xdr:row>
      <xdr:rowOff>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>
          <a:off x="3762376" y="7096126"/>
          <a:ext cx="1057277" cy="52387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141</xdr:row>
      <xdr:rowOff>180975</xdr:rowOff>
    </xdr:from>
    <xdr:to>
      <xdr:col>5</xdr:col>
      <xdr:colOff>409575</xdr:colOff>
      <xdr:row>143</xdr:row>
      <xdr:rowOff>123825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00500" y="7610475"/>
          <a:ext cx="10191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Price of TBon</a:t>
          </a:r>
          <a:r>
            <a:rPr lang="en-US" sz="1100" baseline="0"/>
            <a:t>d</a:t>
          </a:r>
        </a:p>
        <a:p>
          <a:endParaRPr lang="en-US" sz="1100"/>
        </a:p>
      </xdr:txBody>
    </xdr:sp>
    <xdr:clientData/>
  </xdr:twoCellAnchor>
  <xdr:twoCellAnchor>
    <xdr:from>
      <xdr:col>0</xdr:col>
      <xdr:colOff>247650</xdr:colOff>
      <xdr:row>97</xdr:row>
      <xdr:rowOff>123825</xdr:rowOff>
    </xdr:from>
    <xdr:to>
      <xdr:col>2</xdr:col>
      <xdr:colOff>95250</xdr:colOff>
      <xdr:row>100</xdr:row>
      <xdr:rowOff>47625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47650" y="19240500"/>
          <a:ext cx="21907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Price of synth. TBond without</a:t>
          </a:r>
          <a:r>
            <a:rPr lang="en-US" sz="1100" baseline="0"/>
            <a:t> timing adjustment</a:t>
          </a:r>
        </a:p>
        <a:p>
          <a:endParaRPr lang="en-US" sz="1100"/>
        </a:p>
      </xdr:txBody>
    </xdr:sp>
    <xdr:clientData/>
  </xdr:twoCellAnchor>
  <xdr:twoCellAnchor>
    <xdr:from>
      <xdr:col>1</xdr:col>
      <xdr:colOff>742951</xdr:colOff>
      <xdr:row>99</xdr:row>
      <xdr:rowOff>123828</xdr:rowOff>
    </xdr:from>
    <xdr:to>
      <xdr:col>2</xdr:col>
      <xdr:colOff>95254</xdr:colOff>
      <xdr:row>101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 flipV="1">
          <a:off x="2152651" y="5648328"/>
          <a:ext cx="400053" cy="25717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276224</xdr:colOff>
      <xdr:row>15</xdr:row>
      <xdr:rowOff>161924</xdr:rowOff>
    </xdr:from>
    <xdr:to>
      <xdr:col>4</xdr:col>
      <xdr:colOff>533399</xdr:colOff>
      <xdr:row>19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733674" y="3590924"/>
          <a:ext cx="1800225" cy="666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Ref. CPI and Index Ratio</a:t>
          </a:r>
          <a:r>
            <a:rPr lang="en-US" sz="1100" baseline="0"/>
            <a:t> are c</a:t>
          </a:r>
          <a:r>
            <a:rPr lang="en-US" sz="1100"/>
            <a:t>alculated, but verified</a:t>
          </a:r>
          <a:r>
            <a:rPr lang="en-US" sz="1100" baseline="0"/>
            <a:t> against treasury.gov values</a:t>
          </a:r>
        </a:p>
        <a:p>
          <a:endParaRPr lang="en-US" sz="1100"/>
        </a:p>
      </xdr:txBody>
    </xdr:sp>
    <xdr:clientData/>
  </xdr:twoCellAnchor>
  <xdr:twoCellAnchor>
    <xdr:from>
      <xdr:col>2</xdr:col>
      <xdr:colOff>66676</xdr:colOff>
      <xdr:row>15</xdr:row>
      <xdr:rowOff>180975</xdr:rowOff>
    </xdr:from>
    <xdr:to>
      <xdr:col>2</xdr:col>
      <xdr:colOff>266701</xdr:colOff>
      <xdr:row>18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5400000">
          <a:off x="2381251" y="3752850"/>
          <a:ext cx="485775" cy="2000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12</xdr:row>
      <xdr:rowOff>95250</xdr:rowOff>
    </xdr:from>
    <xdr:to>
      <xdr:col>5</xdr:col>
      <xdr:colOff>533400</xdr:colOff>
      <xdr:row>15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295775" y="2381250"/>
          <a:ext cx="8477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Prices</a:t>
          </a:r>
          <a:r>
            <a:rPr lang="en-US" sz="1100" baseline="0"/>
            <a:t> from Bloomberg</a:t>
          </a:r>
        </a:p>
        <a:p>
          <a:endParaRPr lang="en-US" sz="1100"/>
        </a:p>
      </xdr:txBody>
    </xdr:sp>
    <xdr:clientData/>
  </xdr:twoCellAnchor>
  <xdr:twoCellAnchor>
    <xdr:from>
      <xdr:col>4</xdr:col>
      <xdr:colOff>1</xdr:colOff>
      <xdr:row>14</xdr:row>
      <xdr:rowOff>123826</xdr:rowOff>
    </xdr:from>
    <xdr:to>
      <xdr:col>4</xdr:col>
      <xdr:colOff>342902</xdr:colOff>
      <xdr:row>14</xdr:row>
      <xdr:rowOff>133351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>
          <a:off x="4000501" y="2409826"/>
          <a:ext cx="342901" cy="95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5</xdr:row>
      <xdr:rowOff>47625</xdr:rowOff>
    </xdr:from>
    <xdr:to>
      <xdr:col>5</xdr:col>
      <xdr:colOff>666750</xdr:colOff>
      <xdr:row>8</xdr:row>
      <xdr:rowOff>9525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210050" y="1000125"/>
          <a:ext cx="10668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/>
            <a:t>All data from Bloomberg</a:t>
          </a:r>
        </a:p>
        <a:p>
          <a:endParaRPr lang="en-US" sz="1100"/>
        </a:p>
      </xdr:txBody>
    </xdr:sp>
    <xdr:clientData/>
  </xdr:twoCellAnchor>
  <xdr:twoCellAnchor>
    <xdr:from>
      <xdr:col>3</xdr:col>
      <xdr:colOff>819150</xdr:colOff>
      <xdr:row>6</xdr:row>
      <xdr:rowOff>123825</xdr:rowOff>
    </xdr:from>
    <xdr:to>
      <xdr:col>4</xdr:col>
      <xdr:colOff>228601</xdr:colOff>
      <xdr:row>6</xdr:row>
      <xdr:rowOff>133350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>
          <a:off x="3886200" y="1266825"/>
          <a:ext cx="342901" cy="95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466724</xdr:colOff>
      <xdr:row>0</xdr:row>
      <xdr:rowOff>142875</xdr:rowOff>
    </xdr:from>
    <xdr:to>
      <xdr:col>4</xdr:col>
      <xdr:colOff>380999</xdr:colOff>
      <xdr:row>2</xdr:row>
      <xdr:rowOff>85725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76424" y="142875"/>
          <a:ext cx="25050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Date for which the check is performed.</a:t>
          </a:r>
        </a:p>
      </xdr:txBody>
    </xdr:sp>
    <xdr:clientData/>
  </xdr:twoCellAnchor>
  <xdr:twoCellAnchor>
    <xdr:from>
      <xdr:col>1</xdr:col>
      <xdr:colOff>142875</xdr:colOff>
      <xdr:row>1</xdr:row>
      <xdr:rowOff>66675</xdr:rowOff>
    </xdr:from>
    <xdr:to>
      <xdr:col>1</xdr:col>
      <xdr:colOff>485776</xdr:colOff>
      <xdr:row>1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>
          <a:off x="1552575" y="257175"/>
          <a:ext cx="342901" cy="95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60</xdr:row>
      <xdr:rowOff>161925</xdr:rowOff>
    </xdr:from>
    <xdr:to>
      <xdr:col>7</xdr:col>
      <xdr:colOff>647700</xdr:colOff>
      <xdr:row>63</xdr:row>
      <xdr:rowOff>142875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181600" y="15782925"/>
          <a:ext cx="223837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Total $amount</a:t>
          </a:r>
          <a:r>
            <a:rPr lang="en-US" sz="1100" baseline="0"/>
            <a:t> purchased/sold in STRIPS</a:t>
          </a:r>
        </a:p>
        <a:p>
          <a:endParaRPr lang="en-US" sz="1100"/>
        </a:p>
      </xdr:txBody>
    </xdr:sp>
    <xdr:clientData/>
  </xdr:twoCellAnchor>
  <xdr:twoCellAnchor>
    <xdr:from>
      <xdr:col>6</xdr:col>
      <xdr:colOff>352425</xdr:colOff>
      <xdr:row>59</xdr:row>
      <xdr:rowOff>38100</xdr:rowOff>
    </xdr:from>
    <xdr:to>
      <xdr:col>6</xdr:col>
      <xdr:colOff>352429</xdr:colOff>
      <xdr:row>61</xdr:row>
      <xdr:rowOff>28578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rot="16200000" flipV="1">
          <a:off x="6205538" y="15654337"/>
          <a:ext cx="371478" cy="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63</xdr:row>
      <xdr:rowOff>171449</xdr:rowOff>
    </xdr:from>
    <xdr:to>
      <xdr:col>8</xdr:col>
      <xdr:colOff>638175</xdr:colOff>
      <xdr:row>69</xdr:row>
      <xdr:rowOff>123825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324350" y="16363949"/>
          <a:ext cx="3829050" cy="1095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number of STRIPS needed at any time before maturity is: </a:t>
          </a:r>
          <a:r>
            <a:rPr lang="en-US" sz="1100"/>
            <a:t>noSTRIPS = (deltaCpnBondTips-cpnTips*Pt)/fv</a:t>
          </a:r>
        </a:p>
        <a:p>
          <a:r>
            <a:rPr lang="en-US" sz="1100"/>
            <a:t>At</a:t>
          </a:r>
          <a:r>
            <a:rPr lang="en-US" sz="1100" baseline="0"/>
            <a:t> maturity: n</a:t>
          </a:r>
          <a:r>
            <a:rPr lang="en-US" sz="1100"/>
            <a:t>oSTRIPS = (deltaCpnBondTips-(cpnTips+fv)*Pt)/fv;</a:t>
          </a:r>
        </a:p>
        <a:p>
          <a:endParaRPr lang="en-US" sz="1100"/>
        </a:p>
      </xdr:txBody>
    </xdr:sp>
    <xdr:clientData/>
  </xdr:twoCellAnchor>
  <xdr:twoCellAnchor>
    <xdr:from>
      <xdr:col>2</xdr:col>
      <xdr:colOff>190500</xdr:colOff>
      <xdr:row>128</xdr:row>
      <xdr:rowOff>142875</xdr:rowOff>
    </xdr:from>
    <xdr:to>
      <xdr:col>4</xdr:col>
      <xdr:colOff>0</xdr:colOff>
      <xdr:row>133</xdr:row>
      <xdr:rowOff>66675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533650" y="25165050"/>
          <a:ext cx="20764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Calculation of YTM on</a:t>
          </a:r>
          <a:r>
            <a:rPr lang="en-US" sz="1100" baseline="0"/>
            <a:t> synthetic TBond (not adjusted for timing):</a:t>
          </a:r>
          <a:endParaRPr lang="en-US" sz="1100"/>
        </a:p>
        <a:p>
          <a:r>
            <a:rPr lang="en-US" sz="1100"/>
            <a:t>Sum is total PV of the synth. TBonds cash flows</a:t>
          </a:r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2</xdr:col>
      <xdr:colOff>1171575</xdr:colOff>
      <xdr:row>127</xdr:row>
      <xdr:rowOff>19050</xdr:rowOff>
    </xdr:from>
    <xdr:to>
      <xdr:col>2</xdr:col>
      <xdr:colOff>1171579</xdr:colOff>
      <xdr:row>129</xdr:row>
      <xdr:rowOff>9528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rot="16200000" flipV="1">
          <a:off x="3328988" y="25036462"/>
          <a:ext cx="371478" cy="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129</xdr:row>
      <xdr:rowOff>57149</xdr:rowOff>
    </xdr:from>
    <xdr:to>
      <xdr:col>7</xdr:col>
      <xdr:colOff>647700</xdr:colOff>
      <xdr:row>133</xdr:row>
      <xdr:rowOff>95250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6334125" y="25307924"/>
          <a:ext cx="2724150" cy="800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Calculation of Price of the </a:t>
          </a:r>
          <a:r>
            <a:rPr lang="en-US" sz="1100" baseline="0"/>
            <a:t>synthetic TBond (adjusted for timing):</a:t>
          </a:r>
          <a:endParaRPr lang="en-US" sz="1100"/>
        </a:p>
        <a:p>
          <a:r>
            <a:rPr lang="en-US" sz="1100"/>
            <a:t>Sum is total PV of the synth. TBonds cash flows (same</a:t>
          </a:r>
          <a:r>
            <a:rPr lang="en-US" sz="1100" baseline="0"/>
            <a:t> timing as TBond)</a:t>
          </a:r>
        </a:p>
        <a:p>
          <a:endParaRPr lang="en-US" sz="1100"/>
        </a:p>
      </xdr:txBody>
    </xdr:sp>
    <xdr:clientData/>
  </xdr:twoCellAnchor>
  <xdr:twoCellAnchor>
    <xdr:from>
      <xdr:col>6</xdr:col>
      <xdr:colOff>247650</xdr:colOff>
      <xdr:row>127</xdr:row>
      <xdr:rowOff>123825</xdr:rowOff>
    </xdr:from>
    <xdr:to>
      <xdr:col>6</xdr:col>
      <xdr:colOff>247654</xdr:colOff>
      <xdr:row>129</xdr:row>
      <xdr:rowOff>114303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rot="16200000" flipV="1">
          <a:off x="6453188" y="25141237"/>
          <a:ext cx="371478" cy="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257174</xdr:colOff>
      <xdr:row>35</xdr:row>
      <xdr:rowOff>0</xdr:rowOff>
    </xdr:from>
    <xdr:to>
      <xdr:col>27</xdr:col>
      <xdr:colOff>647700</xdr:colOff>
      <xdr:row>36</xdr:row>
      <xdr:rowOff>123825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1801474" y="47625"/>
          <a:ext cx="2295526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Time factors</a:t>
          </a:r>
          <a:r>
            <a:rPr lang="en-US" sz="1100" baseline="0"/>
            <a:t> are the exponents in the discount factor, i.e. </a:t>
          </a:r>
          <a:br>
            <a:rPr lang="en-US" sz="1100" baseline="0"/>
          </a:br>
          <a:r>
            <a:rPr lang="en-US" sz="1100" baseline="0"/>
            <a:t>(1+ytm/2)^-TimeFactor.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23</xdr:col>
      <xdr:colOff>609601</xdr:colOff>
      <xdr:row>35</xdr:row>
      <xdr:rowOff>171450</xdr:rowOff>
    </xdr:from>
    <xdr:to>
      <xdr:col>24</xdr:col>
      <xdr:colOff>257176</xdr:colOff>
      <xdr:row>36</xdr:row>
      <xdr:rowOff>133350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rot="10800000" flipV="1">
          <a:off x="11372851" y="552450"/>
          <a:ext cx="428625" cy="1524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304799</xdr:colOff>
      <xdr:row>30</xdr:row>
      <xdr:rowOff>190499</xdr:rowOff>
    </xdr:from>
    <xdr:to>
      <xdr:col>5</xdr:col>
      <xdr:colOff>657225</xdr:colOff>
      <xdr:row>34</xdr:row>
      <xdr:rowOff>123824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4305299" y="4571999"/>
          <a:ext cx="962026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Accrued interest</a:t>
          </a:r>
          <a:r>
            <a:rPr lang="en-US" sz="1100" baseline="0"/>
            <a:t> (calculated)</a:t>
          </a:r>
        </a:p>
        <a:p>
          <a:endParaRPr lang="en-US" sz="1100"/>
        </a:p>
      </xdr:txBody>
    </xdr:sp>
    <xdr:clientData/>
  </xdr:twoCellAnchor>
  <xdr:twoCellAnchor>
    <xdr:from>
      <xdr:col>4</xdr:col>
      <xdr:colOff>0</xdr:colOff>
      <xdr:row>31</xdr:row>
      <xdr:rowOff>133351</xdr:rowOff>
    </xdr:from>
    <xdr:to>
      <xdr:col>4</xdr:col>
      <xdr:colOff>342901</xdr:colOff>
      <xdr:row>31</xdr:row>
      <xdr:rowOff>142876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rot="10800000">
          <a:off x="4000500" y="4705351"/>
          <a:ext cx="342901" cy="95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114301</xdr:colOff>
      <xdr:row>32</xdr:row>
      <xdr:rowOff>1</xdr:rowOff>
    </xdr:from>
    <xdr:to>
      <xdr:col>4</xdr:col>
      <xdr:colOff>333378</xdr:colOff>
      <xdr:row>32</xdr:row>
      <xdr:rowOff>152402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rot="10800000">
          <a:off x="2571751" y="4762501"/>
          <a:ext cx="1762127" cy="15240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714375</xdr:colOff>
      <xdr:row>20</xdr:row>
      <xdr:rowOff>114300</xdr:rowOff>
    </xdr:from>
    <xdr:to>
      <xdr:col>5</xdr:col>
      <xdr:colOff>361950</xdr:colOff>
      <xdr:row>24</xdr:row>
      <xdr:rowOff>19051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171825" y="3924300"/>
          <a:ext cx="1924050" cy="666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 adjustment</a:t>
          </a:r>
          <a:r>
            <a:rPr lang="en-US" sz="1100" baseline="0"/>
            <a:t> factor is I_initial/I_0</a:t>
          </a:r>
        </a:p>
        <a:p>
          <a:endParaRPr lang="en-US" sz="1100"/>
        </a:p>
      </xdr:txBody>
    </xdr:sp>
    <xdr:clientData/>
  </xdr:twoCellAnchor>
  <xdr:twoCellAnchor>
    <xdr:from>
      <xdr:col>2</xdr:col>
      <xdr:colOff>95253</xdr:colOff>
      <xdr:row>21</xdr:row>
      <xdr:rowOff>180974</xdr:rowOff>
    </xdr:from>
    <xdr:to>
      <xdr:col>2</xdr:col>
      <xdr:colOff>657226</xdr:colOff>
      <xdr:row>22</xdr:row>
      <xdr:rowOff>95249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rot="10800000" flipV="1">
          <a:off x="2552703" y="4181474"/>
          <a:ext cx="561973" cy="10477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9"/>
  <sheetViews>
    <sheetView tabSelected="1" topLeftCell="A16" zoomScale="90" zoomScaleNormal="90" workbookViewId="0">
      <selection activeCell="A63" sqref="A63"/>
    </sheetView>
  </sheetViews>
  <sheetFormatPr defaultRowHeight="15" x14ac:dyDescent="0.25"/>
  <cols>
    <col min="1" max="1" width="21.140625" bestFit="1" customWidth="1"/>
    <col min="2" max="2" width="14" bestFit="1" customWidth="1"/>
    <col min="3" max="3" width="20.28515625" customWidth="1"/>
    <col min="4" max="4" width="13.7109375" bestFit="1" customWidth="1"/>
    <col min="5" max="5" width="19.5703125" bestFit="1" customWidth="1"/>
    <col min="6" max="6" width="17.28515625" bestFit="1" customWidth="1"/>
    <col min="7" max="7" width="20.140625" bestFit="1" customWidth="1"/>
    <col min="8" max="8" width="11.140625" customWidth="1"/>
    <col min="9" max="9" width="12.140625" bestFit="1" customWidth="1"/>
    <col min="10" max="10" width="8.42578125" customWidth="1"/>
    <col min="12" max="12" width="10.7109375" bestFit="1" customWidth="1"/>
    <col min="13" max="13" width="12" bestFit="1" customWidth="1"/>
    <col min="14" max="14" width="9.7109375" bestFit="1" customWidth="1"/>
    <col min="15" max="15" width="11.7109375" bestFit="1" customWidth="1"/>
    <col min="16" max="16" width="9.7109375" bestFit="1" customWidth="1"/>
    <col min="18" max="18" width="9.7109375" bestFit="1" customWidth="1"/>
    <col min="19" max="19" width="11.7109375" bestFit="1" customWidth="1"/>
    <col min="23" max="23" width="9.7109375" bestFit="1" customWidth="1"/>
    <col min="24" max="24" width="12.140625" bestFit="1" customWidth="1"/>
    <col min="27" max="27" width="9.7109375" bestFit="1" customWidth="1"/>
    <col min="28" max="28" width="12.140625" bestFit="1" customWidth="1"/>
  </cols>
  <sheetData>
    <row r="1" spans="1:7" x14ac:dyDescent="0.25">
      <c r="A1" t="s">
        <v>0</v>
      </c>
    </row>
    <row r="2" spans="1:7" x14ac:dyDescent="0.25">
      <c r="A2" s="1">
        <v>38995</v>
      </c>
      <c r="B2" s="1"/>
    </row>
    <row r="4" spans="1:7" x14ac:dyDescent="0.25">
      <c r="B4" t="s">
        <v>31</v>
      </c>
      <c r="D4" t="s">
        <v>37</v>
      </c>
    </row>
    <row r="5" spans="1:7" x14ac:dyDescent="0.25">
      <c r="B5" t="s">
        <v>1</v>
      </c>
      <c r="D5" t="s">
        <v>6</v>
      </c>
    </row>
    <row r="6" spans="1:7" x14ac:dyDescent="0.25">
      <c r="A6" t="s">
        <v>2</v>
      </c>
      <c r="B6" t="s">
        <v>19</v>
      </c>
      <c r="D6" t="s">
        <v>20</v>
      </c>
      <c r="G6">
        <f>1.875%/2*100</f>
        <v>0.9375</v>
      </c>
    </row>
    <row r="7" spans="1:7" x14ac:dyDescent="0.25">
      <c r="A7" t="s">
        <v>3</v>
      </c>
      <c r="B7" t="s">
        <v>21</v>
      </c>
      <c r="D7" t="s">
        <v>23</v>
      </c>
      <c r="E7" s="1"/>
    </row>
    <row r="8" spans="1:7" x14ac:dyDescent="0.25">
      <c r="A8" t="s">
        <v>4</v>
      </c>
      <c r="B8" t="s">
        <v>22</v>
      </c>
      <c r="D8" t="s">
        <v>24</v>
      </c>
      <c r="E8" s="1"/>
    </row>
    <row r="9" spans="1:7" x14ac:dyDescent="0.25">
      <c r="A9" t="s">
        <v>5</v>
      </c>
      <c r="B9" s="3">
        <v>1.8749999999999999E-2</v>
      </c>
      <c r="D9" s="3">
        <v>4.2500000000000003E-2</v>
      </c>
      <c r="E9" s="2"/>
    </row>
    <row r="10" spans="1:7" x14ac:dyDescent="0.25">
      <c r="A10" t="s">
        <v>25</v>
      </c>
      <c r="B10" t="s">
        <v>26</v>
      </c>
      <c r="D10" t="s">
        <v>27</v>
      </c>
    </row>
    <row r="11" spans="1:7" x14ac:dyDescent="0.25">
      <c r="A11" t="s">
        <v>28</v>
      </c>
      <c r="B11" t="s">
        <v>29</v>
      </c>
      <c r="D11" t="s">
        <v>30</v>
      </c>
    </row>
    <row r="13" spans="1:7" x14ac:dyDescent="0.25">
      <c r="A13" t="s">
        <v>14</v>
      </c>
      <c r="B13" s="8">
        <v>194.50968</v>
      </c>
    </row>
    <row r="15" spans="1:7" x14ac:dyDescent="0.25">
      <c r="A15" t="s">
        <v>43</v>
      </c>
      <c r="B15">
        <v>96.625</v>
      </c>
      <c r="C15">
        <f>96+20/32</f>
        <v>96.625</v>
      </c>
      <c r="D15">
        <v>97.484375</v>
      </c>
      <c r="G15">
        <f>97+15/32+1/64</f>
        <v>97.484375</v>
      </c>
    </row>
    <row r="17" spans="1:5" x14ac:dyDescent="0.25">
      <c r="A17" t="s">
        <v>40</v>
      </c>
      <c r="B17" s="7">
        <v>203.5</v>
      </c>
    </row>
    <row r="18" spans="1:5" x14ac:dyDescent="0.25">
      <c r="A18" t="s">
        <v>41</v>
      </c>
      <c r="B18" s="7">
        <v>203.9</v>
      </c>
    </row>
    <row r="19" spans="1:5" x14ac:dyDescent="0.25">
      <c r="A19" t="s">
        <v>13</v>
      </c>
      <c r="B19" s="8">
        <f>B17+(5-1)/31*(B18-B17)</f>
        <v>203.55161290322582</v>
      </c>
    </row>
    <row r="20" spans="1:5" x14ac:dyDescent="0.25">
      <c r="A20" t="s">
        <v>15</v>
      </c>
      <c r="B20" s="8">
        <f>B19/B13</f>
        <v>1.04648577337244</v>
      </c>
    </row>
    <row r="22" spans="1:5" x14ac:dyDescent="0.25">
      <c r="A22" t="s">
        <v>44</v>
      </c>
      <c r="B22">
        <f>B15*B20</f>
        <v>101.11668785211201</v>
      </c>
    </row>
    <row r="23" spans="1:5" x14ac:dyDescent="0.25">
      <c r="A23" t="s">
        <v>45</v>
      </c>
      <c r="B23">
        <f>B22*1/B20</f>
        <v>96.625</v>
      </c>
    </row>
    <row r="26" spans="1:5" x14ac:dyDescent="0.25">
      <c r="A26" t="s">
        <v>7</v>
      </c>
      <c r="B26" s="1">
        <v>39097</v>
      </c>
      <c r="D26" s="1">
        <v>39128</v>
      </c>
      <c r="E26" s="1"/>
    </row>
    <row r="27" spans="1:5" x14ac:dyDescent="0.25">
      <c r="A27" t="s">
        <v>9</v>
      </c>
      <c r="B27" s="1">
        <v>38913</v>
      </c>
      <c r="D27" s="1">
        <v>38944</v>
      </c>
      <c r="E27" s="1"/>
    </row>
    <row r="28" spans="1:5" x14ac:dyDescent="0.25">
      <c r="A28" t="s">
        <v>10</v>
      </c>
      <c r="B28">
        <f>B26-B27</f>
        <v>184</v>
      </c>
      <c r="D28">
        <f>D26-D27</f>
        <v>184</v>
      </c>
    </row>
    <row r="29" spans="1:5" x14ac:dyDescent="0.25">
      <c r="A29" t="s">
        <v>11</v>
      </c>
      <c r="B29">
        <f>A2-B27</f>
        <v>82</v>
      </c>
      <c r="D29">
        <f>A2-D27</f>
        <v>51</v>
      </c>
    </row>
    <row r="32" spans="1:5" x14ac:dyDescent="0.25">
      <c r="A32" t="s">
        <v>8</v>
      </c>
      <c r="B32" s="5">
        <f>B29/B28*(100*B20)*B9/2*1/B20</f>
        <v>0.41779891304347822</v>
      </c>
      <c r="D32" s="5">
        <f>D29/D28*D9/2*100</f>
        <v>0.58899456521739135</v>
      </c>
    </row>
    <row r="34" spans="1:31" x14ac:dyDescent="0.25">
      <c r="A34" t="s">
        <v>12</v>
      </c>
      <c r="B34" s="8">
        <f>B23+B32</f>
        <v>97.042798913043484</v>
      </c>
      <c r="D34" s="8">
        <f>D15+D32</f>
        <v>98.073369565217391</v>
      </c>
    </row>
    <row r="37" spans="1:31" ht="15.75" thickBot="1" x14ac:dyDescent="0.3"/>
    <row r="38" spans="1:31" ht="15.75" thickBot="1" x14ac:dyDescent="0.3">
      <c r="A38" s="9" t="s">
        <v>55</v>
      </c>
      <c r="B38" s="10" t="s">
        <v>16</v>
      </c>
      <c r="C38" s="10" t="s">
        <v>18</v>
      </c>
      <c r="D38" s="10" t="s">
        <v>47</v>
      </c>
      <c r="E38" s="10" t="s">
        <v>46</v>
      </c>
      <c r="F38" s="10" t="s">
        <v>48</v>
      </c>
      <c r="G38" s="10" t="s">
        <v>49</v>
      </c>
    </row>
    <row r="39" spans="1:31" x14ac:dyDescent="0.25">
      <c r="A39" s="11">
        <v>38732</v>
      </c>
      <c r="B39" s="14"/>
      <c r="C39" s="14"/>
      <c r="D39" s="17"/>
      <c r="E39" s="17"/>
      <c r="F39" s="17"/>
      <c r="G39" s="17"/>
      <c r="AE39" s="5"/>
    </row>
    <row r="40" spans="1:31" x14ac:dyDescent="0.25">
      <c r="A40" s="12">
        <v>38913</v>
      </c>
      <c r="B40" s="15"/>
      <c r="C40" s="15"/>
      <c r="D40" s="18"/>
      <c r="E40" s="18"/>
      <c r="F40" s="18"/>
      <c r="G40" s="18"/>
      <c r="AE40" s="5"/>
    </row>
    <row r="41" spans="1:31" x14ac:dyDescent="0.25">
      <c r="A41" s="12">
        <v>39097</v>
      </c>
      <c r="B41" s="15">
        <v>98.665000000000006</v>
      </c>
      <c r="C41" s="15">
        <v>1.4122898760084501E-2</v>
      </c>
      <c r="D41" s="15">
        <v>0.27950000000000003</v>
      </c>
      <c r="E41" s="15">
        <f>(1+C41)^D41-1</f>
        <v>3.9274280941532513E-3</v>
      </c>
      <c r="F41" s="15">
        <f>(($D$9/2*100-$B$9/2*100)-($B$9/2*100)*E41)/100</f>
        <v>1.1838180361617314E-2</v>
      </c>
      <c r="G41" s="15">
        <f>F41*B41</f>
        <v>1.1680140653789723</v>
      </c>
      <c r="AE41" s="5"/>
    </row>
    <row r="42" spans="1:31" x14ac:dyDescent="0.25">
      <c r="A42" s="12">
        <v>39278</v>
      </c>
      <c r="B42" s="15">
        <v>96.304000000000002</v>
      </c>
      <c r="C42" s="15">
        <v>1.70913496426142E-2</v>
      </c>
      <c r="D42" s="15">
        <v>0.77529999999999999</v>
      </c>
      <c r="E42" s="15">
        <f t="shared" ref="E42:E58" si="0">(1+C42)^D42-1</f>
        <v>1.3225654645153684E-2</v>
      </c>
      <c r="F42" s="15">
        <f t="shared" ref="F42:F57" si="1">(($D$9/2*100-$B$9/2*100)-($B$9/2*100)*E42)/100</f>
        <v>1.1751009487701684E-2</v>
      </c>
      <c r="G42" s="15">
        <f t="shared" ref="G42:G58" si="2">F42*B42</f>
        <v>1.1316692177036229</v>
      </c>
      <c r="AE42" s="5"/>
    </row>
    <row r="43" spans="1:31" x14ac:dyDescent="0.25">
      <c r="A43" s="12">
        <v>39462</v>
      </c>
      <c r="B43" s="15">
        <v>94.134</v>
      </c>
      <c r="C43" s="15">
        <v>1.9628350566824899E-2</v>
      </c>
      <c r="D43" s="15">
        <v>1.2795000000000001</v>
      </c>
      <c r="E43" s="15">
        <f t="shared" si="0"/>
        <v>2.5183043068390809E-2</v>
      </c>
      <c r="F43" s="15">
        <f t="shared" si="1"/>
        <v>1.1638908971233836E-2</v>
      </c>
      <c r="G43" s="15">
        <f t="shared" si="2"/>
        <v>1.0956170570981258</v>
      </c>
      <c r="AE43" s="5"/>
    </row>
    <row r="44" spans="1:31" x14ac:dyDescent="0.25">
      <c r="A44" s="12">
        <v>39644</v>
      </c>
      <c r="B44" s="15">
        <v>92.088999999999999</v>
      </c>
      <c r="C44" s="15">
        <v>2.09252917744094E-2</v>
      </c>
      <c r="D44" s="15">
        <v>1.7781</v>
      </c>
      <c r="E44" s="15">
        <f t="shared" si="0"/>
        <v>3.7509699194179458E-2</v>
      </c>
      <c r="F44" s="15">
        <f t="shared" si="1"/>
        <v>1.1523346570054566E-2</v>
      </c>
      <c r="G44" s="15">
        <f t="shared" si="2"/>
        <v>1.0611734622897548</v>
      </c>
      <c r="AE44" s="5"/>
    </row>
    <row r="45" spans="1:31" x14ac:dyDescent="0.25">
      <c r="A45" s="12">
        <v>39828</v>
      </c>
      <c r="B45" s="15">
        <v>90.102000000000004</v>
      </c>
      <c r="C45" s="15">
        <v>2.19602725701444E-2</v>
      </c>
      <c r="D45" s="15">
        <v>2.2822</v>
      </c>
      <c r="E45" s="15">
        <f t="shared" si="0"/>
        <v>5.0824780008529524E-2</v>
      </c>
      <c r="F45" s="15">
        <f t="shared" si="1"/>
        <v>1.1398517687420036E-2</v>
      </c>
      <c r="G45" s="15">
        <f t="shared" si="2"/>
        <v>1.0270292406719201</v>
      </c>
      <c r="AE45" s="5"/>
    </row>
    <row r="46" spans="1:31" x14ac:dyDescent="0.25">
      <c r="A46" s="12">
        <v>40009</v>
      </c>
      <c r="B46" s="15">
        <v>88.137</v>
      </c>
      <c r="C46" s="15">
        <v>2.2846656406218E-2</v>
      </c>
      <c r="D46" s="15">
        <v>2.7780999999999998</v>
      </c>
      <c r="E46" s="15">
        <f t="shared" si="0"/>
        <v>6.476712310257593E-2</v>
      </c>
      <c r="F46" s="15">
        <f t="shared" si="1"/>
        <v>1.1267808220913351E-2</v>
      </c>
      <c r="G46" s="15">
        <f t="shared" si="2"/>
        <v>0.99311081316663996</v>
      </c>
      <c r="AE46" s="5"/>
    </row>
    <row r="47" spans="1:31" x14ac:dyDescent="0.25">
      <c r="A47" s="12">
        <v>40193</v>
      </c>
      <c r="B47" s="15">
        <v>86.247</v>
      </c>
      <c r="C47" s="15">
        <v>2.3544074715350399E-2</v>
      </c>
      <c r="D47" s="15">
        <v>3.2822</v>
      </c>
      <c r="E47" s="15">
        <f t="shared" si="0"/>
        <v>7.9373405888209625E-2</v>
      </c>
      <c r="F47" s="15">
        <f t="shared" si="1"/>
        <v>1.1130874319798034E-2</v>
      </c>
      <c r="G47" s="15">
        <f t="shared" si="2"/>
        <v>0.96000451745962101</v>
      </c>
      <c r="AE47" s="5"/>
    </row>
    <row r="48" spans="1:31" x14ac:dyDescent="0.25">
      <c r="A48" s="12">
        <v>40374</v>
      </c>
      <c r="B48" s="15">
        <v>84.43</v>
      </c>
      <c r="C48" s="15">
        <v>2.4078029013736301E-2</v>
      </c>
      <c r="D48" s="15">
        <v>3.7780999999999998</v>
      </c>
      <c r="E48" s="15">
        <f t="shared" si="0"/>
        <v>9.4055342761135918E-2</v>
      </c>
      <c r="F48" s="15">
        <f t="shared" si="1"/>
        <v>1.0993231161614351E-2</v>
      </c>
      <c r="G48" s="15">
        <f t="shared" si="2"/>
        <v>0.92815850697509972</v>
      </c>
      <c r="AE48" s="5"/>
    </row>
    <row r="49" spans="1:31" x14ac:dyDescent="0.25">
      <c r="A49" s="12">
        <v>40558</v>
      </c>
      <c r="B49" s="15">
        <v>82.617999999999995</v>
      </c>
      <c r="C49" s="15">
        <v>2.4533986867082601E-2</v>
      </c>
      <c r="D49" s="15">
        <v>4.2821999999999996</v>
      </c>
      <c r="E49" s="15">
        <f t="shared" si="0"/>
        <v>0.10936898724532784</v>
      </c>
      <c r="F49" s="15">
        <f t="shared" si="1"/>
        <v>1.0849665744575052E-2</v>
      </c>
      <c r="G49" s="15">
        <f t="shared" si="2"/>
        <v>0.89637768448530164</v>
      </c>
      <c r="AE49" s="5"/>
    </row>
    <row r="50" spans="1:31" x14ac:dyDescent="0.25">
      <c r="A50" s="12">
        <v>40739</v>
      </c>
      <c r="B50" s="15">
        <v>80.95</v>
      </c>
      <c r="C50" s="15">
        <v>2.4913773727418799E-2</v>
      </c>
      <c r="D50" s="15">
        <v>4.7781000000000002</v>
      </c>
      <c r="E50" s="15">
        <f t="shared" si="0"/>
        <v>0.12477363973104505</v>
      </c>
      <c r="F50" s="15">
        <f t="shared" si="1"/>
        <v>1.0705247127521453E-2</v>
      </c>
      <c r="G50" s="15">
        <f t="shared" si="2"/>
        <v>0.86658975497286161</v>
      </c>
      <c r="AE50" s="5"/>
    </row>
    <row r="51" spans="1:31" x14ac:dyDescent="0.25">
      <c r="A51" s="12">
        <v>40923</v>
      </c>
      <c r="B51" s="15">
        <v>78.677999999999997</v>
      </c>
      <c r="C51" s="15">
        <v>2.5180432207567501E-2</v>
      </c>
      <c r="D51" s="15">
        <v>5.2821999999999996</v>
      </c>
      <c r="E51" s="15">
        <f t="shared" si="0"/>
        <v>0.14037946330923257</v>
      </c>
      <c r="F51" s="15">
        <f t="shared" si="1"/>
        <v>1.0558942531475945E-2</v>
      </c>
      <c r="G51" s="15">
        <f t="shared" si="2"/>
        <v>0.83075648049146433</v>
      </c>
      <c r="AE51" s="5"/>
    </row>
    <row r="52" spans="1:31" x14ac:dyDescent="0.25">
      <c r="A52" s="12">
        <v>41105</v>
      </c>
      <c r="B52" s="15">
        <v>76.863</v>
      </c>
      <c r="C52" s="15">
        <v>2.53636448266523E-2</v>
      </c>
      <c r="D52" s="15">
        <v>5.7808000000000002</v>
      </c>
      <c r="E52" s="15">
        <f t="shared" si="0"/>
        <v>0.15580096175563907</v>
      </c>
      <c r="F52" s="15">
        <f t="shared" si="1"/>
        <v>1.0414365983540882E-2</v>
      </c>
      <c r="G52" s="15">
        <f t="shared" si="2"/>
        <v>0.80047941259290289</v>
      </c>
      <c r="AE52" s="5"/>
    </row>
    <row r="53" spans="1:31" x14ac:dyDescent="0.25">
      <c r="A53" s="12">
        <v>41289</v>
      </c>
      <c r="B53" s="15">
        <v>75.075999999999993</v>
      </c>
      <c r="C53" s="15">
        <v>2.5533065491535299E-2</v>
      </c>
      <c r="D53" s="15">
        <v>6.2849000000000004</v>
      </c>
      <c r="E53" s="15">
        <f t="shared" si="0"/>
        <v>0.17170306413196057</v>
      </c>
      <c r="F53" s="15">
        <f t="shared" si="1"/>
        <v>1.026528377376287E-2</v>
      </c>
      <c r="G53" s="15">
        <f t="shared" si="2"/>
        <v>0.77067644459902118</v>
      </c>
      <c r="AE53" s="5"/>
    </row>
    <row r="54" spans="1:31" x14ac:dyDescent="0.25">
      <c r="A54" s="12">
        <v>41470</v>
      </c>
      <c r="B54" s="15">
        <v>73.319999999999993</v>
      </c>
      <c r="C54" s="15">
        <v>2.57675411913105E-2</v>
      </c>
      <c r="D54" s="15">
        <v>6.7808000000000002</v>
      </c>
      <c r="E54" s="15">
        <f t="shared" si="0"/>
        <v>0.18828533196444752</v>
      </c>
      <c r="F54" s="15">
        <f t="shared" si="1"/>
        <v>1.0109825012833305E-2</v>
      </c>
      <c r="G54" s="15">
        <f t="shared" si="2"/>
        <v>0.74125236994093791</v>
      </c>
      <c r="AE54" s="5"/>
    </row>
    <row r="55" spans="1:31" x14ac:dyDescent="0.25">
      <c r="A55" s="12">
        <v>41654</v>
      </c>
      <c r="B55" s="15">
        <v>71.588999999999999</v>
      </c>
      <c r="C55" s="15">
        <v>2.59527497605989E-2</v>
      </c>
      <c r="D55" s="15">
        <v>7.2849000000000004</v>
      </c>
      <c r="E55" s="15">
        <f t="shared" si="0"/>
        <v>0.20520716104695147</v>
      </c>
      <c r="F55" s="15">
        <f t="shared" si="1"/>
        <v>9.9511828651848294E-3</v>
      </c>
      <c r="G55" s="15">
        <f t="shared" si="2"/>
        <v>0.71239523013571671</v>
      </c>
      <c r="AE55" s="5"/>
    </row>
    <row r="56" spans="1:31" x14ac:dyDescent="0.25">
      <c r="A56" s="12">
        <v>41835</v>
      </c>
      <c r="B56" s="15">
        <v>69.906000000000006</v>
      </c>
      <c r="C56" s="15">
        <v>2.6201089722443401E-2</v>
      </c>
      <c r="D56" s="15">
        <v>7.7808000000000002</v>
      </c>
      <c r="E56" s="15">
        <f t="shared" si="0"/>
        <v>0.22291877955515949</v>
      </c>
      <c r="F56" s="15">
        <f t="shared" si="1"/>
        <v>9.7851364416703807E-3</v>
      </c>
      <c r="G56" s="15">
        <f t="shared" si="2"/>
        <v>0.68403974809140966</v>
      </c>
      <c r="U56" s="1"/>
      <c r="AE56" s="5"/>
    </row>
    <row r="57" spans="1:31" x14ac:dyDescent="0.25">
      <c r="A57" s="12">
        <v>42019</v>
      </c>
      <c r="B57" s="15">
        <v>68.153000000000006</v>
      </c>
      <c r="C57" s="15">
        <v>2.63075789204863E-2</v>
      </c>
      <c r="D57" s="15">
        <v>8.2849000000000004</v>
      </c>
      <c r="E57" s="15">
        <f t="shared" si="0"/>
        <v>0.24003304396437253</v>
      </c>
      <c r="F57" s="15">
        <f t="shared" si="1"/>
        <v>9.6246902128340073E-3</v>
      </c>
      <c r="G57" s="15">
        <f t="shared" si="2"/>
        <v>0.65595151207527613</v>
      </c>
      <c r="U57" s="1"/>
      <c r="AE57" s="5"/>
    </row>
    <row r="58" spans="1:31" ht="15.75" thickBot="1" x14ac:dyDescent="0.3">
      <c r="A58" s="13">
        <v>42200</v>
      </c>
      <c r="B58" s="16">
        <v>66.510000000000005</v>
      </c>
      <c r="C58" s="16">
        <v>2.6458030209432399E-2</v>
      </c>
      <c r="D58" s="15">
        <v>8.7807999999999993</v>
      </c>
      <c r="E58" s="16">
        <f t="shared" si="0"/>
        <v>0.25772235298403467</v>
      </c>
      <c r="F58" s="16">
        <f>(($D$9/2*100-$B$9/2*100)-($B$9/2*100+100)*E58)/100</f>
        <v>-0.24826350004325998</v>
      </c>
      <c r="G58" s="16">
        <f t="shared" si="2"/>
        <v>-16.512005387877224</v>
      </c>
      <c r="AE58" s="5"/>
    </row>
    <row r="59" spans="1:31" ht="15.75" thickBot="1" x14ac:dyDescent="0.3">
      <c r="F59" s="10" t="s">
        <v>39</v>
      </c>
      <c r="G59" s="20">
        <f>SUM(G41:G58)</f>
        <v>-1.188709869748573</v>
      </c>
    </row>
    <row r="62" spans="1:31" x14ac:dyDescent="0.25">
      <c r="A62">
        <f>1.02^5-1-1.077284+1</f>
        <v>2.6796803200000108E-2</v>
      </c>
    </row>
    <row r="69" spans="1:17" x14ac:dyDescent="0.25">
      <c r="Q69" s="1"/>
    </row>
    <row r="70" spans="1:17" x14ac:dyDescent="0.25">
      <c r="Q70" s="1"/>
    </row>
    <row r="71" spans="1:17" x14ac:dyDescent="0.25">
      <c r="A71" t="s">
        <v>52</v>
      </c>
      <c r="B71">
        <f>100*0.5*B9</f>
        <v>0.9375</v>
      </c>
      <c r="Q71" s="1"/>
    </row>
    <row r="72" spans="1:17" x14ac:dyDescent="0.25">
      <c r="A72" t="s">
        <v>53</v>
      </c>
      <c r="B72">
        <f>100*0.5*D9</f>
        <v>2.125</v>
      </c>
      <c r="Q72" s="1"/>
    </row>
    <row r="73" spans="1:17" x14ac:dyDescent="0.25">
      <c r="A73" t="s">
        <v>54</v>
      </c>
      <c r="B73">
        <v>150</v>
      </c>
      <c r="Q73" s="1"/>
    </row>
    <row r="74" spans="1:17" ht="15.75" thickBot="1" x14ac:dyDescent="0.3">
      <c r="Q74" s="1"/>
    </row>
    <row r="75" spans="1:17" ht="15.75" thickBot="1" x14ac:dyDescent="0.3">
      <c r="A75" s="9" t="s">
        <v>55</v>
      </c>
      <c r="B75" s="10" t="s">
        <v>1</v>
      </c>
      <c r="C75" s="10" t="s">
        <v>50</v>
      </c>
      <c r="D75" s="10" t="s">
        <v>16</v>
      </c>
      <c r="E75" s="10" t="s">
        <v>51</v>
      </c>
      <c r="F75" s="10" t="s">
        <v>6</v>
      </c>
    </row>
    <row r="76" spans="1:17" x14ac:dyDescent="0.25">
      <c r="A76" s="11">
        <v>38732</v>
      </c>
      <c r="B76" s="17"/>
      <c r="C76" s="17"/>
      <c r="D76" s="17"/>
      <c r="E76" s="17"/>
      <c r="F76" s="17"/>
    </row>
    <row r="77" spans="1:17" x14ac:dyDescent="0.25">
      <c r="A77" s="12">
        <v>38913</v>
      </c>
      <c r="B77" s="18"/>
      <c r="C77" s="18"/>
      <c r="D77" s="18"/>
      <c r="E77" s="18"/>
      <c r="F77" s="18"/>
    </row>
    <row r="78" spans="1:17" x14ac:dyDescent="0.25">
      <c r="A78" s="12">
        <v>39097</v>
      </c>
      <c r="B78" s="15">
        <f t="shared" ref="B78:B94" si="3">c_TIPS*I_t/I_0</f>
        <v>0.69085672176352197</v>
      </c>
      <c r="C78" s="15">
        <f>-(I_t/I_0-1)*c_TIPS+P_1*c_TIPS</f>
        <v>0.25032524207474671</v>
      </c>
      <c r="D78" s="15">
        <f>100*x_1</f>
        <v>1.1838180361617314</v>
      </c>
      <c r="E78" s="18">
        <f>D78+C78+B78</f>
        <v>2.125</v>
      </c>
      <c r="F78" s="18">
        <f t="shared" ref="F78:F94" si="4">c_TBond</f>
        <v>2.125</v>
      </c>
    </row>
    <row r="79" spans="1:17" x14ac:dyDescent="0.25">
      <c r="A79" s="12">
        <v>39278</v>
      </c>
      <c r="B79" s="15">
        <f t="shared" si="3"/>
        <v>0.69085672176352197</v>
      </c>
      <c r="C79" s="15">
        <f>-(I_t/I_0-1)*c_TIPS+P_2*c_TIPS</f>
        <v>0.25904232946630962</v>
      </c>
      <c r="D79" s="15">
        <f>100*x_2</f>
        <v>1.1751009487701685</v>
      </c>
      <c r="E79" s="18">
        <f t="shared" ref="E79:E95" si="5">D79+C79+B79</f>
        <v>2.125</v>
      </c>
      <c r="F79" s="18">
        <f t="shared" si="4"/>
        <v>2.125</v>
      </c>
    </row>
    <row r="80" spans="1:17" x14ac:dyDescent="0.25">
      <c r="A80" s="12">
        <v>39462</v>
      </c>
      <c r="B80" s="15">
        <f t="shared" si="3"/>
        <v>0.69085672176352197</v>
      </c>
      <c r="C80" s="15">
        <f>-(I_t/I_0-1)*c_TIPS+P_3*c_TIPS</f>
        <v>0.27025238111309441</v>
      </c>
      <c r="D80" s="15">
        <f>100*x_3</f>
        <v>1.1638908971233837</v>
      </c>
      <c r="E80" s="18">
        <f t="shared" si="5"/>
        <v>2.125</v>
      </c>
      <c r="F80" s="18">
        <f t="shared" si="4"/>
        <v>2.125</v>
      </c>
    </row>
    <row r="81" spans="1:6" x14ac:dyDescent="0.25">
      <c r="A81" s="12">
        <v>39644</v>
      </c>
      <c r="B81" s="15">
        <f t="shared" si="3"/>
        <v>0.69085672176352197</v>
      </c>
      <c r="C81" s="15">
        <f>-(I_t/I_0-1)*c_TIPS+P_4*c_TIPS</f>
        <v>0.28180862123102124</v>
      </c>
      <c r="D81" s="15">
        <f>100*x_4</f>
        <v>1.1523346570054567</v>
      </c>
      <c r="E81" s="18">
        <f t="shared" si="5"/>
        <v>2.125</v>
      </c>
      <c r="F81" s="18">
        <f t="shared" si="4"/>
        <v>2.125</v>
      </c>
    </row>
    <row r="82" spans="1:6" x14ac:dyDescent="0.25">
      <c r="A82" s="12">
        <v>39828</v>
      </c>
      <c r="B82" s="15">
        <f t="shared" si="3"/>
        <v>0.69085672176352197</v>
      </c>
      <c r="C82" s="15">
        <f>-(I_t/I_0-1)*c_TIPS+P_5*c_TIPS</f>
        <v>0.29429150949447447</v>
      </c>
      <c r="D82" s="15">
        <f>100*x_5</f>
        <v>1.1398517687420036</v>
      </c>
      <c r="E82" s="18">
        <f t="shared" si="5"/>
        <v>2.125</v>
      </c>
      <c r="F82" s="18">
        <f t="shared" si="4"/>
        <v>2.125</v>
      </c>
    </row>
    <row r="83" spans="1:6" x14ac:dyDescent="0.25">
      <c r="A83" s="12">
        <v>40009</v>
      </c>
      <c r="B83" s="15">
        <f t="shared" si="3"/>
        <v>0.69085672176352197</v>
      </c>
      <c r="C83" s="15">
        <f>-(I_t/I_0-1)*c_TIPS+P_6*c_TIPS</f>
        <v>0.30736245614514296</v>
      </c>
      <c r="D83" s="15">
        <f>100*x_6</f>
        <v>1.1267808220913351</v>
      </c>
      <c r="E83" s="18">
        <f t="shared" si="5"/>
        <v>2.125</v>
      </c>
      <c r="F83" s="18">
        <f t="shared" si="4"/>
        <v>2.125</v>
      </c>
    </row>
    <row r="84" spans="1:6" x14ac:dyDescent="0.25">
      <c r="A84" s="12">
        <v>40193</v>
      </c>
      <c r="B84" s="15">
        <f t="shared" si="3"/>
        <v>0.69085672176352197</v>
      </c>
      <c r="C84" s="15">
        <f>-(I_t/I_0-1)*c_TIPS+P_7*c_TIPS</f>
        <v>0.32105584625667455</v>
      </c>
      <c r="D84" s="15">
        <f>100*x_7</f>
        <v>1.1130874319798034</v>
      </c>
      <c r="E84" s="18">
        <f t="shared" si="5"/>
        <v>2.125</v>
      </c>
      <c r="F84" s="18">
        <f t="shared" si="4"/>
        <v>2.125</v>
      </c>
    </row>
    <row r="85" spans="1:6" x14ac:dyDescent="0.25">
      <c r="A85" s="12">
        <v>40374</v>
      </c>
      <c r="B85" s="15">
        <f t="shared" si="3"/>
        <v>0.69085672176352197</v>
      </c>
      <c r="C85" s="15">
        <f>-(I_t/I_0-1)*c_TIPS+P_8*c_TIPS</f>
        <v>0.33482016207504295</v>
      </c>
      <c r="D85" s="15">
        <f>100*x_8</f>
        <v>1.0993231161614352</v>
      </c>
      <c r="E85" s="18">
        <f t="shared" si="5"/>
        <v>2.125</v>
      </c>
      <c r="F85" s="18">
        <f t="shared" si="4"/>
        <v>2.125</v>
      </c>
    </row>
    <row r="86" spans="1:6" x14ac:dyDescent="0.25">
      <c r="A86" s="12">
        <v>40558</v>
      </c>
      <c r="B86" s="15">
        <f t="shared" si="3"/>
        <v>0.69085672176352197</v>
      </c>
      <c r="C86" s="15">
        <f>-(I_t/I_0-1)*c_TIPS+P_9*c_TIPS</f>
        <v>0.34917670377897286</v>
      </c>
      <c r="D86" s="15">
        <f>100*x_9</f>
        <v>1.0849665744575052</v>
      </c>
      <c r="E86" s="18">
        <f t="shared" si="5"/>
        <v>2.125</v>
      </c>
      <c r="F86" s="18">
        <f t="shared" si="4"/>
        <v>2.125</v>
      </c>
    </row>
    <row r="87" spans="1:6" x14ac:dyDescent="0.25">
      <c r="A87" s="12">
        <v>40739</v>
      </c>
      <c r="B87" s="15">
        <f t="shared" si="3"/>
        <v>0.69085672176352197</v>
      </c>
      <c r="C87" s="15">
        <f>-(I_t/I_0-1)*c_TIPS+P_10*c_TIPS</f>
        <v>0.36361856548433275</v>
      </c>
      <c r="D87" s="15">
        <f>100*x_10</f>
        <v>1.0705247127521453</v>
      </c>
      <c r="E87" s="18">
        <f t="shared" si="5"/>
        <v>2.125</v>
      </c>
      <c r="F87" s="18">
        <f t="shared" si="4"/>
        <v>2.125</v>
      </c>
    </row>
    <row r="88" spans="1:6" x14ac:dyDescent="0.25">
      <c r="A88" s="12">
        <v>40923</v>
      </c>
      <c r="B88" s="15">
        <f t="shared" si="3"/>
        <v>0.69085672176352197</v>
      </c>
      <c r="C88" s="15">
        <f>-(I_t/I_0-1)*c_TIPS+P_11*c_TIPS</f>
        <v>0.37824902508888358</v>
      </c>
      <c r="D88" s="15">
        <f>100*x_11</f>
        <v>1.0558942531475946</v>
      </c>
      <c r="E88" s="18">
        <f t="shared" si="5"/>
        <v>2.125</v>
      </c>
      <c r="F88" s="18">
        <f t="shared" si="4"/>
        <v>2.125</v>
      </c>
    </row>
    <row r="89" spans="1:6" x14ac:dyDescent="0.25">
      <c r="A89" s="12">
        <v>41105</v>
      </c>
      <c r="B89" s="15">
        <f t="shared" si="3"/>
        <v>0.69085672176352197</v>
      </c>
      <c r="C89" s="15">
        <f>-(I_t/I_0-1)*c_TIPS+P_12*c_TIPS</f>
        <v>0.39270667988238966</v>
      </c>
      <c r="D89" s="15">
        <f>100*x_12</f>
        <v>1.0414365983540883</v>
      </c>
      <c r="E89" s="18">
        <f t="shared" si="5"/>
        <v>2.125</v>
      </c>
      <c r="F89" s="18">
        <f t="shared" si="4"/>
        <v>2.125</v>
      </c>
    </row>
    <row r="90" spans="1:6" x14ac:dyDescent="0.25">
      <c r="A90" s="12">
        <v>41289</v>
      </c>
      <c r="B90" s="15">
        <f t="shared" si="3"/>
        <v>0.69085672176352197</v>
      </c>
      <c r="C90" s="15">
        <f>-(I_t/I_0-1)*c_TIPS+P_13*c_TIPS</f>
        <v>0.40761490086019103</v>
      </c>
      <c r="D90" s="15">
        <f>100*x_13</f>
        <v>1.026528377376287</v>
      </c>
      <c r="E90" s="18">
        <f t="shared" si="5"/>
        <v>2.125</v>
      </c>
      <c r="F90" s="18">
        <f t="shared" si="4"/>
        <v>2.125</v>
      </c>
    </row>
    <row r="91" spans="1:6" x14ac:dyDescent="0.25">
      <c r="A91" s="12">
        <v>41470</v>
      </c>
      <c r="B91" s="15">
        <f t="shared" si="3"/>
        <v>0.69085672176352197</v>
      </c>
      <c r="C91" s="15">
        <f>-(I_t/I_0-1)*c_TIPS+P_14*c_TIPS</f>
        <v>0.42316077695314758</v>
      </c>
      <c r="D91" s="15">
        <f>100*x_14</f>
        <v>1.0109825012833304</v>
      </c>
      <c r="E91" s="18">
        <f t="shared" si="5"/>
        <v>2.125</v>
      </c>
      <c r="F91" s="18">
        <f t="shared" si="4"/>
        <v>2.125</v>
      </c>
    </row>
    <row r="92" spans="1:6" x14ac:dyDescent="0.25">
      <c r="A92" s="12">
        <v>41654</v>
      </c>
      <c r="B92" s="15">
        <f t="shared" si="3"/>
        <v>0.69085672176352197</v>
      </c>
      <c r="C92" s="15">
        <f>-(I_t/I_0-1)*c_TIPS+P_15*c_TIPS</f>
        <v>0.43902499171799503</v>
      </c>
      <c r="D92" s="15">
        <f>100*x_15</f>
        <v>0.99511828651848289</v>
      </c>
      <c r="E92" s="18">
        <f t="shared" si="5"/>
        <v>2.125</v>
      </c>
      <c r="F92" s="18">
        <f t="shared" si="4"/>
        <v>2.125</v>
      </c>
    </row>
    <row r="93" spans="1:6" x14ac:dyDescent="0.25">
      <c r="A93" s="12">
        <v>41835</v>
      </c>
      <c r="B93" s="15">
        <f t="shared" si="3"/>
        <v>0.69085672176352197</v>
      </c>
      <c r="C93" s="15">
        <f>-(I_t/I_0-1)*c_TIPS+P_16*c_TIPS</f>
        <v>0.45562963406944001</v>
      </c>
      <c r="D93" s="15">
        <f>100*x_16</f>
        <v>0.97851364416703812</v>
      </c>
      <c r="E93" s="18">
        <f t="shared" si="5"/>
        <v>2.125</v>
      </c>
      <c r="F93" s="18">
        <f t="shared" si="4"/>
        <v>2.125</v>
      </c>
    </row>
    <row r="94" spans="1:6" x14ac:dyDescent="0.25">
      <c r="A94" s="12">
        <v>42019</v>
      </c>
      <c r="B94" s="15">
        <f t="shared" si="3"/>
        <v>0.69085672176352197</v>
      </c>
      <c r="C94" s="15">
        <f>-(I_t/I_0-1)*c_TIPS+P_17*c_TIPS</f>
        <v>0.4716742569530773</v>
      </c>
      <c r="D94" s="15">
        <f>100*x_17</f>
        <v>0.96246902128340073</v>
      </c>
      <c r="E94" s="18">
        <f t="shared" si="5"/>
        <v>2.125</v>
      </c>
      <c r="F94" s="18">
        <f t="shared" si="4"/>
        <v>2.125</v>
      </c>
    </row>
    <row r="95" spans="1:6" ht="15.75" thickBot="1" x14ac:dyDescent="0.3">
      <c r="A95" s="13">
        <v>42200</v>
      </c>
      <c r="B95" s="16">
        <f>(100+c_TIPS)*I_t/I_0</f>
        <v>74.382240376539201</v>
      </c>
      <c r="C95" s="16">
        <f>-(I_t/I_0-1)*(c_TIPS+100)+P_18*(c_TIPS+100)</f>
        <v>52.569109627786801</v>
      </c>
      <c r="D95" s="16">
        <f>100*x_18</f>
        <v>-24.826350004325999</v>
      </c>
      <c r="E95" s="19">
        <f t="shared" si="5"/>
        <v>102.125</v>
      </c>
      <c r="F95" s="19">
        <f>100+c_TBond</f>
        <v>102.125</v>
      </c>
    </row>
    <row r="102" spans="1:7" x14ac:dyDescent="0.25">
      <c r="A102" t="s">
        <v>17</v>
      </c>
      <c r="B102" s="8">
        <f>B34+G59</f>
        <v>95.854089043294906</v>
      </c>
      <c r="C102" t="s">
        <v>36</v>
      </c>
      <c r="D102" s="8">
        <f>D34</f>
        <v>98.073369565217391</v>
      </c>
    </row>
    <row r="105" spans="1:7" ht="15.75" thickBot="1" x14ac:dyDescent="0.3"/>
    <row r="106" spans="1:7" ht="15.75" thickBot="1" x14ac:dyDescent="0.3">
      <c r="A106" s="10" t="s">
        <v>55</v>
      </c>
      <c r="B106" s="10" t="s">
        <v>38</v>
      </c>
      <c r="C106" s="10" t="s">
        <v>56</v>
      </c>
      <c r="E106" s="10" t="s">
        <v>58</v>
      </c>
      <c r="F106" s="10" t="s">
        <v>38</v>
      </c>
      <c r="G106" s="10" t="s">
        <v>57</v>
      </c>
    </row>
    <row r="107" spans="1:7" x14ac:dyDescent="0.25">
      <c r="A107" s="11">
        <f t="shared" ref="A107:A126" si="6">A39</f>
        <v>38732</v>
      </c>
      <c r="B107" s="14" t="s">
        <v>42</v>
      </c>
      <c r="C107" s="14">
        <v>0</v>
      </c>
      <c r="E107" s="11">
        <v>38763</v>
      </c>
      <c r="F107" s="14" t="s">
        <v>42</v>
      </c>
      <c r="G107" s="14">
        <v>0</v>
      </c>
    </row>
    <row r="108" spans="1:7" x14ac:dyDescent="0.25">
      <c r="A108" s="12">
        <f t="shared" si="6"/>
        <v>38913</v>
      </c>
      <c r="B108" s="15" t="s">
        <v>42</v>
      </c>
      <c r="C108" s="15">
        <v>0</v>
      </c>
      <c r="E108" s="12">
        <v>38944</v>
      </c>
      <c r="F108" s="15" t="s">
        <v>42</v>
      </c>
      <c r="G108" s="15">
        <v>0</v>
      </c>
    </row>
    <row r="109" spans="1:7" x14ac:dyDescent="0.25">
      <c r="A109" s="12">
        <f t="shared" si="6"/>
        <v>39097</v>
      </c>
      <c r="B109" s="15">
        <f>(A109-A2)/(A109-A108)</f>
        <v>0.55434782608695654</v>
      </c>
      <c r="C109" s="15">
        <f t="shared" ref="C109:C125" si="7">(100*$D$9/2)*(1+$B$136/2)^-B109</f>
        <v>2.0962681047346754</v>
      </c>
      <c r="E109" s="12">
        <v>39128</v>
      </c>
      <c r="F109" s="15">
        <f>(E109-A2)/(E109-E108)</f>
        <v>0.72282608695652173</v>
      </c>
      <c r="G109" s="15">
        <f t="shared" ref="G109:G125" si="8">100*$D$9/2*(1+$B$136/2)^(-F109)</f>
        <v>2.0876130804545756</v>
      </c>
    </row>
    <row r="110" spans="1:7" x14ac:dyDescent="0.25">
      <c r="A110" s="12">
        <f t="shared" si="6"/>
        <v>39278</v>
      </c>
      <c r="B110" s="15">
        <f t="shared" ref="B110:B126" si="9">B109+1</f>
        <v>1.5543478260869565</v>
      </c>
      <c r="C110" s="15">
        <f t="shared" si="7"/>
        <v>2.0454169357027405</v>
      </c>
      <c r="E110" s="12">
        <v>39309</v>
      </c>
      <c r="F110" s="15">
        <f t="shared" ref="F110:F126" si="10">F109+1</f>
        <v>1.7228260869565217</v>
      </c>
      <c r="G110" s="15">
        <f t="shared" si="8"/>
        <v>2.0369718645777981</v>
      </c>
    </row>
    <row r="111" spans="1:7" x14ac:dyDescent="0.25">
      <c r="A111" s="12">
        <f t="shared" si="6"/>
        <v>39462</v>
      </c>
      <c r="B111" s="15">
        <f t="shared" si="9"/>
        <v>2.5543478260869565</v>
      </c>
      <c r="C111" s="15">
        <f t="shared" si="7"/>
        <v>1.995799311839038</v>
      </c>
      <c r="E111" s="12">
        <v>39493</v>
      </c>
      <c r="F111" s="15">
        <f t="shared" si="10"/>
        <v>2.7228260869565215</v>
      </c>
      <c r="G111" s="15">
        <f t="shared" si="8"/>
        <v>1.987559100835895</v>
      </c>
    </row>
    <row r="112" spans="1:7" x14ac:dyDescent="0.25">
      <c r="A112" s="12">
        <f t="shared" si="6"/>
        <v>39644</v>
      </c>
      <c r="B112" s="15">
        <f t="shared" si="9"/>
        <v>3.5543478260869565</v>
      </c>
      <c r="C112" s="15">
        <f t="shared" si="7"/>
        <v>1.9473853098652822</v>
      </c>
      <c r="E112" s="12">
        <v>39675</v>
      </c>
      <c r="F112" s="15">
        <f t="shared" si="10"/>
        <v>3.7228260869565215</v>
      </c>
      <c r="G112" s="15">
        <f t="shared" si="8"/>
        <v>1.9393449894971364</v>
      </c>
    </row>
    <row r="113" spans="1:7" x14ac:dyDescent="0.25">
      <c r="A113" s="12">
        <f t="shared" si="6"/>
        <v>39828</v>
      </c>
      <c r="B113" s="15">
        <f t="shared" si="9"/>
        <v>4.554347826086957</v>
      </c>
      <c r="C113" s="15">
        <f t="shared" si="7"/>
        <v>1.9001457323806077</v>
      </c>
      <c r="E113" s="12">
        <v>39859</v>
      </c>
      <c r="F113" s="15">
        <f t="shared" si="10"/>
        <v>4.7228260869565215</v>
      </c>
      <c r="G113" s="15">
        <f t="shared" si="8"/>
        <v>1.8923004537102237</v>
      </c>
    </row>
    <row r="114" spans="1:7" x14ac:dyDescent="0.25">
      <c r="A114" s="12">
        <f t="shared" si="6"/>
        <v>40009</v>
      </c>
      <c r="B114" s="15">
        <f t="shared" si="9"/>
        <v>5.554347826086957</v>
      </c>
      <c r="C114" s="15">
        <f t="shared" si="7"/>
        <v>1.8540520902532684</v>
      </c>
      <c r="E114" s="12">
        <v>40040</v>
      </c>
      <c r="F114" s="15">
        <f t="shared" si="10"/>
        <v>5.7228260869565215</v>
      </c>
      <c r="G114" s="15">
        <f t="shared" si="8"/>
        <v>1.8463971219686934</v>
      </c>
    </row>
    <row r="115" spans="1:7" x14ac:dyDescent="0.25">
      <c r="A115" s="12">
        <f t="shared" si="6"/>
        <v>40193</v>
      </c>
      <c r="B115" s="15">
        <f t="shared" si="9"/>
        <v>6.554347826086957</v>
      </c>
      <c r="C115" s="15">
        <f t="shared" si="7"/>
        <v>1.8090765854394826</v>
      </c>
      <c r="E115" s="12">
        <v>40224</v>
      </c>
      <c r="F115" s="15">
        <f t="shared" si="10"/>
        <v>6.7228260869565215</v>
      </c>
      <c r="G115" s="15">
        <f t="shared" si="8"/>
        <v>1.8016073110006965</v>
      </c>
    </row>
    <row r="116" spans="1:7" x14ac:dyDescent="0.25">
      <c r="A116" s="12">
        <f t="shared" si="6"/>
        <v>40374</v>
      </c>
      <c r="B116" s="15">
        <f t="shared" si="9"/>
        <v>7.554347826086957</v>
      </c>
      <c r="C116" s="15">
        <f t="shared" si="7"/>
        <v>1.7651920942190515</v>
      </c>
      <c r="E116" s="12">
        <v>40405</v>
      </c>
      <c r="F116" s="15">
        <f t="shared" si="10"/>
        <v>7.7228260869565215</v>
      </c>
      <c r="G116" s="15">
        <f t="shared" si="8"/>
        <v>1.7579040090738367</v>
      </c>
    </row>
    <row r="117" spans="1:7" x14ac:dyDescent="0.25">
      <c r="A117" s="12">
        <f t="shared" si="6"/>
        <v>40558</v>
      </c>
      <c r="B117" s="15">
        <f t="shared" si="9"/>
        <v>8.554347826086957</v>
      </c>
      <c r="C117" s="15">
        <f t="shared" si="7"/>
        <v>1.7223721508376546</v>
      </c>
      <c r="E117" s="12">
        <v>40589</v>
      </c>
      <c r="F117" s="15">
        <f t="shared" si="10"/>
        <v>8.7228260869565215</v>
      </c>
      <c r="G117" s="15">
        <f t="shared" si="8"/>
        <v>1.7152608597049996</v>
      </c>
    </row>
    <row r="118" spans="1:7" x14ac:dyDescent="0.25">
      <c r="A118" s="12">
        <f t="shared" si="6"/>
        <v>40739</v>
      </c>
      <c r="B118" s="15">
        <f t="shared" si="9"/>
        <v>9.554347826086957</v>
      </c>
      <c r="C118" s="15">
        <f t="shared" si="7"/>
        <v>1.680590931545942</v>
      </c>
      <c r="E118" s="12">
        <v>40770</v>
      </c>
      <c r="F118" s="15">
        <f t="shared" si="10"/>
        <v>9.7228260869565215</v>
      </c>
      <c r="G118" s="15">
        <f t="shared" si="8"/>
        <v>1.6736521457653484</v>
      </c>
    </row>
    <row r="119" spans="1:7" x14ac:dyDescent="0.25">
      <c r="A119" s="12">
        <f t="shared" si="6"/>
        <v>40923</v>
      </c>
      <c r="B119" s="15">
        <f t="shared" si="9"/>
        <v>10.554347826086957</v>
      </c>
      <c r="C119" s="15">
        <f t="shared" si="7"/>
        <v>1.6398232390258118</v>
      </c>
      <c r="E119" s="12">
        <v>40954</v>
      </c>
      <c r="F119" s="15">
        <f t="shared" si="10"/>
        <v>10.722826086956522</v>
      </c>
      <c r="G119" s="15">
        <f t="shared" si="8"/>
        <v>1.6330527739708967</v>
      </c>
    </row>
    <row r="120" spans="1:7" x14ac:dyDescent="0.25">
      <c r="A120" s="12">
        <f t="shared" si="6"/>
        <v>41105</v>
      </c>
      <c r="B120" s="15">
        <f t="shared" si="9"/>
        <v>11.554347826086957</v>
      </c>
      <c r="C120" s="15">
        <f t="shared" si="7"/>
        <v>1.600044487194471</v>
      </c>
      <c r="E120" s="12">
        <v>41136</v>
      </c>
      <c r="F120" s="15">
        <f t="shared" si="10"/>
        <v>11.722826086956522</v>
      </c>
      <c r="G120" s="15">
        <f t="shared" si="8"/>
        <v>1.5934382597493133</v>
      </c>
    </row>
    <row r="121" spans="1:7" x14ac:dyDescent="0.25">
      <c r="A121" s="12">
        <f t="shared" si="6"/>
        <v>41289</v>
      </c>
      <c r="B121" s="15">
        <f t="shared" si="9"/>
        <v>12.554347826086957</v>
      </c>
      <c r="C121" s="15">
        <f t="shared" si="7"/>
        <v>1.5612306863771186</v>
      </c>
      <c r="E121" s="12">
        <v>41320</v>
      </c>
      <c r="F121" s="15">
        <f t="shared" si="10"/>
        <v>12.722826086956522</v>
      </c>
      <c r="G121" s="15">
        <f t="shared" si="8"/>
        <v>1.554784712473823</v>
      </c>
    </row>
    <row r="122" spans="1:7" x14ac:dyDescent="0.25">
      <c r="A122" s="12">
        <f t="shared" si="6"/>
        <v>41470</v>
      </c>
      <c r="B122" s="15">
        <f t="shared" si="9"/>
        <v>13.554347826086957</v>
      </c>
      <c r="C122" s="15">
        <f t="shared" si="7"/>
        <v>1.5233584288393094</v>
      </c>
      <c r="E122" s="12">
        <v>41501</v>
      </c>
      <c r="F122" s="15">
        <f t="shared" si="10"/>
        <v>13.722826086956522</v>
      </c>
      <c r="G122" s="15">
        <f t="shared" si="8"/>
        <v>1.5170688210553054</v>
      </c>
    </row>
    <row r="123" spans="1:7" x14ac:dyDescent="0.25">
      <c r="A123" s="12">
        <f t="shared" si="6"/>
        <v>41654</v>
      </c>
      <c r="B123" s="15">
        <f t="shared" si="9"/>
        <v>14.554347826086957</v>
      </c>
      <c r="C123" s="15">
        <f t="shared" si="7"/>
        <v>1.486404874670276</v>
      </c>
      <c r="E123" s="12">
        <v>41685</v>
      </c>
      <c r="F123" s="15">
        <f t="shared" si="10"/>
        <v>14.722826086956522</v>
      </c>
      <c r="G123" s="15">
        <f t="shared" si="8"/>
        <v>1.4802678398838991</v>
      </c>
    </row>
    <row r="124" spans="1:7" x14ac:dyDescent="0.25">
      <c r="A124" s="12">
        <f t="shared" si="6"/>
        <v>41835</v>
      </c>
      <c r="B124" s="15">
        <f t="shared" si="9"/>
        <v>15.554347826086957</v>
      </c>
      <c r="C124" s="15">
        <f t="shared" si="7"/>
        <v>1.4503477380086862</v>
      </c>
      <c r="E124" s="12">
        <v>41866</v>
      </c>
      <c r="F124" s="15">
        <f t="shared" si="10"/>
        <v>15.722826086956522</v>
      </c>
      <c r="G124" s="15">
        <f t="shared" si="8"/>
        <v>1.4443595751116312</v>
      </c>
    </row>
    <row r="125" spans="1:7" x14ac:dyDescent="0.25">
      <c r="A125" s="12">
        <f t="shared" si="6"/>
        <v>42019</v>
      </c>
      <c r="B125" s="15">
        <f t="shared" si="9"/>
        <v>16.554347826086957</v>
      </c>
      <c r="C125" s="15">
        <f t="shared" si="7"/>
        <v>1.415165273602542</v>
      </c>
      <c r="E125" s="12">
        <v>42050</v>
      </c>
      <c r="F125" s="15">
        <f t="shared" si="10"/>
        <v>16.722826086956523</v>
      </c>
      <c r="G125" s="15">
        <f t="shared" si="8"/>
        <v>1.4093223712678074</v>
      </c>
    </row>
    <row r="126" spans="1:7" ht="15.75" thickBot="1" x14ac:dyDescent="0.3">
      <c r="A126" s="13">
        <f t="shared" si="6"/>
        <v>42200</v>
      </c>
      <c r="B126" s="16">
        <f t="shared" si="9"/>
        <v>17.554347826086957</v>
      </c>
      <c r="C126" s="16">
        <f>(100*$D$9/2+100)*(1+$B$136/2)^-B126</f>
        <v>66.3613663199352</v>
      </c>
      <c r="E126" s="13">
        <v>42231</v>
      </c>
      <c r="F126" s="16">
        <f t="shared" si="10"/>
        <v>17.722826086956523</v>
      </c>
      <c r="G126" s="16">
        <f>(100*$D$9/2+100)*(1+$B$136/2)^(-F126)</f>
        <v>66.087375013449943</v>
      </c>
    </row>
    <row r="127" spans="1:7" ht="15.75" thickBot="1" x14ac:dyDescent="0.3">
      <c r="B127" s="21" t="s">
        <v>33</v>
      </c>
      <c r="C127" s="20">
        <f>SUM(C107:C126)</f>
        <v>95.854040294471162</v>
      </c>
      <c r="F127" s="10" t="s">
        <v>33</v>
      </c>
      <c r="G127" s="20">
        <f>SUM(G107:G126)</f>
        <v>95.458280303551817</v>
      </c>
    </row>
    <row r="128" spans="1:7" x14ac:dyDescent="0.25">
      <c r="B128" s="4"/>
    </row>
    <row r="129" spans="1:4" x14ac:dyDescent="0.25">
      <c r="B129" s="4"/>
    </row>
    <row r="130" spans="1:4" x14ac:dyDescent="0.25">
      <c r="B130" s="4"/>
    </row>
    <row r="131" spans="1:4" x14ac:dyDescent="0.25">
      <c r="B131" s="4"/>
    </row>
    <row r="132" spans="1:4" x14ac:dyDescent="0.25">
      <c r="B132" s="4"/>
    </row>
    <row r="133" spans="1:4" x14ac:dyDescent="0.25">
      <c r="B133" s="4"/>
    </row>
    <row r="134" spans="1:4" x14ac:dyDescent="0.25">
      <c r="B134" s="4"/>
    </row>
    <row r="135" spans="1:4" x14ac:dyDescent="0.25">
      <c r="B135" s="4"/>
    </row>
    <row r="136" spans="1:4" x14ac:dyDescent="0.25">
      <c r="A136" t="s">
        <v>32</v>
      </c>
      <c r="B136" s="6">
        <v>4.9722057292406002E-2</v>
      </c>
    </row>
    <row r="137" spans="1:4" x14ac:dyDescent="0.25">
      <c r="A137" s="4" t="s">
        <v>34</v>
      </c>
      <c r="B137" s="5">
        <f>B102-C127</f>
        <v>4.8748823743949288E-5</v>
      </c>
    </row>
    <row r="138" spans="1:4" ht="15.75" thickBot="1" x14ac:dyDescent="0.3"/>
    <row r="139" spans="1:4" ht="15.75" thickBot="1" x14ac:dyDescent="0.3">
      <c r="A139" s="22" t="s">
        <v>35</v>
      </c>
      <c r="B139" s="23">
        <f>G127</f>
        <v>95.458280303551817</v>
      </c>
      <c r="C139" s="22" t="s">
        <v>6</v>
      </c>
      <c r="D139" s="23">
        <f>D102</f>
        <v>98.073369565217391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10-05-06 Details</vt:lpstr>
      <vt:lpstr>c_TBond</vt:lpstr>
      <vt:lpstr>c_TIPS</vt:lpstr>
      <vt:lpstr>I_0</vt:lpstr>
      <vt:lpstr>I_initial</vt:lpstr>
      <vt:lpstr>I_t</vt:lpstr>
      <vt:lpstr>P_1</vt:lpstr>
      <vt:lpstr>P_10</vt:lpstr>
      <vt:lpstr>P_11</vt:lpstr>
      <vt:lpstr>P_12</vt:lpstr>
      <vt:lpstr>P_13</vt:lpstr>
      <vt:lpstr>P_14</vt:lpstr>
      <vt:lpstr>P_15</vt:lpstr>
      <vt:lpstr>P_16</vt:lpstr>
      <vt:lpstr>P_17</vt:lpstr>
      <vt:lpstr>P_18</vt:lpstr>
      <vt:lpstr>P_2</vt:lpstr>
      <vt:lpstr>P_3</vt:lpstr>
      <vt:lpstr>P_4</vt:lpstr>
      <vt:lpstr>P_5</vt:lpstr>
      <vt:lpstr>P_6</vt:lpstr>
      <vt:lpstr>P_7</vt:lpstr>
      <vt:lpstr>P_8</vt:lpstr>
      <vt:lpstr>P_9</vt:lpstr>
      <vt:lpstr>x_1</vt:lpstr>
      <vt:lpstr>x_10</vt:lpstr>
      <vt:lpstr>x_11</vt:lpstr>
      <vt:lpstr>x_12</vt:lpstr>
      <vt:lpstr>x_13</vt:lpstr>
      <vt:lpstr>x_14</vt:lpstr>
      <vt:lpstr>x_15</vt:lpstr>
      <vt:lpstr>x_16</vt:lpstr>
      <vt:lpstr>x_17</vt:lpstr>
      <vt:lpstr>x_18</vt:lpstr>
      <vt:lpstr>x_2</vt:lpstr>
      <vt:lpstr>x_3</vt:lpstr>
      <vt:lpstr>x_4</vt:lpstr>
      <vt:lpstr>x_5</vt:lpstr>
      <vt:lpstr>x_6</vt:lpstr>
      <vt:lpstr>x_7</vt:lpstr>
      <vt:lpstr>x_8</vt:lpstr>
      <vt:lpstr>x_9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mfleckenstein</dc:creator>
  <cp:lastModifiedBy>Matthias Fleckenstein</cp:lastModifiedBy>
  <cp:lastPrinted>2009-11-17T23:27:11Z</cp:lastPrinted>
  <dcterms:created xsi:type="dcterms:W3CDTF">2009-11-17T22:15:37Z</dcterms:created>
  <dcterms:modified xsi:type="dcterms:W3CDTF">2021-11-01T13:44:38Z</dcterms:modified>
</cp:coreProperties>
</file>