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3A071A63-9F12-394D-BCAD-8E1FF342C904}" xr6:coauthVersionLast="47" xr6:coauthVersionMax="47" xr10:uidLastSave="{00000000-0000-0000-0000-000000000000}"/>
  <bookViews>
    <workbookView xWindow="0" yWindow="760" windowWidth="30240" windowHeight="17640" firstSheet="88" activeTab="89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96" l="1"/>
  <c r="E21" i="35"/>
  <c r="E22" i="35"/>
  <c r="M22" i="35"/>
  <c r="M21" i="35"/>
  <c r="M20" i="35"/>
  <c r="L68" i="5"/>
  <c r="M68" i="5" s="1"/>
  <c r="L67" i="5"/>
  <c r="M67" i="5" s="1"/>
  <c r="M66" i="5"/>
  <c r="L66" i="5"/>
  <c r="M65" i="5"/>
  <c r="L65" i="5"/>
  <c r="L64" i="5"/>
  <c r="M64" i="5" s="1"/>
  <c r="M63" i="5"/>
  <c r="L63" i="5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E54" i="5"/>
  <c r="L53" i="5"/>
  <c r="M53" i="5" s="1"/>
  <c r="L52" i="5"/>
  <c r="M52" i="5" s="1"/>
  <c r="E52" i="5"/>
  <c r="L51" i="5"/>
  <c r="M51" i="5" s="1"/>
  <c r="L50" i="5"/>
  <c r="M50" i="5" s="1"/>
  <c r="E50" i="5"/>
  <c r="L49" i="5"/>
  <c r="M49" i="5" s="1"/>
  <c r="L48" i="5"/>
  <c r="M48" i="5" s="1"/>
  <c r="E48" i="5"/>
  <c r="L47" i="5"/>
  <c r="M47" i="5" s="1"/>
  <c r="L46" i="5"/>
  <c r="M46" i="5" s="1"/>
  <c r="E46" i="5"/>
  <c r="L45" i="5"/>
  <c r="M45" i="5" s="1"/>
  <c r="L68" i="9"/>
  <c r="M68" i="9" s="1"/>
  <c r="L67" i="9"/>
  <c r="M67" i="9" s="1"/>
  <c r="L66" i="9"/>
  <c r="M66" i="9" s="1"/>
  <c r="M65" i="9"/>
  <c r="L65" i="9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L54" i="9"/>
  <c r="M54" i="9" s="1"/>
  <c r="E54" i="9"/>
  <c r="L53" i="9"/>
  <c r="M53" i="9" s="1"/>
  <c r="L52" i="9"/>
  <c r="M52" i="9" s="1"/>
  <c r="E52" i="9"/>
  <c r="L51" i="9"/>
  <c r="M51" i="9" s="1"/>
  <c r="L50" i="9"/>
  <c r="M50" i="9" s="1"/>
  <c r="E50" i="9"/>
  <c r="L49" i="9"/>
  <c r="M49" i="9" s="1"/>
  <c r="L48" i="9"/>
  <c r="M48" i="9" s="1"/>
  <c r="E48" i="9"/>
  <c r="L47" i="9"/>
  <c r="M47" i="9" s="1"/>
  <c r="L46" i="9"/>
  <c r="M46" i="9" s="1"/>
  <c r="E46" i="9"/>
  <c r="L45" i="9"/>
  <c r="M45" i="9" s="1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46" i="4"/>
  <c r="L24" i="53"/>
  <c r="L105" i="34"/>
  <c r="M105" i="34" s="1"/>
  <c r="E105" i="34"/>
  <c r="L104" i="34"/>
  <c r="M104" i="34" s="1"/>
  <c r="E104" i="34"/>
  <c r="L103" i="34"/>
  <c r="M103" i="34" s="1"/>
  <c r="E103" i="34"/>
  <c r="L102" i="34"/>
  <c r="M102" i="34" s="1"/>
  <c r="L101" i="34"/>
  <c r="M101" i="34" s="1"/>
  <c r="E101" i="34"/>
  <c r="L100" i="34"/>
  <c r="M100" i="34" s="1"/>
  <c r="E100" i="34"/>
  <c r="L99" i="34"/>
  <c r="M99" i="34" s="1"/>
  <c r="E99" i="34"/>
  <c r="L98" i="34"/>
  <c r="M98" i="34" s="1"/>
  <c r="L97" i="34"/>
  <c r="M97" i="34" s="1"/>
  <c r="E97" i="34"/>
  <c r="L96" i="34"/>
  <c r="M96" i="34" s="1"/>
  <c r="E96" i="34"/>
  <c r="L95" i="34"/>
  <c r="M95" i="34" s="1"/>
  <c r="E95" i="34"/>
  <c r="L94" i="34"/>
  <c r="M94" i="34" s="1"/>
  <c r="L93" i="34"/>
  <c r="M93" i="34" s="1"/>
  <c r="E93" i="34"/>
  <c r="L92" i="34"/>
  <c r="M92" i="34" s="1"/>
  <c r="E92" i="34"/>
  <c r="L91" i="34"/>
  <c r="M91" i="34" s="1"/>
  <c r="E91" i="34"/>
  <c r="L90" i="34"/>
  <c r="M90" i="34" s="1"/>
  <c r="L89" i="34"/>
  <c r="M89" i="34" s="1"/>
  <c r="E89" i="34"/>
  <c r="L88" i="34"/>
  <c r="M88" i="34" s="1"/>
  <c r="E88" i="34"/>
  <c r="L87" i="34"/>
  <c r="M87" i="34" s="1"/>
  <c r="E87" i="34"/>
  <c r="L86" i="34"/>
  <c r="M86" i="34" s="1"/>
  <c r="L85" i="34"/>
  <c r="M85" i="34" s="1"/>
  <c r="E85" i="34"/>
  <c r="L84" i="34"/>
  <c r="M84" i="34" s="1"/>
  <c r="E84" i="34"/>
  <c r="L83" i="34"/>
  <c r="M83" i="34" s="1"/>
  <c r="E83" i="34"/>
  <c r="L82" i="34"/>
  <c r="M82" i="34" s="1"/>
  <c r="L81" i="34"/>
  <c r="M81" i="34" s="1"/>
  <c r="E81" i="34"/>
  <c r="L80" i="34"/>
  <c r="M80" i="34" s="1"/>
  <c r="E80" i="34"/>
  <c r="L79" i="34"/>
  <c r="M79" i="34" s="1"/>
  <c r="E79" i="34"/>
  <c r="L78" i="34"/>
  <c r="M78" i="34" s="1"/>
  <c r="L77" i="34"/>
  <c r="M77" i="34" s="1"/>
  <c r="E77" i="34"/>
  <c r="L76" i="34"/>
  <c r="M76" i="34" s="1"/>
  <c r="E76" i="34"/>
  <c r="L75" i="34"/>
  <c r="M75" i="34" s="1"/>
  <c r="E75" i="34"/>
  <c r="L74" i="34"/>
  <c r="M74" i="34" s="1"/>
  <c r="L73" i="34"/>
  <c r="M73" i="34" s="1"/>
  <c r="E73" i="34"/>
  <c r="L72" i="34"/>
  <c r="M72" i="34" s="1"/>
  <c r="E72" i="34"/>
  <c r="L71" i="34"/>
  <c r="M71" i="34" s="1"/>
  <c r="E71" i="34"/>
  <c r="L70" i="34"/>
  <c r="M70" i="34" s="1"/>
  <c r="L69" i="34"/>
  <c r="M69" i="34" s="1"/>
  <c r="E69" i="34"/>
  <c r="L68" i="34"/>
  <c r="M68" i="34" s="1"/>
  <c r="E68" i="34"/>
  <c r="L67" i="34"/>
  <c r="M67" i="34" s="1"/>
  <c r="E67" i="34"/>
  <c r="L66" i="34"/>
  <c r="M66" i="34" s="1"/>
  <c r="L65" i="34"/>
  <c r="M65" i="34" s="1"/>
  <c r="E65" i="34"/>
  <c r="L64" i="34"/>
  <c r="M64" i="34" s="1"/>
  <c r="E64" i="34"/>
  <c r="L63" i="34"/>
  <c r="M63" i="34" s="1"/>
  <c r="E63" i="34"/>
  <c r="M62" i="34"/>
  <c r="L62" i="34"/>
  <c r="L61" i="34"/>
  <c r="M61" i="34" s="1"/>
  <c r="E61" i="34"/>
  <c r="L60" i="34"/>
  <c r="M60" i="34" s="1"/>
  <c r="E60" i="34"/>
  <c r="L59" i="34"/>
  <c r="M59" i="34" s="1"/>
  <c r="E59" i="34"/>
  <c r="L58" i="34"/>
  <c r="M58" i="34" s="1"/>
  <c r="L105" i="15"/>
  <c r="M105" i="15" s="1"/>
  <c r="E105" i="15"/>
  <c r="L104" i="15"/>
  <c r="M104" i="15" s="1"/>
  <c r="E104" i="15"/>
  <c r="L103" i="15"/>
  <c r="M103" i="15" s="1"/>
  <c r="E103" i="15"/>
  <c r="L102" i="15"/>
  <c r="M102" i="15" s="1"/>
  <c r="L101" i="15"/>
  <c r="M101" i="15" s="1"/>
  <c r="E101" i="15"/>
  <c r="L100" i="15"/>
  <c r="M100" i="15" s="1"/>
  <c r="E100" i="15"/>
  <c r="L99" i="15"/>
  <c r="M99" i="15" s="1"/>
  <c r="E99" i="15"/>
  <c r="L98" i="15"/>
  <c r="M98" i="15" s="1"/>
  <c r="L97" i="15"/>
  <c r="M97" i="15" s="1"/>
  <c r="E97" i="15"/>
  <c r="L96" i="15"/>
  <c r="M96" i="15" s="1"/>
  <c r="E96" i="15"/>
  <c r="L95" i="15"/>
  <c r="M95" i="15" s="1"/>
  <c r="E95" i="15"/>
  <c r="L94" i="15"/>
  <c r="M94" i="15" s="1"/>
  <c r="L93" i="15"/>
  <c r="M93" i="15" s="1"/>
  <c r="E93" i="15"/>
  <c r="L92" i="15"/>
  <c r="M92" i="15" s="1"/>
  <c r="E92" i="15"/>
  <c r="L91" i="15"/>
  <c r="M91" i="15" s="1"/>
  <c r="E91" i="15"/>
  <c r="L90" i="15"/>
  <c r="M90" i="15" s="1"/>
  <c r="L89" i="15"/>
  <c r="M89" i="15" s="1"/>
  <c r="E89" i="15"/>
  <c r="L88" i="15"/>
  <c r="M88" i="15" s="1"/>
  <c r="E88" i="15"/>
  <c r="L87" i="15"/>
  <c r="M87" i="15" s="1"/>
  <c r="E87" i="15"/>
  <c r="L86" i="15"/>
  <c r="M86" i="15" s="1"/>
  <c r="L85" i="15"/>
  <c r="M85" i="15" s="1"/>
  <c r="E85" i="15"/>
  <c r="L84" i="15"/>
  <c r="M84" i="15" s="1"/>
  <c r="E84" i="15"/>
  <c r="L83" i="15"/>
  <c r="M83" i="15" s="1"/>
  <c r="E83" i="15"/>
  <c r="L82" i="15"/>
  <c r="M82" i="15" s="1"/>
  <c r="L81" i="15"/>
  <c r="M81" i="15" s="1"/>
  <c r="E81" i="15"/>
  <c r="L80" i="15"/>
  <c r="M80" i="15" s="1"/>
  <c r="E80" i="15"/>
  <c r="L79" i="15"/>
  <c r="M79" i="15" s="1"/>
  <c r="E79" i="15"/>
  <c r="L78" i="15"/>
  <c r="M78" i="15" s="1"/>
  <c r="L77" i="15"/>
  <c r="M77" i="15" s="1"/>
  <c r="E77" i="15"/>
  <c r="L76" i="15"/>
  <c r="M76" i="15" s="1"/>
  <c r="E76" i="15"/>
  <c r="L75" i="15"/>
  <c r="M75" i="15" s="1"/>
  <c r="E75" i="15"/>
  <c r="L74" i="15"/>
  <c r="M74" i="15" s="1"/>
  <c r="L73" i="15"/>
  <c r="M73" i="15" s="1"/>
  <c r="E73" i="15"/>
  <c r="L72" i="15"/>
  <c r="M72" i="15" s="1"/>
  <c r="E72" i="15"/>
  <c r="L71" i="15"/>
  <c r="M71" i="15" s="1"/>
  <c r="E71" i="15"/>
  <c r="L70" i="15"/>
  <c r="M70" i="15" s="1"/>
  <c r="L69" i="15"/>
  <c r="M69" i="15" s="1"/>
  <c r="E69" i="15"/>
  <c r="L68" i="15"/>
  <c r="M68" i="15" s="1"/>
  <c r="E68" i="15"/>
  <c r="L67" i="15"/>
  <c r="M67" i="15" s="1"/>
  <c r="E67" i="15"/>
  <c r="L66" i="15"/>
  <c r="M66" i="15" s="1"/>
  <c r="L65" i="15"/>
  <c r="M65" i="15" s="1"/>
  <c r="E65" i="15"/>
  <c r="L64" i="15"/>
  <c r="M64" i="15" s="1"/>
  <c r="E64" i="15"/>
  <c r="L63" i="15"/>
  <c r="M63" i="15" s="1"/>
  <c r="E63" i="15"/>
  <c r="L62" i="15"/>
  <c r="M62" i="15" s="1"/>
  <c r="L61" i="15"/>
  <c r="M61" i="15" s="1"/>
  <c r="E61" i="15"/>
  <c r="L60" i="15"/>
  <c r="M60" i="15" s="1"/>
  <c r="E60" i="15"/>
  <c r="L59" i="15"/>
  <c r="M59" i="15" s="1"/>
  <c r="E59" i="15"/>
  <c r="L58" i="15"/>
  <c r="M58" i="15" s="1"/>
  <c r="L105" i="17"/>
  <c r="M105" i="17" s="1"/>
  <c r="E105" i="17"/>
  <c r="L104" i="17"/>
  <c r="M104" i="17" s="1"/>
  <c r="E104" i="17"/>
  <c r="L103" i="17"/>
  <c r="M103" i="17" s="1"/>
  <c r="E103" i="17"/>
  <c r="M102" i="17"/>
  <c r="L102" i="17"/>
  <c r="L101" i="17"/>
  <c r="M101" i="17" s="1"/>
  <c r="E101" i="17"/>
  <c r="L100" i="17"/>
  <c r="M100" i="17" s="1"/>
  <c r="E100" i="17"/>
  <c r="L99" i="17"/>
  <c r="M99" i="17" s="1"/>
  <c r="E99" i="17"/>
  <c r="L98" i="17"/>
  <c r="M98" i="17" s="1"/>
  <c r="L97" i="17"/>
  <c r="M97" i="17" s="1"/>
  <c r="E97" i="17"/>
  <c r="L96" i="17"/>
  <c r="M96" i="17" s="1"/>
  <c r="E96" i="17"/>
  <c r="L95" i="17"/>
  <c r="M95" i="17" s="1"/>
  <c r="E95" i="17"/>
  <c r="L94" i="17"/>
  <c r="M94" i="17" s="1"/>
  <c r="L93" i="17"/>
  <c r="M93" i="17" s="1"/>
  <c r="E93" i="17"/>
  <c r="L92" i="17"/>
  <c r="M92" i="17" s="1"/>
  <c r="E92" i="17"/>
  <c r="L91" i="17"/>
  <c r="M91" i="17" s="1"/>
  <c r="E91" i="17"/>
  <c r="L90" i="17"/>
  <c r="M90" i="17" s="1"/>
  <c r="L89" i="17"/>
  <c r="M89" i="17" s="1"/>
  <c r="E89" i="17"/>
  <c r="L88" i="17"/>
  <c r="M88" i="17" s="1"/>
  <c r="E88" i="17"/>
  <c r="L87" i="17"/>
  <c r="M87" i="17" s="1"/>
  <c r="E87" i="17"/>
  <c r="L86" i="17"/>
  <c r="M86" i="17" s="1"/>
  <c r="L85" i="17"/>
  <c r="M85" i="17" s="1"/>
  <c r="E85" i="17"/>
  <c r="L84" i="17"/>
  <c r="M84" i="17" s="1"/>
  <c r="E84" i="17"/>
  <c r="L83" i="17"/>
  <c r="M83" i="17" s="1"/>
  <c r="E83" i="17"/>
  <c r="L82" i="17"/>
  <c r="M82" i="17" s="1"/>
  <c r="L81" i="17"/>
  <c r="M81" i="17" s="1"/>
  <c r="E81" i="17"/>
  <c r="L80" i="17"/>
  <c r="M80" i="17" s="1"/>
  <c r="E80" i="17"/>
  <c r="L79" i="17"/>
  <c r="M79" i="17" s="1"/>
  <c r="E79" i="17"/>
  <c r="L78" i="17"/>
  <c r="M78" i="17" s="1"/>
  <c r="L77" i="17"/>
  <c r="M77" i="17" s="1"/>
  <c r="E77" i="17"/>
  <c r="L76" i="17"/>
  <c r="M76" i="17" s="1"/>
  <c r="E76" i="17"/>
  <c r="L75" i="17"/>
  <c r="M75" i="17" s="1"/>
  <c r="E75" i="17"/>
  <c r="L74" i="17"/>
  <c r="M74" i="17" s="1"/>
  <c r="L73" i="17"/>
  <c r="M73" i="17" s="1"/>
  <c r="E73" i="17"/>
  <c r="L72" i="17"/>
  <c r="M72" i="17" s="1"/>
  <c r="E72" i="17"/>
  <c r="L71" i="17"/>
  <c r="M71" i="17" s="1"/>
  <c r="E71" i="17"/>
  <c r="L70" i="17"/>
  <c r="M70" i="17" s="1"/>
  <c r="L69" i="17"/>
  <c r="M69" i="17" s="1"/>
  <c r="E69" i="17"/>
  <c r="L68" i="17"/>
  <c r="M68" i="17" s="1"/>
  <c r="E68" i="17"/>
  <c r="L67" i="17"/>
  <c r="M67" i="17" s="1"/>
  <c r="E67" i="17"/>
  <c r="L66" i="17"/>
  <c r="M66" i="17" s="1"/>
  <c r="L65" i="17"/>
  <c r="M65" i="17" s="1"/>
  <c r="E65" i="17"/>
  <c r="L64" i="17"/>
  <c r="M64" i="17" s="1"/>
  <c r="E64" i="17"/>
  <c r="L63" i="17"/>
  <c r="M63" i="17" s="1"/>
  <c r="E63" i="17"/>
  <c r="L62" i="17"/>
  <c r="M62" i="17" s="1"/>
  <c r="L61" i="17"/>
  <c r="M61" i="17" s="1"/>
  <c r="E61" i="17"/>
  <c r="L60" i="17"/>
  <c r="M60" i="17" s="1"/>
  <c r="E60" i="17"/>
  <c r="L59" i="17"/>
  <c r="M59" i="17" s="1"/>
  <c r="E59" i="17"/>
  <c r="L58" i="17"/>
  <c r="M58" i="17" s="1"/>
  <c r="L65" i="25"/>
  <c r="L64" i="25"/>
  <c r="M64" i="25" s="1"/>
  <c r="L63" i="25"/>
  <c r="L62" i="25"/>
  <c r="M62" i="25" s="1"/>
  <c r="L61" i="25"/>
  <c r="L60" i="25"/>
  <c r="L59" i="25"/>
  <c r="L58" i="25"/>
  <c r="L69" i="25"/>
  <c r="M69" i="25" s="1"/>
  <c r="L68" i="25"/>
  <c r="M68" i="25" s="1"/>
  <c r="L67" i="25"/>
  <c r="M67" i="25" s="1"/>
  <c r="L66" i="25"/>
  <c r="M66" i="25" s="1"/>
  <c r="L73" i="25"/>
  <c r="M73" i="25" s="1"/>
  <c r="L72" i="25"/>
  <c r="M72" i="25" s="1"/>
  <c r="L71" i="25"/>
  <c r="L70" i="25"/>
  <c r="L77" i="25"/>
  <c r="M77" i="25" s="1"/>
  <c r="L76" i="25"/>
  <c r="L75" i="25"/>
  <c r="M75" i="25" s="1"/>
  <c r="L74" i="25"/>
  <c r="L89" i="25"/>
  <c r="L88" i="25"/>
  <c r="L87" i="25"/>
  <c r="M87" i="25" s="1"/>
  <c r="L86" i="25"/>
  <c r="L85" i="25"/>
  <c r="M85" i="25" s="1"/>
  <c r="L84" i="25"/>
  <c r="L83" i="25"/>
  <c r="L82" i="25"/>
  <c r="L101" i="25"/>
  <c r="L100" i="25"/>
  <c r="M100" i="25" s="1"/>
  <c r="L99" i="25"/>
  <c r="M99" i="25" s="1"/>
  <c r="L98" i="25"/>
  <c r="M98" i="25" s="1"/>
  <c r="L81" i="25"/>
  <c r="M81" i="25" s="1"/>
  <c r="L80" i="25"/>
  <c r="M80" i="25" s="1"/>
  <c r="L79" i="25"/>
  <c r="M79" i="25" s="1"/>
  <c r="L78" i="25"/>
  <c r="M78" i="25" s="1"/>
  <c r="L92" i="25"/>
  <c r="M92" i="25" s="1"/>
  <c r="L91" i="25"/>
  <c r="M91" i="25" s="1"/>
  <c r="L90" i="25"/>
  <c r="M90" i="25" s="1"/>
  <c r="L93" i="25"/>
  <c r="M93" i="25" s="1"/>
  <c r="L103" i="25"/>
  <c r="L102" i="25"/>
  <c r="M102" i="25" s="1"/>
  <c r="L104" i="25"/>
  <c r="L105" i="25"/>
  <c r="M105" i="25" s="1"/>
  <c r="L97" i="25"/>
  <c r="L96" i="25"/>
  <c r="L95" i="25"/>
  <c r="L94" i="25"/>
  <c r="M94" i="25"/>
  <c r="E105" i="25"/>
  <c r="M104" i="25"/>
  <c r="E104" i="25"/>
  <c r="M103" i="25"/>
  <c r="E103" i="25"/>
  <c r="M101" i="25"/>
  <c r="E101" i="25"/>
  <c r="E100" i="25"/>
  <c r="E99" i="25"/>
  <c r="M97" i="25"/>
  <c r="E97" i="25"/>
  <c r="M96" i="25"/>
  <c r="E96" i="25"/>
  <c r="M95" i="25"/>
  <c r="E95" i="25"/>
  <c r="E93" i="25"/>
  <c r="E92" i="25"/>
  <c r="E91" i="25"/>
  <c r="M89" i="25"/>
  <c r="E89" i="25"/>
  <c r="M88" i="25"/>
  <c r="E88" i="25"/>
  <c r="E87" i="25"/>
  <c r="M86" i="25"/>
  <c r="E85" i="25"/>
  <c r="M84" i="25"/>
  <c r="E84" i="25"/>
  <c r="M83" i="25"/>
  <c r="E83" i="25"/>
  <c r="M82" i="25"/>
  <c r="E81" i="25"/>
  <c r="E80" i="25"/>
  <c r="E79" i="25"/>
  <c r="E77" i="25"/>
  <c r="M76" i="25"/>
  <c r="E76" i="25"/>
  <c r="E75" i="25"/>
  <c r="M74" i="25"/>
  <c r="E73" i="25"/>
  <c r="E72" i="25"/>
  <c r="M71" i="25"/>
  <c r="E71" i="25"/>
  <c r="M70" i="25"/>
  <c r="E69" i="25"/>
  <c r="E68" i="25"/>
  <c r="E67" i="25"/>
  <c r="M65" i="25"/>
  <c r="E65" i="25"/>
  <c r="E64" i="25"/>
  <c r="M63" i="25"/>
  <c r="E63" i="25"/>
  <c r="L25" i="54" l="1"/>
  <c r="M25" i="54" s="1"/>
  <c r="L24" i="54"/>
  <c r="M24" i="54" s="1"/>
  <c r="L25" i="55"/>
  <c r="M25" i="55" s="1"/>
  <c r="L24" i="55"/>
  <c r="M24" i="55" s="1"/>
  <c r="L24" i="56"/>
  <c r="L14" i="73"/>
  <c r="L13" i="73"/>
  <c r="M13" i="73" s="1"/>
  <c r="M16" i="73"/>
  <c r="M15" i="73"/>
  <c r="L15" i="73"/>
  <c r="L16" i="73"/>
  <c r="M14" i="73"/>
  <c r="L12" i="73"/>
  <c r="L23" i="77"/>
  <c r="M23" i="77" s="1"/>
  <c r="L22" i="77"/>
  <c r="L21" i="77"/>
  <c r="M21" i="77" s="1"/>
  <c r="L20" i="77"/>
  <c r="L19" i="77"/>
  <c r="L23" i="76" l="1"/>
  <c r="L24" i="76"/>
  <c r="L25" i="76"/>
  <c r="M31" i="76"/>
  <c r="M30" i="76"/>
  <c r="M29" i="76"/>
  <c r="M28" i="76"/>
  <c r="M27" i="76"/>
  <c r="L26" i="76"/>
  <c r="L27" i="76"/>
  <c r="L28" i="76"/>
  <c r="L29" i="76"/>
  <c r="L31" i="76"/>
  <c r="L30" i="76"/>
  <c r="L22" i="76"/>
  <c r="M22" i="76" s="1"/>
  <c r="M23" i="76"/>
  <c r="M26" i="76"/>
  <c r="M25" i="76"/>
  <c r="M24" i="76"/>
  <c r="L21" i="76"/>
  <c r="L14" i="83"/>
  <c r="L46" i="89"/>
  <c r="M53" i="82"/>
  <c r="L53" i="82"/>
  <c r="L52" i="82"/>
  <c r="M52" i="82" s="1"/>
  <c r="M51" i="82"/>
  <c r="L51" i="82"/>
  <c r="D51" i="82"/>
  <c r="D52" i="82" s="1"/>
  <c r="M50" i="82"/>
  <c r="L50" i="82"/>
  <c r="L49" i="82"/>
  <c r="M49" i="82" s="1"/>
  <c r="M48" i="82"/>
  <c r="L48" i="82"/>
  <c r="L47" i="82"/>
  <c r="M47" i="82" s="1"/>
  <c r="E47" i="82"/>
  <c r="D47" i="82"/>
  <c r="D48" i="82" s="1"/>
  <c r="L46" i="82"/>
  <c r="M46" i="82" s="1"/>
  <c r="L45" i="82"/>
  <c r="M45" i="82" s="1"/>
  <c r="M44" i="82"/>
  <c r="L44" i="82"/>
  <c r="M43" i="82"/>
  <c r="L43" i="82"/>
  <c r="D43" i="82"/>
  <c r="E43" i="82" s="1"/>
  <c r="L42" i="82"/>
  <c r="M42" i="82" s="1"/>
  <c r="M41" i="82"/>
  <c r="L41" i="82"/>
  <c r="L40" i="82"/>
  <c r="M40" i="82" s="1"/>
  <c r="L39" i="82"/>
  <c r="M39" i="82" s="1"/>
  <c r="D39" i="82"/>
  <c r="D40" i="82" s="1"/>
  <c r="M38" i="82"/>
  <c r="L38" i="82"/>
  <c r="M37" i="82"/>
  <c r="L37" i="82"/>
  <c r="M36" i="82"/>
  <c r="L36" i="82"/>
  <c r="D36" i="82"/>
  <c r="E36" i="82" s="1"/>
  <c r="L35" i="82"/>
  <c r="M35" i="82" s="1"/>
  <c r="E35" i="82"/>
  <c r="D35" i="82"/>
  <c r="M34" i="82"/>
  <c r="L34" i="82"/>
  <c r="L33" i="82"/>
  <c r="M33" i="82" s="1"/>
  <c r="L32" i="82"/>
  <c r="M32" i="82" s="1"/>
  <c r="D32" i="82"/>
  <c r="D33" i="82" s="1"/>
  <c r="E33" i="82" s="1"/>
  <c r="M31" i="82"/>
  <c r="L31" i="82"/>
  <c r="E31" i="82"/>
  <c r="D31" i="82"/>
  <c r="L30" i="82"/>
  <c r="M30" i="82" s="1"/>
  <c r="M29" i="82"/>
  <c r="L29" i="82"/>
  <c r="L28" i="82"/>
  <c r="M28" i="82" s="1"/>
  <c r="M27" i="82"/>
  <c r="L27" i="82"/>
  <c r="D27" i="82"/>
  <c r="D28" i="82" s="1"/>
  <c r="M26" i="82"/>
  <c r="L26" i="82"/>
  <c r="L25" i="82"/>
  <c r="M25" i="82" s="1"/>
  <c r="M24" i="82"/>
  <c r="L24" i="82"/>
  <c r="L23" i="82"/>
  <c r="M23" i="82" s="1"/>
  <c r="E23" i="82"/>
  <c r="D23" i="82"/>
  <c r="D24" i="82" s="1"/>
  <c r="L22" i="82"/>
  <c r="M22" i="82" s="1"/>
  <c r="L21" i="82"/>
  <c r="M21" i="82" s="1"/>
  <c r="M20" i="82"/>
  <c r="L20" i="82"/>
  <c r="M19" i="82"/>
  <c r="L19" i="82"/>
  <c r="D19" i="82"/>
  <c r="E19" i="82" s="1"/>
  <c r="L18" i="82"/>
  <c r="M18" i="82" s="1"/>
  <c r="M17" i="82"/>
  <c r="L17" i="82"/>
  <c r="L16" i="82"/>
  <c r="M16" i="82" s="1"/>
  <c r="L15" i="82"/>
  <c r="M15" i="82" s="1"/>
  <c r="D15" i="82"/>
  <c r="D16" i="82" s="1"/>
  <c r="M14" i="82"/>
  <c r="L14" i="82"/>
  <c r="M13" i="82"/>
  <c r="L13" i="82"/>
  <c r="M12" i="82"/>
  <c r="L12" i="82"/>
  <c r="D12" i="82"/>
  <c r="E12" i="82" s="1"/>
  <c r="L11" i="82"/>
  <c r="M11" i="82" s="1"/>
  <c r="E11" i="82"/>
  <c r="D11" i="82"/>
  <c r="M10" i="82"/>
  <c r="L10" i="82"/>
  <c r="L9" i="82"/>
  <c r="M9" i="82" s="1"/>
  <c r="L8" i="82"/>
  <c r="M8" i="82" s="1"/>
  <c r="D8" i="82"/>
  <c r="D9" i="82" s="1"/>
  <c r="E9" i="82" s="1"/>
  <c r="M7" i="82"/>
  <c r="L7" i="82"/>
  <c r="E7" i="82"/>
  <c r="D7" i="82"/>
  <c r="L6" i="82"/>
  <c r="M6" i="82" s="1"/>
  <c r="L53" i="81"/>
  <c r="M53" i="81" s="1"/>
  <c r="M52" i="81"/>
  <c r="L52" i="81"/>
  <c r="L51" i="81"/>
  <c r="M51" i="81" s="1"/>
  <c r="D51" i="81"/>
  <c r="E51" i="81" s="1"/>
  <c r="L50" i="81"/>
  <c r="M50" i="81" s="1"/>
  <c r="M49" i="81"/>
  <c r="L49" i="81"/>
  <c r="L48" i="81"/>
  <c r="M48" i="81" s="1"/>
  <c r="D48" i="81"/>
  <c r="D49" i="81" s="1"/>
  <c r="E49" i="81" s="1"/>
  <c r="L47" i="81"/>
  <c r="M47" i="81" s="1"/>
  <c r="D47" i="81"/>
  <c r="E47" i="81" s="1"/>
  <c r="M46" i="81"/>
  <c r="L46" i="81"/>
  <c r="M45" i="81"/>
  <c r="L45" i="81"/>
  <c r="L44" i="81"/>
  <c r="M44" i="81" s="1"/>
  <c r="D44" i="81"/>
  <c r="E44" i="81" s="1"/>
  <c r="L43" i="81"/>
  <c r="M43" i="81" s="1"/>
  <c r="E43" i="81"/>
  <c r="D43" i="81"/>
  <c r="M42" i="81"/>
  <c r="L42" i="81"/>
  <c r="L41" i="81"/>
  <c r="M41" i="81" s="1"/>
  <c r="D41" i="81"/>
  <c r="E41" i="81" s="1"/>
  <c r="L40" i="81"/>
  <c r="M40" i="81" s="1"/>
  <c r="D40" i="81"/>
  <c r="E40" i="81" s="1"/>
  <c r="M39" i="81"/>
  <c r="L39" i="81"/>
  <c r="E39" i="81"/>
  <c r="D39" i="81"/>
  <c r="L38" i="81"/>
  <c r="M38" i="81" s="1"/>
  <c r="L37" i="81"/>
  <c r="M37" i="81" s="1"/>
  <c r="L36" i="81"/>
  <c r="M36" i="81" s="1"/>
  <c r="M35" i="81"/>
  <c r="L35" i="81"/>
  <c r="D35" i="81"/>
  <c r="D36" i="81" s="1"/>
  <c r="L34" i="81"/>
  <c r="M34" i="81" s="1"/>
  <c r="L33" i="81"/>
  <c r="M33" i="81" s="1"/>
  <c r="M32" i="81"/>
  <c r="L32" i="81"/>
  <c r="L31" i="81"/>
  <c r="M31" i="81" s="1"/>
  <c r="D31" i="81"/>
  <c r="D32" i="81" s="1"/>
  <c r="L30" i="81"/>
  <c r="M30" i="81" s="1"/>
  <c r="L29" i="81"/>
  <c r="M29" i="81" s="1"/>
  <c r="M28" i="81"/>
  <c r="L28" i="81"/>
  <c r="L27" i="81"/>
  <c r="M27" i="81" s="1"/>
  <c r="D27" i="81"/>
  <c r="E27" i="81" s="1"/>
  <c r="L26" i="81"/>
  <c r="M26" i="81" s="1"/>
  <c r="M25" i="81"/>
  <c r="L25" i="81"/>
  <c r="L24" i="81"/>
  <c r="M24" i="81" s="1"/>
  <c r="L23" i="81"/>
  <c r="M23" i="81" s="1"/>
  <c r="D23" i="81"/>
  <c r="E23" i="81" s="1"/>
  <c r="M22" i="81"/>
  <c r="L22" i="81"/>
  <c r="M21" i="81"/>
  <c r="L21" i="81"/>
  <c r="L20" i="81"/>
  <c r="M20" i="81" s="1"/>
  <c r="D20" i="81"/>
  <c r="D21" i="81" s="1"/>
  <c r="E21" i="81" s="1"/>
  <c r="L19" i="81"/>
  <c r="M19" i="81" s="1"/>
  <c r="E19" i="81"/>
  <c r="D19" i="81"/>
  <c r="M18" i="81"/>
  <c r="L18" i="81"/>
  <c r="L17" i="81"/>
  <c r="M17" i="81" s="1"/>
  <c r="L16" i="81"/>
  <c r="M16" i="81" s="1"/>
  <c r="D16" i="81"/>
  <c r="E16" i="81" s="1"/>
  <c r="M15" i="81"/>
  <c r="L15" i="81"/>
  <c r="E15" i="81"/>
  <c r="D15" i="81"/>
  <c r="L14" i="81"/>
  <c r="M14" i="81" s="1"/>
  <c r="L13" i="81"/>
  <c r="M13" i="81" s="1"/>
  <c r="L12" i="81"/>
  <c r="M12" i="81" s="1"/>
  <c r="M11" i="81"/>
  <c r="L11" i="81"/>
  <c r="D11" i="81"/>
  <c r="D12" i="81" s="1"/>
  <c r="L10" i="81"/>
  <c r="M10" i="81" s="1"/>
  <c r="L9" i="81"/>
  <c r="M9" i="81" s="1"/>
  <c r="M8" i="81"/>
  <c r="L8" i="81"/>
  <c r="L7" i="81"/>
  <c r="M7" i="81" s="1"/>
  <c r="D7" i="81"/>
  <c r="D8" i="81" s="1"/>
  <c r="L6" i="81"/>
  <c r="M6" i="81" s="1"/>
  <c r="L26" i="80"/>
  <c r="L25" i="80"/>
  <c r="L24" i="80"/>
  <c r="L23" i="80"/>
  <c r="M23" i="80" s="1"/>
  <c r="L32" i="80"/>
  <c r="L31" i="80"/>
  <c r="L33" i="80"/>
  <c r="L34" i="80"/>
  <c r="L30" i="80"/>
  <c r="L29" i="80"/>
  <c r="L28" i="80"/>
  <c r="L27" i="80"/>
  <c r="L35" i="80"/>
  <c r="L36" i="80"/>
  <c r="L37" i="80"/>
  <c r="L38" i="80"/>
  <c r="M38" i="80" s="1"/>
  <c r="L39" i="80"/>
  <c r="L40" i="80"/>
  <c r="L41" i="80"/>
  <c r="L42" i="80"/>
  <c r="L49" i="80"/>
  <c r="L47" i="80"/>
  <c r="M47" i="80" s="1"/>
  <c r="L48" i="80"/>
  <c r="L50" i="80"/>
  <c r="L43" i="80"/>
  <c r="L44" i="80"/>
  <c r="M44" i="80" s="1"/>
  <c r="L45" i="80"/>
  <c r="L46" i="80"/>
  <c r="L54" i="80"/>
  <c r="L53" i="80"/>
  <c r="L55" i="80"/>
  <c r="L51" i="80"/>
  <c r="L52" i="80"/>
  <c r="L56" i="80"/>
  <c r="L57" i="80"/>
  <c r="L58" i="80"/>
  <c r="M58" i="80" s="1"/>
  <c r="L66" i="80"/>
  <c r="L65" i="80"/>
  <c r="L64" i="80"/>
  <c r="L63" i="80"/>
  <c r="L59" i="80"/>
  <c r="L60" i="80"/>
  <c r="L61" i="80"/>
  <c r="L62" i="80"/>
  <c r="L70" i="80"/>
  <c r="L69" i="80"/>
  <c r="L68" i="80"/>
  <c r="L67" i="80"/>
  <c r="M70" i="80"/>
  <c r="M69" i="80"/>
  <c r="M68" i="80"/>
  <c r="M67" i="80"/>
  <c r="M66" i="80"/>
  <c r="M65" i="80"/>
  <c r="M64" i="80"/>
  <c r="M63" i="80"/>
  <c r="M62" i="80"/>
  <c r="M61" i="80"/>
  <c r="M60" i="80"/>
  <c r="M59" i="80"/>
  <c r="M57" i="80"/>
  <c r="M56" i="80"/>
  <c r="M55" i="80"/>
  <c r="M54" i="80"/>
  <c r="M53" i="80"/>
  <c r="M52" i="80"/>
  <c r="M51" i="80"/>
  <c r="M50" i="80"/>
  <c r="M49" i="80"/>
  <c r="M48" i="80"/>
  <c r="M46" i="80"/>
  <c r="M45" i="80"/>
  <c r="M43" i="80"/>
  <c r="M42" i="80"/>
  <c r="M41" i="80"/>
  <c r="M40" i="80"/>
  <c r="M39" i="80"/>
  <c r="D68" i="80"/>
  <c r="D69" i="80" s="1"/>
  <c r="D64" i="80"/>
  <c r="D65" i="80" s="1"/>
  <c r="D60" i="80"/>
  <c r="E60" i="80" s="1"/>
  <c r="D57" i="80"/>
  <c r="D58" i="80" s="1"/>
  <c r="E58" i="80" s="1"/>
  <c r="D56" i="80"/>
  <c r="E56" i="80" s="1"/>
  <c r="D53" i="80"/>
  <c r="D54" i="80" s="1"/>
  <c r="E54" i="80" s="1"/>
  <c r="D52" i="80"/>
  <c r="E52" i="80" s="1"/>
  <c r="D49" i="80"/>
  <c r="D50" i="80" s="1"/>
  <c r="E50" i="80" s="1"/>
  <c r="E48" i="80"/>
  <c r="D48" i="80"/>
  <c r="D44" i="80"/>
  <c r="D45" i="80" s="1"/>
  <c r="D41" i="80"/>
  <c r="D42" i="80" s="1"/>
  <c r="E42" i="80" s="1"/>
  <c r="E40" i="80"/>
  <c r="D40" i="80"/>
  <c r="M37" i="80"/>
  <c r="M36" i="80"/>
  <c r="E36" i="80"/>
  <c r="D36" i="80"/>
  <c r="D37" i="80" s="1"/>
  <c r="M31" i="80"/>
  <c r="D32" i="80"/>
  <c r="E32" i="80"/>
  <c r="M32" i="80"/>
  <c r="D33" i="80"/>
  <c r="E33" i="80"/>
  <c r="M33" i="80"/>
  <c r="D34" i="80"/>
  <c r="E34" i="80"/>
  <c r="M34" i="80"/>
  <c r="M35" i="80"/>
  <c r="M26" i="80"/>
  <c r="M25" i="80"/>
  <c r="D25" i="80"/>
  <c r="E25" i="80" s="1"/>
  <c r="M24" i="80"/>
  <c r="D24" i="80"/>
  <c r="E24" i="80" s="1"/>
  <c r="L25" i="56"/>
  <c r="L38" i="94"/>
  <c r="L20" i="69"/>
  <c r="M20" i="69" s="1"/>
  <c r="E20" i="69"/>
  <c r="M19" i="69"/>
  <c r="L19" i="69"/>
  <c r="E19" i="69"/>
  <c r="L18" i="69"/>
  <c r="M18" i="69" s="1"/>
  <c r="L17" i="69"/>
  <c r="M17" i="69" s="1"/>
  <c r="E17" i="69"/>
  <c r="M16" i="69"/>
  <c r="L16" i="69"/>
  <c r="E16" i="69"/>
  <c r="L15" i="69"/>
  <c r="M15" i="69" s="1"/>
  <c r="L14" i="69"/>
  <c r="M14" i="69" s="1"/>
  <c r="E14" i="69"/>
  <c r="M13" i="69"/>
  <c r="L13" i="69"/>
  <c r="E13" i="69"/>
  <c r="L12" i="69"/>
  <c r="M12" i="69" s="1"/>
  <c r="L11" i="69"/>
  <c r="M11" i="69" s="1"/>
  <c r="E11" i="69"/>
  <c r="L10" i="69"/>
  <c r="M10" i="69" s="1"/>
  <c r="E10" i="69"/>
  <c r="L9" i="69"/>
  <c r="M9" i="69" s="1"/>
  <c r="L8" i="69"/>
  <c r="M8" i="69" s="1"/>
  <c r="E8" i="69"/>
  <c r="M7" i="69"/>
  <c r="L7" i="69"/>
  <c r="E7" i="69"/>
  <c r="L6" i="69"/>
  <c r="M6" i="69" s="1"/>
  <c r="L20" i="70"/>
  <c r="M20" i="70" s="1"/>
  <c r="E20" i="70"/>
  <c r="M19" i="70"/>
  <c r="L19" i="70"/>
  <c r="E19" i="70"/>
  <c r="L18" i="70"/>
  <c r="M18" i="70" s="1"/>
  <c r="M17" i="70"/>
  <c r="L17" i="70"/>
  <c r="E17" i="70"/>
  <c r="M16" i="70"/>
  <c r="L16" i="70"/>
  <c r="E16" i="70"/>
  <c r="L15" i="70"/>
  <c r="M15" i="70" s="1"/>
  <c r="L14" i="70"/>
  <c r="M14" i="70" s="1"/>
  <c r="E14" i="70"/>
  <c r="M13" i="70"/>
  <c r="L13" i="70"/>
  <c r="E13" i="70"/>
  <c r="L12" i="70"/>
  <c r="M12" i="70" s="1"/>
  <c r="L11" i="70"/>
  <c r="M11" i="70" s="1"/>
  <c r="E11" i="70"/>
  <c r="L10" i="70"/>
  <c r="M10" i="70" s="1"/>
  <c r="E10" i="70"/>
  <c r="L9" i="70"/>
  <c r="M9" i="70" s="1"/>
  <c r="M8" i="70"/>
  <c r="L8" i="70"/>
  <c r="E8" i="70"/>
  <c r="M7" i="70"/>
  <c r="L7" i="70"/>
  <c r="E7" i="70"/>
  <c r="L6" i="70"/>
  <c r="M6" i="70" s="1"/>
  <c r="L20" i="71"/>
  <c r="M20" i="71" s="1"/>
  <c r="E20" i="71"/>
  <c r="L19" i="71"/>
  <c r="M19" i="71" s="1"/>
  <c r="E19" i="71"/>
  <c r="L18" i="71"/>
  <c r="M18" i="71" s="1"/>
  <c r="L17" i="71"/>
  <c r="M17" i="71" s="1"/>
  <c r="E17" i="71"/>
  <c r="M16" i="71"/>
  <c r="L16" i="71"/>
  <c r="E16" i="71"/>
  <c r="L15" i="71"/>
  <c r="M15" i="71" s="1"/>
  <c r="L14" i="71"/>
  <c r="M14" i="71" s="1"/>
  <c r="E14" i="71"/>
  <c r="L13" i="71"/>
  <c r="M13" i="71" s="1"/>
  <c r="E13" i="71"/>
  <c r="L12" i="71"/>
  <c r="M12" i="71" s="1"/>
  <c r="L11" i="71"/>
  <c r="M11" i="71" s="1"/>
  <c r="E11" i="71"/>
  <c r="L10" i="71"/>
  <c r="M10" i="71" s="1"/>
  <c r="E10" i="71"/>
  <c r="L9" i="71"/>
  <c r="M9" i="71" s="1"/>
  <c r="L8" i="71"/>
  <c r="M8" i="71" s="1"/>
  <c r="E8" i="71"/>
  <c r="M7" i="71"/>
  <c r="L7" i="71"/>
  <c r="E7" i="71"/>
  <c r="M6" i="71"/>
  <c r="L6" i="71"/>
  <c r="L17" i="72"/>
  <c r="M17" i="72" s="1"/>
  <c r="L16" i="72"/>
  <c r="L15" i="72"/>
  <c r="L14" i="72"/>
  <c r="L13" i="72"/>
  <c r="L12" i="72"/>
  <c r="L11" i="72"/>
  <c r="L10" i="72"/>
  <c r="L9" i="72"/>
  <c r="L8" i="72"/>
  <c r="L7" i="72"/>
  <c r="L6" i="72"/>
  <c r="M6" i="72" s="1"/>
  <c r="L20" i="72"/>
  <c r="M20" i="72" s="1"/>
  <c r="E20" i="72"/>
  <c r="L19" i="72"/>
  <c r="M19" i="72" s="1"/>
  <c r="E19" i="72"/>
  <c r="L18" i="72"/>
  <c r="M18" i="72" s="1"/>
  <c r="E17" i="72"/>
  <c r="M16" i="72"/>
  <c r="E16" i="72"/>
  <c r="M15" i="72"/>
  <c r="M14" i="72"/>
  <c r="E14" i="72"/>
  <c r="M13" i="72"/>
  <c r="E13" i="72"/>
  <c r="M12" i="72"/>
  <c r="M11" i="72"/>
  <c r="E11" i="72"/>
  <c r="M10" i="72"/>
  <c r="E10" i="72"/>
  <c r="M9" i="72"/>
  <c r="M8" i="72"/>
  <c r="E8" i="72"/>
  <c r="M7" i="72"/>
  <c r="E7" i="72"/>
  <c r="L20" i="78"/>
  <c r="L19" i="78"/>
  <c r="L18" i="78"/>
  <c r="L17" i="78"/>
  <c r="L16" i="78"/>
  <c r="L15" i="78"/>
  <c r="L14" i="78"/>
  <c r="L13" i="78"/>
  <c r="L12" i="78"/>
  <c r="L11" i="78"/>
  <c r="M11" i="78" s="1"/>
  <c r="L10" i="78"/>
  <c r="M12" i="78"/>
  <c r="M13" i="78"/>
  <c r="M14" i="78"/>
  <c r="M15" i="78"/>
  <c r="M16" i="78"/>
  <c r="M17" i="78"/>
  <c r="M18" i="78"/>
  <c r="M19" i="78"/>
  <c r="M20" i="78"/>
  <c r="M10" i="78"/>
  <c r="L9" i="78"/>
  <c r="L81" i="16"/>
  <c r="M81" i="16" s="1"/>
  <c r="L80" i="16"/>
  <c r="M80" i="16" s="1"/>
  <c r="L79" i="16"/>
  <c r="M79" i="16" s="1"/>
  <c r="M78" i="16"/>
  <c r="L78" i="16"/>
  <c r="L77" i="16"/>
  <c r="M77" i="16" s="1"/>
  <c r="L76" i="16"/>
  <c r="M76" i="16" s="1"/>
  <c r="L75" i="16"/>
  <c r="M75" i="16" s="1"/>
  <c r="L74" i="16"/>
  <c r="M74" i="16" s="1"/>
  <c r="L73" i="16"/>
  <c r="M73" i="16" s="1"/>
  <c r="L72" i="16"/>
  <c r="M72" i="16" s="1"/>
  <c r="L71" i="16"/>
  <c r="M71" i="16" s="1"/>
  <c r="L70" i="16"/>
  <c r="M70" i="16" s="1"/>
  <c r="M69" i="16"/>
  <c r="L69" i="16"/>
  <c r="L68" i="16"/>
  <c r="M68" i="16" s="1"/>
  <c r="L67" i="16"/>
  <c r="M67" i="16" s="1"/>
  <c r="E67" i="16"/>
  <c r="L66" i="16"/>
  <c r="M66" i="16" s="1"/>
  <c r="L65" i="16"/>
  <c r="M65" i="16" s="1"/>
  <c r="E65" i="16"/>
  <c r="M64" i="16"/>
  <c r="L64" i="16"/>
  <c r="L63" i="16"/>
  <c r="M63" i="16" s="1"/>
  <c r="E63" i="16"/>
  <c r="L62" i="16"/>
  <c r="M62" i="16" s="1"/>
  <c r="L61" i="16"/>
  <c r="M61" i="16" s="1"/>
  <c r="E61" i="16"/>
  <c r="L60" i="16"/>
  <c r="M60" i="16" s="1"/>
  <c r="L59" i="16"/>
  <c r="M59" i="16" s="1"/>
  <c r="E59" i="16"/>
  <c r="L58" i="16"/>
  <c r="M58" i="16" s="1"/>
  <c r="L81" i="22"/>
  <c r="M81" i="22" s="1"/>
  <c r="L80" i="22"/>
  <c r="M80" i="22" s="1"/>
  <c r="L79" i="22"/>
  <c r="M79" i="22" s="1"/>
  <c r="L78" i="22"/>
  <c r="M78" i="22" s="1"/>
  <c r="L77" i="22"/>
  <c r="M77" i="22" s="1"/>
  <c r="L76" i="22"/>
  <c r="M76" i="22" s="1"/>
  <c r="L75" i="22"/>
  <c r="M75" i="22" s="1"/>
  <c r="L74" i="22"/>
  <c r="M74" i="22" s="1"/>
  <c r="L73" i="22"/>
  <c r="M73" i="22" s="1"/>
  <c r="L72" i="22"/>
  <c r="M72" i="22" s="1"/>
  <c r="L71" i="22"/>
  <c r="M71" i="22" s="1"/>
  <c r="L70" i="22"/>
  <c r="M70" i="22" s="1"/>
  <c r="L69" i="22"/>
  <c r="M69" i="22" s="1"/>
  <c r="L68" i="22"/>
  <c r="M68" i="22" s="1"/>
  <c r="L67" i="22"/>
  <c r="M67" i="22" s="1"/>
  <c r="E67" i="22"/>
  <c r="L66" i="22"/>
  <c r="M66" i="22" s="1"/>
  <c r="M65" i="22"/>
  <c r="L65" i="22"/>
  <c r="E65" i="22"/>
  <c r="L64" i="22"/>
  <c r="M64" i="22" s="1"/>
  <c r="L63" i="22"/>
  <c r="M63" i="22" s="1"/>
  <c r="E63" i="22"/>
  <c r="L62" i="22"/>
  <c r="M62" i="22" s="1"/>
  <c r="L61" i="22"/>
  <c r="M61" i="22" s="1"/>
  <c r="E61" i="22"/>
  <c r="L60" i="22"/>
  <c r="M60" i="22" s="1"/>
  <c r="L59" i="22"/>
  <c r="M59" i="22" s="1"/>
  <c r="E59" i="22"/>
  <c r="M58" i="22"/>
  <c r="L58" i="22"/>
  <c r="L81" i="38"/>
  <c r="M81" i="38" s="1"/>
  <c r="L80" i="38"/>
  <c r="M80" i="38" s="1"/>
  <c r="M79" i="38"/>
  <c r="L79" i="38"/>
  <c r="L78" i="38"/>
  <c r="M78" i="38" s="1"/>
  <c r="L77" i="38"/>
  <c r="M77" i="38" s="1"/>
  <c r="L76" i="38"/>
  <c r="M76" i="38" s="1"/>
  <c r="L75" i="38"/>
  <c r="M75" i="38" s="1"/>
  <c r="L74" i="38"/>
  <c r="M74" i="38" s="1"/>
  <c r="L73" i="38"/>
  <c r="M73" i="38" s="1"/>
  <c r="L72" i="38"/>
  <c r="M72" i="38" s="1"/>
  <c r="L71" i="38"/>
  <c r="M71" i="38" s="1"/>
  <c r="L70" i="38"/>
  <c r="M70" i="38" s="1"/>
  <c r="L69" i="38"/>
  <c r="M69" i="38" s="1"/>
  <c r="L68" i="38"/>
  <c r="M68" i="38" s="1"/>
  <c r="L67" i="38"/>
  <c r="M67" i="38" s="1"/>
  <c r="E67" i="38"/>
  <c r="L66" i="38"/>
  <c r="M66" i="38" s="1"/>
  <c r="L65" i="38"/>
  <c r="M65" i="38" s="1"/>
  <c r="E65" i="38"/>
  <c r="L64" i="38"/>
  <c r="M64" i="38" s="1"/>
  <c r="L63" i="38"/>
  <c r="M63" i="38" s="1"/>
  <c r="E63" i="38"/>
  <c r="L62" i="38"/>
  <c r="M62" i="38" s="1"/>
  <c r="L61" i="38"/>
  <c r="M61" i="38" s="1"/>
  <c r="E61" i="38"/>
  <c r="L60" i="38"/>
  <c r="M60" i="38" s="1"/>
  <c r="L59" i="38"/>
  <c r="M59" i="38" s="1"/>
  <c r="E59" i="38"/>
  <c r="L58" i="38"/>
  <c r="M58" i="38" s="1"/>
  <c r="L81" i="18"/>
  <c r="M81" i="18" s="1"/>
  <c r="L80" i="18"/>
  <c r="M80" i="18" s="1"/>
  <c r="L79" i="18"/>
  <c r="M79" i="18" s="1"/>
  <c r="M78" i="18"/>
  <c r="L78" i="18"/>
  <c r="L77" i="18"/>
  <c r="M77" i="18" s="1"/>
  <c r="L76" i="18"/>
  <c r="M76" i="18" s="1"/>
  <c r="L75" i="18"/>
  <c r="M75" i="18" s="1"/>
  <c r="L74" i="18"/>
  <c r="M74" i="18" s="1"/>
  <c r="L73" i="18"/>
  <c r="M73" i="18" s="1"/>
  <c r="M72" i="18"/>
  <c r="L72" i="18"/>
  <c r="L71" i="18"/>
  <c r="M71" i="18" s="1"/>
  <c r="L70" i="18"/>
  <c r="M70" i="18" s="1"/>
  <c r="L69" i="18"/>
  <c r="M69" i="18" s="1"/>
  <c r="L68" i="18"/>
  <c r="M68" i="18" s="1"/>
  <c r="L67" i="18"/>
  <c r="M67" i="18" s="1"/>
  <c r="E67" i="18"/>
  <c r="L66" i="18"/>
  <c r="M66" i="18" s="1"/>
  <c r="L65" i="18"/>
  <c r="M65" i="18" s="1"/>
  <c r="E65" i="18"/>
  <c r="L64" i="18"/>
  <c r="M64" i="18" s="1"/>
  <c r="L63" i="18"/>
  <c r="M63" i="18" s="1"/>
  <c r="E63" i="18"/>
  <c r="L62" i="18"/>
  <c r="M62" i="18" s="1"/>
  <c r="L61" i="18"/>
  <c r="M61" i="18" s="1"/>
  <c r="E61" i="18"/>
  <c r="L60" i="18"/>
  <c r="M60" i="18" s="1"/>
  <c r="L59" i="18"/>
  <c r="M59" i="18" s="1"/>
  <c r="E59" i="18"/>
  <c r="L58" i="18"/>
  <c r="M58" i="18" s="1"/>
  <c r="L81" i="24"/>
  <c r="M81" i="24" s="1"/>
  <c r="L80" i="24"/>
  <c r="M80" i="24" s="1"/>
  <c r="L79" i="24"/>
  <c r="M79" i="24" s="1"/>
  <c r="L78" i="24"/>
  <c r="M78" i="24" s="1"/>
  <c r="L77" i="24"/>
  <c r="M77" i="24" s="1"/>
  <c r="L76" i="24"/>
  <c r="M76" i="24" s="1"/>
  <c r="L75" i="24"/>
  <c r="M75" i="24" s="1"/>
  <c r="L74" i="24"/>
  <c r="M74" i="24" s="1"/>
  <c r="L73" i="24"/>
  <c r="M73" i="24" s="1"/>
  <c r="L72" i="24"/>
  <c r="M72" i="24" s="1"/>
  <c r="L71" i="24"/>
  <c r="M71" i="24" s="1"/>
  <c r="L70" i="24"/>
  <c r="M70" i="24" s="1"/>
  <c r="L69" i="24"/>
  <c r="M69" i="24" s="1"/>
  <c r="L68" i="24"/>
  <c r="M68" i="24" s="1"/>
  <c r="L67" i="24"/>
  <c r="M67" i="24" s="1"/>
  <c r="E67" i="24"/>
  <c r="L66" i="24"/>
  <c r="M66" i="24" s="1"/>
  <c r="L65" i="24"/>
  <c r="M65" i="24" s="1"/>
  <c r="E65" i="24"/>
  <c r="L64" i="24"/>
  <c r="M64" i="24" s="1"/>
  <c r="L63" i="24"/>
  <c r="M63" i="24" s="1"/>
  <c r="E63" i="24"/>
  <c r="L62" i="24"/>
  <c r="M62" i="24" s="1"/>
  <c r="L61" i="24"/>
  <c r="M61" i="24" s="1"/>
  <c r="E61" i="24"/>
  <c r="L60" i="24"/>
  <c r="M60" i="24" s="1"/>
  <c r="L59" i="24"/>
  <c r="M59" i="24" s="1"/>
  <c r="E59" i="24"/>
  <c r="L58" i="24"/>
  <c r="M58" i="24" s="1"/>
  <c r="L81" i="20"/>
  <c r="M81" i="20" s="1"/>
  <c r="L80" i="20"/>
  <c r="M80" i="20" s="1"/>
  <c r="L79" i="20"/>
  <c r="M79" i="20" s="1"/>
  <c r="L78" i="20"/>
  <c r="M78" i="20" s="1"/>
  <c r="L77" i="20"/>
  <c r="M77" i="20" s="1"/>
  <c r="L76" i="20"/>
  <c r="M76" i="20" s="1"/>
  <c r="L75" i="20"/>
  <c r="M75" i="20" s="1"/>
  <c r="L74" i="20"/>
  <c r="M74" i="20" s="1"/>
  <c r="L73" i="20"/>
  <c r="M73" i="20" s="1"/>
  <c r="L72" i="20"/>
  <c r="M72" i="20" s="1"/>
  <c r="L71" i="20"/>
  <c r="M71" i="20" s="1"/>
  <c r="L70" i="20"/>
  <c r="M70" i="20" s="1"/>
  <c r="L69" i="20"/>
  <c r="M69" i="20" s="1"/>
  <c r="L68" i="20"/>
  <c r="M68" i="20" s="1"/>
  <c r="L67" i="20"/>
  <c r="M67" i="20" s="1"/>
  <c r="E67" i="20"/>
  <c r="L66" i="20"/>
  <c r="M66" i="20" s="1"/>
  <c r="L65" i="20"/>
  <c r="M65" i="20" s="1"/>
  <c r="E65" i="20"/>
  <c r="L64" i="20"/>
  <c r="M64" i="20" s="1"/>
  <c r="L63" i="20"/>
  <c r="M63" i="20" s="1"/>
  <c r="E63" i="20"/>
  <c r="L62" i="20"/>
  <c r="M62" i="20" s="1"/>
  <c r="L61" i="20"/>
  <c r="M61" i="20" s="1"/>
  <c r="E61" i="20"/>
  <c r="L60" i="20"/>
  <c r="M60" i="20" s="1"/>
  <c r="L59" i="20"/>
  <c r="M59" i="20" s="1"/>
  <c r="E59" i="20"/>
  <c r="M58" i="20"/>
  <c r="L58" i="20"/>
  <c r="L28" i="52"/>
  <c r="M28" i="52" s="1"/>
  <c r="E28" i="52"/>
  <c r="L27" i="52"/>
  <c r="M27" i="52" s="1"/>
  <c r="E27" i="52"/>
  <c r="L26" i="52"/>
  <c r="M26" i="52" s="1"/>
  <c r="E26" i="52"/>
  <c r="L25" i="52"/>
  <c r="M25" i="52" s="1"/>
  <c r="E25" i="52"/>
  <c r="L24" i="52"/>
  <c r="M24" i="52" s="1"/>
  <c r="E24" i="52"/>
  <c r="L23" i="52"/>
  <c r="M23" i="52" s="1"/>
  <c r="E23" i="52"/>
  <c r="L22" i="52"/>
  <c r="M22" i="52" s="1"/>
  <c r="E22" i="52"/>
  <c r="L21" i="52"/>
  <c r="M21" i="52" s="1"/>
  <c r="E21" i="52"/>
  <c r="L20" i="52"/>
  <c r="M20" i="52" s="1"/>
  <c r="E20" i="52"/>
  <c r="L19" i="52"/>
  <c r="M19" i="52" s="1"/>
  <c r="E19" i="52"/>
  <c r="L18" i="52"/>
  <c r="M18" i="52" s="1"/>
  <c r="E18" i="52"/>
  <c r="L17" i="52"/>
  <c r="M17" i="52" s="1"/>
  <c r="E17" i="52"/>
  <c r="M28" i="26"/>
  <c r="M27" i="26"/>
  <c r="M26" i="26"/>
  <c r="M25" i="26"/>
  <c r="L28" i="26"/>
  <c r="L27" i="26"/>
  <c r="L26" i="26"/>
  <c r="L25" i="26"/>
  <c r="L24" i="26"/>
  <c r="L23" i="26"/>
  <c r="M23" i="26" s="1"/>
  <c r="L22" i="26"/>
  <c r="M22" i="26" s="1"/>
  <c r="L21" i="26"/>
  <c r="M21" i="26" s="1"/>
  <c r="L20" i="26"/>
  <c r="L19" i="26"/>
  <c r="L18" i="26"/>
  <c r="L17" i="26"/>
  <c r="E28" i="26"/>
  <c r="E27" i="26"/>
  <c r="E26" i="26"/>
  <c r="E25" i="26"/>
  <c r="M24" i="26"/>
  <c r="E24" i="26"/>
  <c r="E23" i="26"/>
  <c r="E22" i="26"/>
  <c r="E21" i="26"/>
  <c r="M20" i="26"/>
  <c r="E20" i="26"/>
  <c r="M19" i="26"/>
  <c r="E19" i="26"/>
  <c r="M18" i="26"/>
  <c r="E18" i="26"/>
  <c r="L81" i="28"/>
  <c r="M81" i="28" s="1"/>
  <c r="L80" i="28"/>
  <c r="M80" i="28" s="1"/>
  <c r="L79" i="28"/>
  <c r="M79" i="28" s="1"/>
  <c r="L78" i="28"/>
  <c r="M78" i="28" s="1"/>
  <c r="L77" i="28"/>
  <c r="M77" i="28" s="1"/>
  <c r="L76" i="28"/>
  <c r="M76" i="28" s="1"/>
  <c r="L75" i="28"/>
  <c r="M75" i="28" s="1"/>
  <c r="L74" i="28"/>
  <c r="M74" i="28" s="1"/>
  <c r="L73" i="28"/>
  <c r="M73" i="28" s="1"/>
  <c r="L72" i="28"/>
  <c r="M72" i="28" s="1"/>
  <c r="L71" i="28"/>
  <c r="M71" i="28" s="1"/>
  <c r="L70" i="28"/>
  <c r="M70" i="28" s="1"/>
  <c r="L69" i="28"/>
  <c r="M69" i="28" s="1"/>
  <c r="L68" i="28"/>
  <c r="M68" i="28" s="1"/>
  <c r="L67" i="28"/>
  <c r="M67" i="28" s="1"/>
  <c r="E67" i="28"/>
  <c r="L66" i="28"/>
  <c r="M66" i="28" s="1"/>
  <c r="L65" i="28"/>
  <c r="M65" i="28" s="1"/>
  <c r="E65" i="28"/>
  <c r="L64" i="28"/>
  <c r="M64" i="28" s="1"/>
  <c r="L63" i="28"/>
  <c r="M63" i="28" s="1"/>
  <c r="E63" i="28"/>
  <c r="L62" i="28"/>
  <c r="M62" i="28" s="1"/>
  <c r="L61" i="28"/>
  <c r="M61" i="28" s="1"/>
  <c r="E61" i="28"/>
  <c r="L60" i="28"/>
  <c r="M60" i="28" s="1"/>
  <c r="L59" i="28"/>
  <c r="M59" i="28" s="1"/>
  <c r="E59" i="28"/>
  <c r="L58" i="28"/>
  <c r="M58" i="28" s="1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L80" i="19"/>
  <c r="L81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0" i="19"/>
  <c r="L61" i="19"/>
  <c r="L58" i="19"/>
  <c r="L59" i="19"/>
  <c r="E67" i="19"/>
  <c r="E65" i="19"/>
  <c r="E63" i="19"/>
  <c r="E61" i="19"/>
  <c r="E59" i="19"/>
  <c r="M55" i="44"/>
  <c r="L55" i="44"/>
  <c r="E55" i="44"/>
  <c r="L54" i="44"/>
  <c r="M54" i="44" s="1"/>
  <c r="M53" i="44"/>
  <c r="L53" i="44"/>
  <c r="E53" i="44"/>
  <c r="L52" i="44"/>
  <c r="M52" i="44" s="1"/>
  <c r="L51" i="44"/>
  <c r="M51" i="44" s="1"/>
  <c r="E51" i="44"/>
  <c r="M50" i="44"/>
  <c r="L50" i="44"/>
  <c r="L49" i="44"/>
  <c r="M49" i="44" s="1"/>
  <c r="E49" i="44"/>
  <c r="L48" i="44"/>
  <c r="M48" i="44" s="1"/>
  <c r="M47" i="44"/>
  <c r="L47" i="44"/>
  <c r="E47" i="44"/>
  <c r="L46" i="44"/>
  <c r="M46" i="44" s="1"/>
  <c r="M45" i="44"/>
  <c r="L45" i="44"/>
  <c r="E45" i="44"/>
  <c r="L44" i="44"/>
  <c r="M44" i="44" s="1"/>
  <c r="L43" i="44"/>
  <c r="M43" i="44" s="1"/>
  <c r="E43" i="44"/>
  <c r="L42" i="44"/>
  <c r="M42" i="44" s="1"/>
  <c r="L41" i="44"/>
  <c r="M41" i="44" s="1"/>
  <c r="E41" i="44"/>
  <c r="M40" i="44"/>
  <c r="L40" i="44"/>
  <c r="L39" i="44"/>
  <c r="M39" i="44" s="1"/>
  <c r="E39" i="44"/>
  <c r="L38" i="44"/>
  <c r="M38" i="44" s="1"/>
  <c r="L37" i="44"/>
  <c r="M37" i="44" s="1"/>
  <c r="E37" i="44"/>
  <c r="M36" i="44"/>
  <c r="L36" i="44"/>
  <c r="M35" i="44"/>
  <c r="L35" i="44"/>
  <c r="E35" i="44"/>
  <c r="L34" i="44"/>
  <c r="M34" i="44" s="1"/>
  <c r="L33" i="44"/>
  <c r="M33" i="44" s="1"/>
  <c r="E33" i="44"/>
  <c r="L32" i="44"/>
  <c r="M32" i="44" s="1"/>
  <c r="M31" i="44"/>
  <c r="L31" i="44"/>
  <c r="M30" i="44"/>
  <c r="L30" i="44"/>
  <c r="M81" i="99"/>
  <c r="L81" i="99"/>
  <c r="E81" i="99"/>
  <c r="L80" i="99"/>
  <c r="M80" i="99" s="1"/>
  <c r="L79" i="99"/>
  <c r="M79" i="99" s="1"/>
  <c r="E79" i="99"/>
  <c r="M78" i="99"/>
  <c r="L78" i="99"/>
  <c r="L77" i="99"/>
  <c r="M77" i="99" s="1"/>
  <c r="E77" i="99"/>
  <c r="M76" i="99"/>
  <c r="L76" i="99"/>
  <c r="M75" i="99"/>
  <c r="L75" i="99"/>
  <c r="E75" i="99"/>
  <c r="L74" i="99"/>
  <c r="M74" i="99" s="1"/>
  <c r="L73" i="99"/>
  <c r="M73" i="99" s="1"/>
  <c r="E73" i="99"/>
  <c r="L72" i="99"/>
  <c r="M72" i="99" s="1"/>
  <c r="M71" i="99"/>
  <c r="L71" i="99"/>
  <c r="E71" i="99"/>
  <c r="L70" i="99"/>
  <c r="M70" i="99" s="1"/>
  <c r="L69" i="99"/>
  <c r="M69" i="99" s="1"/>
  <c r="E69" i="99"/>
  <c r="L68" i="99"/>
  <c r="M68" i="99" s="1"/>
  <c r="L67" i="99"/>
  <c r="M67" i="99" s="1"/>
  <c r="E67" i="99"/>
  <c r="M66" i="99"/>
  <c r="L66" i="99"/>
  <c r="M65" i="99"/>
  <c r="L65" i="99"/>
  <c r="E65" i="99"/>
  <c r="L64" i="99"/>
  <c r="M64" i="99" s="1"/>
  <c r="L63" i="99"/>
  <c r="M63" i="99" s="1"/>
  <c r="E63" i="99"/>
  <c r="L62" i="99"/>
  <c r="M62" i="99" s="1"/>
  <c r="M61" i="99"/>
  <c r="L61" i="99"/>
  <c r="E61" i="99"/>
  <c r="L60" i="99"/>
  <c r="M60" i="99" s="1"/>
  <c r="L59" i="99"/>
  <c r="M59" i="99" s="1"/>
  <c r="E59" i="99"/>
  <c r="L58" i="99"/>
  <c r="M58" i="99" s="1"/>
  <c r="L57" i="99"/>
  <c r="M57" i="99" s="1"/>
  <c r="M56" i="99"/>
  <c r="L56" i="99"/>
  <c r="M55" i="43"/>
  <c r="L55" i="43"/>
  <c r="E55" i="43"/>
  <c r="M54" i="43"/>
  <c r="L54" i="43"/>
  <c r="M53" i="43"/>
  <c r="L53" i="43"/>
  <c r="E53" i="43"/>
  <c r="M52" i="43"/>
  <c r="L52" i="43"/>
  <c r="L51" i="43"/>
  <c r="M51" i="43" s="1"/>
  <c r="E51" i="43"/>
  <c r="M50" i="43"/>
  <c r="L50" i="43"/>
  <c r="L49" i="43"/>
  <c r="M49" i="43" s="1"/>
  <c r="E49" i="43"/>
  <c r="L48" i="43"/>
  <c r="M48" i="43" s="1"/>
  <c r="L47" i="43"/>
  <c r="M47" i="43" s="1"/>
  <c r="E47" i="43"/>
  <c r="M46" i="43"/>
  <c r="L46" i="43"/>
  <c r="M45" i="43"/>
  <c r="L45" i="43"/>
  <c r="E45" i="43"/>
  <c r="L44" i="43"/>
  <c r="M44" i="43" s="1"/>
  <c r="L43" i="43"/>
  <c r="M43" i="43" s="1"/>
  <c r="E43" i="43"/>
  <c r="L42" i="43"/>
  <c r="M42" i="43" s="1"/>
  <c r="M41" i="43"/>
  <c r="L41" i="43"/>
  <c r="E41" i="43"/>
  <c r="L40" i="43"/>
  <c r="M40" i="43" s="1"/>
  <c r="L39" i="43"/>
  <c r="M39" i="43" s="1"/>
  <c r="E39" i="43"/>
  <c r="L38" i="43"/>
  <c r="M38" i="43" s="1"/>
  <c r="L37" i="43"/>
  <c r="M37" i="43" s="1"/>
  <c r="E37" i="43"/>
  <c r="M36" i="43"/>
  <c r="L36" i="43"/>
  <c r="L35" i="43"/>
  <c r="M35" i="43" s="1"/>
  <c r="E35" i="43"/>
  <c r="L34" i="43"/>
  <c r="M34" i="43" s="1"/>
  <c r="L33" i="43"/>
  <c r="M33" i="43" s="1"/>
  <c r="E33" i="43"/>
  <c r="L32" i="43"/>
  <c r="M32" i="43" s="1"/>
  <c r="M31" i="43"/>
  <c r="L31" i="43"/>
  <c r="L30" i="43"/>
  <c r="M30" i="43" s="1"/>
  <c r="L55" i="42"/>
  <c r="M55" i="42" s="1"/>
  <c r="E55" i="42"/>
  <c r="M54" i="42"/>
  <c r="L54" i="42"/>
  <c r="L53" i="42"/>
  <c r="M53" i="42" s="1"/>
  <c r="E53" i="42"/>
  <c r="L52" i="42"/>
  <c r="M52" i="42" s="1"/>
  <c r="L51" i="42"/>
  <c r="M51" i="42" s="1"/>
  <c r="E51" i="42"/>
  <c r="L50" i="42"/>
  <c r="M50" i="42" s="1"/>
  <c r="L49" i="42"/>
  <c r="M49" i="42" s="1"/>
  <c r="E49" i="42"/>
  <c r="L48" i="42"/>
  <c r="M48" i="42" s="1"/>
  <c r="L47" i="42"/>
  <c r="M47" i="42" s="1"/>
  <c r="E47" i="42"/>
  <c r="M46" i="42"/>
  <c r="L46" i="42"/>
  <c r="L45" i="42"/>
  <c r="M45" i="42" s="1"/>
  <c r="E45" i="42"/>
  <c r="L44" i="42"/>
  <c r="M44" i="42" s="1"/>
  <c r="L43" i="42"/>
  <c r="M43" i="42" s="1"/>
  <c r="E43" i="42"/>
  <c r="L42" i="42"/>
  <c r="M42" i="42" s="1"/>
  <c r="M41" i="42"/>
  <c r="L41" i="42"/>
  <c r="E41" i="42"/>
  <c r="L40" i="42"/>
  <c r="M40" i="42" s="1"/>
  <c r="L39" i="42"/>
  <c r="M39" i="42" s="1"/>
  <c r="E39" i="42"/>
  <c r="L38" i="42"/>
  <c r="M38" i="42" s="1"/>
  <c r="L37" i="42"/>
  <c r="M37" i="42" s="1"/>
  <c r="E37" i="42"/>
  <c r="M36" i="42"/>
  <c r="L36" i="42"/>
  <c r="L35" i="42"/>
  <c r="M35" i="42" s="1"/>
  <c r="E35" i="42"/>
  <c r="L34" i="42"/>
  <c r="M34" i="42" s="1"/>
  <c r="L33" i="42"/>
  <c r="M33" i="42" s="1"/>
  <c r="E33" i="42"/>
  <c r="L32" i="42"/>
  <c r="M32" i="42" s="1"/>
  <c r="M31" i="42"/>
  <c r="L31" i="42"/>
  <c r="L30" i="42"/>
  <c r="M30" i="42" s="1"/>
  <c r="L32" i="11"/>
  <c r="M32" i="11" s="1"/>
  <c r="L33" i="11"/>
  <c r="L34" i="11"/>
  <c r="L35" i="11"/>
  <c r="M35" i="11" s="1"/>
  <c r="L36" i="11"/>
  <c r="M36" i="11" s="1"/>
  <c r="L37" i="11"/>
  <c r="M37" i="11" s="1"/>
  <c r="L38" i="11"/>
  <c r="M38" i="11" s="1"/>
  <c r="L39" i="11"/>
  <c r="M39" i="11" s="1"/>
  <c r="L40" i="11"/>
  <c r="M40" i="11" s="1"/>
  <c r="L41" i="11"/>
  <c r="M41" i="11" s="1"/>
  <c r="L42" i="11"/>
  <c r="M42" i="11" s="1"/>
  <c r="L43" i="11"/>
  <c r="M43" i="11" s="1"/>
  <c r="L44" i="11"/>
  <c r="L45" i="11"/>
  <c r="M45" i="11" s="1"/>
  <c r="L46" i="11"/>
  <c r="L47" i="11"/>
  <c r="M47" i="11" s="1"/>
  <c r="L48" i="11"/>
  <c r="L49" i="11"/>
  <c r="M49" i="11" s="1"/>
  <c r="L54" i="11"/>
  <c r="M54" i="11" s="1"/>
  <c r="L55" i="11"/>
  <c r="M55" i="11"/>
  <c r="L53" i="11"/>
  <c r="M53" i="11" s="1"/>
  <c r="L52" i="11"/>
  <c r="M52" i="11" s="1"/>
  <c r="L51" i="11"/>
  <c r="M51" i="11" s="1"/>
  <c r="L50" i="11"/>
  <c r="M34" i="11"/>
  <c r="M33" i="11"/>
  <c r="M44" i="11"/>
  <c r="M46" i="11"/>
  <c r="M48" i="11"/>
  <c r="M50" i="11"/>
  <c r="E55" i="11"/>
  <c r="E53" i="11"/>
  <c r="E51" i="11"/>
  <c r="E49" i="11"/>
  <c r="E47" i="11"/>
  <c r="E45" i="11"/>
  <c r="E43" i="11"/>
  <c r="E41" i="11"/>
  <c r="E39" i="11"/>
  <c r="L30" i="11"/>
  <c r="M30" i="11" s="1"/>
  <c r="L31" i="11"/>
  <c r="M31" i="11"/>
  <c r="E37" i="11"/>
  <c r="E35" i="11"/>
  <c r="E33" i="11"/>
  <c r="L25" i="1"/>
  <c r="L24" i="1"/>
  <c r="M25" i="1"/>
  <c r="M6" i="95"/>
  <c r="M7" i="95"/>
  <c r="M8" i="95"/>
  <c r="M9" i="95"/>
  <c r="M10" i="95"/>
  <c r="M11" i="95"/>
  <c r="M12" i="95"/>
  <c r="M13" i="95"/>
  <c r="M14" i="95"/>
  <c r="M15" i="95"/>
  <c r="M16" i="95"/>
  <c r="M17" i="95"/>
  <c r="L17" i="95"/>
  <c r="L16" i="95"/>
  <c r="L15" i="95"/>
  <c r="L14" i="95"/>
  <c r="L13" i="95"/>
  <c r="L12" i="95"/>
  <c r="L11" i="95"/>
  <c r="L10" i="95"/>
  <c r="L9" i="95"/>
  <c r="L8" i="95"/>
  <c r="L7" i="95"/>
  <c r="L6" i="95"/>
  <c r="M8" i="91"/>
  <c r="M7" i="91"/>
  <c r="M6" i="91"/>
  <c r="L6" i="91"/>
  <c r="L7" i="91"/>
  <c r="L8" i="91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11" i="93"/>
  <c r="L12" i="93"/>
  <c r="L21" i="93"/>
  <c r="L20" i="93"/>
  <c r="L19" i="93"/>
  <c r="L18" i="93"/>
  <c r="L15" i="93"/>
  <c r="L14" i="93"/>
  <c r="L16" i="93"/>
  <c r="L17" i="93"/>
  <c r="L22" i="93"/>
  <c r="L13" i="93"/>
  <c r="L10" i="93"/>
  <c r="L27" i="66"/>
  <c r="M27" i="66" s="1"/>
  <c r="E27" i="66"/>
  <c r="L26" i="66"/>
  <c r="M26" i="66" s="1"/>
  <c r="L25" i="66"/>
  <c r="M25" i="66" s="1"/>
  <c r="E25" i="66"/>
  <c r="L24" i="66"/>
  <c r="M24" i="66" s="1"/>
  <c r="L23" i="66"/>
  <c r="M23" i="66" s="1"/>
  <c r="L26" i="65"/>
  <c r="L27" i="65"/>
  <c r="M27" i="65" s="1"/>
  <c r="E27" i="65"/>
  <c r="M26" i="65"/>
  <c r="L25" i="65"/>
  <c r="L24" i="65"/>
  <c r="E25" i="65"/>
  <c r="M25" i="65"/>
  <c r="M23" i="65"/>
  <c r="M24" i="65"/>
  <c r="M66" i="90"/>
  <c r="L23" i="65"/>
  <c r="M14" i="92"/>
  <c r="M12" i="27"/>
  <c r="L14" i="92"/>
  <c r="L25" i="50"/>
  <c r="M25" i="50" s="1"/>
  <c r="D25" i="50"/>
  <c r="E25" i="50" s="1"/>
  <c r="L24" i="50"/>
  <c r="M24" i="50" s="1"/>
  <c r="E24" i="50"/>
  <c r="D24" i="50"/>
  <c r="L23" i="50"/>
  <c r="M23" i="50" s="1"/>
  <c r="L20" i="21"/>
  <c r="M20" i="21" s="1"/>
  <c r="D20" i="21"/>
  <c r="E20" i="21" s="1"/>
  <c r="L19" i="21"/>
  <c r="M19" i="21" s="1"/>
  <c r="D19" i="21"/>
  <c r="E19" i="21" s="1"/>
  <c r="L18" i="21"/>
  <c r="M18" i="21" s="1"/>
  <c r="L17" i="45"/>
  <c r="M17" i="45" s="1"/>
  <c r="L17" i="46"/>
  <c r="M17" i="46" s="1"/>
  <c r="M63" i="100"/>
  <c r="M62" i="100"/>
  <c r="M61" i="100"/>
  <c r="M60" i="100"/>
  <c r="M59" i="100"/>
  <c r="M58" i="100"/>
  <c r="M57" i="100"/>
  <c r="M56" i="100"/>
  <c r="M17" i="47"/>
  <c r="M56" i="90"/>
  <c r="M57" i="90"/>
  <c r="M58" i="90"/>
  <c r="M59" i="90"/>
  <c r="M60" i="90"/>
  <c r="M61" i="90"/>
  <c r="M62" i="90"/>
  <c r="M63" i="90"/>
  <c r="M64" i="90"/>
  <c r="M65" i="90"/>
  <c r="M55" i="90"/>
  <c r="L66" i="90"/>
  <c r="L65" i="90"/>
  <c r="L64" i="90"/>
  <c r="L63" i="90"/>
  <c r="L62" i="90"/>
  <c r="L61" i="90"/>
  <c r="L60" i="90"/>
  <c r="L59" i="90"/>
  <c r="L58" i="90"/>
  <c r="L55" i="90"/>
  <c r="L56" i="90"/>
  <c r="L57" i="90"/>
  <c r="E20" i="86"/>
  <c r="E21" i="86"/>
  <c r="E22" i="86"/>
  <c r="E23" i="86"/>
  <c r="E24" i="86"/>
  <c r="E19" i="86"/>
  <c r="M19" i="86"/>
  <c r="M24" i="86"/>
  <c r="M23" i="86"/>
  <c r="M22" i="86"/>
  <c r="M21" i="86"/>
  <c r="M20" i="86"/>
  <c r="M21" i="36"/>
  <c r="L22" i="86"/>
  <c r="L21" i="86"/>
  <c r="L20" i="86"/>
  <c r="L19" i="86"/>
  <c r="L24" i="86"/>
  <c r="L23" i="86"/>
  <c r="L29" i="14"/>
  <c r="M29" i="14" s="1"/>
  <c r="L28" i="14"/>
  <c r="M28" i="14" s="1"/>
  <c r="L27" i="14"/>
  <c r="M27" i="14" s="1"/>
  <c r="L26" i="14"/>
  <c r="M26" i="14" s="1"/>
  <c r="L25" i="14"/>
  <c r="M25" i="14" s="1"/>
  <c r="L24" i="14"/>
  <c r="M24" i="14" s="1"/>
  <c r="L23" i="14"/>
  <c r="M23" i="14" s="1"/>
  <c r="L22" i="14"/>
  <c r="M22" i="14" s="1"/>
  <c r="L21" i="14"/>
  <c r="M21" i="14" s="1"/>
  <c r="L20" i="14"/>
  <c r="M20" i="14" s="1"/>
  <c r="L19" i="14"/>
  <c r="M19" i="14" s="1"/>
  <c r="L18" i="14"/>
  <c r="M18" i="14" s="1"/>
  <c r="L17" i="14"/>
  <c r="M17" i="14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M23" i="13"/>
  <c r="L23" i="13"/>
  <c r="L22" i="13"/>
  <c r="M22" i="13" s="1"/>
  <c r="L21" i="13"/>
  <c r="M21" i="13" s="1"/>
  <c r="L20" i="13"/>
  <c r="M20" i="13" s="1"/>
  <c r="L19" i="13"/>
  <c r="M19" i="13" s="1"/>
  <c r="L18" i="13"/>
  <c r="M18" i="13" s="1"/>
  <c r="M17" i="13"/>
  <c r="L17" i="13"/>
  <c r="M17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E17" i="51"/>
  <c r="E21" i="51"/>
  <c r="E22" i="51"/>
  <c r="E23" i="51"/>
  <c r="E24" i="51"/>
  <c r="E25" i="51"/>
  <c r="E20" i="51"/>
  <c r="E19" i="51"/>
  <c r="E18" i="51"/>
  <c r="M17" i="51"/>
  <c r="M18" i="51"/>
  <c r="M19" i="51"/>
  <c r="M20" i="51"/>
  <c r="M21" i="51"/>
  <c r="M22" i="51"/>
  <c r="M23" i="51"/>
  <c r="M24" i="51"/>
  <c r="M25" i="51"/>
  <c r="L16" i="51"/>
  <c r="M16" i="51" s="1"/>
  <c r="L22" i="51"/>
  <c r="L23" i="51"/>
  <c r="L24" i="51"/>
  <c r="L25" i="51"/>
  <c r="L20" i="51"/>
  <c r="L19" i="51"/>
  <c r="L18" i="51"/>
  <c r="L17" i="51"/>
  <c r="L21" i="51"/>
  <c r="L18" i="12"/>
  <c r="L19" i="12"/>
  <c r="L24" i="12"/>
  <c r="L23" i="12"/>
  <c r="L22" i="12"/>
  <c r="L21" i="12"/>
  <c r="L20" i="12"/>
  <c r="L25" i="12"/>
  <c r="L29" i="12"/>
  <c r="L26" i="12"/>
  <c r="L27" i="12"/>
  <c r="L28" i="12"/>
  <c r="L17" i="12"/>
  <c r="M15" i="68"/>
  <c r="M14" i="68"/>
  <c r="M13" i="68"/>
  <c r="M12" i="68"/>
  <c r="M11" i="68"/>
  <c r="M10" i="68"/>
  <c r="M9" i="68"/>
  <c r="M10" i="67"/>
  <c r="M11" i="67"/>
  <c r="M12" i="67"/>
  <c r="M13" i="67"/>
  <c r="M14" i="67"/>
  <c r="M15" i="67"/>
  <c r="M9" i="67"/>
  <c r="M28" i="29"/>
  <c r="M57" i="57"/>
  <c r="E57" i="57"/>
  <c r="L56" i="57"/>
  <c r="M56" i="57" s="1"/>
  <c r="L55" i="57"/>
  <c r="M55" i="57" s="1"/>
  <c r="M55" i="58"/>
  <c r="M56" i="58"/>
  <c r="M57" i="58"/>
  <c r="E57" i="58"/>
  <c r="L56" i="58"/>
  <c r="L55" i="58"/>
  <c r="M21" i="88"/>
  <c r="M20" i="88"/>
  <c r="M19" i="88"/>
  <c r="M18" i="88"/>
  <c r="M21" i="61"/>
  <c r="M20" i="61"/>
  <c r="M19" i="61"/>
  <c r="M18" i="61"/>
  <c r="M13" i="60"/>
  <c r="M12" i="60"/>
  <c r="M6" i="23"/>
  <c r="M30" i="74"/>
  <c r="M29" i="74"/>
  <c r="M31" i="74"/>
  <c r="M28" i="74"/>
  <c r="M27" i="74"/>
  <c r="M26" i="74"/>
  <c r="M25" i="74"/>
  <c r="M24" i="74"/>
  <c r="M23" i="74"/>
  <c r="M22" i="74"/>
  <c r="M21" i="74"/>
  <c r="M20" i="74"/>
  <c r="E31" i="74"/>
  <c r="E30" i="74"/>
  <c r="E28" i="74"/>
  <c r="E27" i="74"/>
  <c r="E25" i="74"/>
  <c r="E24" i="74"/>
  <c r="E22" i="74"/>
  <c r="E21" i="74"/>
  <c r="E19" i="74"/>
  <c r="E18" i="74"/>
  <c r="M18" i="74"/>
  <c r="M19" i="74"/>
  <c r="M17" i="74"/>
  <c r="M23" i="63"/>
  <c r="L24" i="63"/>
  <c r="M24" i="63" s="1"/>
  <c r="E24" i="63"/>
  <c r="L23" i="63"/>
  <c r="M22" i="63"/>
  <c r="L22" i="63"/>
  <c r="M54" i="59"/>
  <c r="M53" i="59"/>
  <c r="M52" i="59"/>
  <c r="M51" i="59"/>
  <c r="M58" i="59"/>
  <c r="E58" i="59"/>
  <c r="M57" i="59"/>
  <c r="E57" i="59"/>
  <c r="M56" i="59"/>
  <c r="E56" i="59"/>
  <c r="M55" i="59"/>
  <c r="E54" i="59"/>
  <c r="E53" i="59"/>
  <c r="E52" i="59"/>
  <c r="E50" i="59"/>
  <c r="E49" i="59"/>
  <c r="E48" i="59"/>
  <c r="M47" i="59"/>
  <c r="M50" i="59"/>
  <c r="M49" i="59"/>
  <c r="M48" i="59"/>
  <c r="M46" i="59"/>
  <c r="M11" i="62"/>
  <c r="L46" i="59"/>
  <c r="M41" i="49"/>
  <c r="E41" i="49"/>
  <c r="M40" i="49"/>
  <c r="E41" i="48"/>
  <c r="M40" i="48"/>
  <c r="M41" i="48"/>
  <c r="D53" i="82" l="1"/>
  <c r="E53" i="82" s="1"/>
  <c r="E52" i="82"/>
  <c r="D29" i="82"/>
  <c r="E29" i="82" s="1"/>
  <c r="E28" i="82"/>
  <c r="D41" i="82"/>
  <c r="E41" i="82" s="1"/>
  <c r="E40" i="82"/>
  <c r="D17" i="82"/>
  <c r="E17" i="82" s="1"/>
  <c r="E16" i="82"/>
  <c r="D49" i="82"/>
  <c r="E49" i="82" s="1"/>
  <c r="E48" i="82"/>
  <c r="D25" i="82"/>
  <c r="E25" i="82" s="1"/>
  <c r="E24" i="82"/>
  <c r="D13" i="82"/>
  <c r="E13" i="82" s="1"/>
  <c r="D20" i="82"/>
  <c r="D37" i="82"/>
  <c r="E37" i="82" s="1"/>
  <c r="D44" i="82"/>
  <c r="E27" i="82"/>
  <c r="E51" i="82"/>
  <c r="E8" i="82"/>
  <c r="E15" i="82"/>
  <c r="E32" i="82"/>
  <c r="E39" i="82"/>
  <c r="E12" i="81"/>
  <c r="D13" i="81"/>
  <c r="E13" i="81" s="1"/>
  <c r="D33" i="81"/>
  <c r="E33" i="81" s="1"/>
  <c r="E32" i="81"/>
  <c r="D9" i="81"/>
  <c r="E9" i="81" s="1"/>
  <c r="E8" i="81"/>
  <c r="E36" i="81"/>
  <c r="D37" i="81"/>
  <c r="E37" i="81" s="1"/>
  <c r="D24" i="81"/>
  <c r="E7" i="81"/>
  <c r="E31" i="81"/>
  <c r="E48" i="81"/>
  <c r="E20" i="81"/>
  <c r="D28" i="81"/>
  <c r="D45" i="81"/>
  <c r="E45" i="81" s="1"/>
  <c r="D52" i="81"/>
  <c r="E11" i="81"/>
  <c r="E35" i="81"/>
  <c r="D17" i="81"/>
  <c r="E17" i="81" s="1"/>
  <c r="E65" i="80"/>
  <c r="D66" i="80"/>
  <c r="E66" i="80" s="1"/>
  <c r="D70" i="80"/>
  <c r="E70" i="80" s="1"/>
  <c r="E69" i="80"/>
  <c r="E64" i="80"/>
  <c r="E57" i="80"/>
  <c r="E68" i="80"/>
  <c r="D61" i="80"/>
  <c r="D46" i="80"/>
  <c r="E46" i="80" s="1"/>
  <c r="E45" i="80"/>
  <c r="E49" i="80"/>
  <c r="E44" i="80"/>
  <c r="E53" i="80"/>
  <c r="E41" i="80"/>
  <c r="D38" i="80"/>
  <c r="E38" i="80" s="1"/>
  <c r="E37" i="80"/>
  <c r="D26" i="80"/>
  <c r="E26" i="80" s="1"/>
  <c r="M22" i="36"/>
  <c r="E22" i="36"/>
  <c r="E21" i="36"/>
  <c r="M20" i="36"/>
  <c r="E20" i="36"/>
  <c r="M19" i="36"/>
  <c r="L19" i="36"/>
  <c r="E55" i="6"/>
  <c r="M55" i="6"/>
  <c r="L55" i="6"/>
  <c r="L54" i="6"/>
  <c r="M54" i="6" s="1"/>
  <c r="M53" i="6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E34" i="3"/>
  <c r="E32" i="3"/>
  <c r="E30" i="3"/>
  <c r="E28" i="3"/>
  <c r="E26" i="3"/>
  <c r="E24" i="3"/>
  <c r="E22" i="3"/>
  <c r="E20" i="3"/>
  <c r="E18" i="3"/>
  <c r="E16" i="3"/>
  <c r="M14" i="3"/>
  <c r="E14" i="3"/>
  <c r="M13" i="3"/>
  <c r="L6" i="2"/>
  <c r="M6" i="2" s="1"/>
  <c r="M24" i="1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M53" i="4" s="1"/>
  <c r="L52" i="4"/>
  <c r="L51" i="4"/>
  <c r="L50" i="4"/>
  <c r="L49" i="4"/>
  <c r="L48" i="4"/>
  <c r="L47" i="4"/>
  <c r="M54" i="4"/>
  <c r="E54" i="4"/>
  <c r="M52" i="4"/>
  <c r="E52" i="4"/>
  <c r="M51" i="4"/>
  <c r="M50" i="4"/>
  <c r="E50" i="4"/>
  <c r="M49" i="4"/>
  <c r="M48" i="4"/>
  <c r="E48" i="4"/>
  <c r="M47" i="4"/>
  <c r="M45" i="4"/>
  <c r="L46" i="4"/>
  <c r="L45" i="4"/>
  <c r="E46" i="4"/>
  <c r="M10" i="3"/>
  <c r="L10" i="3"/>
  <c r="M11" i="3"/>
  <c r="M12" i="3"/>
  <c r="E12" i="3"/>
  <c r="E32" i="10"/>
  <c r="M31" i="10"/>
  <c r="M32" i="10"/>
  <c r="L31" i="10"/>
  <c r="L32" i="10"/>
  <c r="M50" i="90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2" i="43"/>
  <c r="L2" i="43"/>
  <c r="M2" i="42"/>
  <c r="L2" i="42"/>
  <c r="M2" i="11"/>
  <c r="L2" i="11"/>
  <c r="M15" i="45"/>
  <c r="L15" i="45"/>
  <c r="M15" i="46"/>
  <c r="L15" i="46"/>
  <c r="M5" i="16"/>
  <c r="L5" i="16"/>
  <c r="M5" i="17"/>
  <c r="L5" i="17"/>
  <c r="M5" i="22"/>
  <c r="L5" i="22"/>
  <c r="M5" i="38"/>
  <c r="L5" i="38"/>
  <c r="M5" i="18"/>
  <c r="L5" i="18"/>
  <c r="M5" i="24"/>
  <c r="L5" i="24"/>
  <c r="M5" i="34"/>
  <c r="L5" i="34"/>
  <c r="M5" i="15"/>
  <c r="L5" i="15"/>
  <c r="M5" i="25"/>
  <c r="L5" i="25"/>
  <c r="M5" i="20"/>
  <c r="L5" i="20"/>
  <c r="M5" i="28"/>
  <c r="L5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17" i="26"/>
  <c r="E17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59" i="25"/>
  <c r="E60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22" i="37"/>
  <c r="E21" i="37"/>
  <c r="E20" i="37"/>
  <c r="M20" i="37"/>
  <c r="D28" i="80"/>
  <c r="D29" i="80" s="1"/>
  <c r="D30" i="80" s="1"/>
  <c r="E30" i="80" s="1"/>
  <c r="M30" i="29"/>
  <c r="E30" i="29"/>
  <c r="M29" i="29"/>
  <c r="E29" i="29"/>
  <c r="E28" i="29"/>
  <c r="M27" i="29"/>
  <c r="M26" i="29"/>
  <c r="M25" i="29"/>
  <c r="M2" i="29"/>
  <c r="L2" i="29"/>
  <c r="E30" i="30"/>
  <c r="E29" i="30"/>
  <c r="E28" i="30"/>
  <c r="E61" i="25"/>
  <c r="D25" i="79"/>
  <c r="E25" i="79" s="1"/>
  <c r="D24" i="79"/>
  <c r="E24" i="79" s="1"/>
  <c r="E30" i="32"/>
  <c r="E29" i="32"/>
  <c r="E28" i="32"/>
  <c r="M30" i="32"/>
  <c r="E12" i="62"/>
  <c r="M12" i="62"/>
  <c r="M59" i="19"/>
  <c r="E30" i="7"/>
  <c r="E29" i="7"/>
  <c r="E28" i="7"/>
  <c r="M28" i="7"/>
  <c r="M3" i="69"/>
  <c r="M2" i="69"/>
  <c r="M12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32" i="98"/>
  <c r="M31" i="98"/>
  <c r="M30" i="98"/>
  <c r="M15" i="47"/>
  <c r="M6" i="100"/>
  <c r="M2" i="44"/>
  <c r="M22" i="77"/>
  <c r="M20" i="77"/>
  <c r="M19" i="77"/>
  <c r="M17" i="77"/>
  <c r="M16" i="77"/>
  <c r="M15" i="77"/>
  <c r="M21" i="76"/>
  <c r="M30" i="33"/>
  <c r="M29" i="33"/>
  <c r="M27" i="33"/>
  <c r="M26" i="33"/>
  <c r="M25" i="33"/>
  <c r="M38" i="94"/>
  <c r="M37" i="94"/>
  <c r="M7" i="94"/>
  <c r="M6" i="94"/>
  <c r="M5" i="94"/>
  <c r="M4" i="94"/>
  <c r="M3" i="94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2" i="27"/>
  <c r="M2" i="92"/>
  <c r="M61" i="25"/>
  <c r="M60" i="25"/>
  <c r="M59" i="25"/>
  <c r="M58" i="25"/>
  <c r="M2" i="33"/>
  <c r="M58" i="19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6" i="61"/>
  <c r="M15" i="61"/>
  <c r="M14" i="61"/>
  <c r="M13" i="61"/>
  <c r="M12" i="61"/>
  <c r="M11" i="61"/>
  <c r="M10" i="61"/>
  <c r="M5" i="19"/>
  <c r="M26" i="7"/>
  <c r="M27" i="7"/>
  <c r="M29" i="7"/>
  <c r="M30" i="7"/>
  <c r="M25" i="7"/>
  <c r="M2" i="7"/>
  <c r="M2" i="4"/>
  <c r="M4" i="2"/>
  <c r="M3" i="2"/>
  <c r="L2" i="27"/>
  <c r="L6" i="68"/>
  <c r="L5" i="68"/>
  <c r="L4" i="68"/>
  <c r="L3" i="68"/>
  <c r="L17" i="77"/>
  <c r="L16" i="77"/>
  <c r="L15" i="77"/>
  <c r="L2" i="44"/>
  <c r="L6" i="100"/>
  <c r="L17" i="47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M30" i="80"/>
  <c r="M29" i="80"/>
  <c r="M28" i="80"/>
  <c r="M27" i="80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5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D45" i="82" l="1"/>
  <c r="E45" i="82" s="1"/>
  <c r="E44" i="82"/>
  <c r="D21" i="82"/>
  <c r="E21" i="82" s="1"/>
  <c r="E20" i="82"/>
  <c r="D25" i="81"/>
  <c r="E25" i="81" s="1"/>
  <c r="E24" i="81"/>
  <c r="D53" i="81"/>
  <c r="E53" i="81" s="1"/>
  <c r="E52" i="81"/>
  <c r="D29" i="81"/>
  <c r="E29" i="81" s="1"/>
  <c r="E28" i="81"/>
  <c r="D62" i="80"/>
  <c r="E62" i="80" s="1"/>
  <c r="E61" i="80"/>
  <c r="E28" i="80"/>
  <c r="E29" i="80"/>
</calcChain>
</file>

<file path=xl/sharedStrings.xml><?xml version="1.0" encoding="utf-8"?>
<sst xmlns="http://schemas.openxmlformats.org/spreadsheetml/2006/main" count="15186" uniqueCount="136">
  <si>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</si>
  <si>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</si>
  <si>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</si>
  <si>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</si>
  <si>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</si>
  <si>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</si>
  <si>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</si>
  <si>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</si>
  <si>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</si>
  <si>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</si>
  <si>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</si>
  <si>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</si>
  <si>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</si>
  <si>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</si>
  <si>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</si>
  <si>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</si>
  <si>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</si>
  <si>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</si>
  <si>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</si>
  <si>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</si>
  <si>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</si>
  <si>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</si>
  <si>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</si>
  <si>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</si>
  <si>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</si>
  <si>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</si>
  <si>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</si>
  <si>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</si>
  <si>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</si>
  <si>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</si>
  <si>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</si>
  <si>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</si>
  <si>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</si>
  <si>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</si>
  <si>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</si>
  <si>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</si>
  <si>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</si>
  <si>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</si>
  <si>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</si>
  <si>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</si>
  <si>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</si>
  <si>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</si>
  <si>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</si>
  <si>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</si>
  <si>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</si>
  <si>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</si>
  <si>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</si>
  <si>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</si>
  <si>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</si>
  <si>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</si>
  <si>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</si>
  <si>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</si>
  <si>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</si>
  <si>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</si>
  <si>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</si>
  <si>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</si>
  <si>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</si>
  <si>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</si>
  <si>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</si>
  <si>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</si>
  <si>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</si>
  <si>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</si>
  <si>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</si>
  <si>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</si>
  <si>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</si>
  <si>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</si>
  <si>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</si>
  <si>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</si>
  <si>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</si>
  <si>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</si>
  <si>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</si>
  <si>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</si>
  <si>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</si>
  <si>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</si>
  <si>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</si>
  <si>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</si>
  <si>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</si>
  <si>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</si>
  <si>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</si>
  <si>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</si>
  <si>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</si>
  <si>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</si>
  <si>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</si>
  <si>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</si>
  <si>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</si>
  <si>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</si>
  <si>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</si>
  <si>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</si>
  <si>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</si>
  <si>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</si>
  <si>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</si>
  <si>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</si>
  <si>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</si>
  <si>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</si>
  <si>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</si>
  <si>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</si>
  <si>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</si>
  <si>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</si>
  <si>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</si>
  <si>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</si>
  <si>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</si>
  <si>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</si>
  <si>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</si>
  <si>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</si>
  <si>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</si>
  <si>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</si>
  <si>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</si>
  <si>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</si>
  <si>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</si>
  <si>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</si>
  <si>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</si>
  <si>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</si>
  <si>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</si>
  <si>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</si>
  <si>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</si>
  <si>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</si>
  <si>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</si>
  <si>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</si>
  <si>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</si>
  <si>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</si>
  <si>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</si>
  <si>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</si>
  <si>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</si>
  <si>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</si>
  <si>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</si>
  <si>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</si>
  <si>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high demand, low energy</t>
  </si>
  <si>
    <t>Includes purchased gas cost</t>
  </si>
  <si>
    <t>Includes cost of gas</t>
  </si>
  <si>
    <t>Includes voluntary fixed price of gas</t>
  </si>
  <si>
    <t>daily</t>
  </si>
  <si>
    <t>Average of commodity price</t>
  </si>
  <si>
    <t>Includes purchased gas adjustment</t>
  </si>
  <si>
    <t>Includes Purchased Gas Adjustment</t>
  </si>
  <si>
    <t>Includes monthly gas supply charge</t>
  </si>
  <si>
    <t>Includes Purchased Gas Adjustment (PGA)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</si>
</sst>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0.0000"/>
    <numFmt numFmtId="167" formatCode="0.000"/>
    <numFmt numFmtId="168" formatCode="0.0000000"/>
    <numFmt numFmtId="169" formatCode="0.0"/>
  </numFmts>
  <fonts count="8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 MT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0" fontId="6" fillId="0" borderId="0" xfId="1" applyFont="1"/>
    <xf numFmtId="0" fontId="7" fillId="0" borderId="0" xfId="0" applyFont="1"/>
  </cellXfs>
  <cellStyles count="2">
    <cellStyle name="Normal" xfId="0" builtinId="0"/>
    <cellStyle name="Normal_Chattanooga Rates 2" xfId="1" xr:uid="{04CB5013-0602-3E40-AE28-7EA6962AD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activeCell="G26" sqref="G26"/>
    </sheetView>
  </sheetViews>
  <sheetFormatPr baseColWidth="10" defaultColWidth="8.83203125" defaultRowHeight="15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92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92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92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92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92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92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5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5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2</v>
      </c>
      <c r="H24">
        <v>0</v>
      </c>
      <c r="I24">
        <v>24</v>
      </c>
      <c r="J24">
        <v>0</v>
      </c>
      <c r="K24">
        <v>6</v>
      </c>
      <c r="L24">
        <f>0.9+0.21781</f>
        <v>1.11781</v>
      </c>
      <c r="M24" s="5">
        <f>L24/2.83168</f>
        <v>0.39475152559611254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3</v>
      </c>
      <c r="G25">
        <v>12</v>
      </c>
      <c r="H25">
        <v>0</v>
      </c>
      <c r="I25">
        <v>24</v>
      </c>
      <c r="J25">
        <v>0</v>
      </c>
      <c r="K25">
        <v>6</v>
      </c>
      <c r="L25">
        <f>1.03639+0.21781</f>
        <v>1.2542</v>
      </c>
      <c r="M25" s="5">
        <f>L25/2.83168</f>
        <v>0.44291727878856368</v>
      </c>
      <c r="N25" t="s">
        <v>78</v>
      </c>
      <c r="O25" t="s">
        <v>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>
      <selection activeCell="O32" sqref="O3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125</v>
      </c>
    </row>
    <row r="4" spans="1:15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125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125</v>
      </c>
    </row>
    <row r="6" spans="1:15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125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125</v>
      </c>
    </row>
    <row r="8" spans="1:15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125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125</v>
      </c>
    </row>
    <row r="10" spans="1:15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125</v>
      </c>
    </row>
    <row r="12" spans="1:15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125</v>
      </c>
    </row>
    <row r="14" spans="1:15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125</v>
      </c>
    </row>
    <row r="16" spans="1:15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125</v>
      </c>
    </row>
    <row r="18" spans="1:15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125</v>
      </c>
    </row>
    <row r="20" spans="1:15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125</v>
      </c>
    </row>
    <row r="22" spans="1:15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125</v>
      </c>
    </row>
    <row r="24" spans="1:15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125</v>
      </c>
    </row>
    <row r="26" spans="1:15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125</v>
      </c>
    </row>
    <row r="27" spans="1:15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24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  <row r="30" spans="1:15">
      <c r="A30" t="s">
        <v>21</v>
      </c>
      <c r="B30" t="s">
        <v>11</v>
      </c>
      <c r="L30">
        <v>40</v>
      </c>
      <c r="M30">
        <v>40</v>
      </c>
      <c r="N30" t="s">
        <v>12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f>0.473+0.22</f>
        <v>0.69299999999999995</v>
      </c>
      <c r="M31" s="6">
        <f>L31/2.83168</f>
        <v>0.2447310430557125</v>
      </c>
      <c r="N31" t="s">
        <v>78</v>
      </c>
      <c r="O31" t="s">
        <v>128</v>
      </c>
    </row>
    <row r="32" spans="1:15">
      <c r="A32" t="s">
        <v>21</v>
      </c>
      <c r="B32" t="s">
        <v>13</v>
      </c>
      <c r="D32">
        <v>6000</v>
      </c>
      <c r="E32" s="13">
        <f>D32*2.83168</f>
        <v>16990.079999999998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f>0.396+0.22</f>
        <v>0.61599999999999999</v>
      </c>
      <c r="M32" s="6">
        <f>L32/2.83168</f>
        <v>0.21753870493841113</v>
      </c>
      <c r="N32" t="s">
        <v>78</v>
      </c>
      <c r="O32" t="s">
        <v>128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29"/>
  <sheetViews>
    <sheetView workbookViewId="0">
      <selection activeCell="M16" sqref="M1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f>0.00121+0.0244678</f>
        <v>2.5677800000000001E-2</v>
      </c>
      <c r="M3" s="5">
        <f>0.00121+0.0244678</f>
        <v>2.5677800000000001E-2</v>
      </c>
      <c r="N3" t="s">
        <v>14</v>
      </c>
      <c r="O3" t="s">
        <v>111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f>0.00121+0.0445597</f>
        <v>4.5769700000000003E-2</v>
      </c>
      <c r="M4" s="5">
        <f>0.00121+0.0445597</f>
        <v>4.5769700000000003E-2</v>
      </c>
      <c r="N4" t="s">
        <v>14</v>
      </c>
      <c r="O4" t="s">
        <v>111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f>0.00121+0.02273642</f>
        <v>2.394642E-2</v>
      </c>
      <c r="M5" s="5">
        <f>0.00121+0.02273642</f>
        <v>2.394642E-2</v>
      </c>
      <c r="N5" t="s">
        <v>14</v>
      </c>
      <c r="O5" t="s">
        <v>111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f>0.00121+0.026576292</f>
        <v>2.7786292000000001E-2</v>
      </c>
      <c r="M6" s="5">
        <f>0.00121+0.026576292</f>
        <v>2.7786292000000001E-2</v>
      </c>
      <c r="N6" t="s">
        <v>14</v>
      </c>
      <c r="O6" t="s">
        <v>111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f>0.00121+0.026425685</f>
        <v>2.7635685E-2</v>
      </c>
      <c r="M7" s="5">
        <f>0.00121+0.026425685</f>
        <v>2.7635685E-2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f>0.00121+0.032569458</f>
        <v>3.3779458000000005E-2</v>
      </c>
      <c r="M8" s="5">
        <f>0.00121+0.032569458</f>
        <v>3.3779458000000005E-2</v>
      </c>
      <c r="N8" t="s">
        <v>14</v>
      </c>
      <c r="O8" t="s">
        <v>111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0">
        <f>0.00121+0.03256946</f>
        <v>3.3779460000000004E-2</v>
      </c>
      <c r="M9" s="10">
        <f>0.00121+0.03256946</f>
        <v>3.3779460000000004E-2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f>0.00121+0.043616868</f>
        <v>4.4826868000000006E-2</v>
      </c>
      <c r="M10" s="5">
        <f>0.00121+0.043616868</f>
        <v>4.4826868000000006E-2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f>0.00121+0.044587306</f>
        <v>4.5797306000000003E-2</v>
      </c>
      <c r="M11" s="5">
        <f>0.00121+0.044587306</f>
        <v>4.5797306000000003E-2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f>0.00121+0.055849073</f>
        <v>5.7059073000000002E-2</v>
      </c>
      <c r="M12" s="5">
        <f>0.00121+0.055849073</f>
        <v>5.7059073000000002E-2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f>0.00121+0.050181969</f>
        <v>5.1391969000000003E-2</v>
      </c>
      <c r="M13" s="5">
        <f>0.00121+0.050181969</f>
        <v>5.1391969000000003E-2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f>0.00121+0.0328868</f>
        <v>3.4096800000000003E-2</v>
      </c>
      <c r="M14" s="5">
        <f>0.00121+0.0328868</f>
        <v>3.4096800000000003E-2</v>
      </c>
      <c r="N14" t="s">
        <v>14</v>
      </c>
      <c r="O14" t="s">
        <v>111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74</v>
      </c>
    </row>
    <row r="16" spans="1:15">
      <c r="A16" t="s">
        <v>21</v>
      </c>
      <c r="B16" t="s">
        <v>11</v>
      </c>
      <c r="L16">
        <v>918</v>
      </c>
      <c r="M16">
        <v>918</v>
      </c>
      <c r="N16" t="s">
        <v>12</v>
      </c>
    </row>
    <row r="17" spans="1:15">
      <c r="A17" t="s">
        <v>21</v>
      </c>
      <c r="B17" t="s">
        <v>15</v>
      </c>
      <c r="C17" t="s">
        <v>130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5">
        <f t="shared" ref="M17:M29" si="0">L17/2.83168</f>
        <v>7.4444852525709111</v>
      </c>
      <c r="N17" t="s">
        <v>79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5">
        <f t="shared" si="0"/>
        <v>0.12326957848344447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5">
        <f t="shared" si="0"/>
        <v>0.12514125889931066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5">
        <f t="shared" si="0"/>
        <v>0.13499406712622897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5">
        <f t="shared" si="0"/>
        <v>0.18492908803254607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5">
        <f t="shared" si="0"/>
        <v>0.20929624816363429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5">
        <f t="shared" si="0"/>
        <v>0.22508193016160016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5">
        <f t="shared" si="0"/>
        <v>0.24298649564922589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5">
        <f t="shared" si="0"/>
        <v>0.25170923268165896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5">
        <f t="shared" si="0"/>
        <v>0.25499350209063171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5">
        <f t="shared" si="0"/>
        <v>0.2775596112555091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5">
        <f t="shared" si="0"/>
        <v>0.28218584020793308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5">
        <f t="shared" si="0"/>
        <v>0.26195050288168154</v>
      </c>
      <c r="N29" t="s">
        <v>78</v>
      </c>
      <c r="O29" t="s">
        <v>128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5"/>
  <sheetViews>
    <sheetView topLeftCell="A18" workbookViewId="0">
      <selection activeCell="D29" sqref="D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workbookViewId="0">
      <selection activeCell="E22" sqref="E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v>14.794499999999999</v>
      </c>
      <c r="M19"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1"/>
  <sheetViews>
    <sheetView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1"/>
  <sheetViews>
    <sheetView workbookViewId="0">
      <selection activeCell="N41" sqref="A39:N4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120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120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120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120</v>
      </c>
    </row>
    <row r="15" spans="1:1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5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5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5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5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5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5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  <row r="39" spans="1:15">
      <c r="A39" t="s">
        <v>21</v>
      </c>
      <c r="B39" t="s">
        <v>11</v>
      </c>
      <c r="L39">
        <v>21.39</v>
      </c>
      <c r="M39">
        <v>21.39</v>
      </c>
      <c r="N39" t="s">
        <v>12</v>
      </c>
    </row>
    <row r="40" spans="1:15">
      <c r="A40" t="s">
        <v>21</v>
      </c>
      <c r="B40" t="s">
        <v>13</v>
      </c>
      <c r="D40">
        <v>0</v>
      </c>
      <c r="E40">
        <v>0</v>
      </c>
      <c r="F40">
        <v>1</v>
      </c>
      <c r="G40">
        <v>12</v>
      </c>
      <c r="H40">
        <v>0</v>
      </c>
      <c r="I40">
        <v>24</v>
      </c>
      <c r="J40">
        <v>0</v>
      </c>
      <c r="K40">
        <v>6</v>
      </c>
      <c r="L40">
        <v>1.03999</v>
      </c>
      <c r="M40" s="5">
        <f>L40/2.83168</f>
        <v>0.3672696067352243</v>
      </c>
      <c r="N40" t="s">
        <v>78</v>
      </c>
      <c r="O40" t="s">
        <v>127</v>
      </c>
    </row>
    <row r="41" spans="1:15">
      <c r="A41" t="s">
        <v>21</v>
      </c>
      <c r="B41" t="s">
        <v>13</v>
      </c>
      <c r="D41">
        <v>500</v>
      </c>
      <c r="E41">
        <f>D41*2.83168</f>
        <v>1415.84</v>
      </c>
      <c r="F41">
        <v>1</v>
      </c>
      <c r="G41">
        <v>12</v>
      </c>
      <c r="H41">
        <v>0</v>
      </c>
      <c r="I41">
        <v>24</v>
      </c>
      <c r="J41">
        <v>0</v>
      </c>
      <c r="K41">
        <v>6</v>
      </c>
      <c r="L41">
        <v>0.97740000000000005</v>
      </c>
      <c r="M41" s="5">
        <f>L41/2.83168</f>
        <v>0.34516612046558937</v>
      </c>
      <c r="N41" t="s">
        <v>78</v>
      </c>
      <c r="O41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3"/>
  <sheetViews>
    <sheetView workbookViewId="0">
      <selection activeCell="O11" sqref="O1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86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  <c r="O4" t="s">
        <v>86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  <c r="O5" t="s">
        <v>86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  <c r="O6" t="s">
        <v>86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  <c r="O7" t="s">
        <v>86</v>
      </c>
    </row>
    <row r="8" spans="1:1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  <c r="O8" t="s">
        <v>86</v>
      </c>
    </row>
    <row r="9" spans="1:1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  <c r="O9" t="s">
        <v>86</v>
      </c>
    </row>
    <row r="10" spans="1:1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  <row r="11" spans="1:15">
      <c r="A11" t="s">
        <v>21</v>
      </c>
      <c r="B11" t="s">
        <v>11</v>
      </c>
      <c r="L11">
        <v>93.14</v>
      </c>
      <c r="M11">
        <v>93.14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10</v>
      </c>
      <c r="H12">
        <v>0</v>
      </c>
      <c r="I12">
        <v>24</v>
      </c>
      <c r="J12">
        <v>0</v>
      </c>
      <c r="K12">
        <v>6</v>
      </c>
      <c r="L12">
        <v>0.28370000000000001</v>
      </c>
      <c r="M12" s="5">
        <f>L12/2.83168</f>
        <v>0.10018787433608317</v>
      </c>
      <c r="N12" t="s">
        <v>78</v>
      </c>
      <c r="O12" t="s">
        <v>129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0.45400000000000001</v>
      </c>
      <c r="M13" s="5">
        <f>L13/2.83168</f>
        <v>0.16032885071759523</v>
      </c>
      <c r="N13" t="s">
        <v>78</v>
      </c>
      <c r="O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I15" sqref="I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 s="5">
        <f>L6/2.83168</f>
        <v>0.32393490789919765</v>
      </c>
      <c r="N6" t="s">
        <v>78</v>
      </c>
    </row>
    <row r="7" spans="1:1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81"/>
  <sheetViews>
    <sheetView topLeftCell="A41" workbookViewId="0">
      <selection activeCell="L82" sqref="L8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1"/>
  <sheetViews>
    <sheetView workbookViewId="0">
      <selection activeCell="L18" sqref="L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  <row r="17" spans="1:14">
      <c r="A17" t="s">
        <v>21</v>
      </c>
      <c r="B17" t="s">
        <v>11</v>
      </c>
      <c r="L17">
        <v>350</v>
      </c>
      <c r="M17">
        <v>350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3</v>
      </c>
      <c r="H18">
        <v>0</v>
      </c>
      <c r="I18">
        <v>24</v>
      </c>
      <c r="J18">
        <v>0</v>
      </c>
      <c r="K18">
        <v>6</v>
      </c>
      <c r="L18">
        <v>0.36323</v>
      </c>
      <c r="M18" s="5">
        <f>L18/2.83168</f>
        <v>0.12827367499152448</v>
      </c>
      <c r="N18" t="s">
        <v>78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4</v>
      </c>
      <c r="G19">
        <v>6</v>
      </c>
      <c r="H19">
        <v>0</v>
      </c>
      <c r="I19">
        <v>24</v>
      </c>
      <c r="J19">
        <v>0</v>
      </c>
      <c r="K19">
        <v>6</v>
      </c>
      <c r="L19">
        <v>0.33068999999999998</v>
      </c>
      <c r="M19" s="5">
        <f>L19/2.83168</f>
        <v>0.11678226353260254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7</v>
      </c>
      <c r="G20">
        <v>9</v>
      </c>
      <c r="H20">
        <v>0</v>
      </c>
      <c r="I20">
        <v>24</v>
      </c>
      <c r="J20">
        <v>0</v>
      </c>
      <c r="K20">
        <v>6</v>
      </c>
      <c r="L20">
        <v>0.53173999999999999</v>
      </c>
      <c r="M20" s="5">
        <f>L20/2.83168</f>
        <v>0.18778251779862132</v>
      </c>
      <c r="N20" t="s">
        <v>78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0.57313999999999998</v>
      </c>
      <c r="M21" s="5">
        <f>L21/2.83168</f>
        <v>0.20240281387727427</v>
      </c>
      <c r="N21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1"/>
  <sheetViews>
    <sheetView topLeftCell="A44"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6" sqref="O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>
      <c r="A5" t="s">
        <v>21</v>
      </c>
      <c r="B5" s="4" t="s">
        <v>11</v>
      </c>
      <c r="L5">
        <v>53.33</v>
      </c>
      <c r="M5">
        <v>53.33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0.12679+0.59985</f>
        <v>0.72663999999999995</v>
      </c>
      <c r="M6" s="5">
        <f>L6/2.83168</f>
        <v>0.2566109164877387</v>
      </c>
      <c r="N6" t="s">
        <v>78</v>
      </c>
      <c r="O6" t="s">
        <v>128</v>
      </c>
    </row>
    <row r="7" spans="1:15">
      <c r="A7" s="1"/>
    </row>
    <row r="10" spans="1:1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M12" sqref="M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6">
        <f>L11/2.83168</f>
        <v>0.20717383320149169</v>
      </c>
      <c r="N11" t="s">
        <v>78</v>
      </c>
    </row>
    <row r="12" spans="1:1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6">
        <f>L12/2.83168</f>
        <v>0.20020623799299356</v>
      </c>
      <c r="N12" t="s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8"/>
  <sheetViews>
    <sheetView topLeftCell="A21" workbookViewId="0">
      <selection activeCell="L54" sqref="L5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116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116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116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116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116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116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116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116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116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116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116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116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116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116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116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116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116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116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116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116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116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116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116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116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116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116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116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116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116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116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116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116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116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116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116</v>
      </c>
    </row>
    <row r="39" spans="1:1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  <row r="45" spans="1:15">
      <c r="A45" t="s">
        <v>21</v>
      </c>
      <c r="B45" t="s">
        <v>11</v>
      </c>
      <c r="L45">
        <v>100.2</v>
      </c>
      <c r="M45">
        <v>100.2</v>
      </c>
      <c r="N45" t="s">
        <v>12</v>
      </c>
    </row>
    <row r="46" spans="1:1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f>17.7714/10</f>
        <v>1.7771399999999999</v>
      </c>
      <c r="M46" s="5">
        <f t="shared" ref="M46:M58" si="0">L46/2.83168</f>
        <v>0.62759210080235051</v>
      </c>
      <c r="N46" t="s">
        <v>79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1</v>
      </c>
      <c r="G47">
        <v>4</v>
      </c>
      <c r="H47">
        <v>0</v>
      </c>
      <c r="I47">
        <v>24</v>
      </c>
      <c r="J47">
        <v>0</v>
      </c>
      <c r="K47">
        <v>6</v>
      </c>
      <c r="L47" s="14">
        <v>0.59965999999999997</v>
      </c>
      <c r="M47" s="5">
        <f t="shared" si="0"/>
        <v>0.21176827890157079</v>
      </c>
      <c r="N47" t="s">
        <v>78</v>
      </c>
    </row>
    <row r="48" spans="1:15">
      <c r="A48" t="s">
        <v>21</v>
      </c>
      <c r="B48" t="s">
        <v>13</v>
      </c>
      <c r="D48">
        <v>3000</v>
      </c>
      <c r="E48">
        <f>D48*2.83168</f>
        <v>8495.0399999999991</v>
      </c>
      <c r="F48">
        <v>1</v>
      </c>
      <c r="G48">
        <v>4</v>
      </c>
      <c r="H48">
        <v>0</v>
      </c>
      <c r="I48">
        <v>24</v>
      </c>
      <c r="J48">
        <v>0</v>
      </c>
      <c r="K48">
        <v>6</v>
      </c>
      <c r="L48" s="14">
        <v>0.57776000000000005</v>
      </c>
      <c r="M48" s="5">
        <f t="shared" si="0"/>
        <v>0.20403435416431237</v>
      </c>
      <c r="N48" t="s">
        <v>78</v>
      </c>
    </row>
    <row r="49" spans="1:14">
      <c r="A49" t="s">
        <v>21</v>
      </c>
      <c r="B49" t="s">
        <v>13</v>
      </c>
      <c r="D49">
        <v>5000</v>
      </c>
      <c r="E49">
        <f>D49*2.83168</f>
        <v>14158.4</v>
      </c>
      <c r="F49">
        <v>1</v>
      </c>
      <c r="G49">
        <v>4</v>
      </c>
      <c r="H49">
        <v>0</v>
      </c>
      <c r="I49">
        <v>24</v>
      </c>
      <c r="J49">
        <v>0</v>
      </c>
      <c r="K49">
        <v>6</v>
      </c>
      <c r="L49" s="14">
        <v>0.57181999999999999</v>
      </c>
      <c r="M49" s="5">
        <f t="shared" si="0"/>
        <v>0.20193665950954909</v>
      </c>
      <c r="N49" t="s">
        <v>78</v>
      </c>
    </row>
    <row r="50" spans="1:14">
      <c r="A50" t="s">
        <v>21</v>
      </c>
      <c r="B50" t="s">
        <v>13</v>
      </c>
      <c r="D50">
        <v>15000</v>
      </c>
      <c r="E50">
        <f>D50*2.83168</f>
        <v>42475.199999999997</v>
      </c>
      <c r="F50">
        <v>1</v>
      </c>
      <c r="G50">
        <v>4</v>
      </c>
      <c r="H50">
        <v>0</v>
      </c>
      <c r="I50">
        <v>24</v>
      </c>
      <c r="J50">
        <v>0</v>
      </c>
      <c r="K50">
        <v>6</v>
      </c>
      <c r="L50" s="14">
        <v>0.46404999999999996</v>
      </c>
      <c r="M50" s="5">
        <f t="shared" si="0"/>
        <v>0.16387798056277544</v>
      </c>
      <c r="N50" t="s">
        <v>78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5</v>
      </c>
      <c r="G51">
        <v>10</v>
      </c>
      <c r="H51">
        <v>0</v>
      </c>
      <c r="I51">
        <v>24</v>
      </c>
      <c r="J51">
        <v>0</v>
      </c>
      <c r="K51">
        <v>6</v>
      </c>
      <c r="L51" s="14">
        <v>0.54571000000000003</v>
      </c>
      <c r="M51" s="5">
        <f t="shared" si="0"/>
        <v>0.192715984857046</v>
      </c>
      <c r="N51" t="s">
        <v>78</v>
      </c>
    </row>
    <row r="52" spans="1:14">
      <c r="A52" t="s">
        <v>21</v>
      </c>
      <c r="B52" t="s">
        <v>13</v>
      </c>
      <c r="D52">
        <v>3000</v>
      </c>
      <c r="E52">
        <f>D52*2.83168</f>
        <v>8495.0399999999991</v>
      </c>
      <c r="F52">
        <v>5</v>
      </c>
      <c r="G52">
        <v>10</v>
      </c>
      <c r="H52">
        <v>0</v>
      </c>
      <c r="I52">
        <v>24</v>
      </c>
      <c r="J52">
        <v>0</v>
      </c>
      <c r="K52">
        <v>6</v>
      </c>
      <c r="L52" s="14">
        <v>0.50506000000000006</v>
      </c>
      <c r="M52" s="5">
        <f t="shared" si="0"/>
        <v>0.17836054921460054</v>
      </c>
      <c r="N52" t="s">
        <v>78</v>
      </c>
    </row>
    <row r="53" spans="1:14">
      <c r="A53" t="s">
        <v>21</v>
      </c>
      <c r="B53" t="s">
        <v>13</v>
      </c>
      <c r="D53">
        <v>5000</v>
      </c>
      <c r="E53">
        <f>D53*2.83168</f>
        <v>14158.4</v>
      </c>
      <c r="F53">
        <v>5</v>
      </c>
      <c r="G53">
        <v>10</v>
      </c>
      <c r="H53">
        <v>0</v>
      </c>
      <c r="I53">
        <v>24</v>
      </c>
      <c r="J53">
        <v>0</v>
      </c>
      <c r="K53">
        <v>6</v>
      </c>
      <c r="L53" s="14">
        <v>0.49446000000000001</v>
      </c>
      <c r="M53" s="5">
        <f t="shared" si="0"/>
        <v>0.17461718838286813</v>
      </c>
      <c r="N53" t="s">
        <v>78</v>
      </c>
    </row>
    <row r="54" spans="1:14">
      <c r="A54" t="s">
        <v>21</v>
      </c>
      <c r="B54" t="s">
        <v>13</v>
      </c>
      <c r="D54">
        <v>15000</v>
      </c>
      <c r="E54">
        <f>D54*2.83168</f>
        <v>42475.199999999997</v>
      </c>
      <c r="F54">
        <v>5</v>
      </c>
      <c r="G54">
        <v>10</v>
      </c>
      <c r="H54">
        <v>0</v>
      </c>
      <c r="I54">
        <v>24</v>
      </c>
      <c r="J54">
        <v>0</v>
      </c>
      <c r="K54">
        <v>6</v>
      </c>
      <c r="L54" s="14">
        <v>0.46403</v>
      </c>
      <c r="M54" s="5">
        <f t="shared" si="0"/>
        <v>0.16387091761780992</v>
      </c>
      <c r="N54" t="s">
        <v>78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11</v>
      </c>
      <c r="G55">
        <v>12</v>
      </c>
      <c r="H55">
        <v>0</v>
      </c>
      <c r="I55">
        <v>24</v>
      </c>
      <c r="J55">
        <v>0</v>
      </c>
      <c r="K55">
        <v>6</v>
      </c>
      <c r="L55" s="14">
        <v>0.59965999999999997</v>
      </c>
      <c r="M55" s="5">
        <f t="shared" si="0"/>
        <v>0.21176827890157079</v>
      </c>
      <c r="N55" t="s">
        <v>78</v>
      </c>
    </row>
    <row r="56" spans="1:14">
      <c r="A56" t="s">
        <v>21</v>
      </c>
      <c r="B56" t="s">
        <v>13</v>
      </c>
      <c r="D56">
        <v>3000</v>
      </c>
      <c r="E56">
        <f>D56*2.83168</f>
        <v>8495.0399999999991</v>
      </c>
      <c r="F56">
        <v>11</v>
      </c>
      <c r="G56">
        <v>12</v>
      </c>
      <c r="H56">
        <v>0</v>
      </c>
      <c r="I56">
        <v>24</v>
      </c>
      <c r="J56">
        <v>0</v>
      </c>
      <c r="K56">
        <v>6</v>
      </c>
      <c r="L56" s="14">
        <v>0.57776000000000005</v>
      </c>
      <c r="M56" s="5">
        <f t="shared" si="0"/>
        <v>0.20403435416431237</v>
      </c>
      <c r="N56" t="s">
        <v>78</v>
      </c>
    </row>
    <row r="57" spans="1:14">
      <c r="A57" t="s">
        <v>21</v>
      </c>
      <c r="B57" t="s">
        <v>13</v>
      </c>
      <c r="D57">
        <v>5000</v>
      </c>
      <c r="E57">
        <f>D57*2.83168</f>
        <v>14158.4</v>
      </c>
      <c r="F57">
        <v>11</v>
      </c>
      <c r="G57">
        <v>12</v>
      </c>
      <c r="H57">
        <v>0</v>
      </c>
      <c r="I57">
        <v>24</v>
      </c>
      <c r="J57">
        <v>0</v>
      </c>
      <c r="K57">
        <v>6</v>
      </c>
      <c r="L57" s="14">
        <v>0.57181999999999999</v>
      </c>
      <c r="M57" s="5">
        <f t="shared" si="0"/>
        <v>0.20193665950954909</v>
      </c>
      <c r="N57" t="s">
        <v>78</v>
      </c>
    </row>
    <row r="58" spans="1:14">
      <c r="A58" t="s">
        <v>21</v>
      </c>
      <c r="B58" t="s">
        <v>13</v>
      </c>
      <c r="D58">
        <v>15000</v>
      </c>
      <c r="E58">
        <f>D58*2.83168</f>
        <v>42475.199999999997</v>
      </c>
      <c r="F58">
        <v>11</v>
      </c>
      <c r="G58">
        <v>12</v>
      </c>
      <c r="H58">
        <v>0</v>
      </c>
      <c r="I58">
        <v>24</v>
      </c>
      <c r="J58">
        <v>0</v>
      </c>
      <c r="K58">
        <v>6</v>
      </c>
      <c r="L58" s="14">
        <v>0.46404999999999996</v>
      </c>
      <c r="M58" s="5">
        <f t="shared" si="0"/>
        <v>0.16387798056277544</v>
      </c>
      <c r="N58" t="s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4"/>
  <sheetViews>
    <sheetView workbookViewId="0">
      <selection activeCell="N24" sqref="N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6">
        <f>L23/2.83168</f>
        <v>0.18939286925076279</v>
      </c>
      <c r="N23" t="s">
        <v>78</v>
      </c>
    </row>
    <row r="24" spans="1:14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6">
        <f>L24/2.83168</f>
        <v>0.10068228048367046</v>
      </c>
      <c r="N24" t="s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1"/>
  <sheetViews>
    <sheetView workbookViewId="0">
      <selection activeCell="N29" sqref="N29:N3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5">
        <v>2.4431900310000001E-2</v>
      </c>
      <c r="M4" s="5">
        <v>2.4431900310000001E-2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5">
        <v>3.8349435639999999E-2</v>
      </c>
      <c r="M5" s="5">
        <v>3.8349435639999999E-2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5">
        <v>2.324819446E-2</v>
      </c>
      <c r="M6" s="5">
        <v>2.324819446E-2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5">
        <v>2.187149222E-2</v>
      </c>
      <c r="M7" s="5">
        <v>2.187149222E-2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5">
        <v>2.6041281100000001E-2</v>
      </c>
      <c r="M8" s="5">
        <v>2.6041281100000001E-2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5">
        <v>2.862723688E-2</v>
      </c>
      <c r="M9" s="5">
        <v>2.862723688E-2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5">
        <v>3.3868808239999999E-2</v>
      </c>
      <c r="M10" s="5">
        <v>3.3868808239999999E-2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5">
        <v>4.2256823640000003E-2</v>
      </c>
      <c r="M11" s="5">
        <v>4.2256823640000003E-2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5">
        <v>4.3990401579999998E-2</v>
      </c>
      <c r="M12" s="5">
        <v>4.3990401579999998E-2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5">
        <v>5.4245592510000003E-2</v>
      </c>
      <c r="M13" s="5">
        <v>5.4245592510000003E-2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5">
        <v>6.3117345020000007E-2</v>
      </c>
      <c r="M14" s="5">
        <v>6.3117345020000007E-2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5">
        <v>3.8051941759999999E-2</v>
      </c>
      <c r="M15" s="5">
        <v>3.8051941759999999E-2</v>
      </c>
      <c r="N15" t="s">
        <v>14</v>
      </c>
    </row>
    <row r="16" spans="1:15">
      <c r="A16" t="s">
        <v>21</v>
      </c>
      <c r="B16" t="s">
        <v>11</v>
      </c>
      <c r="L16" s="9">
        <v>121.01</v>
      </c>
      <c r="M16" s="9">
        <v>121.01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 s="6">
        <v>0.56101000000000001</v>
      </c>
      <c r="M17" s="5">
        <f t="shared" ref="M17:M31" si="0">L17/2.83168</f>
        <v>0.1981191377556786</v>
      </c>
      <c r="N17" t="s">
        <v>78</v>
      </c>
    </row>
    <row r="18" spans="1:14">
      <c r="A18" t="s">
        <v>21</v>
      </c>
      <c r="B18" t="s">
        <v>13</v>
      </c>
      <c r="D18">
        <v>3000</v>
      </c>
      <c r="E18">
        <f>D18*2.83168</f>
        <v>8495.0399999999991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 s="6">
        <v>0.54908999999999997</v>
      </c>
      <c r="M18" s="5">
        <f t="shared" si="0"/>
        <v>0.19390962255622105</v>
      </c>
      <c r="N18" t="s">
        <v>78</v>
      </c>
    </row>
    <row r="19" spans="1:14">
      <c r="A19" t="s">
        <v>21</v>
      </c>
      <c r="B19" t="s">
        <v>13</v>
      </c>
      <c r="D19">
        <v>20000</v>
      </c>
      <c r="E19">
        <f>D19*2.83168</f>
        <v>56633.599999999999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 s="6">
        <v>0.52725</v>
      </c>
      <c r="M19" s="5">
        <f t="shared" si="0"/>
        <v>0.18619688665385919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2</v>
      </c>
      <c r="G20">
        <v>7</v>
      </c>
      <c r="H20">
        <v>0</v>
      </c>
      <c r="I20">
        <v>24</v>
      </c>
      <c r="J20">
        <v>0</v>
      </c>
      <c r="K20">
        <v>6</v>
      </c>
      <c r="L20" s="6">
        <v>0.54481999999999997</v>
      </c>
      <c r="M20" s="5">
        <f t="shared" si="0"/>
        <v>0.19240168380607978</v>
      </c>
      <c r="N20" t="s">
        <v>78</v>
      </c>
    </row>
    <row r="21" spans="1:14">
      <c r="A21" t="s">
        <v>21</v>
      </c>
      <c r="B21" t="s">
        <v>13</v>
      </c>
      <c r="D21">
        <v>3000</v>
      </c>
      <c r="E21">
        <f>D21*2.83168</f>
        <v>8495.0399999999991</v>
      </c>
      <c r="F21">
        <v>2</v>
      </c>
      <c r="G21">
        <v>7</v>
      </c>
      <c r="H21">
        <v>0</v>
      </c>
      <c r="I21">
        <v>24</v>
      </c>
      <c r="J21">
        <v>0</v>
      </c>
      <c r="K21">
        <v>6</v>
      </c>
      <c r="L21" s="6">
        <v>0.53290000000000004</v>
      </c>
      <c r="M21" s="5">
        <f t="shared" si="0"/>
        <v>0.18819216860662225</v>
      </c>
      <c r="N21" t="s">
        <v>78</v>
      </c>
    </row>
    <row r="22" spans="1:14">
      <c r="A22" t="s">
        <v>21</v>
      </c>
      <c r="B22" t="s">
        <v>13</v>
      </c>
      <c r="D22">
        <v>20000</v>
      </c>
      <c r="E22">
        <f>D22*2.83168</f>
        <v>56633.599999999999</v>
      </c>
      <c r="F22">
        <v>2</v>
      </c>
      <c r="G22">
        <v>7</v>
      </c>
      <c r="H22">
        <v>0</v>
      </c>
      <c r="I22">
        <v>24</v>
      </c>
      <c r="J22">
        <v>0</v>
      </c>
      <c r="K22">
        <v>6</v>
      </c>
      <c r="L22" s="6">
        <v>0.51105999999999996</v>
      </c>
      <c r="M22" s="5">
        <f t="shared" si="0"/>
        <v>0.18047943270426037</v>
      </c>
      <c r="N22" t="s">
        <v>78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8</v>
      </c>
      <c r="G23">
        <v>9</v>
      </c>
      <c r="H23">
        <v>0</v>
      </c>
      <c r="I23">
        <v>24</v>
      </c>
      <c r="J23">
        <v>0</v>
      </c>
      <c r="K23">
        <v>6</v>
      </c>
      <c r="L23" s="6">
        <v>0.66203999999999996</v>
      </c>
      <c r="M23" s="5">
        <f t="shared" si="0"/>
        <v>0.23379760424906768</v>
      </c>
      <c r="N23" t="s">
        <v>78</v>
      </c>
    </row>
    <row r="24" spans="1:14">
      <c r="A24" t="s">
        <v>21</v>
      </c>
      <c r="B24" t="s">
        <v>13</v>
      </c>
      <c r="D24">
        <v>3000</v>
      </c>
      <c r="E24">
        <f>D24*2.83168</f>
        <v>8495.0399999999991</v>
      </c>
      <c r="F24">
        <v>8</v>
      </c>
      <c r="G24">
        <v>9</v>
      </c>
      <c r="H24">
        <v>0</v>
      </c>
      <c r="I24">
        <v>24</v>
      </c>
      <c r="J24">
        <v>0</v>
      </c>
      <c r="K24">
        <v>6</v>
      </c>
      <c r="L24" s="6">
        <v>0.65012000000000003</v>
      </c>
      <c r="M24" s="5">
        <f t="shared" si="0"/>
        <v>0.22958808904961014</v>
      </c>
      <c r="N24" t="s">
        <v>78</v>
      </c>
    </row>
    <row r="25" spans="1:14">
      <c r="A25" t="s">
        <v>21</v>
      </c>
      <c r="B25" t="s">
        <v>13</v>
      </c>
      <c r="D25">
        <v>20000</v>
      </c>
      <c r="E25">
        <f>D25*2.83168</f>
        <v>56633.599999999999</v>
      </c>
      <c r="F25">
        <v>8</v>
      </c>
      <c r="G25">
        <v>9</v>
      </c>
      <c r="H25">
        <v>0</v>
      </c>
      <c r="I25">
        <v>24</v>
      </c>
      <c r="J25">
        <v>0</v>
      </c>
      <c r="K25">
        <v>6</v>
      </c>
      <c r="L25" s="6">
        <v>0.62827999999999995</v>
      </c>
      <c r="M25" s="5">
        <f t="shared" si="0"/>
        <v>0.22187535314724827</v>
      </c>
      <c r="N25" t="s">
        <v>78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0.63060000000000005</v>
      </c>
      <c r="M26" s="5">
        <f t="shared" si="0"/>
        <v>0.22269465476325009</v>
      </c>
      <c r="N26" t="s">
        <v>78</v>
      </c>
    </row>
    <row r="27" spans="1:14">
      <c r="A27" t="s">
        <v>21</v>
      </c>
      <c r="B27" t="s">
        <v>13</v>
      </c>
      <c r="D27">
        <v>3000</v>
      </c>
      <c r="E27">
        <f>D27*2.83168</f>
        <v>8495.0399999999991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 s="6">
        <v>0.61953999999999998</v>
      </c>
      <c r="M27" s="5">
        <f t="shared" si="0"/>
        <v>0.21878884619731043</v>
      </c>
      <c r="N27" t="s">
        <v>78</v>
      </c>
    </row>
    <row r="28" spans="1:14">
      <c r="A28" t="s">
        <v>21</v>
      </c>
      <c r="B28" t="s">
        <v>13</v>
      </c>
      <c r="D28">
        <v>20000</v>
      </c>
      <c r="E28">
        <f>D28*2.83168</f>
        <v>56633.599999999999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 s="6">
        <v>0.60809999999999997</v>
      </c>
      <c r="M28" s="5">
        <f t="shared" si="0"/>
        <v>0.21474884167702565</v>
      </c>
      <c r="N28" t="s">
        <v>78</v>
      </c>
    </row>
    <row r="29" spans="1:14">
      <c r="A29" t="s">
        <v>21</v>
      </c>
      <c r="B29" t="s">
        <v>13</v>
      </c>
      <c r="D29">
        <v>0</v>
      </c>
      <c r="E29">
        <v>0</v>
      </c>
      <c r="F29">
        <v>11</v>
      </c>
      <c r="G29">
        <v>12</v>
      </c>
      <c r="H29">
        <v>0</v>
      </c>
      <c r="I29">
        <v>24</v>
      </c>
      <c r="J29">
        <v>0</v>
      </c>
      <c r="K29">
        <v>6</v>
      </c>
      <c r="L29" s="6">
        <v>0.76493</v>
      </c>
      <c r="M29" s="5">
        <f t="shared" si="0"/>
        <v>0.27013292462425131</v>
      </c>
      <c r="N29" t="s">
        <v>78</v>
      </c>
    </row>
    <row r="30" spans="1:14">
      <c r="A30" t="s">
        <v>21</v>
      </c>
      <c r="B30" t="s">
        <v>13</v>
      </c>
      <c r="D30">
        <v>3000</v>
      </c>
      <c r="E30">
        <f>D30*2.83168</f>
        <v>8495.0399999999991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 s="6">
        <v>0.75387000000000004</v>
      </c>
      <c r="M30" s="5">
        <f t="shared" si="0"/>
        <v>0.26622711605831167</v>
      </c>
      <c r="N30" t="s">
        <v>78</v>
      </c>
    </row>
    <row r="31" spans="1:14">
      <c r="A31" t="s">
        <v>21</v>
      </c>
      <c r="B31" t="s">
        <v>13</v>
      </c>
      <c r="D31">
        <v>20000</v>
      </c>
      <c r="E31">
        <f>D31*2.83168</f>
        <v>56633.599999999999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6">
        <v>0.74243000000000003</v>
      </c>
      <c r="M31" s="5">
        <f t="shared" si="0"/>
        <v>0.26218711153802693</v>
      </c>
      <c r="N31" t="s">
        <v>78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6">
        <f>L8/2.83168</f>
        <v>0.32393490789919765</v>
      </c>
      <c r="N8" t="s">
        <v>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7"/>
  <sheetViews>
    <sheetView topLeftCell="A20" workbookViewId="0">
      <selection activeCell="D55" sqref="D55:K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85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85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85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85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85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85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85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85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85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85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85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85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85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85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85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85</v>
      </c>
    </row>
    <row r="51" spans="1:1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  <row r="55" spans="1:15">
      <c r="A55" t="s">
        <v>21</v>
      </c>
      <c r="B55" t="s">
        <v>15</v>
      </c>
      <c r="C55" t="s">
        <v>130</v>
      </c>
      <c r="D55">
        <v>0</v>
      </c>
      <c r="E55">
        <v>0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0.256*24</f>
        <v>6.1440000000000001</v>
      </c>
      <c r="M55" s="5">
        <f>L55/2.83168</f>
        <v>2.1697366934116848</v>
      </c>
      <c r="N55" t="s">
        <v>79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f>0.499</f>
        <v>0.499</v>
      </c>
      <c r="M56" s="5">
        <f>L56/2.83168</f>
        <v>0.17622047689004408</v>
      </c>
      <c r="N56" t="s">
        <v>78</v>
      </c>
    </row>
    <row r="57" spans="1:15">
      <c r="A57" t="s">
        <v>21</v>
      </c>
      <c r="B57" t="s">
        <v>13</v>
      </c>
      <c r="D57">
        <v>200000</v>
      </c>
      <c r="E57">
        <f>D57*2.83168</f>
        <v>566336</v>
      </c>
      <c r="F57">
        <v>1</v>
      </c>
      <c r="G57">
        <v>12</v>
      </c>
      <c r="H57">
        <v>0</v>
      </c>
      <c r="I57">
        <v>24</v>
      </c>
      <c r="J57">
        <v>0</v>
      </c>
      <c r="K57">
        <v>6</v>
      </c>
      <c r="L57">
        <v>0.40300000000000002</v>
      </c>
      <c r="M57" s="5">
        <f>L57/2.83168</f>
        <v>0.14231834105548652</v>
      </c>
      <c r="N57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8"/>
  <sheetViews>
    <sheetView workbookViewId="0">
      <selection activeCell="O28" sqref="A16:O2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5">
        <v>2.74983064516129E-2</v>
      </c>
      <c r="M4" s="5">
        <v>2.74983064516129E-2</v>
      </c>
      <c r="N4" t="s">
        <v>14</v>
      </c>
      <c r="O4" t="s">
        <v>102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5">
        <v>4.2798288690476097E-2</v>
      </c>
      <c r="M5" s="5">
        <v>4.2798288690476097E-2</v>
      </c>
      <c r="N5" t="s">
        <v>14</v>
      </c>
      <c r="O5" t="s">
        <v>102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5">
        <v>1.77984811827957E-2</v>
      </c>
      <c r="M6" s="5">
        <v>1.77984811827957E-2</v>
      </c>
      <c r="N6" t="s">
        <v>14</v>
      </c>
      <c r="O6" t="s">
        <v>102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5">
        <v>1.36776805555555E-2</v>
      </c>
      <c r="M7" s="5">
        <v>1.36776805555555E-2</v>
      </c>
      <c r="N7" t="s">
        <v>14</v>
      </c>
      <c r="O7" t="s">
        <v>102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5">
        <v>2.0449583333333299E-2</v>
      </c>
      <c r="M8" s="5">
        <v>2.0449583333333299E-2</v>
      </c>
      <c r="N8" t="s">
        <v>14</v>
      </c>
      <c r="O8" t="s">
        <v>102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5">
        <v>3.3014458333333302E-2</v>
      </c>
      <c r="M9" s="5">
        <v>3.3014458333333302E-2</v>
      </c>
      <c r="N9" t="s">
        <v>14</v>
      </c>
      <c r="O9" t="s">
        <v>102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5">
        <v>3.7364408602150498E-2</v>
      </c>
      <c r="M10" s="5">
        <v>3.7364408602150498E-2</v>
      </c>
      <c r="N10" t="s">
        <v>14</v>
      </c>
      <c r="O10" t="s">
        <v>102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5">
        <v>4.5988413978494597E-2</v>
      </c>
      <c r="M11" s="5">
        <v>4.5988413978494597E-2</v>
      </c>
      <c r="N11" t="s">
        <v>14</v>
      </c>
      <c r="O11" t="s">
        <v>102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5">
        <v>3.9946888888888803E-2</v>
      </c>
      <c r="M12" s="5">
        <v>3.9946888888888803E-2</v>
      </c>
      <c r="N12" t="s">
        <v>14</v>
      </c>
      <c r="O12" t="s">
        <v>102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5">
        <v>4.9062715053763403E-2</v>
      </c>
      <c r="M13" s="5">
        <v>4.9062715053763403E-2</v>
      </c>
      <c r="N13" t="s">
        <v>14</v>
      </c>
      <c r="O13" t="s">
        <v>102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5">
        <v>4.70899583333333E-2</v>
      </c>
      <c r="M14" s="5">
        <v>4.70899583333333E-2</v>
      </c>
      <c r="N14" t="s">
        <v>14</v>
      </c>
      <c r="O14" t="s">
        <v>102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5">
        <v>3.9353091397849399E-2</v>
      </c>
      <c r="M15" s="5">
        <v>3.9353091397849399E-2</v>
      </c>
      <c r="N15" t="s">
        <v>14</v>
      </c>
      <c r="O15" t="s">
        <v>102</v>
      </c>
    </row>
    <row r="16" spans="1:15">
      <c r="A16" t="s">
        <v>21</v>
      </c>
      <c r="B16" t="s">
        <v>11</v>
      </c>
      <c r="L16">
        <v>781</v>
      </c>
      <c r="M16">
        <v>781</v>
      </c>
      <c r="N16" t="s">
        <v>12</v>
      </c>
    </row>
    <row r="17" spans="1:15">
      <c r="A17" t="s">
        <v>21</v>
      </c>
      <c r="B17" t="s">
        <v>13</v>
      </c>
      <c r="D17">
        <v>100</v>
      </c>
      <c r="E17">
        <f t="shared" ref="E17:E28" si="0">D17*2.83168</f>
        <v>283.16800000000001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>
        <f>0.11265+0.25963</f>
        <v>0.37228000000000006</v>
      </c>
      <c r="M17" s="6">
        <f t="shared" ref="M17:M28" si="1">L17/2.83168</f>
        <v>0.1314696575884281</v>
      </c>
      <c r="N17" t="s">
        <v>78</v>
      </c>
      <c r="O17" t="s">
        <v>128</v>
      </c>
    </row>
    <row r="18" spans="1:15">
      <c r="A18" t="s">
        <v>21</v>
      </c>
      <c r="B18" t="s">
        <v>13</v>
      </c>
      <c r="D18">
        <v>100</v>
      </c>
      <c r="E18">
        <f t="shared" si="0"/>
        <v>283.16800000000001</v>
      </c>
      <c r="F18">
        <v>2</v>
      </c>
      <c r="G18">
        <v>2</v>
      </c>
      <c r="H18">
        <v>0</v>
      </c>
      <c r="I18">
        <v>24</v>
      </c>
      <c r="J18">
        <v>0</v>
      </c>
      <c r="K18">
        <v>6</v>
      </c>
      <c r="L18">
        <f>0.11265+0.34446</f>
        <v>0.45711000000000002</v>
      </c>
      <c r="M18" s="6">
        <f t="shared" si="1"/>
        <v>0.16142713865973557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100</v>
      </c>
      <c r="E19">
        <f t="shared" si="0"/>
        <v>283.16800000000001</v>
      </c>
      <c r="F19">
        <v>3</v>
      </c>
      <c r="G19">
        <v>3</v>
      </c>
      <c r="H19">
        <v>0</v>
      </c>
      <c r="I19">
        <v>24</v>
      </c>
      <c r="J19">
        <v>0</v>
      </c>
      <c r="K19">
        <v>6</v>
      </c>
      <c r="L19">
        <f>0.11265+0.33725</f>
        <v>0.44989999999999997</v>
      </c>
      <c r="M19" s="6">
        <f t="shared" si="1"/>
        <v>0.15888094699966096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100</v>
      </c>
      <c r="E20">
        <f t="shared" si="0"/>
        <v>283.16800000000001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>
        <f>0.11265+0.32633</f>
        <v>0.43898000000000004</v>
      </c>
      <c r="M20" s="6">
        <f t="shared" si="1"/>
        <v>0.15502457904848008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100</v>
      </c>
      <c r="E21">
        <f t="shared" si="0"/>
        <v>283.16800000000001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0.11265+0.3532</f>
        <v>0.46584999999999999</v>
      </c>
      <c r="M21" s="6">
        <f t="shared" si="1"/>
        <v>0.16451364560967341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100</v>
      </c>
      <c r="E22">
        <f t="shared" si="0"/>
        <v>283.16800000000001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f>0.11265+0.37028</f>
        <v>0.48292999999999997</v>
      </c>
      <c r="M22" s="6">
        <f t="shared" si="1"/>
        <v>0.17054540061023843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100</v>
      </c>
      <c r="E23">
        <f t="shared" si="0"/>
        <v>283.16800000000001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f>0.11265+0.41565</f>
        <v>0.52829999999999999</v>
      </c>
      <c r="M23" s="6">
        <f t="shared" si="1"/>
        <v>0.18656769126454967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100</v>
      </c>
      <c r="E24">
        <f t="shared" si="0"/>
        <v>283.16800000000001</v>
      </c>
      <c r="F24">
        <v>8</v>
      </c>
      <c r="G24">
        <v>8</v>
      </c>
      <c r="H24">
        <v>0</v>
      </c>
      <c r="I24">
        <v>24</v>
      </c>
      <c r="J24">
        <v>0</v>
      </c>
      <c r="K24">
        <v>6</v>
      </c>
      <c r="L24">
        <f>0.11265+0.38839</f>
        <v>0.50104000000000004</v>
      </c>
      <c r="M24" s="6">
        <f t="shared" si="1"/>
        <v>0.17694089727652842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100</v>
      </c>
      <c r="E25">
        <f t="shared" si="0"/>
        <v>283.16800000000001</v>
      </c>
      <c r="F25">
        <v>9</v>
      </c>
      <c r="G25">
        <v>9</v>
      </c>
      <c r="H25">
        <v>0</v>
      </c>
      <c r="I25">
        <v>24</v>
      </c>
      <c r="J25">
        <v>0</v>
      </c>
      <c r="K25">
        <v>6</v>
      </c>
      <c r="L25">
        <f>0.11265+0.44301</f>
        <v>0.55566000000000004</v>
      </c>
      <c r="M25" s="6">
        <f t="shared" si="1"/>
        <v>0.19622979997739859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100</v>
      </c>
      <c r="E26">
        <f t="shared" si="0"/>
        <v>283.16800000000001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>
        <f>0.11265+0.55893</f>
        <v>0.67158000000000007</v>
      </c>
      <c r="M26" s="6">
        <f t="shared" si="1"/>
        <v>0.23716662899762689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100</v>
      </c>
      <c r="E27">
        <f t="shared" si="0"/>
        <v>283.16800000000001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>
        <f>0.11265+0.57933</f>
        <v>0.69198000000000004</v>
      </c>
      <c r="M27" s="6">
        <f t="shared" si="1"/>
        <v>0.24437083286247036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100</v>
      </c>
      <c r="E28">
        <f t="shared" si="0"/>
        <v>283.16800000000001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>
        <f>0.11265+0.55188</f>
        <v>0.66453000000000007</v>
      </c>
      <c r="M28" s="6">
        <f t="shared" si="1"/>
        <v>0.23467694089727656</v>
      </c>
      <c r="N28" t="s">
        <v>78</v>
      </c>
      <c r="O28" t="s">
        <v>128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20"/>
  <sheetViews>
    <sheetView workbookViewId="0">
      <selection activeCell="A20" sqref="A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95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75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94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f>0.18204+0.33897</f>
        <v>0.52100999999999997</v>
      </c>
      <c r="M9" s="6">
        <f>L9/2.83168</f>
        <v>0.18399324782461293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0.18204+0.37032</f>
        <v>0.55235999999999996</v>
      </c>
      <c r="M10" s="6">
        <f>L10/2.83168</f>
        <v>0.19506441405808564</v>
      </c>
      <c r="N10" t="s">
        <v>78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0.18204+0.38038</f>
        <v>0.56242000000000003</v>
      </c>
      <c r="M11" s="6">
        <f t="shared" ref="M11:M20" si="0">L11/2.83168</f>
        <v>0.19861707537574869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0.18204+0.3927</f>
        <v>0.57474000000000003</v>
      </c>
      <c r="M12" s="6">
        <f t="shared" si="0"/>
        <v>0.2029678494745169</v>
      </c>
      <c r="N12" t="s">
        <v>78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0.18204+0.42898</f>
        <v>0.61102000000000001</v>
      </c>
      <c r="M13" s="6">
        <f t="shared" si="0"/>
        <v>0.21578003164199344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0.18204+0.43529</f>
        <v>0.61733000000000005</v>
      </c>
      <c r="M14" s="6">
        <f t="shared" si="0"/>
        <v>0.21800839077861908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0.18204+0.50302</f>
        <v>0.68506</v>
      </c>
      <c r="M15" s="6">
        <f t="shared" si="0"/>
        <v>0.24192705390439598</v>
      </c>
      <c r="N15" t="s">
        <v>78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8</v>
      </c>
      <c r="G16">
        <v>8</v>
      </c>
      <c r="H16">
        <v>0</v>
      </c>
      <c r="I16">
        <v>24</v>
      </c>
      <c r="J16">
        <v>0</v>
      </c>
      <c r="K16">
        <v>6</v>
      </c>
      <c r="L16">
        <f>0.18204+0.54871</f>
        <v>0.73075000000000001</v>
      </c>
      <c r="M16" s="6">
        <f t="shared" si="0"/>
        <v>0.25806235167815572</v>
      </c>
      <c r="N16" t="s">
        <v>78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9</v>
      </c>
      <c r="G17">
        <v>9</v>
      </c>
      <c r="H17">
        <v>0</v>
      </c>
      <c r="I17">
        <v>24</v>
      </c>
      <c r="J17">
        <v>0</v>
      </c>
      <c r="K17">
        <v>6</v>
      </c>
      <c r="L17">
        <f>0.18204+0.58359</f>
        <v>0.76563000000000003</v>
      </c>
      <c r="M17" s="6">
        <f t="shared" si="0"/>
        <v>0.27038012769804498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>0.18204+0.74099</f>
        <v>0.92303000000000002</v>
      </c>
      <c r="M18" s="6">
        <f t="shared" si="0"/>
        <v>0.32596550457678836</v>
      </c>
      <c r="N18" t="s">
        <v>78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11</v>
      </c>
      <c r="G19">
        <v>11</v>
      </c>
      <c r="H19">
        <v>0</v>
      </c>
      <c r="I19">
        <v>24</v>
      </c>
      <c r="J19">
        <v>0</v>
      </c>
      <c r="K19">
        <v>6</v>
      </c>
      <c r="L19">
        <f>0.18204+0.77961</f>
        <v>0.96165</v>
      </c>
      <c r="M19" s="6">
        <f t="shared" si="0"/>
        <v>0.33960405130523225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0.18204+0.69883</f>
        <v>0.88086999999999993</v>
      </c>
      <c r="M20" s="6">
        <f t="shared" si="0"/>
        <v>0.31107681658944514</v>
      </c>
      <c r="N20" t="s">
        <v>78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L24" sqref="L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58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58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58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58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58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58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58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58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58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58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58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58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58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59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59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59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59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59</v>
      </c>
    </row>
    <row r="23" spans="1:1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0.39136+0.99587</f>
        <v>1.38723</v>
      </c>
      <c r="M24" s="6">
        <f>L24/2.83168</f>
        <v>0.4898964572268053</v>
      </c>
      <c r="N24" t="s">
        <v>78</v>
      </c>
      <c r="O24" t="s">
        <v>135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O25" sqref="O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>
      <c r="A26" t="s">
        <v>10</v>
      </c>
      <c r="B26" t="s">
        <v>15</v>
      </c>
      <c r="C26" t="s">
        <v>60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>
      <c r="A27" t="s">
        <v>10</v>
      </c>
      <c r="B27" t="s">
        <v>15</v>
      </c>
      <c r="C27" t="s">
        <v>61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6">
        <f>L29/2.83168</f>
        <v>0.28506168477813715</v>
      </c>
      <c r="N29" t="s">
        <v>78</v>
      </c>
      <c r="O2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workbookViewId="0">
      <selection activeCell="O11" sqref="O1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115</v>
      </c>
    </row>
    <row r="4" spans="1:1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115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115</v>
      </c>
    </row>
    <row r="6" spans="1:1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115</v>
      </c>
    </row>
    <row r="7" spans="1:1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115</v>
      </c>
    </row>
    <row r="8" spans="1:1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115</v>
      </c>
    </row>
    <row r="9" spans="1:15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  <row r="10" spans="1:15">
      <c r="A10" t="s">
        <v>21</v>
      </c>
      <c r="B10" t="s">
        <v>11</v>
      </c>
      <c r="L10">
        <f>300+18.62</f>
        <v>318.62</v>
      </c>
      <c r="M10">
        <f>300+18.62</f>
        <v>318.62</v>
      </c>
      <c r="N10" t="s">
        <v>12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24</v>
      </c>
      <c r="J11">
        <v>0</v>
      </c>
      <c r="K11">
        <v>6</v>
      </c>
      <c r="L11">
        <v>0.46589999999999998</v>
      </c>
      <c r="M11" s="6">
        <f>L11/2.83168</f>
        <v>0.16453130297208723</v>
      </c>
      <c r="N11" t="s">
        <v>78</v>
      </c>
      <c r="O11" t="s">
        <v>122</v>
      </c>
    </row>
    <row r="12" spans="1:15">
      <c r="A12" t="s">
        <v>21</v>
      </c>
      <c r="B12" t="s">
        <v>13</v>
      </c>
      <c r="D12">
        <v>2500</v>
      </c>
      <c r="E12">
        <f>D12*2.83168</f>
        <v>7079.2</v>
      </c>
      <c r="F12">
        <v>1</v>
      </c>
      <c r="G12">
        <v>1</v>
      </c>
      <c r="H12">
        <v>0</v>
      </c>
      <c r="I12">
        <v>24</v>
      </c>
      <c r="J12">
        <v>0</v>
      </c>
      <c r="K12">
        <v>6</v>
      </c>
      <c r="L12">
        <v>0.4506</v>
      </c>
      <c r="M12" s="6">
        <f>L12/2.83168</f>
        <v>0.15912815007345463</v>
      </c>
      <c r="N12" t="s">
        <v>78</v>
      </c>
      <c r="O12" t="s">
        <v>122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>
        <v>0.48259999999999997</v>
      </c>
      <c r="M13" s="6">
        <f>L13/2.83168</f>
        <v>0.17042886201830715</v>
      </c>
      <c r="N13" t="s">
        <v>78</v>
      </c>
      <c r="O13" t="s">
        <v>122</v>
      </c>
    </row>
    <row r="14" spans="1:15">
      <c r="A14" t="s">
        <v>21</v>
      </c>
      <c r="B14" t="s">
        <v>13</v>
      </c>
      <c r="D14">
        <v>2500</v>
      </c>
      <c r="E14">
        <f>D14*2.83168</f>
        <v>7079.2</v>
      </c>
      <c r="F14">
        <v>2</v>
      </c>
      <c r="G14">
        <v>2</v>
      </c>
      <c r="H14">
        <v>0</v>
      </c>
      <c r="I14">
        <v>24</v>
      </c>
      <c r="J14">
        <v>0</v>
      </c>
      <c r="K14">
        <v>6</v>
      </c>
      <c r="L14">
        <v>0.46729999999999999</v>
      </c>
      <c r="M14" s="6">
        <f>L14/2.83168</f>
        <v>0.16502570911967454</v>
      </c>
      <c r="N14" t="s">
        <v>78</v>
      </c>
      <c r="O14" t="s">
        <v>122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>
        <v>0.49940000000000001</v>
      </c>
      <c r="M15" s="6">
        <f t="shared" ref="M15:M34" si="0">L15/2.83168</f>
        <v>0.17636173578935474</v>
      </c>
      <c r="N15" t="s">
        <v>78</v>
      </c>
      <c r="O15" t="s">
        <v>122</v>
      </c>
    </row>
    <row r="16" spans="1:15">
      <c r="A16" t="s">
        <v>21</v>
      </c>
      <c r="B16" t="s">
        <v>13</v>
      </c>
      <c r="D16">
        <v>2500</v>
      </c>
      <c r="E16">
        <f>D16*2.83168</f>
        <v>7079.2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>
        <v>0.48409999999999997</v>
      </c>
      <c r="M16" s="6">
        <f t="shared" si="0"/>
        <v>0.17095858289072211</v>
      </c>
      <c r="N16" t="s">
        <v>78</v>
      </c>
      <c r="O16" t="s">
        <v>122</v>
      </c>
    </row>
    <row r="17" spans="1:15">
      <c r="A17" t="s">
        <v>21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v>0.39290000000000003</v>
      </c>
      <c r="M17" s="6">
        <f t="shared" si="0"/>
        <v>0.13875155384789242</v>
      </c>
      <c r="N17" t="s">
        <v>78</v>
      </c>
      <c r="O17" t="s">
        <v>122</v>
      </c>
    </row>
    <row r="18" spans="1:15">
      <c r="A18" t="s">
        <v>21</v>
      </c>
      <c r="B18" t="s">
        <v>13</v>
      </c>
      <c r="D18">
        <v>2500</v>
      </c>
      <c r="E18">
        <f>D18*2.83168</f>
        <v>7079.2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v>0.37780000000000002</v>
      </c>
      <c r="M18" s="6">
        <f t="shared" si="0"/>
        <v>0.13341903039891514</v>
      </c>
      <c r="N18" t="s">
        <v>78</v>
      </c>
      <c r="O18" t="s">
        <v>122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v>0.44540000000000002</v>
      </c>
      <c r="M19" s="6">
        <f t="shared" si="0"/>
        <v>0.15729178438241609</v>
      </c>
      <c r="N19" t="s">
        <v>78</v>
      </c>
      <c r="O19" t="s">
        <v>122</v>
      </c>
    </row>
    <row r="20" spans="1:15">
      <c r="A20" t="s">
        <v>21</v>
      </c>
      <c r="B20" t="s">
        <v>13</v>
      </c>
      <c r="D20">
        <v>2500</v>
      </c>
      <c r="E20">
        <f>D20*2.83168</f>
        <v>7079.2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v>0.43030000000000002</v>
      </c>
      <c r="M20" s="6">
        <f t="shared" si="0"/>
        <v>0.15195926093343881</v>
      </c>
      <c r="N20" t="s">
        <v>78</v>
      </c>
      <c r="O20" t="s">
        <v>122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6</v>
      </c>
      <c r="G21">
        <v>6</v>
      </c>
      <c r="H21">
        <v>0</v>
      </c>
      <c r="I21">
        <v>24</v>
      </c>
      <c r="J21">
        <v>0</v>
      </c>
      <c r="K21">
        <v>6</v>
      </c>
      <c r="L21">
        <v>0.45879999999999999</v>
      </c>
      <c r="M21" s="6">
        <f t="shared" si="0"/>
        <v>0.16202395750932308</v>
      </c>
      <c r="N21" t="s">
        <v>78</v>
      </c>
      <c r="O21" t="s">
        <v>122</v>
      </c>
    </row>
    <row r="22" spans="1:15">
      <c r="A22" t="s">
        <v>21</v>
      </c>
      <c r="B22" t="s">
        <v>13</v>
      </c>
      <c r="D22">
        <v>2500</v>
      </c>
      <c r="E22">
        <f>D22*2.83168</f>
        <v>7079.2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v>0.44369999999999998</v>
      </c>
      <c r="M22" s="6">
        <f t="shared" si="0"/>
        <v>0.1566914340603458</v>
      </c>
      <c r="N22" t="s">
        <v>78</v>
      </c>
      <c r="O22" t="s">
        <v>122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v>0.53120000000000001</v>
      </c>
      <c r="M23" s="6">
        <f t="shared" si="0"/>
        <v>0.18759181828455193</v>
      </c>
      <c r="N23" t="s">
        <v>78</v>
      </c>
      <c r="O23" t="s">
        <v>122</v>
      </c>
    </row>
    <row r="24" spans="1:15">
      <c r="A24" t="s">
        <v>21</v>
      </c>
      <c r="B24" t="s">
        <v>13</v>
      </c>
      <c r="D24">
        <v>2500</v>
      </c>
      <c r="E24">
        <f>D24*2.83168</f>
        <v>7079.2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v>0.5161</v>
      </c>
      <c r="M24" s="6">
        <f t="shared" si="0"/>
        <v>0.18225929483557465</v>
      </c>
      <c r="N24" t="s">
        <v>78</v>
      </c>
      <c r="O24" t="s">
        <v>122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v>0.57389999999999997</v>
      </c>
      <c r="M25" s="6">
        <f t="shared" si="0"/>
        <v>0.20267120578596451</v>
      </c>
      <c r="N25" t="s">
        <v>78</v>
      </c>
      <c r="O25" t="s">
        <v>122</v>
      </c>
    </row>
    <row r="26" spans="1:15">
      <c r="A26" t="s">
        <v>21</v>
      </c>
      <c r="B26" t="s">
        <v>13</v>
      </c>
      <c r="D26">
        <v>2500</v>
      </c>
      <c r="E26">
        <f>D26*2.83168</f>
        <v>7079.2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v>0.55879999999999996</v>
      </c>
      <c r="M26" s="6">
        <f t="shared" si="0"/>
        <v>0.19733868233698723</v>
      </c>
      <c r="N26" t="s">
        <v>78</v>
      </c>
      <c r="O26" t="s">
        <v>122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v>0.59430000000000005</v>
      </c>
      <c r="M27" s="6">
        <f t="shared" si="0"/>
        <v>0.20987540965080803</v>
      </c>
      <c r="N27" t="s">
        <v>78</v>
      </c>
      <c r="O27" t="s">
        <v>122</v>
      </c>
    </row>
    <row r="28" spans="1:15">
      <c r="A28" t="s">
        <v>21</v>
      </c>
      <c r="B28" t="s">
        <v>13</v>
      </c>
      <c r="D28">
        <v>2500</v>
      </c>
      <c r="E28">
        <f>D28*2.83168</f>
        <v>7079.2</v>
      </c>
      <c r="F28">
        <v>9</v>
      </c>
      <c r="G28">
        <v>9</v>
      </c>
      <c r="H28">
        <v>0</v>
      </c>
      <c r="I28">
        <v>24</v>
      </c>
      <c r="J28">
        <v>0</v>
      </c>
      <c r="K28">
        <v>6</v>
      </c>
      <c r="L28">
        <v>0.57920000000000005</v>
      </c>
      <c r="M28" s="6">
        <f t="shared" si="0"/>
        <v>0.20454288620183073</v>
      </c>
      <c r="N28" t="s">
        <v>78</v>
      </c>
      <c r="O28" t="s">
        <v>122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10</v>
      </c>
      <c r="G29">
        <v>10</v>
      </c>
      <c r="H29">
        <v>0</v>
      </c>
      <c r="I29">
        <v>24</v>
      </c>
      <c r="J29">
        <v>0</v>
      </c>
      <c r="K29">
        <v>6</v>
      </c>
      <c r="L29">
        <v>0.73970000000000002</v>
      </c>
      <c r="M29" s="6">
        <f t="shared" si="0"/>
        <v>0.26122301955023169</v>
      </c>
      <c r="N29" t="s">
        <v>78</v>
      </c>
      <c r="O29" t="s">
        <v>122</v>
      </c>
    </row>
    <row r="30" spans="1:15">
      <c r="A30" t="s">
        <v>21</v>
      </c>
      <c r="B30" t="s">
        <v>13</v>
      </c>
      <c r="D30">
        <v>2500</v>
      </c>
      <c r="E30">
        <f>D30*2.83168</f>
        <v>7079.2</v>
      </c>
      <c r="F30">
        <v>10</v>
      </c>
      <c r="G30">
        <v>10</v>
      </c>
      <c r="H30">
        <v>0</v>
      </c>
      <c r="I30">
        <v>24</v>
      </c>
      <c r="J30">
        <v>0</v>
      </c>
      <c r="K30">
        <v>6</v>
      </c>
      <c r="L30">
        <v>0.72460000000000002</v>
      </c>
      <c r="M30" s="6">
        <f t="shared" si="0"/>
        <v>0.25589049610125442</v>
      </c>
      <c r="N30" t="s">
        <v>78</v>
      </c>
      <c r="O30" t="s">
        <v>122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11</v>
      </c>
      <c r="G31">
        <v>11</v>
      </c>
      <c r="H31">
        <v>0</v>
      </c>
      <c r="I31">
        <v>24</v>
      </c>
      <c r="J31">
        <v>0</v>
      </c>
      <c r="K31">
        <v>6</v>
      </c>
      <c r="L31">
        <v>0.82820000000000005</v>
      </c>
      <c r="M31" s="6">
        <f t="shared" si="0"/>
        <v>0.29247655102271447</v>
      </c>
      <c r="N31" t="s">
        <v>78</v>
      </c>
      <c r="O31" t="s">
        <v>122</v>
      </c>
    </row>
    <row r="32" spans="1:15">
      <c r="A32" t="s">
        <v>21</v>
      </c>
      <c r="B32" t="s">
        <v>13</v>
      </c>
      <c r="D32">
        <v>2500</v>
      </c>
      <c r="E32">
        <f>D32*2.83168</f>
        <v>7079.2</v>
      </c>
      <c r="F32">
        <v>11</v>
      </c>
      <c r="G32">
        <v>11</v>
      </c>
      <c r="H32">
        <v>0</v>
      </c>
      <c r="I32">
        <v>24</v>
      </c>
      <c r="J32">
        <v>0</v>
      </c>
      <c r="K32">
        <v>6</v>
      </c>
      <c r="L32">
        <v>0.81289999999999996</v>
      </c>
      <c r="M32" s="6">
        <f t="shared" si="0"/>
        <v>0.28707339812408178</v>
      </c>
      <c r="N32" t="s">
        <v>78</v>
      </c>
      <c r="O32" t="s">
        <v>122</v>
      </c>
    </row>
    <row r="33" spans="1:15">
      <c r="A33" t="s">
        <v>21</v>
      </c>
      <c r="B33" t="s">
        <v>13</v>
      </c>
      <c r="D33">
        <v>0</v>
      </c>
      <c r="E33">
        <v>0</v>
      </c>
      <c r="F33">
        <v>12</v>
      </c>
      <c r="G33">
        <v>12</v>
      </c>
      <c r="H33">
        <v>0</v>
      </c>
      <c r="I33">
        <v>24</v>
      </c>
      <c r="J33">
        <v>0</v>
      </c>
      <c r="K33">
        <v>6</v>
      </c>
      <c r="L33">
        <v>0.77210000000000001</v>
      </c>
      <c r="M33" s="6">
        <f t="shared" si="0"/>
        <v>0.27266499039439485</v>
      </c>
      <c r="N33" t="s">
        <v>78</v>
      </c>
      <c r="O33" t="s">
        <v>122</v>
      </c>
    </row>
    <row r="34" spans="1:15">
      <c r="A34" t="s">
        <v>21</v>
      </c>
      <c r="B34" t="s">
        <v>13</v>
      </c>
      <c r="D34">
        <v>2500</v>
      </c>
      <c r="E34">
        <f>D34*2.83168</f>
        <v>7079.2</v>
      </c>
      <c r="F34">
        <v>12</v>
      </c>
      <c r="G34">
        <v>12</v>
      </c>
      <c r="H34">
        <v>0</v>
      </c>
      <c r="I34">
        <v>24</v>
      </c>
      <c r="J34">
        <v>0</v>
      </c>
      <c r="K34">
        <v>6</v>
      </c>
      <c r="L34">
        <v>0.75680000000000003</v>
      </c>
      <c r="M34" s="6">
        <f t="shared" si="0"/>
        <v>0.26726183749576227</v>
      </c>
      <c r="N34" t="s">
        <v>78</v>
      </c>
      <c r="O34" t="s">
        <v>122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41"/>
  <sheetViews>
    <sheetView workbookViewId="0">
      <selection activeCell="J40" sqref="J4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120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120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120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120</v>
      </c>
    </row>
    <row r="15" spans="1:1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  <row r="39" spans="1:14">
      <c r="A39" t="s">
        <v>21</v>
      </c>
      <c r="B39" t="s">
        <v>11</v>
      </c>
      <c r="L39">
        <v>21.39</v>
      </c>
      <c r="M39">
        <v>21.39</v>
      </c>
      <c r="N39" t="s">
        <v>12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1</v>
      </c>
      <c r="G40">
        <v>12</v>
      </c>
      <c r="H40">
        <v>0</v>
      </c>
      <c r="I40">
        <v>24</v>
      </c>
      <c r="J40">
        <v>0</v>
      </c>
      <c r="K40">
        <v>6</v>
      </c>
      <c r="L40">
        <v>1.03999</v>
      </c>
      <c r="M40" s="5">
        <f>L40/2.83168</f>
        <v>0.3672696067352243</v>
      </c>
      <c r="N40" t="s">
        <v>78</v>
      </c>
    </row>
    <row r="41" spans="1:14">
      <c r="A41" t="s">
        <v>21</v>
      </c>
      <c r="B41" t="s">
        <v>13</v>
      </c>
      <c r="D41">
        <v>500</v>
      </c>
      <c r="E41">
        <f>D41*2.83168</f>
        <v>1415.84</v>
      </c>
      <c r="F41">
        <v>1</v>
      </c>
      <c r="G41">
        <v>12</v>
      </c>
      <c r="H41">
        <v>0</v>
      </c>
      <c r="I41">
        <v>24</v>
      </c>
      <c r="J41">
        <v>0</v>
      </c>
      <c r="K41">
        <v>6</v>
      </c>
      <c r="L41">
        <v>0.97740000000000005</v>
      </c>
      <c r="M41" s="5">
        <f>L41/2.83168</f>
        <v>0.34516612046558937</v>
      </c>
      <c r="N41" t="s">
        <v>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A32" sqref="A3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29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 t="shared" si="0"/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>L30/2.83168</f>
        <v>0.46354107808791956</v>
      </c>
      <c r="N30" t="s">
        <v>78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55"/>
  <sheetViews>
    <sheetView topLeftCell="A15" workbookViewId="0">
      <selection activeCell="A29" sqref="A29:N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J4" sqref="J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2.7858200000000002</v>
      </c>
      <c r="M3" s="6">
        <f t="shared" ref="M3" si="0">L3/2.83168</f>
        <v>0.98380466719403326</v>
      </c>
      <c r="N3" t="s">
        <v>78</v>
      </c>
    </row>
    <row r="4" spans="1:1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117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117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117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117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117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117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117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117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117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117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117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117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117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117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117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117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117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117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117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117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117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117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117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117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117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117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117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117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117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117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117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117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117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117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117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117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117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117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117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117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117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117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20"/>
  <sheetViews>
    <sheetView workbookViewId="0">
      <selection activeCell="N20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  <c r="O6" t="s">
        <v>63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26" sqref="L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118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82</v>
      </c>
    </row>
    <row r="22" spans="1:1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5">
        <f>L23/2.83168</f>
        <v>0.23317253702508814</v>
      </c>
      <c r="N23" t="s">
        <v>78</v>
      </c>
      <c r="O23" t="s">
        <v>64</v>
      </c>
    </row>
    <row r="24" spans="1:15">
      <c r="A24" t="s">
        <v>21</v>
      </c>
      <c r="B24" t="s">
        <v>13</v>
      </c>
      <c r="D24">
        <f>100*10.37</f>
        <v>1037</v>
      </c>
      <c r="E24" s="9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5">
        <f>L24/2.83168</f>
        <v>0.22363722077460987</v>
      </c>
      <c r="N24" t="s">
        <v>78</v>
      </c>
    </row>
    <row r="25" spans="1:15">
      <c r="A25" t="s">
        <v>21</v>
      </c>
      <c r="B25" t="s">
        <v>13</v>
      </c>
      <c r="D25">
        <f>500*10.37</f>
        <v>5185</v>
      </c>
      <c r="E25" s="9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5">
        <f>L25/2.83168</f>
        <v>0.21852901564042512</v>
      </c>
      <c r="N25" t="s">
        <v>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05"/>
  <sheetViews>
    <sheetView topLeftCell="A51" zoomScaleNormal="100" workbookViewId="0">
      <selection activeCell="N105" sqref="A58:N10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  <pageSetup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53"/>
  <sheetViews>
    <sheetView workbookViewId="0">
      <selection activeCell="A5" sqref="A5:N5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96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  <row r="5" spans="1:15">
      <c r="A5" t="s">
        <v>21</v>
      </c>
      <c r="B5" t="s">
        <v>11</v>
      </c>
      <c r="L5">
        <v>559.53</v>
      </c>
      <c r="M5">
        <v>559.53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f>0.3865/10.87 + 0.3537</f>
        <v>0.38925657773689054</v>
      </c>
      <c r="M6" s="6">
        <f t="shared" ref="M6" si="0">L6/2.83168</f>
        <v>0.13746488930136547</v>
      </c>
      <c r="N6" t="s">
        <v>78</v>
      </c>
    </row>
    <row r="7" spans="1:15">
      <c r="A7" t="s">
        <v>21</v>
      </c>
      <c r="B7" t="s">
        <v>13</v>
      </c>
      <c r="D7">
        <f>2000*10.87</f>
        <v>21740</v>
      </c>
      <c r="E7" s="9">
        <f>D7*2.83168</f>
        <v>61560.7232</v>
      </c>
      <c r="F7">
        <v>1</v>
      </c>
      <c r="G7">
        <v>1</v>
      </c>
      <c r="H7">
        <v>0</v>
      </c>
      <c r="I7">
        <v>24</v>
      </c>
      <c r="J7">
        <v>0</v>
      </c>
      <c r="K7">
        <v>6</v>
      </c>
      <c r="L7" s="6">
        <f>0.237/10.87+0.3537</f>
        <v>0.37550312787488505</v>
      </c>
      <c r="M7" s="6">
        <f>L7/2.83168</f>
        <v>0.13260789632828746</v>
      </c>
      <c r="N7" t="s">
        <v>78</v>
      </c>
    </row>
    <row r="8" spans="1:15">
      <c r="A8" t="s">
        <v>21</v>
      </c>
      <c r="B8" t="s">
        <v>13</v>
      </c>
      <c r="D8">
        <f>13000*10.87+D7</f>
        <v>163050</v>
      </c>
      <c r="E8" s="9">
        <f>D8*2.83168</f>
        <v>461705.424</v>
      </c>
      <c r="F8">
        <v>1</v>
      </c>
      <c r="G8">
        <v>1</v>
      </c>
      <c r="H8">
        <v>0</v>
      </c>
      <c r="I8">
        <v>24</v>
      </c>
      <c r="J8">
        <v>0</v>
      </c>
      <c r="K8">
        <v>6</v>
      </c>
      <c r="L8" s="6">
        <f>0.2068/10.87 + 0.3537</f>
        <v>0.37272483900643977</v>
      </c>
      <c r="M8" s="6">
        <f t="shared" ref="M8:M10" si="1">L8/2.83168</f>
        <v>0.1316267512594784</v>
      </c>
      <c r="N8" t="s">
        <v>78</v>
      </c>
    </row>
    <row r="9" spans="1:15">
      <c r="A9" t="s">
        <v>21</v>
      </c>
      <c r="B9" t="s">
        <v>13</v>
      </c>
      <c r="D9">
        <f>85000*10.87+D8</f>
        <v>1087000</v>
      </c>
      <c r="E9">
        <f>D9*2.83168</f>
        <v>3078036.16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 s="6">
        <f>0.1635/10.87 + 0.3537</f>
        <v>0.36874139834406627</v>
      </c>
      <c r="M9" s="6">
        <f t="shared" si="1"/>
        <v>0.13022001015088791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 s="6">
        <f>0.3865/10.87 + 0.383</f>
        <v>0.41855657773689053</v>
      </c>
      <c r="M10" s="6">
        <f t="shared" si="1"/>
        <v>0.14781210367587105</v>
      </c>
      <c r="N10" t="s">
        <v>78</v>
      </c>
    </row>
    <row r="11" spans="1:15">
      <c r="A11" t="s">
        <v>21</v>
      </c>
      <c r="B11" t="s">
        <v>13</v>
      </c>
      <c r="D11">
        <f>2000*10.87</f>
        <v>21740</v>
      </c>
      <c r="E11" s="9">
        <f>D11*2.83168</f>
        <v>61560.7232</v>
      </c>
      <c r="F11">
        <v>2</v>
      </c>
      <c r="G11">
        <v>2</v>
      </c>
      <c r="H11">
        <v>0</v>
      </c>
      <c r="I11">
        <v>24</v>
      </c>
      <c r="J11">
        <v>0</v>
      </c>
      <c r="K11">
        <v>6</v>
      </c>
      <c r="L11" s="6">
        <f>0.237/10.87 + 0.383</f>
        <v>0.40480312787488504</v>
      </c>
      <c r="M11" s="6">
        <f>L11/2.83168</f>
        <v>0.14295511070279307</v>
      </c>
      <c r="N11" t="s">
        <v>78</v>
      </c>
    </row>
    <row r="12" spans="1:15">
      <c r="A12" t="s">
        <v>21</v>
      </c>
      <c r="B12" t="s">
        <v>13</v>
      </c>
      <c r="D12">
        <f>13000*10.87+D11</f>
        <v>163050</v>
      </c>
      <c r="E12" s="9">
        <f>D12*2.83168</f>
        <v>461705.424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 s="6">
        <f>0.2068/10.87 + 0.383</f>
        <v>0.40202483900643976</v>
      </c>
      <c r="M12" s="6">
        <f t="shared" ref="M12:M14" si="2">L12/2.83168</f>
        <v>0.14197396563398398</v>
      </c>
      <c r="N12" t="s">
        <v>78</v>
      </c>
    </row>
    <row r="13" spans="1:15">
      <c r="A13" t="s">
        <v>21</v>
      </c>
      <c r="B13" t="s">
        <v>13</v>
      </c>
      <c r="D13">
        <f>85000*10.87+D12</f>
        <v>1087000</v>
      </c>
      <c r="E13">
        <f>D13*2.83168</f>
        <v>3078036.16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 s="6">
        <f>0.1635/10.87 + 0.383</f>
        <v>0.39804139834406627</v>
      </c>
      <c r="M13" s="6">
        <f t="shared" si="2"/>
        <v>0.1405672245253935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 s="6">
        <f>0.3865/10.87 + 0.3924</f>
        <v>0.42795657773689055</v>
      </c>
      <c r="M14" s="6">
        <f t="shared" si="2"/>
        <v>0.15113168780967148</v>
      </c>
      <c r="N14" t="s">
        <v>78</v>
      </c>
    </row>
    <row r="15" spans="1:15">
      <c r="A15" t="s">
        <v>21</v>
      </c>
      <c r="B15" t="s">
        <v>13</v>
      </c>
      <c r="D15">
        <f>2000*10.87</f>
        <v>21740</v>
      </c>
      <c r="E15" s="9">
        <f>D15*2.83168</f>
        <v>61560.7232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 s="6">
        <f>0.237/10.87 + 0.3924</f>
        <v>0.41420312787488506</v>
      </c>
      <c r="M15" s="6">
        <f>L15/2.83168</f>
        <v>0.1462746948365935</v>
      </c>
      <c r="N15" t="s">
        <v>78</v>
      </c>
    </row>
    <row r="16" spans="1:15">
      <c r="A16" t="s">
        <v>21</v>
      </c>
      <c r="B16" t="s">
        <v>13</v>
      </c>
      <c r="D16">
        <f>13000*10.87+D15</f>
        <v>163050</v>
      </c>
      <c r="E16" s="9">
        <f>D16*2.83168</f>
        <v>461705.424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 s="6">
        <f>0.2068/10.87 + 0.3924</f>
        <v>0.41142483900643978</v>
      </c>
      <c r="M16" s="6">
        <f t="shared" ref="M16:M18" si="3">L16/2.83168</f>
        <v>0.14529354976778441</v>
      </c>
      <c r="N16" t="s">
        <v>78</v>
      </c>
    </row>
    <row r="17" spans="1:14">
      <c r="A17" t="s">
        <v>21</v>
      </c>
      <c r="B17" t="s">
        <v>13</v>
      </c>
      <c r="D17">
        <f>85000*10.87+D16</f>
        <v>1087000</v>
      </c>
      <c r="E17">
        <f>D17*2.83168</f>
        <v>3078036.16</v>
      </c>
      <c r="F17">
        <v>3</v>
      </c>
      <c r="G17">
        <v>3</v>
      </c>
      <c r="H17">
        <v>0</v>
      </c>
      <c r="I17">
        <v>24</v>
      </c>
      <c r="J17">
        <v>0</v>
      </c>
      <c r="K17">
        <v>6</v>
      </c>
      <c r="L17" s="6">
        <f>0.1635/10.87 + 0.3924</f>
        <v>0.40744139834406629</v>
      </c>
      <c r="M17" s="6">
        <f t="shared" si="3"/>
        <v>0.14388680865919393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 s="6">
        <f>0.3865/10.87 + 0.4286</f>
        <v>0.46415657773689051</v>
      </c>
      <c r="M18" s="6">
        <f t="shared" si="3"/>
        <v>0.16391561819728589</v>
      </c>
      <c r="N18" t="s">
        <v>78</v>
      </c>
    </row>
    <row r="19" spans="1:14">
      <c r="A19" t="s">
        <v>21</v>
      </c>
      <c r="B19" t="s">
        <v>13</v>
      </c>
      <c r="D19">
        <f>2000*10.87</f>
        <v>21740</v>
      </c>
      <c r="E19" s="9">
        <f>D19*2.83168</f>
        <v>61560.7232</v>
      </c>
      <c r="F19">
        <v>4</v>
      </c>
      <c r="G19">
        <v>4</v>
      </c>
      <c r="H19">
        <v>0</v>
      </c>
      <c r="I19">
        <v>24</v>
      </c>
      <c r="J19">
        <v>0</v>
      </c>
      <c r="K19">
        <v>6</v>
      </c>
      <c r="L19" s="6">
        <f>0.237/10.87 + 0.4286</f>
        <v>0.45040312787488501</v>
      </c>
      <c r="M19" s="6">
        <f>L19/2.83168</f>
        <v>0.15905862522420788</v>
      </c>
      <c r="N19" t="s">
        <v>78</v>
      </c>
    </row>
    <row r="20" spans="1:14">
      <c r="A20" t="s">
        <v>21</v>
      </c>
      <c r="B20" t="s">
        <v>13</v>
      </c>
      <c r="D20">
        <f>13000*10.87+D19</f>
        <v>163050</v>
      </c>
      <c r="E20" s="9">
        <f>D20*2.83168</f>
        <v>461705.424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 s="6">
        <f>0.2068/10.87 +0.4286</f>
        <v>0.44762483900643973</v>
      </c>
      <c r="M20" s="6">
        <f t="shared" ref="M20:M22" si="4">L20/2.83168</f>
        <v>0.15807748015539883</v>
      </c>
      <c r="N20" t="s">
        <v>78</v>
      </c>
    </row>
    <row r="21" spans="1:14">
      <c r="A21" t="s">
        <v>21</v>
      </c>
      <c r="B21" t="s">
        <v>13</v>
      </c>
      <c r="D21">
        <f>85000*10.87+D20</f>
        <v>1087000</v>
      </c>
      <c r="E21">
        <f>D21*2.83168</f>
        <v>3078036.16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 s="6">
        <f>0.1635/10.87 + 0.4286</f>
        <v>0.44364139834406624</v>
      </c>
      <c r="M21" s="6">
        <f t="shared" si="4"/>
        <v>0.15667073904680834</v>
      </c>
      <c r="N21" t="s">
        <v>78</v>
      </c>
    </row>
    <row r="22" spans="1:14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 s="6">
        <f>0.3865/10.87 +0.4625</f>
        <v>0.49805657773689055</v>
      </c>
      <c r="M22" s="6">
        <f t="shared" si="4"/>
        <v>0.17588730991386406</v>
      </c>
      <c r="N22" t="s">
        <v>78</v>
      </c>
    </row>
    <row r="23" spans="1:14">
      <c r="A23" t="s">
        <v>21</v>
      </c>
      <c r="B23" t="s">
        <v>13</v>
      </c>
      <c r="D23">
        <f>2000*10.87</f>
        <v>21740</v>
      </c>
      <c r="E23" s="9">
        <f>D23*2.83168</f>
        <v>61560.7232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 s="6">
        <f>0.237/10.87 +0.4625</f>
        <v>0.48430312787488505</v>
      </c>
      <c r="M23" s="6">
        <f>L23/2.83168</f>
        <v>0.17103031694078605</v>
      </c>
      <c r="N23" t="s">
        <v>78</v>
      </c>
    </row>
    <row r="24" spans="1:14">
      <c r="A24" t="s">
        <v>21</v>
      </c>
      <c r="B24" t="s">
        <v>13</v>
      </c>
      <c r="D24">
        <f>13000*10.87+D23</f>
        <v>163050</v>
      </c>
      <c r="E24" s="9">
        <f>D24*2.83168</f>
        <v>461705.424</v>
      </c>
      <c r="F24">
        <v>5</v>
      </c>
      <c r="G24">
        <v>5</v>
      </c>
      <c r="H24">
        <v>0</v>
      </c>
      <c r="I24">
        <v>24</v>
      </c>
      <c r="J24">
        <v>0</v>
      </c>
      <c r="K24">
        <v>6</v>
      </c>
      <c r="L24" s="6">
        <f>0.2068/10.87 + 0.4625</f>
        <v>0.48152483900643978</v>
      </c>
      <c r="M24" s="6">
        <f t="shared" ref="M24:M26" si="5">L24/2.83168</f>
        <v>0.17004917187197699</v>
      </c>
      <c r="N24" t="s">
        <v>78</v>
      </c>
    </row>
    <row r="25" spans="1:14">
      <c r="A25" t="s">
        <v>21</v>
      </c>
      <c r="B25" t="s">
        <v>13</v>
      </c>
      <c r="D25">
        <f>85000*10.87+D24</f>
        <v>1087000</v>
      </c>
      <c r="E25">
        <f>D25*2.83168</f>
        <v>3078036.16</v>
      </c>
      <c r="F25">
        <v>5</v>
      </c>
      <c r="G25">
        <v>5</v>
      </c>
      <c r="H25">
        <v>0</v>
      </c>
      <c r="I25">
        <v>24</v>
      </c>
      <c r="J25">
        <v>0</v>
      </c>
      <c r="K25">
        <v>6</v>
      </c>
      <c r="L25" s="6">
        <f>0.1635/10.87 + 0.4625</f>
        <v>0.47754139834406628</v>
      </c>
      <c r="M25" s="6">
        <f t="shared" si="5"/>
        <v>0.1686424307633865</v>
      </c>
      <c r="N25" t="s">
        <v>78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 s="6">
        <f>0.3865/10.87 + 0.4684</f>
        <v>0.50395657773689051</v>
      </c>
      <c r="M26" s="6">
        <f t="shared" si="5"/>
        <v>0.17797087867869621</v>
      </c>
      <c r="N26" t="s">
        <v>78</v>
      </c>
    </row>
    <row r="27" spans="1:14">
      <c r="A27" t="s">
        <v>21</v>
      </c>
      <c r="B27" t="s">
        <v>13</v>
      </c>
      <c r="D27">
        <f>2000*10.87</f>
        <v>21740</v>
      </c>
      <c r="E27" s="9">
        <f>D27*2.83168</f>
        <v>61560.7232</v>
      </c>
      <c r="F27">
        <v>6</v>
      </c>
      <c r="G27">
        <v>6</v>
      </c>
      <c r="H27">
        <v>0</v>
      </c>
      <c r="I27">
        <v>24</v>
      </c>
      <c r="J27">
        <v>0</v>
      </c>
      <c r="K27">
        <v>6</v>
      </c>
      <c r="L27" s="6">
        <f>0.237/10.87 + 0.4684</f>
        <v>0.49020312787488501</v>
      </c>
      <c r="M27" s="6">
        <f>L27/2.83168</f>
        <v>0.17311388570561823</v>
      </c>
      <c r="N27" t="s">
        <v>78</v>
      </c>
    </row>
    <row r="28" spans="1:14">
      <c r="A28" t="s">
        <v>21</v>
      </c>
      <c r="B28" t="s">
        <v>13</v>
      </c>
      <c r="D28">
        <f>13000*10.87+D27</f>
        <v>163050</v>
      </c>
      <c r="E28" s="9">
        <f>D28*2.83168</f>
        <v>461705.424</v>
      </c>
      <c r="F28">
        <v>6</v>
      </c>
      <c r="G28">
        <v>6</v>
      </c>
      <c r="H28">
        <v>0</v>
      </c>
      <c r="I28">
        <v>24</v>
      </c>
      <c r="J28">
        <v>0</v>
      </c>
      <c r="K28">
        <v>6</v>
      </c>
      <c r="L28" s="6">
        <f>0.2068/10.87 + 0.4684</f>
        <v>0.48742483900643974</v>
      </c>
      <c r="M28" s="6">
        <f t="shared" ref="M28:M30" si="6">L28/2.83168</f>
        <v>0.17213274063680914</v>
      </c>
      <c r="N28" t="s">
        <v>78</v>
      </c>
    </row>
    <row r="29" spans="1:14">
      <c r="A29" t="s">
        <v>21</v>
      </c>
      <c r="B29" t="s">
        <v>13</v>
      </c>
      <c r="D29">
        <f>85000*10.87+D28</f>
        <v>1087000</v>
      </c>
      <c r="E29">
        <f>D29*2.83168</f>
        <v>3078036.16</v>
      </c>
      <c r="F29">
        <v>6</v>
      </c>
      <c r="G29">
        <v>6</v>
      </c>
      <c r="H29">
        <v>0</v>
      </c>
      <c r="I29">
        <v>24</v>
      </c>
      <c r="J29">
        <v>0</v>
      </c>
      <c r="K29">
        <v>6</v>
      </c>
      <c r="L29" s="6">
        <f>0.1635/10.87 + 0.4684</f>
        <v>0.48344139834406624</v>
      </c>
      <c r="M29" s="6">
        <f t="shared" si="6"/>
        <v>0.17072599952821868</v>
      </c>
      <c r="N29" t="s">
        <v>78</v>
      </c>
    </row>
    <row r="30" spans="1:14">
      <c r="A30" t="s">
        <v>21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 s="6">
        <f>0.3865/10.87 + 0.5377</f>
        <v>0.57325657773689054</v>
      </c>
      <c r="M30" s="6">
        <f t="shared" si="6"/>
        <v>0.2024439829842675</v>
      </c>
      <c r="N30" t="s">
        <v>78</v>
      </c>
    </row>
    <row r="31" spans="1:14">
      <c r="A31" t="s">
        <v>21</v>
      </c>
      <c r="B31" t="s">
        <v>13</v>
      </c>
      <c r="D31">
        <f>2000*10.87</f>
        <v>21740</v>
      </c>
      <c r="E31" s="9">
        <f>D31*2.83168</f>
        <v>61560.7232</v>
      </c>
      <c r="F31">
        <v>7</v>
      </c>
      <c r="G31">
        <v>7</v>
      </c>
      <c r="H31">
        <v>0</v>
      </c>
      <c r="I31">
        <v>24</v>
      </c>
      <c r="J31">
        <v>0</v>
      </c>
      <c r="K31">
        <v>6</v>
      </c>
      <c r="L31" s="6">
        <f>0.237/10.87 + 0.5377</f>
        <v>0.55950312787488499</v>
      </c>
      <c r="M31" s="6">
        <f>L31/2.83168</f>
        <v>0.19758699001118946</v>
      </c>
      <c r="N31" t="s">
        <v>78</v>
      </c>
    </row>
    <row r="32" spans="1:14">
      <c r="A32" t="s">
        <v>21</v>
      </c>
      <c r="B32" t="s">
        <v>13</v>
      </c>
      <c r="D32">
        <f>13000*10.87+D31</f>
        <v>163050</v>
      </c>
      <c r="E32" s="9">
        <f>D32*2.83168</f>
        <v>461705.424</v>
      </c>
      <c r="F32">
        <v>7</v>
      </c>
      <c r="G32">
        <v>7</v>
      </c>
      <c r="H32">
        <v>0</v>
      </c>
      <c r="I32">
        <v>24</v>
      </c>
      <c r="J32">
        <v>0</v>
      </c>
      <c r="K32">
        <v>6</v>
      </c>
      <c r="L32" s="6">
        <f>0.2068/10.87 + 0.5377</f>
        <v>0.55672483900643965</v>
      </c>
      <c r="M32" s="6">
        <f t="shared" ref="M32:M34" si="7">L32/2.83168</f>
        <v>0.19660584494238037</v>
      </c>
      <c r="N32" t="s">
        <v>78</v>
      </c>
    </row>
    <row r="33" spans="1:14">
      <c r="A33" t="s">
        <v>21</v>
      </c>
      <c r="B33" t="s">
        <v>13</v>
      </c>
      <c r="D33">
        <f>85000*10.87+D32</f>
        <v>1087000</v>
      </c>
      <c r="E33">
        <f>D33*2.83168</f>
        <v>3078036.16</v>
      </c>
      <c r="F33">
        <v>7</v>
      </c>
      <c r="G33">
        <v>7</v>
      </c>
      <c r="H33">
        <v>0</v>
      </c>
      <c r="I33">
        <v>24</v>
      </c>
      <c r="J33">
        <v>0</v>
      </c>
      <c r="K33">
        <v>6</v>
      </c>
      <c r="L33" s="6">
        <f>0.1635/10.87 + 0.5377</f>
        <v>0.55274139834406621</v>
      </c>
      <c r="M33" s="6">
        <f t="shared" si="7"/>
        <v>0.19519910383378991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 s="6">
        <f>0.3865/10.87 + 0.54871</f>
        <v>0.5842665777368905</v>
      </c>
      <c r="M34" s="6">
        <f t="shared" si="7"/>
        <v>0.20633213418779328</v>
      </c>
      <c r="N34" t="s">
        <v>78</v>
      </c>
    </row>
    <row r="35" spans="1:14">
      <c r="A35" t="s">
        <v>21</v>
      </c>
      <c r="B35" t="s">
        <v>13</v>
      </c>
      <c r="D35">
        <f>2000*10.87</f>
        <v>21740</v>
      </c>
      <c r="E35" s="9">
        <f>D35*2.83168</f>
        <v>61560.7232</v>
      </c>
      <c r="F35">
        <v>8</v>
      </c>
      <c r="G35">
        <v>8</v>
      </c>
      <c r="H35">
        <v>0</v>
      </c>
      <c r="I35">
        <v>24</v>
      </c>
      <c r="J35">
        <v>0</v>
      </c>
      <c r="K35">
        <v>6</v>
      </c>
      <c r="L35" s="6">
        <f>0.237/10.87 + 0.54871</f>
        <v>0.57051312787488506</v>
      </c>
      <c r="M35" s="6">
        <f>L35/2.83168</f>
        <v>0.20147514121471533</v>
      </c>
      <c r="N35" t="s">
        <v>78</v>
      </c>
    </row>
    <row r="36" spans="1:14">
      <c r="A36" t="s">
        <v>21</v>
      </c>
      <c r="B36" t="s">
        <v>13</v>
      </c>
      <c r="D36">
        <f>13000*10.87+D35</f>
        <v>163050</v>
      </c>
      <c r="E36" s="9">
        <f>D36*2.83168</f>
        <v>461705.424</v>
      </c>
      <c r="F36">
        <v>8</v>
      </c>
      <c r="G36">
        <v>8</v>
      </c>
      <c r="H36">
        <v>0</v>
      </c>
      <c r="I36">
        <v>24</v>
      </c>
      <c r="J36">
        <v>0</v>
      </c>
      <c r="K36">
        <v>6</v>
      </c>
      <c r="L36" s="6">
        <f>0.2068/10.87+0.54871</f>
        <v>0.56773483900643973</v>
      </c>
      <c r="M36" s="6">
        <f t="shared" ref="M36:M38" si="8">L36/2.83168</f>
        <v>0.20049399614590621</v>
      </c>
      <c r="N36" t="s">
        <v>78</v>
      </c>
    </row>
    <row r="37" spans="1:14">
      <c r="A37" t="s">
        <v>21</v>
      </c>
      <c r="B37" t="s">
        <v>13</v>
      </c>
      <c r="D37">
        <f>85000*10.87+D36</f>
        <v>1087000</v>
      </c>
      <c r="E37">
        <f>D37*2.83168</f>
        <v>3078036.16</v>
      </c>
      <c r="F37">
        <v>8</v>
      </c>
      <c r="G37">
        <v>8</v>
      </c>
      <c r="H37">
        <v>0</v>
      </c>
      <c r="I37">
        <v>24</v>
      </c>
      <c r="J37">
        <v>0</v>
      </c>
      <c r="K37">
        <v>6</v>
      </c>
      <c r="L37" s="6">
        <f>0.1635/10.87 + 0.54871</f>
        <v>0.56375139834406629</v>
      </c>
      <c r="M37" s="6">
        <f t="shared" si="8"/>
        <v>0.19908725503731575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 s="6">
        <f>0.3865/10.87+ 0.607</f>
        <v>0.64255657773689046</v>
      </c>
      <c r="M38" s="6">
        <f t="shared" si="8"/>
        <v>0.2269170872898387</v>
      </c>
      <c r="N38" t="s">
        <v>78</v>
      </c>
    </row>
    <row r="39" spans="1:14">
      <c r="A39" t="s">
        <v>21</v>
      </c>
      <c r="B39" t="s">
        <v>13</v>
      </c>
      <c r="D39">
        <f>2000*10.87</f>
        <v>21740</v>
      </c>
      <c r="E39" s="9">
        <f>D39*2.83168</f>
        <v>61560.7232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 s="6">
        <f>0.237/10.87 + 0.607</f>
        <v>0.62880312787488502</v>
      </c>
      <c r="M39" s="6">
        <f>L39/2.83168</f>
        <v>0.22206009431676074</v>
      </c>
      <c r="N39" t="s">
        <v>78</v>
      </c>
    </row>
    <row r="40" spans="1:14">
      <c r="A40" t="s">
        <v>21</v>
      </c>
      <c r="B40" t="s">
        <v>13</v>
      </c>
      <c r="D40">
        <f>13000*10.87+D39</f>
        <v>163050</v>
      </c>
      <c r="E40" s="9">
        <f>D40*2.83168</f>
        <v>461705.424</v>
      </c>
      <c r="F40">
        <v>9</v>
      </c>
      <c r="G40">
        <v>9</v>
      </c>
      <c r="H40">
        <v>0</v>
      </c>
      <c r="I40">
        <v>24</v>
      </c>
      <c r="J40">
        <v>0</v>
      </c>
      <c r="K40">
        <v>6</v>
      </c>
      <c r="L40" s="6">
        <f>0.2068/10.87 + 0.607</f>
        <v>0.62602483900643968</v>
      </c>
      <c r="M40" s="6">
        <f t="shared" ref="M40:M42" si="9">L40/2.83168</f>
        <v>0.22107894924795163</v>
      </c>
      <c r="N40" t="s">
        <v>78</v>
      </c>
    </row>
    <row r="41" spans="1:14">
      <c r="A41" t="s">
        <v>21</v>
      </c>
      <c r="B41" t="s">
        <v>13</v>
      </c>
      <c r="D41">
        <f>85000*10.87+D40</f>
        <v>1087000</v>
      </c>
      <c r="E41">
        <f>D41*2.83168</f>
        <v>3078036.16</v>
      </c>
      <c r="F41">
        <v>9</v>
      </c>
      <c r="G41">
        <v>9</v>
      </c>
      <c r="H41">
        <v>0</v>
      </c>
      <c r="I41">
        <v>24</v>
      </c>
      <c r="J41">
        <v>0</v>
      </c>
      <c r="K41">
        <v>6</v>
      </c>
      <c r="L41" s="6">
        <f>0.1635/10.87 + 0.607</f>
        <v>0.62204139834406624</v>
      </c>
      <c r="M41" s="6">
        <f t="shared" si="9"/>
        <v>0.21967220813936117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 s="6">
        <f>0.3865/10.87 + 0.7541</f>
        <v>0.78965657773689046</v>
      </c>
      <c r="M42" s="6">
        <f t="shared" si="9"/>
        <v>0.27886504751133268</v>
      </c>
      <c r="N42" t="s">
        <v>78</v>
      </c>
    </row>
    <row r="43" spans="1:14">
      <c r="A43" t="s">
        <v>21</v>
      </c>
      <c r="B43" t="s">
        <v>13</v>
      </c>
      <c r="D43">
        <f>2000*10.87</f>
        <v>21740</v>
      </c>
      <c r="E43" s="9">
        <f>D43*2.83168</f>
        <v>61560.7232</v>
      </c>
      <c r="F43">
        <v>10</v>
      </c>
      <c r="G43">
        <v>10</v>
      </c>
      <c r="H43">
        <v>0</v>
      </c>
      <c r="I43">
        <v>24</v>
      </c>
      <c r="J43">
        <v>0</v>
      </c>
      <c r="K43">
        <v>6</v>
      </c>
      <c r="L43" s="6">
        <f>0.237/10.87 + 0.7541</f>
        <v>0.77590312787488502</v>
      </c>
      <c r="M43" s="6">
        <f>L43/2.83168</f>
        <v>0.27400805453825466</v>
      </c>
      <c r="N43" t="s">
        <v>78</v>
      </c>
    </row>
    <row r="44" spans="1:14">
      <c r="A44" t="s">
        <v>21</v>
      </c>
      <c r="B44" t="s">
        <v>13</v>
      </c>
      <c r="D44">
        <f>13000*10.87+D43</f>
        <v>163050</v>
      </c>
      <c r="E44" s="9">
        <f>D44*2.83168</f>
        <v>461705.424</v>
      </c>
      <c r="F44">
        <v>10</v>
      </c>
      <c r="G44">
        <v>10</v>
      </c>
      <c r="H44">
        <v>0</v>
      </c>
      <c r="I44">
        <v>24</v>
      </c>
      <c r="J44">
        <v>0</v>
      </c>
      <c r="K44">
        <v>6</v>
      </c>
      <c r="L44" s="6">
        <f>0.2068/10.87+ 0.7541</f>
        <v>0.77312483900643969</v>
      </c>
      <c r="M44" s="6">
        <f t="shared" ref="M44:M46" si="10">L44/2.83168</f>
        <v>0.27302690946944558</v>
      </c>
      <c r="N44" t="s">
        <v>78</v>
      </c>
    </row>
    <row r="45" spans="1:14">
      <c r="A45" t="s">
        <v>21</v>
      </c>
      <c r="B45" t="s">
        <v>13</v>
      </c>
      <c r="D45">
        <f>85000*10.87+D44</f>
        <v>1087000</v>
      </c>
      <c r="E45">
        <f>D45*2.83168</f>
        <v>3078036.16</v>
      </c>
      <c r="F45">
        <v>10</v>
      </c>
      <c r="G45">
        <v>10</v>
      </c>
      <c r="H45">
        <v>0</v>
      </c>
      <c r="I45">
        <v>24</v>
      </c>
      <c r="J45">
        <v>0</v>
      </c>
      <c r="K45">
        <v>6</v>
      </c>
      <c r="L45" s="6">
        <f>0.1635/10.87 + 0.7541</f>
        <v>0.76914139834406625</v>
      </c>
      <c r="M45" s="6">
        <f t="shared" si="10"/>
        <v>0.27162016836085512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 s="6">
        <f>0.3865/10.87 + 0.7902</f>
        <v>0.82575657773689048</v>
      </c>
      <c r="M46" s="6">
        <f t="shared" si="10"/>
        <v>0.29161366317411941</v>
      </c>
      <c r="N46" t="s">
        <v>78</v>
      </c>
    </row>
    <row r="47" spans="1:14">
      <c r="A47" t="s">
        <v>21</v>
      </c>
      <c r="B47" t="s">
        <v>13</v>
      </c>
      <c r="D47">
        <f>2000*10.87</f>
        <v>21740</v>
      </c>
      <c r="E47" s="9">
        <f>D47*2.83168</f>
        <v>61560.7232</v>
      </c>
      <c r="F47">
        <v>11</v>
      </c>
      <c r="G47">
        <v>11</v>
      </c>
      <c r="H47">
        <v>0</v>
      </c>
      <c r="I47">
        <v>24</v>
      </c>
      <c r="J47">
        <v>0</v>
      </c>
      <c r="K47">
        <v>6</v>
      </c>
      <c r="L47" s="6">
        <f>0.237/10.87 + 0.7902</f>
        <v>0.81200312787488504</v>
      </c>
      <c r="M47" s="6">
        <f>L47/2.83168</f>
        <v>0.28675667020104145</v>
      </c>
      <c r="N47" t="s">
        <v>78</v>
      </c>
    </row>
    <row r="48" spans="1:14">
      <c r="A48" t="s">
        <v>21</v>
      </c>
      <c r="B48" t="s">
        <v>13</v>
      </c>
      <c r="D48">
        <f>13000*10.87+D47</f>
        <v>163050</v>
      </c>
      <c r="E48" s="9">
        <f>D48*2.83168</f>
        <v>461705.424</v>
      </c>
      <c r="F48">
        <v>11</v>
      </c>
      <c r="G48">
        <v>11</v>
      </c>
      <c r="H48">
        <v>0</v>
      </c>
      <c r="I48">
        <v>24</v>
      </c>
      <c r="J48">
        <v>0</v>
      </c>
      <c r="K48">
        <v>6</v>
      </c>
      <c r="L48" s="6">
        <f>0.2068/10.87 + 0.7902</f>
        <v>0.80922483900643971</v>
      </c>
      <c r="M48" s="6">
        <f t="shared" ref="M48:M50" si="11">L48/2.83168</f>
        <v>0.28577552513223237</v>
      </c>
      <c r="N48" t="s">
        <v>78</v>
      </c>
    </row>
    <row r="49" spans="1:14">
      <c r="A49" t="s">
        <v>21</v>
      </c>
      <c r="B49" t="s">
        <v>13</v>
      </c>
      <c r="D49">
        <f>85000*10.87+D48</f>
        <v>1087000</v>
      </c>
      <c r="E49">
        <f>D49*2.83168</f>
        <v>3078036.16</v>
      </c>
      <c r="F49">
        <v>11</v>
      </c>
      <c r="G49">
        <v>11</v>
      </c>
      <c r="H49">
        <v>0</v>
      </c>
      <c r="I49">
        <v>24</v>
      </c>
      <c r="J49">
        <v>0</v>
      </c>
      <c r="K49">
        <v>6</v>
      </c>
      <c r="L49" s="6">
        <f>0.1635/10.87 + 0.7902</f>
        <v>0.80524139834406627</v>
      </c>
      <c r="M49" s="6">
        <f t="shared" si="11"/>
        <v>0.28436878402364191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 s="6">
        <f>0.3865/10.87 + 0.7147</f>
        <v>0.75025657773689058</v>
      </c>
      <c r="M50" s="6">
        <f t="shared" si="11"/>
        <v>0.26495104592923302</v>
      </c>
      <c r="N50" t="s">
        <v>78</v>
      </c>
    </row>
    <row r="51" spans="1:14">
      <c r="A51" t="s">
        <v>21</v>
      </c>
      <c r="B51" t="s">
        <v>13</v>
      </c>
      <c r="D51">
        <f>2000*10.87</f>
        <v>21740</v>
      </c>
      <c r="E51" s="9">
        <f>D51*2.83168</f>
        <v>61560.7232</v>
      </c>
      <c r="F51">
        <v>12</v>
      </c>
      <c r="G51">
        <v>12</v>
      </c>
      <c r="H51">
        <v>0</v>
      </c>
      <c r="I51">
        <v>24</v>
      </c>
      <c r="J51">
        <v>0</v>
      </c>
      <c r="K51">
        <v>6</v>
      </c>
      <c r="L51" s="6">
        <f>0.237/10.87  + 0.7147</f>
        <v>0.73650312787488503</v>
      </c>
      <c r="M51" s="6">
        <f>L51/2.83168</f>
        <v>0.26009405295615501</v>
      </c>
      <c r="N51" t="s">
        <v>78</v>
      </c>
    </row>
    <row r="52" spans="1:14">
      <c r="A52" t="s">
        <v>21</v>
      </c>
      <c r="B52" t="s">
        <v>13</v>
      </c>
      <c r="D52">
        <f>13000*10.87+D51</f>
        <v>163050</v>
      </c>
      <c r="E52" s="9">
        <f>D52*2.83168</f>
        <v>461705.424</v>
      </c>
      <c r="F52">
        <v>12</v>
      </c>
      <c r="G52">
        <v>12</v>
      </c>
      <c r="H52">
        <v>0</v>
      </c>
      <c r="I52">
        <v>24</v>
      </c>
      <c r="J52">
        <v>0</v>
      </c>
      <c r="K52">
        <v>6</v>
      </c>
      <c r="L52" s="6">
        <f>0.2068/10.87  + 0.7147</f>
        <v>0.7337248390064397</v>
      </c>
      <c r="M52" s="6">
        <f t="shared" ref="M52:M53" si="12">L52/2.83168</f>
        <v>0.25911290788734592</v>
      </c>
      <c r="N52" t="s">
        <v>78</v>
      </c>
    </row>
    <row r="53" spans="1:14">
      <c r="A53" t="s">
        <v>21</v>
      </c>
      <c r="B53" t="s">
        <v>13</v>
      </c>
      <c r="D53">
        <f>85000*10.87+D52</f>
        <v>1087000</v>
      </c>
      <c r="E53">
        <f>D53*2.83168</f>
        <v>3078036.16</v>
      </c>
      <c r="F53">
        <v>12</v>
      </c>
      <c r="G53">
        <v>12</v>
      </c>
      <c r="H53">
        <v>0</v>
      </c>
      <c r="I53">
        <v>24</v>
      </c>
      <c r="J53">
        <v>0</v>
      </c>
      <c r="K53">
        <v>6</v>
      </c>
      <c r="L53" s="6">
        <f>0.1635/10.87  + 0.7147</f>
        <v>0.72974139834406626</v>
      </c>
      <c r="M53" s="6">
        <f t="shared" si="12"/>
        <v>0.25770616677875546</v>
      </c>
      <c r="N53" t="s">
        <v>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 t="shared" si="0"/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activeCell="M29" sqref="M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topLeftCell="A35" workbookViewId="0">
      <selection activeCell="O68" sqref="A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114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114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114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114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114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114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114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114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114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6">
        <f t="shared" ref="M45:M54" si="1">L45/2.83168</f>
        <v>54.246260170640745</v>
      </c>
      <c r="N45" t="s">
        <v>78</v>
      </c>
      <c r="O45" t="s">
        <v>128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6">
        <f>L46/2.83168</f>
        <v>0.17048183410554865</v>
      </c>
      <c r="N46" t="s">
        <v>78</v>
      </c>
      <c r="O46" t="s">
        <v>128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6">
        <f t="shared" si="1"/>
        <v>54.27229100745847</v>
      </c>
      <c r="N47" t="s">
        <v>78</v>
      </c>
      <c r="O47" t="s">
        <v>128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6">
        <f t="shared" si="1"/>
        <v>0.19651267092326816</v>
      </c>
      <c r="N48" t="s">
        <v>78</v>
      </c>
      <c r="O48" t="s">
        <v>128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6">
        <f t="shared" si="1"/>
        <v>54.258806079783028</v>
      </c>
      <c r="N49" t="s">
        <v>78</v>
      </c>
      <c r="O49" t="s">
        <v>128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6">
        <f t="shared" si="1"/>
        <v>0.18302774324782459</v>
      </c>
      <c r="N50" t="s">
        <v>78</v>
      </c>
      <c r="O50" t="s">
        <v>128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6">
        <f t="shared" si="1"/>
        <v>54.261852327946656</v>
      </c>
      <c r="N51" t="s">
        <v>78</v>
      </c>
      <c r="O51" t="s">
        <v>128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6">
        <f t="shared" si="1"/>
        <v>0.18607399141145892</v>
      </c>
      <c r="N52" t="s">
        <v>78</v>
      </c>
      <c r="O52" t="s">
        <v>128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6">
        <f t="shared" si="1"/>
        <v>54.244424511244205</v>
      </c>
      <c r="N53" t="s">
        <v>78</v>
      </c>
      <c r="O53" t="s">
        <v>128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6">
        <f t="shared" si="1"/>
        <v>0.16864617470900667</v>
      </c>
      <c r="N54" t="s">
        <v>78</v>
      </c>
      <c r="O54" t="s">
        <v>128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6">
        <f t="shared" ref="M55:M68" si="2">L55/2.83168</f>
        <v>54.269625098881221</v>
      </c>
      <c r="N55" t="s">
        <v>78</v>
      </c>
      <c r="O55" t="s">
        <v>128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6">
        <f t="shared" si="2"/>
        <v>0.19384676234602782</v>
      </c>
      <c r="N56" t="s">
        <v>78</v>
      </c>
      <c r="O56" t="s">
        <v>128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6">
        <f t="shared" si="2"/>
        <v>54.285910484235508</v>
      </c>
      <c r="N57" t="s">
        <v>78</v>
      </c>
      <c r="O57" t="s">
        <v>128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6">
        <f t="shared" si="2"/>
        <v>0.21013214770030511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6">
        <f t="shared" si="2"/>
        <v>54.278834472821785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6">
        <f t="shared" si="2"/>
        <v>0.20305613628658606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6">
        <f t="shared" si="2"/>
        <v>54.302084628206572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6">
        <f t="shared" si="2"/>
        <v>0.22630629167137531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6">
        <f t="shared" si="2"/>
        <v>54.351753376087686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6">
        <f t="shared" si="2"/>
        <v>0.27597503955249181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6">
        <f t="shared" si="2"/>
        <v>54.358878474968925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6">
        <f t="shared" si="2"/>
        <v>0.28310013843372134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6">
        <f t="shared" si="2"/>
        <v>54.347859927675444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6">
        <f t="shared" si="2"/>
        <v>0.27208159114024183</v>
      </c>
      <c r="N68" t="s">
        <v>78</v>
      </c>
      <c r="O68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>
      <selection activeCell="O15" sqref="O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6">
        <f>(14.07+17.1+2.92)/4.5</f>
        <v>7.5755555555555567</v>
      </c>
      <c r="M3" s="6">
        <f>(14.07+17.1+2.92)/4.5</f>
        <v>7.5755555555555567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6">
        <f>(14.07+17.1+2.92)/4.5</f>
        <v>7.5755555555555567</v>
      </c>
      <c r="M5" s="6">
        <f>(14.07+17.1+2.92)/4.5</f>
        <v>7.5755555555555567</v>
      </c>
      <c r="N5" t="s">
        <v>17</v>
      </c>
    </row>
    <row r="6" spans="1:1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6">
        <f>(14.07+17.1+2.92)/4.5</f>
        <v>7.5755555555555567</v>
      </c>
      <c r="M6" s="6">
        <f>(14.07+17.1+2.92)/4.5</f>
        <v>7.5755555555555567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  <row r="8" spans="1:15">
      <c r="A8" t="s">
        <v>21</v>
      </c>
      <c r="B8" t="s">
        <v>11</v>
      </c>
      <c r="L8">
        <v>700</v>
      </c>
      <c r="M8">
        <v>700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v>0.59394999999999998</v>
      </c>
      <c r="M9" s="5">
        <f>L9/2.83168</f>
        <v>0.20975180811391117</v>
      </c>
      <c r="N9" t="s">
        <v>78</v>
      </c>
      <c r="O9" t="s">
        <v>128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4</v>
      </c>
      <c r="H10">
        <v>0</v>
      </c>
      <c r="I10">
        <v>24</v>
      </c>
      <c r="J10">
        <v>0</v>
      </c>
      <c r="K10">
        <v>6</v>
      </c>
      <c r="L10">
        <v>0.58394999999999997</v>
      </c>
      <c r="M10" s="5">
        <f t="shared" ref="M10:M15" si="0">L10/2.83168</f>
        <v>0.20622033563114475</v>
      </c>
      <c r="N10" t="s">
        <v>78</v>
      </c>
      <c r="O10" t="s">
        <v>128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5</v>
      </c>
      <c r="G11">
        <v>7</v>
      </c>
      <c r="H11">
        <v>0</v>
      </c>
      <c r="I11">
        <v>24</v>
      </c>
      <c r="J11">
        <v>0</v>
      </c>
      <c r="K11">
        <v>6</v>
      </c>
      <c r="L11">
        <v>0.61194999999999999</v>
      </c>
      <c r="M11" s="5">
        <f t="shared" si="0"/>
        <v>0.21610845858289071</v>
      </c>
      <c r="N11" t="s">
        <v>78</v>
      </c>
      <c r="O11" t="s">
        <v>128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8</v>
      </c>
      <c r="G12">
        <v>8</v>
      </c>
      <c r="H12">
        <v>0</v>
      </c>
      <c r="I12">
        <v>24</v>
      </c>
      <c r="J12">
        <v>0</v>
      </c>
      <c r="K12">
        <v>6</v>
      </c>
      <c r="L12">
        <v>0.62595000000000001</v>
      </c>
      <c r="M12" s="5">
        <f t="shared" si="0"/>
        <v>0.22105252005876372</v>
      </c>
      <c r="N12" t="s">
        <v>78</v>
      </c>
      <c r="O12" t="s">
        <v>128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9</v>
      </c>
      <c r="G13">
        <v>9</v>
      </c>
      <c r="H13">
        <v>0</v>
      </c>
      <c r="I13">
        <v>24</v>
      </c>
      <c r="J13">
        <v>0</v>
      </c>
      <c r="K13">
        <v>6</v>
      </c>
      <c r="L13">
        <v>0.63395000000000001</v>
      </c>
      <c r="M13" s="5">
        <f t="shared" si="0"/>
        <v>0.22387769804497684</v>
      </c>
      <c r="N13" t="s">
        <v>78</v>
      </c>
      <c r="O13" t="s">
        <v>128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v>0.63895000000000002</v>
      </c>
      <c r="M14" s="5">
        <f t="shared" si="0"/>
        <v>0.22564343428636005</v>
      </c>
      <c r="N14" t="s">
        <v>78</v>
      </c>
      <c r="O14" t="s">
        <v>128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24</v>
      </c>
      <c r="J15">
        <v>0</v>
      </c>
      <c r="K15">
        <v>6</v>
      </c>
      <c r="L15">
        <v>0.64995000000000003</v>
      </c>
      <c r="M15" s="5">
        <f t="shared" si="0"/>
        <v>0.22952805401740312</v>
      </c>
      <c r="N15" t="s">
        <v>78</v>
      </c>
      <c r="O15" t="s">
        <v>128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24"/>
  <sheetViews>
    <sheetView workbookViewId="0">
      <selection activeCell="O19" sqref="O19:O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123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123</v>
      </c>
    </row>
    <row r="5" spans="1:1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123</v>
      </c>
    </row>
    <row r="6" spans="1:15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5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  <row r="18" spans="1:15">
      <c r="A18" t="s">
        <v>21</v>
      </c>
      <c r="B18" t="s">
        <v>11</v>
      </c>
      <c r="L18">
        <v>1357.95</v>
      </c>
      <c r="M18">
        <v>1357.95</v>
      </c>
      <c r="N18" t="s">
        <v>12</v>
      </c>
    </row>
    <row r="19" spans="1:15">
      <c r="A19" t="s">
        <v>21</v>
      </c>
      <c r="B19" t="s">
        <v>13</v>
      </c>
      <c r="D19">
        <v>0</v>
      </c>
      <c r="E19">
        <f>D19*2.83168</f>
        <v>0</v>
      </c>
      <c r="F19">
        <v>1</v>
      </c>
      <c r="G19">
        <v>3</v>
      </c>
      <c r="H19">
        <v>0</v>
      </c>
      <c r="I19">
        <v>24</v>
      </c>
      <c r="J19">
        <v>0</v>
      </c>
      <c r="K19">
        <v>6</v>
      </c>
      <c r="L19">
        <f>0.06994+0.4</f>
        <v>0.46994000000000002</v>
      </c>
      <c r="M19" s="5">
        <f t="shared" ref="M19:M24" si="0">L19/2.83168</f>
        <v>0.16595801785512487</v>
      </c>
      <c r="N19" t="s">
        <v>78</v>
      </c>
      <c r="O19" t="s">
        <v>132</v>
      </c>
    </row>
    <row r="20" spans="1:15">
      <c r="A20" t="s">
        <v>21</v>
      </c>
      <c r="B20" t="s">
        <v>13</v>
      </c>
      <c r="D20">
        <v>36000</v>
      </c>
      <c r="E20" s="12">
        <f t="shared" ref="E20:E24" si="1">D20*2.83168</f>
        <v>101940.48</v>
      </c>
      <c r="F20">
        <v>1</v>
      </c>
      <c r="G20">
        <v>3</v>
      </c>
      <c r="H20">
        <v>0</v>
      </c>
      <c r="I20">
        <v>24</v>
      </c>
      <c r="J20">
        <v>0</v>
      </c>
      <c r="K20">
        <v>6</v>
      </c>
      <c r="L20">
        <f>0.05456+0.4</f>
        <v>0.45456000000000002</v>
      </c>
      <c r="M20" s="5">
        <f t="shared" si="0"/>
        <v>0.16052661317663014</v>
      </c>
      <c r="N20" t="s">
        <v>78</v>
      </c>
      <c r="O20" t="s">
        <v>132</v>
      </c>
    </row>
    <row r="21" spans="1:15">
      <c r="A21" t="s">
        <v>21</v>
      </c>
      <c r="B21" t="s">
        <v>13</v>
      </c>
      <c r="D21">
        <v>0</v>
      </c>
      <c r="E21" s="13">
        <f t="shared" si="1"/>
        <v>0</v>
      </c>
      <c r="F21">
        <v>4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0.04366+0.4</f>
        <v>0.44366</v>
      </c>
      <c r="M21" s="5">
        <f t="shared" si="0"/>
        <v>0.15667730817041473</v>
      </c>
      <c r="N21" t="s">
        <v>78</v>
      </c>
      <c r="O21" t="s">
        <v>132</v>
      </c>
    </row>
    <row r="22" spans="1:15">
      <c r="A22" t="s">
        <v>21</v>
      </c>
      <c r="B22" t="s">
        <v>13</v>
      </c>
      <c r="D22">
        <v>36000</v>
      </c>
      <c r="E22" s="12">
        <f t="shared" si="1"/>
        <v>101940.48</v>
      </c>
      <c r="F22">
        <v>4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0.02893+0.4</f>
        <v>0.42893000000000003</v>
      </c>
      <c r="M22" s="5">
        <f t="shared" si="0"/>
        <v>0.15147544920329983</v>
      </c>
      <c r="N22" t="s">
        <v>78</v>
      </c>
      <c r="O22" t="s">
        <v>132</v>
      </c>
    </row>
    <row r="23" spans="1:15">
      <c r="A23" t="s">
        <v>21</v>
      </c>
      <c r="B23" t="s">
        <v>13</v>
      </c>
      <c r="D23">
        <v>0</v>
      </c>
      <c r="E23" s="13">
        <f t="shared" si="1"/>
        <v>0</v>
      </c>
      <c r="F23">
        <v>11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0.06994+0.79</f>
        <v>0.85994000000000004</v>
      </c>
      <c r="M23" s="5">
        <f t="shared" si="0"/>
        <v>0.30368544468301506</v>
      </c>
      <c r="N23" t="s">
        <v>78</v>
      </c>
      <c r="O23" t="s">
        <v>132</v>
      </c>
    </row>
    <row r="24" spans="1:15">
      <c r="A24" t="s">
        <v>21</v>
      </c>
      <c r="B24" t="s">
        <v>13</v>
      </c>
      <c r="D24">
        <v>36000</v>
      </c>
      <c r="E24" s="12">
        <f t="shared" si="1"/>
        <v>101940.48</v>
      </c>
      <c r="F24">
        <v>11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0.05456+0.79</f>
        <v>0.84455999999999998</v>
      </c>
      <c r="M24" s="5">
        <f t="shared" si="0"/>
        <v>0.29825404000452027</v>
      </c>
      <c r="N24" t="s">
        <v>78</v>
      </c>
      <c r="O24" t="s">
        <v>132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2"/>
  <sheetViews>
    <sheetView workbookViewId="0">
      <selection activeCell="E21" sqref="E2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55"/>
  <sheetViews>
    <sheetView topLeftCell="A16" workbookViewId="0">
      <selection activeCell="O45" sqref="O4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70"/>
  <sheetViews>
    <sheetView workbookViewId="0">
      <selection activeCell="A22" sqref="A22:N7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118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0</v>
      </c>
      <c r="I23">
        <v>24</v>
      </c>
      <c r="J23">
        <v>0</v>
      </c>
      <c r="K23">
        <v>6</v>
      </c>
      <c r="L23" s="6">
        <f>0.3865/10.87 + 0.3537</f>
        <v>0.38925657773689054</v>
      </c>
      <c r="M23" s="6">
        <f t="shared" ref="M23" si="0">L23/2.83168</f>
        <v>0.13746488930136547</v>
      </c>
      <c r="N23" t="s">
        <v>78</v>
      </c>
    </row>
    <row r="24" spans="1:14">
      <c r="A24" t="s">
        <v>21</v>
      </c>
      <c r="B24" t="s">
        <v>13</v>
      </c>
      <c r="D24">
        <f>2000*10.87</f>
        <v>21740</v>
      </c>
      <c r="E24" s="9">
        <f>D24*2.83168</f>
        <v>61560.7232</v>
      </c>
      <c r="F24">
        <v>1</v>
      </c>
      <c r="G24">
        <v>1</v>
      </c>
      <c r="H24">
        <v>0</v>
      </c>
      <c r="I24">
        <v>24</v>
      </c>
      <c r="J24">
        <v>0</v>
      </c>
      <c r="K24">
        <v>6</v>
      </c>
      <c r="L24" s="6">
        <f>0.237/10.87+0.3537</f>
        <v>0.37550312787488505</v>
      </c>
      <c r="M24" s="6">
        <f>L24/2.83168</f>
        <v>0.13260789632828746</v>
      </c>
      <c r="N24" t="s">
        <v>78</v>
      </c>
    </row>
    <row r="25" spans="1:14">
      <c r="A25" t="s">
        <v>21</v>
      </c>
      <c r="B25" t="s">
        <v>13</v>
      </c>
      <c r="D25">
        <f>13000*10.87+D24</f>
        <v>163050</v>
      </c>
      <c r="E25" s="9">
        <f>D25*2.83168</f>
        <v>461705.424</v>
      </c>
      <c r="F25">
        <v>1</v>
      </c>
      <c r="G25">
        <v>1</v>
      </c>
      <c r="H25">
        <v>0</v>
      </c>
      <c r="I25">
        <v>24</v>
      </c>
      <c r="J25">
        <v>0</v>
      </c>
      <c r="K25">
        <v>6</v>
      </c>
      <c r="L25" s="6">
        <f>0.2068/10.87 + 0.3537</f>
        <v>0.37272483900643977</v>
      </c>
      <c r="M25" s="6">
        <f t="shared" ref="M25:M26" si="1">L25/2.83168</f>
        <v>0.1316267512594784</v>
      </c>
      <c r="N25" t="s">
        <v>78</v>
      </c>
    </row>
    <row r="26" spans="1:14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</v>
      </c>
      <c r="H26">
        <v>0</v>
      </c>
      <c r="I26">
        <v>24</v>
      </c>
      <c r="J26">
        <v>0</v>
      </c>
      <c r="K26">
        <v>6</v>
      </c>
      <c r="L26" s="6">
        <f>0.1635/10.87 + 0.3537</f>
        <v>0.36874139834406627</v>
      </c>
      <c r="M26" s="6">
        <f t="shared" si="1"/>
        <v>0.13022001015088791</v>
      </c>
      <c r="N26" t="s">
        <v>78</v>
      </c>
    </row>
    <row r="27" spans="1:14">
      <c r="A27" t="s">
        <v>21</v>
      </c>
      <c r="B27" t="s">
        <v>13</v>
      </c>
      <c r="D27">
        <v>0</v>
      </c>
      <c r="E27">
        <v>0</v>
      </c>
      <c r="F27">
        <v>2</v>
      </c>
      <c r="G27">
        <v>2</v>
      </c>
      <c r="H27">
        <v>0</v>
      </c>
      <c r="I27">
        <v>24</v>
      </c>
      <c r="J27">
        <v>0</v>
      </c>
      <c r="K27">
        <v>6</v>
      </c>
      <c r="L27" s="6">
        <f>0.3865/10.87 + 0.383</f>
        <v>0.41855657773689053</v>
      </c>
      <c r="M27" s="6">
        <f t="shared" ref="M27" si="2">L27/2.83168</f>
        <v>0.14781210367587105</v>
      </c>
      <c r="N27" t="s">
        <v>78</v>
      </c>
    </row>
    <row r="28" spans="1:14">
      <c r="A28" t="s">
        <v>21</v>
      </c>
      <c r="B28" t="s">
        <v>13</v>
      </c>
      <c r="D28">
        <f>2000*10.87</f>
        <v>21740</v>
      </c>
      <c r="E28" s="9">
        <f>D28*2.83168</f>
        <v>61560.7232</v>
      </c>
      <c r="F28">
        <v>2</v>
      </c>
      <c r="G28">
        <v>2</v>
      </c>
      <c r="H28">
        <v>0</v>
      </c>
      <c r="I28">
        <v>24</v>
      </c>
      <c r="J28">
        <v>0</v>
      </c>
      <c r="K28">
        <v>6</v>
      </c>
      <c r="L28" s="6">
        <f>0.237/10.87 + 0.383</f>
        <v>0.40480312787488504</v>
      </c>
      <c r="M28" s="6">
        <f>L28/2.83168</f>
        <v>0.14295511070279307</v>
      </c>
      <c r="N28" t="s">
        <v>78</v>
      </c>
    </row>
    <row r="29" spans="1:14">
      <c r="A29" t="s">
        <v>21</v>
      </c>
      <c r="B29" t="s">
        <v>13</v>
      </c>
      <c r="D29">
        <f>13000*10.87+D28</f>
        <v>163050</v>
      </c>
      <c r="E29" s="9">
        <f>D29*2.83168</f>
        <v>461705.424</v>
      </c>
      <c r="F29">
        <v>2</v>
      </c>
      <c r="G29">
        <v>2</v>
      </c>
      <c r="H29">
        <v>0</v>
      </c>
      <c r="I29">
        <v>24</v>
      </c>
      <c r="J29">
        <v>0</v>
      </c>
      <c r="K29">
        <v>6</v>
      </c>
      <c r="L29" s="6">
        <f>0.2068/10.87 + 0.383</f>
        <v>0.40202483900643976</v>
      </c>
      <c r="M29" s="6">
        <f t="shared" ref="M29" si="3">L29/2.83168</f>
        <v>0.14197396563398398</v>
      </c>
      <c r="N29" t="s">
        <v>78</v>
      </c>
    </row>
    <row r="30" spans="1:14">
      <c r="A30" t="s">
        <v>21</v>
      </c>
      <c r="B30" t="s">
        <v>13</v>
      </c>
      <c r="D30">
        <f>85000*10.87+D29</f>
        <v>1087000</v>
      </c>
      <c r="E30">
        <f>D30*2.83168</f>
        <v>3078036.16</v>
      </c>
      <c r="F30">
        <v>2</v>
      </c>
      <c r="G30">
        <v>2</v>
      </c>
      <c r="H30">
        <v>0</v>
      </c>
      <c r="I30">
        <v>24</v>
      </c>
      <c r="J30">
        <v>0</v>
      </c>
      <c r="K30">
        <v>6</v>
      </c>
      <c r="L30" s="6">
        <f>0.1635/10.87 + 0.383</f>
        <v>0.39804139834406627</v>
      </c>
      <c r="M30" s="6">
        <f t="shared" ref="M30:M31" si="4">L30/2.83168</f>
        <v>0.1405672245253935</v>
      </c>
      <c r="N30" t="s">
        <v>78</v>
      </c>
    </row>
    <row r="31" spans="1:14">
      <c r="A31" t="s">
        <v>21</v>
      </c>
      <c r="B31" t="s">
        <v>13</v>
      </c>
      <c r="D31">
        <v>0</v>
      </c>
      <c r="E31">
        <v>0</v>
      </c>
      <c r="F31">
        <v>3</v>
      </c>
      <c r="G31">
        <v>3</v>
      </c>
      <c r="H31">
        <v>0</v>
      </c>
      <c r="I31">
        <v>24</v>
      </c>
      <c r="J31">
        <v>0</v>
      </c>
      <c r="K31">
        <v>6</v>
      </c>
      <c r="L31" s="6">
        <f>0.3865/10.87 + 0.3924</f>
        <v>0.42795657773689055</v>
      </c>
      <c r="M31" s="6">
        <f t="shared" si="4"/>
        <v>0.15113168780967148</v>
      </c>
      <c r="N31" t="s">
        <v>78</v>
      </c>
    </row>
    <row r="32" spans="1:14">
      <c r="A32" t="s">
        <v>21</v>
      </c>
      <c r="B32" t="s">
        <v>13</v>
      </c>
      <c r="D32">
        <f>2000*10.87</f>
        <v>21740</v>
      </c>
      <c r="E32" s="9">
        <f>D32*2.83168</f>
        <v>61560.7232</v>
      </c>
      <c r="F32">
        <v>3</v>
      </c>
      <c r="G32">
        <v>3</v>
      </c>
      <c r="H32">
        <v>0</v>
      </c>
      <c r="I32">
        <v>24</v>
      </c>
      <c r="J32">
        <v>0</v>
      </c>
      <c r="K32">
        <v>6</v>
      </c>
      <c r="L32" s="6">
        <f>0.237/10.87 + 0.3924</f>
        <v>0.41420312787488506</v>
      </c>
      <c r="M32" s="6">
        <f>L32/2.83168</f>
        <v>0.1462746948365935</v>
      </c>
      <c r="N32" t="s">
        <v>78</v>
      </c>
    </row>
    <row r="33" spans="1:14">
      <c r="A33" t="s">
        <v>21</v>
      </c>
      <c r="B33" t="s">
        <v>13</v>
      </c>
      <c r="D33">
        <f>13000*10.87+D32</f>
        <v>163050</v>
      </c>
      <c r="E33" s="9">
        <f>D33*2.83168</f>
        <v>461705.424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 s="6">
        <f>0.2068/10.87 + 0.3924</f>
        <v>0.41142483900643978</v>
      </c>
      <c r="M33" s="6">
        <f t="shared" ref="M33:M35" si="5">L33/2.83168</f>
        <v>0.14529354976778441</v>
      </c>
      <c r="N33" t="s">
        <v>78</v>
      </c>
    </row>
    <row r="34" spans="1:14">
      <c r="A34" t="s">
        <v>21</v>
      </c>
      <c r="B34" t="s">
        <v>13</v>
      </c>
      <c r="D34">
        <f>85000*10.87+D33</f>
        <v>1087000</v>
      </c>
      <c r="E34">
        <f>D34*2.83168</f>
        <v>3078036.16</v>
      </c>
      <c r="F34">
        <v>3</v>
      </c>
      <c r="G34">
        <v>3</v>
      </c>
      <c r="H34">
        <v>0</v>
      </c>
      <c r="I34">
        <v>24</v>
      </c>
      <c r="J34">
        <v>0</v>
      </c>
      <c r="K34">
        <v>6</v>
      </c>
      <c r="L34" s="6">
        <f>0.1635/10.87 + 0.3924</f>
        <v>0.40744139834406629</v>
      </c>
      <c r="M34" s="6">
        <f t="shared" si="5"/>
        <v>0.14388680865919393</v>
      </c>
      <c r="N34" t="s">
        <v>78</v>
      </c>
    </row>
    <row r="35" spans="1:14">
      <c r="A35" t="s">
        <v>21</v>
      </c>
      <c r="B35" t="s">
        <v>13</v>
      </c>
      <c r="D35">
        <v>0</v>
      </c>
      <c r="E35">
        <v>0</v>
      </c>
      <c r="F35">
        <v>4</v>
      </c>
      <c r="G35">
        <v>4</v>
      </c>
      <c r="H35">
        <v>0</v>
      </c>
      <c r="I35">
        <v>24</v>
      </c>
      <c r="J35">
        <v>0</v>
      </c>
      <c r="K35">
        <v>6</v>
      </c>
      <c r="L35" s="6">
        <f>0.3865/10.87 + 0.4286</f>
        <v>0.46415657773689051</v>
      </c>
      <c r="M35" s="6">
        <f t="shared" si="5"/>
        <v>0.16391561819728589</v>
      </c>
      <c r="N35" t="s">
        <v>78</v>
      </c>
    </row>
    <row r="36" spans="1:14">
      <c r="A36" t="s">
        <v>21</v>
      </c>
      <c r="B36" t="s">
        <v>13</v>
      </c>
      <c r="D36">
        <f>2000*10.87</f>
        <v>21740</v>
      </c>
      <c r="E36" s="9">
        <f>D36*2.83168</f>
        <v>61560.7232</v>
      </c>
      <c r="F36">
        <v>4</v>
      </c>
      <c r="G36">
        <v>4</v>
      </c>
      <c r="H36">
        <v>0</v>
      </c>
      <c r="I36">
        <v>24</v>
      </c>
      <c r="J36">
        <v>0</v>
      </c>
      <c r="K36">
        <v>6</v>
      </c>
      <c r="L36" s="6">
        <f>0.237/10.87 + 0.4286</f>
        <v>0.45040312787488501</v>
      </c>
      <c r="M36" s="6">
        <f>L36/2.83168</f>
        <v>0.15905862522420788</v>
      </c>
      <c r="N36" t="s">
        <v>78</v>
      </c>
    </row>
    <row r="37" spans="1:14">
      <c r="A37" t="s">
        <v>21</v>
      </c>
      <c r="B37" t="s">
        <v>13</v>
      </c>
      <c r="D37">
        <f>13000*10.87+D36</f>
        <v>163050</v>
      </c>
      <c r="E37" s="9">
        <f>D37*2.83168</f>
        <v>461705.424</v>
      </c>
      <c r="F37">
        <v>4</v>
      </c>
      <c r="G37">
        <v>4</v>
      </c>
      <c r="H37">
        <v>0</v>
      </c>
      <c r="I37">
        <v>24</v>
      </c>
      <c r="J37">
        <v>0</v>
      </c>
      <c r="K37">
        <v>6</v>
      </c>
      <c r="L37" s="6">
        <f>0.2068/10.87 +0.4286</f>
        <v>0.44762483900643973</v>
      </c>
      <c r="M37" s="6">
        <f t="shared" ref="M37:M39" si="6">L37/2.83168</f>
        <v>0.15807748015539883</v>
      </c>
      <c r="N37" t="s">
        <v>78</v>
      </c>
    </row>
    <row r="38" spans="1:14">
      <c r="A38" t="s">
        <v>21</v>
      </c>
      <c r="B38" t="s">
        <v>13</v>
      </c>
      <c r="D38">
        <f>85000*10.87+D37</f>
        <v>1087000</v>
      </c>
      <c r="E38">
        <f>D38*2.83168</f>
        <v>3078036.16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 s="6">
        <f>0.1635/10.87 + 0.4286</f>
        <v>0.44364139834406624</v>
      </c>
      <c r="M38" s="6">
        <f t="shared" si="6"/>
        <v>0.15667073904680834</v>
      </c>
      <c r="N38" t="s">
        <v>78</v>
      </c>
    </row>
    <row r="39" spans="1:14">
      <c r="A39" t="s">
        <v>21</v>
      </c>
      <c r="B39" t="s">
        <v>13</v>
      </c>
      <c r="D39">
        <v>0</v>
      </c>
      <c r="E39">
        <v>0</v>
      </c>
      <c r="F39">
        <v>5</v>
      </c>
      <c r="G39">
        <v>5</v>
      </c>
      <c r="H39">
        <v>0</v>
      </c>
      <c r="I39">
        <v>24</v>
      </c>
      <c r="J39">
        <v>0</v>
      </c>
      <c r="K39">
        <v>6</v>
      </c>
      <c r="L39" s="6">
        <f>0.3865/10.87 +0.4625</f>
        <v>0.49805657773689055</v>
      </c>
      <c r="M39" s="6">
        <f t="shared" si="6"/>
        <v>0.17588730991386406</v>
      </c>
      <c r="N39" t="s">
        <v>78</v>
      </c>
    </row>
    <row r="40" spans="1:14">
      <c r="A40" t="s">
        <v>21</v>
      </c>
      <c r="B40" t="s">
        <v>13</v>
      </c>
      <c r="D40">
        <f>2000*10.87</f>
        <v>21740</v>
      </c>
      <c r="E40" s="9">
        <f>D40*2.83168</f>
        <v>61560.7232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 s="6">
        <f>0.237/10.87 +0.4625</f>
        <v>0.48430312787488505</v>
      </c>
      <c r="M40" s="6">
        <f>L40/2.83168</f>
        <v>0.17103031694078605</v>
      </c>
      <c r="N40" t="s">
        <v>78</v>
      </c>
    </row>
    <row r="41" spans="1:14">
      <c r="A41" t="s">
        <v>21</v>
      </c>
      <c r="B41" t="s">
        <v>13</v>
      </c>
      <c r="D41">
        <f>13000*10.87+D40</f>
        <v>163050</v>
      </c>
      <c r="E41" s="9">
        <f>D41*2.83168</f>
        <v>461705.424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 s="6">
        <f>0.2068/10.87 + 0.4625</f>
        <v>0.48152483900643978</v>
      </c>
      <c r="M41" s="6">
        <f t="shared" ref="M41:M43" si="7">L41/2.83168</f>
        <v>0.17004917187197699</v>
      </c>
      <c r="N41" t="s">
        <v>78</v>
      </c>
    </row>
    <row r="42" spans="1:14">
      <c r="A42" t="s">
        <v>21</v>
      </c>
      <c r="B42" t="s">
        <v>13</v>
      </c>
      <c r="D42">
        <f>85000*10.87+D41</f>
        <v>1087000</v>
      </c>
      <c r="E42">
        <f>D42*2.83168</f>
        <v>3078036.16</v>
      </c>
      <c r="F42">
        <v>5</v>
      </c>
      <c r="G42">
        <v>5</v>
      </c>
      <c r="H42">
        <v>0</v>
      </c>
      <c r="I42">
        <v>24</v>
      </c>
      <c r="J42">
        <v>0</v>
      </c>
      <c r="K42">
        <v>6</v>
      </c>
      <c r="L42" s="6">
        <f>0.1635/10.87 + 0.4625</f>
        <v>0.47754139834406628</v>
      </c>
      <c r="M42" s="6">
        <f t="shared" si="7"/>
        <v>0.1686424307633865</v>
      </c>
      <c r="N42" t="s">
        <v>78</v>
      </c>
    </row>
    <row r="43" spans="1:14">
      <c r="A43" t="s">
        <v>21</v>
      </c>
      <c r="B43" t="s">
        <v>13</v>
      </c>
      <c r="D43">
        <v>0</v>
      </c>
      <c r="E43">
        <v>0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 s="6">
        <f>0.3865/10.87 + 0.4684</f>
        <v>0.50395657773689051</v>
      </c>
      <c r="M43" s="6">
        <f t="shared" si="7"/>
        <v>0.17797087867869621</v>
      </c>
      <c r="N43" t="s">
        <v>78</v>
      </c>
    </row>
    <row r="44" spans="1:14">
      <c r="A44" t="s">
        <v>21</v>
      </c>
      <c r="B44" t="s">
        <v>13</v>
      </c>
      <c r="D44">
        <f>2000*10.87</f>
        <v>21740</v>
      </c>
      <c r="E44" s="9">
        <f>D44*2.83168</f>
        <v>61560.7232</v>
      </c>
      <c r="F44">
        <v>6</v>
      </c>
      <c r="G44">
        <v>6</v>
      </c>
      <c r="H44">
        <v>0</v>
      </c>
      <c r="I44">
        <v>24</v>
      </c>
      <c r="J44">
        <v>0</v>
      </c>
      <c r="K44">
        <v>6</v>
      </c>
      <c r="L44" s="6">
        <f>0.237/10.87 + 0.4684</f>
        <v>0.49020312787488501</v>
      </c>
      <c r="M44" s="6">
        <f>L44/2.83168</f>
        <v>0.17311388570561823</v>
      </c>
      <c r="N44" t="s">
        <v>78</v>
      </c>
    </row>
    <row r="45" spans="1:14">
      <c r="A45" t="s">
        <v>21</v>
      </c>
      <c r="B45" t="s">
        <v>13</v>
      </c>
      <c r="D45">
        <f>13000*10.87+D44</f>
        <v>163050</v>
      </c>
      <c r="E45" s="9">
        <f>D45*2.83168</f>
        <v>461705.424</v>
      </c>
      <c r="F45">
        <v>6</v>
      </c>
      <c r="G45">
        <v>6</v>
      </c>
      <c r="H45">
        <v>0</v>
      </c>
      <c r="I45">
        <v>24</v>
      </c>
      <c r="J45">
        <v>0</v>
      </c>
      <c r="K45">
        <v>6</v>
      </c>
      <c r="L45" s="6">
        <f>0.2068/10.87 + 0.4684</f>
        <v>0.48742483900643974</v>
      </c>
      <c r="M45" s="6">
        <f t="shared" ref="M45:M47" si="8">L45/2.83168</f>
        <v>0.17213274063680914</v>
      </c>
      <c r="N45" t="s">
        <v>78</v>
      </c>
    </row>
    <row r="46" spans="1:14">
      <c r="A46" t="s">
        <v>21</v>
      </c>
      <c r="B46" t="s">
        <v>13</v>
      </c>
      <c r="D46">
        <f>85000*10.87+D45</f>
        <v>1087000</v>
      </c>
      <c r="E46">
        <f>D46*2.83168</f>
        <v>3078036.16</v>
      </c>
      <c r="F46">
        <v>6</v>
      </c>
      <c r="G46">
        <v>6</v>
      </c>
      <c r="H46">
        <v>0</v>
      </c>
      <c r="I46">
        <v>24</v>
      </c>
      <c r="J46">
        <v>0</v>
      </c>
      <c r="K46">
        <v>6</v>
      </c>
      <c r="L46" s="6">
        <f>0.1635/10.87 + 0.4684</f>
        <v>0.48344139834406624</v>
      </c>
      <c r="M46" s="6">
        <f t="shared" si="8"/>
        <v>0.17072599952821868</v>
      </c>
      <c r="N46" t="s">
        <v>78</v>
      </c>
    </row>
    <row r="47" spans="1:14">
      <c r="A47" t="s">
        <v>21</v>
      </c>
      <c r="B47" t="s">
        <v>13</v>
      </c>
      <c r="D47">
        <v>0</v>
      </c>
      <c r="E47">
        <v>0</v>
      </c>
      <c r="F47">
        <v>7</v>
      </c>
      <c r="G47">
        <v>7</v>
      </c>
      <c r="H47">
        <v>0</v>
      </c>
      <c r="I47">
        <v>24</v>
      </c>
      <c r="J47">
        <v>0</v>
      </c>
      <c r="K47">
        <v>6</v>
      </c>
      <c r="L47" s="6">
        <f>0.3865/10.87 + 0.5377</f>
        <v>0.57325657773689054</v>
      </c>
      <c r="M47" s="6">
        <f t="shared" si="8"/>
        <v>0.2024439829842675</v>
      </c>
      <c r="N47" t="s">
        <v>78</v>
      </c>
    </row>
    <row r="48" spans="1:14">
      <c r="A48" t="s">
        <v>21</v>
      </c>
      <c r="B48" t="s">
        <v>13</v>
      </c>
      <c r="D48">
        <f>2000*10.87</f>
        <v>21740</v>
      </c>
      <c r="E48" s="9">
        <f>D48*2.83168</f>
        <v>61560.7232</v>
      </c>
      <c r="F48">
        <v>7</v>
      </c>
      <c r="G48">
        <v>7</v>
      </c>
      <c r="H48">
        <v>0</v>
      </c>
      <c r="I48">
        <v>24</v>
      </c>
      <c r="J48">
        <v>0</v>
      </c>
      <c r="K48">
        <v>6</v>
      </c>
      <c r="L48" s="6">
        <f>0.237/10.87 + 0.5377</f>
        <v>0.55950312787488499</v>
      </c>
      <c r="M48" s="6">
        <f>L48/2.83168</f>
        <v>0.19758699001118946</v>
      </c>
      <c r="N48" t="s">
        <v>78</v>
      </c>
    </row>
    <row r="49" spans="1:14">
      <c r="A49" t="s">
        <v>21</v>
      </c>
      <c r="B49" t="s">
        <v>13</v>
      </c>
      <c r="D49">
        <f>13000*10.87+D48</f>
        <v>163050</v>
      </c>
      <c r="E49" s="9">
        <f>D49*2.83168</f>
        <v>461705.424</v>
      </c>
      <c r="F49">
        <v>7</v>
      </c>
      <c r="G49">
        <v>7</v>
      </c>
      <c r="H49">
        <v>0</v>
      </c>
      <c r="I49">
        <v>24</v>
      </c>
      <c r="J49">
        <v>0</v>
      </c>
      <c r="K49">
        <v>6</v>
      </c>
      <c r="L49" s="6">
        <f>0.2068/10.87 + 0.5377</f>
        <v>0.55672483900643965</v>
      </c>
      <c r="M49" s="6">
        <f t="shared" ref="M49:M51" si="9">L49/2.83168</f>
        <v>0.19660584494238037</v>
      </c>
      <c r="N49" t="s">
        <v>78</v>
      </c>
    </row>
    <row r="50" spans="1:14">
      <c r="A50" t="s">
        <v>21</v>
      </c>
      <c r="B50" t="s">
        <v>13</v>
      </c>
      <c r="D50">
        <f>85000*10.87+D49</f>
        <v>1087000</v>
      </c>
      <c r="E50">
        <f>D50*2.83168</f>
        <v>3078036.16</v>
      </c>
      <c r="F50">
        <v>7</v>
      </c>
      <c r="G50">
        <v>7</v>
      </c>
      <c r="H50">
        <v>0</v>
      </c>
      <c r="I50">
        <v>24</v>
      </c>
      <c r="J50">
        <v>0</v>
      </c>
      <c r="K50">
        <v>6</v>
      </c>
      <c r="L50" s="6">
        <f>0.1635/10.87 + 0.5377</f>
        <v>0.55274139834406621</v>
      </c>
      <c r="M50" s="6">
        <f t="shared" si="9"/>
        <v>0.19519910383378991</v>
      </c>
      <c r="N50" t="s">
        <v>78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8</v>
      </c>
      <c r="G51">
        <v>8</v>
      </c>
      <c r="H51">
        <v>0</v>
      </c>
      <c r="I51">
        <v>24</v>
      </c>
      <c r="J51">
        <v>0</v>
      </c>
      <c r="K51">
        <v>6</v>
      </c>
      <c r="L51" s="6">
        <f>0.3865/10.87 + 0.54871</f>
        <v>0.5842665777368905</v>
      </c>
      <c r="M51" s="6">
        <f t="shared" si="9"/>
        <v>0.20633213418779328</v>
      </c>
      <c r="N51" t="s">
        <v>78</v>
      </c>
    </row>
    <row r="52" spans="1:14">
      <c r="A52" t="s">
        <v>21</v>
      </c>
      <c r="B52" t="s">
        <v>13</v>
      </c>
      <c r="D52">
        <f>2000*10.87</f>
        <v>21740</v>
      </c>
      <c r="E52" s="9">
        <f>D52*2.83168</f>
        <v>61560.7232</v>
      </c>
      <c r="F52">
        <v>8</v>
      </c>
      <c r="G52">
        <v>8</v>
      </c>
      <c r="H52">
        <v>0</v>
      </c>
      <c r="I52">
        <v>24</v>
      </c>
      <c r="J52">
        <v>0</v>
      </c>
      <c r="K52">
        <v>6</v>
      </c>
      <c r="L52" s="6">
        <f>0.237/10.87 + 0.54871</f>
        <v>0.57051312787488506</v>
      </c>
      <c r="M52" s="6">
        <f>L52/2.83168</f>
        <v>0.20147514121471533</v>
      </c>
      <c r="N52" t="s">
        <v>78</v>
      </c>
    </row>
    <row r="53" spans="1:14">
      <c r="A53" t="s">
        <v>21</v>
      </c>
      <c r="B53" t="s">
        <v>13</v>
      </c>
      <c r="D53">
        <f>13000*10.87+D52</f>
        <v>163050</v>
      </c>
      <c r="E53" s="9">
        <f>D53*2.83168</f>
        <v>461705.424</v>
      </c>
      <c r="F53">
        <v>8</v>
      </c>
      <c r="G53">
        <v>8</v>
      </c>
      <c r="H53">
        <v>0</v>
      </c>
      <c r="I53">
        <v>24</v>
      </c>
      <c r="J53">
        <v>0</v>
      </c>
      <c r="K53">
        <v>6</v>
      </c>
      <c r="L53" s="6">
        <f>0.2068/10.87+0.54871</f>
        <v>0.56773483900643973</v>
      </c>
      <c r="M53" s="6">
        <f t="shared" ref="M53:M55" si="10">L53/2.83168</f>
        <v>0.20049399614590621</v>
      </c>
      <c r="N53" t="s">
        <v>78</v>
      </c>
    </row>
    <row r="54" spans="1:14">
      <c r="A54" t="s">
        <v>21</v>
      </c>
      <c r="B54" t="s">
        <v>13</v>
      </c>
      <c r="D54">
        <f>85000*10.87+D53</f>
        <v>1087000</v>
      </c>
      <c r="E54">
        <f>D54*2.83168</f>
        <v>3078036.16</v>
      </c>
      <c r="F54">
        <v>8</v>
      </c>
      <c r="G54">
        <v>8</v>
      </c>
      <c r="H54">
        <v>0</v>
      </c>
      <c r="I54">
        <v>24</v>
      </c>
      <c r="J54">
        <v>0</v>
      </c>
      <c r="K54">
        <v>6</v>
      </c>
      <c r="L54" s="6">
        <f>0.1635/10.87 + 0.54871</f>
        <v>0.56375139834406629</v>
      </c>
      <c r="M54" s="6">
        <f t="shared" si="10"/>
        <v>0.19908725503731575</v>
      </c>
      <c r="N54" t="s">
        <v>78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9</v>
      </c>
      <c r="G55">
        <v>9</v>
      </c>
      <c r="H55">
        <v>0</v>
      </c>
      <c r="I55">
        <v>24</v>
      </c>
      <c r="J55">
        <v>0</v>
      </c>
      <c r="K55">
        <v>6</v>
      </c>
      <c r="L55" s="6">
        <f>0.3865/10.87+ 0.607</f>
        <v>0.64255657773689046</v>
      </c>
      <c r="M55" s="6">
        <f t="shared" si="10"/>
        <v>0.2269170872898387</v>
      </c>
      <c r="N55" t="s">
        <v>78</v>
      </c>
    </row>
    <row r="56" spans="1:14">
      <c r="A56" t="s">
        <v>21</v>
      </c>
      <c r="B56" t="s">
        <v>13</v>
      </c>
      <c r="D56">
        <f>2000*10.87</f>
        <v>21740</v>
      </c>
      <c r="E56" s="9">
        <f>D56*2.83168</f>
        <v>61560.7232</v>
      </c>
      <c r="F56">
        <v>9</v>
      </c>
      <c r="G56">
        <v>9</v>
      </c>
      <c r="H56">
        <v>0</v>
      </c>
      <c r="I56">
        <v>24</v>
      </c>
      <c r="J56">
        <v>0</v>
      </c>
      <c r="K56">
        <v>6</v>
      </c>
      <c r="L56" s="6">
        <f>0.237/10.87 + 0.607</f>
        <v>0.62880312787488502</v>
      </c>
      <c r="M56" s="6">
        <f>L56/2.83168</f>
        <v>0.22206009431676074</v>
      </c>
      <c r="N56" t="s">
        <v>78</v>
      </c>
    </row>
    <row r="57" spans="1:14">
      <c r="A57" t="s">
        <v>21</v>
      </c>
      <c r="B57" t="s">
        <v>13</v>
      </c>
      <c r="D57">
        <f>13000*10.87+D56</f>
        <v>163050</v>
      </c>
      <c r="E57" s="9">
        <f>D57*2.83168</f>
        <v>461705.424</v>
      </c>
      <c r="F57">
        <v>9</v>
      </c>
      <c r="G57">
        <v>9</v>
      </c>
      <c r="H57">
        <v>0</v>
      </c>
      <c r="I57">
        <v>24</v>
      </c>
      <c r="J57">
        <v>0</v>
      </c>
      <c r="K57">
        <v>6</v>
      </c>
      <c r="L57" s="6">
        <f>0.2068/10.87 + 0.607</f>
        <v>0.62602483900643968</v>
      </c>
      <c r="M57" s="6">
        <f t="shared" ref="M57:M59" si="11">L57/2.83168</f>
        <v>0.22107894924795163</v>
      </c>
      <c r="N57" t="s">
        <v>78</v>
      </c>
    </row>
    <row r="58" spans="1:14">
      <c r="A58" t="s">
        <v>21</v>
      </c>
      <c r="B58" t="s">
        <v>13</v>
      </c>
      <c r="D58">
        <f>85000*10.87+D57</f>
        <v>1087000</v>
      </c>
      <c r="E58">
        <f>D58*2.83168</f>
        <v>3078036.16</v>
      </c>
      <c r="F58">
        <v>9</v>
      </c>
      <c r="G58">
        <v>9</v>
      </c>
      <c r="H58">
        <v>0</v>
      </c>
      <c r="I58">
        <v>24</v>
      </c>
      <c r="J58">
        <v>0</v>
      </c>
      <c r="K58">
        <v>6</v>
      </c>
      <c r="L58" s="6">
        <f>0.1635/10.87 + 0.607</f>
        <v>0.62204139834406624</v>
      </c>
      <c r="M58" s="6">
        <f t="shared" si="11"/>
        <v>0.21967220813936117</v>
      </c>
      <c r="N58" t="s">
        <v>78</v>
      </c>
    </row>
    <row r="59" spans="1:14">
      <c r="A59" t="s">
        <v>21</v>
      </c>
      <c r="B59" t="s">
        <v>13</v>
      </c>
      <c r="D59">
        <v>0</v>
      </c>
      <c r="E59">
        <v>0</v>
      </c>
      <c r="F59">
        <v>10</v>
      </c>
      <c r="G59">
        <v>10</v>
      </c>
      <c r="H59">
        <v>0</v>
      </c>
      <c r="I59">
        <v>24</v>
      </c>
      <c r="J59">
        <v>0</v>
      </c>
      <c r="K59">
        <v>6</v>
      </c>
      <c r="L59" s="6">
        <f>0.3865/10.87 + 0.7541</f>
        <v>0.78965657773689046</v>
      </c>
      <c r="M59" s="6">
        <f t="shared" si="11"/>
        <v>0.27886504751133268</v>
      </c>
      <c r="N59" t="s">
        <v>78</v>
      </c>
    </row>
    <row r="60" spans="1:14">
      <c r="A60" t="s">
        <v>21</v>
      </c>
      <c r="B60" t="s">
        <v>13</v>
      </c>
      <c r="D60">
        <f>2000*10.87</f>
        <v>21740</v>
      </c>
      <c r="E60" s="9">
        <f>D60*2.83168</f>
        <v>61560.7232</v>
      </c>
      <c r="F60">
        <v>10</v>
      </c>
      <c r="G60">
        <v>10</v>
      </c>
      <c r="H60">
        <v>0</v>
      </c>
      <c r="I60">
        <v>24</v>
      </c>
      <c r="J60">
        <v>0</v>
      </c>
      <c r="K60">
        <v>6</v>
      </c>
      <c r="L60" s="6">
        <f>0.237/10.87 + 0.7541</f>
        <v>0.77590312787488502</v>
      </c>
      <c r="M60" s="6">
        <f>L60/2.83168</f>
        <v>0.27400805453825466</v>
      </c>
      <c r="N60" t="s">
        <v>78</v>
      </c>
    </row>
    <row r="61" spans="1:14">
      <c r="A61" t="s">
        <v>21</v>
      </c>
      <c r="B61" t="s">
        <v>13</v>
      </c>
      <c r="D61">
        <f>13000*10.87+D60</f>
        <v>163050</v>
      </c>
      <c r="E61" s="9">
        <f>D61*2.83168</f>
        <v>461705.424</v>
      </c>
      <c r="F61">
        <v>10</v>
      </c>
      <c r="G61">
        <v>10</v>
      </c>
      <c r="H61">
        <v>0</v>
      </c>
      <c r="I61">
        <v>24</v>
      </c>
      <c r="J61">
        <v>0</v>
      </c>
      <c r="K61">
        <v>6</v>
      </c>
      <c r="L61" s="6">
        <f>0.2068/10.87+ 0.7541</f>
        <v>0.77312483900643969</v>
      </c>
      <c r="M61" s="6">
        <f t="shared" ref="M61:M63" si="12">L61/2.83168</f>
        <v>0.27302690946944558</v>
      </c>
      <c r="N61" t="s">
        <v>78</v>
      </c>
    </row>
    <row r="62" spans="1:14">
      <c r="A62" t="s">
        <v>21</v>
      </c>
      <c r="B62" t="s">
        <v>13</v>
      </c>
      <c r="D62">
        <f>85000*10.87+D61</f>
        <v>1087000</v>
      </c>
      <c r="E62">
        <f>D62*2.83168</f>
        <v>3078036.16</v>
      </c>
      <c r="F62">
        <v>10</v>
      </c>
      <c r="G62">
        <v>10</v>
      </c>
      <c r="H62">
        <v>0</v>
      </c>
      <c r="I62">
        <v>24</v>
      </c>
      <c r="J62">
        <v>0</v>
      </c>
      <c r="K62">
        <v>6</v>
      </c>
      <c r="L62" s="6">
        <f>0.1635/10.87 + 0.7541</f>
        <v>0.76914139834406625</v>
      </c>
      <c r="M62" s="6">
        <f t="shared" si="12"/>
        <v>0.27162016836085512</v>
      </c>
      <c r="N62" t="s">
        <v>78</v>
      </c>
    </row>
    <row r="63" spans="1:14">
      <c r="A63" t="s">
        <v>21</v>
      </c>
      <c r="B63" t="s">
        <v>13</v>
      </c>
      <c r="D63">
        <v>0</v>
      </c>
      <c r="E63">
        <v>0</v>
      </c>
      <c r="F63">
        <v>11</v>
      </c>
      <c r="G63">
        <v>11</v>
      </c>
      <c r="H63">
        <v>0</v>
      </c>
      <c r="I63">
        <v>24</v>
      </c>
      <c r="J63">
        <v>0</v>
      </c>
      <c r="K63">
        <v>6</v>
      </c>
      <c r="L63" s="6">
        <f>0.3865/10.87 + 0.7902</f>
        <v>0.82575657773689048</v>
      </c>
      <c r="M63" s="6">
        <f t="shared" si="12"/>
        <v>0.29161366317411941</v>
      </c>
      <c r="N63" t="s">
        <v>78</v>
      </c>
    </row>
    <row r="64" spans="1:14">
      <c r="A64" t="s">
        <v>21</v>
      </c>
      <c r="B64" t="s">
        <v>13</v>
      </c>
      <c r="D64">
        <f>2000*10.87</f>
        <v>21740</v>
      </c>
      <c r="E64" s="9">
        <f>D64*2.83168</f>
        <v>61560.7232</v>
      </c>
      <c r="F64">
        <v>11</v>
      </c>
      <c r="G64">
        <v>11</v>
      </c>
      <c r="H64">
        <v>0</v>
      </c>
      <c r="I64">
        <v>24</v>
      </c>
      <c r="J64">
        <v>0</v>
      </c>
      <c r="K64">
        <v>6</v>
      </c>
      <c r="L64" s="6">
        <f>0.237/10.87 + 0.7902</f>
        <v>0.81200312787488504</v>
      </c>
      <c r="M64" s="6">
        <f>L64/2.83168</f>
        <v>0.28675667020104145</v>
      </c>
      <c r="N64" t="s">
        <v>78</v>
      </c>
    </row>
    <row r="65" spans="1:14">
      <c r="A65" t="s">
        <v>21</v>
      </c>
      <c r="B65" t="s">
        <v>13</v>
      </c>
      <c r="D65">
        <f>13000*10.87+D64</f>
        <v>163050</v>
      </c>
      <c r="E65" s="9">
        <f>D65*2.83168</f>
        <v>461705.424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 s="6">
        <f>0.2068/10.87 + 0.7902</f>
        <v>0.80922483900643971</v>
      </c>
      <c r="M65" s="6">
        <f t="shared" ref="M65:M67" si="13">L65/2.83168</f>
        <v>0.28577552513223237</v>
      </c>
      <c r="N65" t="s">
        <v>78</v>
      </c>
    </row>
    <row r="66" spans="1:14">
      <c r="A66" t="s">
        <v>21</v>
      </c>
      <c r="B66" t="s">
        <v>13</v>
      </c>
      <c r="D66">
        <f>85000*10.87+D65</f>
        <v>1087000</v>
      </c>
      <c r="E66">
        <f>D66*2.83168</f>
        <v>3078036.16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 s="6">
        <f>0.1635/10.87 + 0.7902</f>
        <v>0.80524139834406627</v>
      </c>
      <c r="M66" s="6">
        <f t="shared" si="13"/>
        <v>0.28436878402364191</v>
      </c>
      <c r="N66" t="s">
        <v>78</v>
      </c>
    </row>
    <row r="67" spans="1:14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 s="6">
        <f>0.3865/10.87 + 0.7147</f>
        <v>0.75025657773689058</v>
      </c>
      <c r="M67" s="6">
        <f t="shared" si="13"/>
        <v>0.26495104592923302</v>
      </c>
      <c r="N67" t="s">
        <v>78</v>
      </c>
    </row>
    <row r="68" spans="1:14">
      <c r="A68" t="s">
        <v>21</v>
      </c>
      <c r="B68" t="s">
        <v>13</v>
      </c>
      <c r="D68">
        <f>2000*10.87</f>
        <v>21740</v>
      </c>
      <c r="E68" s="9">
        <f>D68*2.83168</f>
        <v>61560.7232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 s="6">
        <f>0.237/10.87  + 0.7147</f>
        <v>0.73650312787488503</v>
      </c>
      <c r="M68" s="6">
        <f>L68/2.83168</f>
        <v>0.26009405295615501</v>
      </c>
      <c r="N68" t="s">
        <v>78</v>
      </c>
    </row>
    <row r="69" spans="1:14">
      <c r="A69" t="s">
        <v>21</v>
      </c>
      <c r="B69" t="s">
        <v>13</v>
      </c>
      <c r="D69">
        <f>13000*10.87+D68</f>
        <v>163050</v>
      </c>
      <c r="E69" s="9">
        <f>D69*2.83168</f>
        <v>461705.424</v>
      </c>
      <c r="F69">
        <v>12</v>
      </c>
      <c r="G69">
        <v>12</v>
      </c>
      <c r="H69">
        <v>0</v>
      </c>
      <c r="I69">
        <v>24</v>
      </c>
      <c r="J69">
        <v>0</v>
      </c>
      <c r="K69">
        <v>6</v>
      </c>
      <c r="L69" s="6">
        <f>0.2068/10.87  + 0.7147</f>
        <v>0.7337248390064397</v>
      </c>
      <c r="M69" s="6">
        <f t="shared" ref="M69:M70" si="14">L69/2.83168</f>
        <v>0.25911290788734592</v>
      </c>
      <c r="N69" t="s">
        <v>78</v>
      </c>
    </row>
    <row r="70" spans="1:14">
      <c r="A70" t="s">
        <v>21</v>
      </c>
      <c r="B70" t="s">
        <v>13</v>
      </c>
      <c r="D70">
        <f>85000*10.87+D69</f>
        <v>1087000</v>
      </c>
      <c r="E70">
        <f>D70*2.83168</f>
        <v>3078036.16</v>
      </c>
      <c r="F70">
        <v>12</v>
      </c>
      <c r="G70">
        <v>12</v>
      </c>
      <c r="H70">
        <v>0</v>
      </c>
      <c r="I70">
        <v>24</v>
      </c>
      <c r="J70">
        <v>0</v>
      </c>
      <c r="K70">
        <v>6</v>
      </c>
      <c r="L70" s="6">
        <f>0.1635/10.87  + 0.7147</f>
        <v>0.72974139834406626</v>
      </c>
      <c r="M70" s="6">
        <f t="shared" si="14"/>
        <v>0.25770616677875546</v>
      </c>
      <c r="N70" t="s">
        <v>78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5"/>
  <sheetViews>
    <sheetView workbookViewId="0">
      <selection activeCell="O14" sqref="O1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104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104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104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104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104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104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103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</v>
      </c>
      <c r="G16">
        <v>4</v>
      </c>
      <c r="H16">
        <v>0</v>
      </c>
      <c r="I16">
        <v>24</v>
      </c>
      <c r="J16">
        <v>0</v>
      </c>
      <c r="K16">
        <v>6</v>
      </c>
      <c r="L16">
        <f>0.418101+16.3</f>
        <v>16.718101000000001</v>
      </c>
      <c r="M16" s="11">
        <f>L16/2.83168</f>
        <v>5.9039513645609674</v>
      </c>
      <c r="N16" t="s">
        <v>78</v>
      </c>
      <c r="O16" t="s">
        <v>131</v>
      </c>
    </row>
    <row r="17" spans="1:15">
      <c r="A17" t="s">
        <v>21</v>
      </c>
      <c r="B17" t="s">
        <v>13</v>
      </c>
      <c r="D17">
        <v>3</v>
      </c>
      <c r="E17" s="8">
        <f>3*2.83168</f>
        <v>8.4950399999999995</v>
      </c>
      <c r="F17">
        <v>1</v>
      </c>
      <c r="G17">
        <v>4</v>
      </c>
      <c r="H17">
        <v>0</v>
      </c>
      <c r="I17">
        <v>24</v>
      </c>
      <c r="J17">
        <v>0</v>
      </c>
      <c r="K17">
        <v>6</v>
      </c>
      <c r="L17">
        <f>0.28682+0.418101</f>
        <v>0.70492100000000002</v>
      </c>
      <c r="M17" s="11">
        <f>L17/2.83168</f>
        <v>0.24894091140241836</v>
      </c>
      <c r="N17" t="s">
        <v>78</v>
      </c>
      <c r="O17" t="s">
        <v>131</v>
      </c>
    </row>
    <row r="18" spans="1:15">
      <c r="A18" t="s">
        <v>21</v>
      </c>
      <c r="B18" t="s">
        <v>13</v>
      </c>
      <c r="D18">
        <v>100</v>
      </c>
      <c r="E18">
        <f>D18*2.83168</f>
        <v>283.16800000000001</v>
      </c>
      <c r="F18">
        <v>1</v>
      </c>
      <c r="G18">
        <v>4</v>
      </c>
      <c r="H18">
        <v>0</v>
      </c>
      <c r="I18">
        <v>24</v>
      </c>
      <c r="J18">
        <v>0</v>
      </c>
      <c r="K18">
        <v>6</v>
      </c>
      <c r="L18">
        <f>0.26736+0.418101</f>
        <v>0.68546099999999999</v>
      </c>
      <c r="M18" s="11">
        <f t="shared" ref="M18:M25" si="0">L18/2.83168</f>
        <v>0.24206866595095491</v>
      </c>
      <c r="N18" t="s">
        <v>78</v>
      </c>
      <c r="O18" t="s">
        <v>131</v>
      </c>
    </row>
    <row r="19" spans="1:15">
      <c r="A19" t="s">
        <v>21</v>
      </c>
      <c r="B19" t="s">
        <v>13</v>
      </c>
      <c r="D19">
        <v>500</v>
      </c>
      <c r="E19">
        <f>D19*2.83168</f>
        <v>1415.84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f>0.23832+0.418101</f>
        <v>0.65642100000000003</v>
      </c>
      <c r="M19" s="11">
        <f t="shared" si="0"/>
        <v>0.23181326986100126</v>
      </c>
      <c r="N19" t="s">
        <v>78</v>
      </c>
      <c r="O19" t="s">
        <v>131</v>
      </c>
    </row>
    <row r="20" spans="1:15">
      <c r="A20" t="s">
        <v>21</v>
      </c>
      <c r="B20" t="s">
        <v>13</v>
      </c>
      <c r="D20">
        <v>1000</v>
      </c>
      <c r="E20">
        <f>D20*2.83168</f>
        <v>2831.68</v>
      </c>
      <c r="F20">
        <v>1</v>
      </c>
      <c r="G20">
        <v>4</v>
      </c>
      <c r="H20">
        <v>0</v>
      </c>
      <c r="I20">
        <v>24</v>
      </c>
      <c r="J20">
        <v>0</v>
      </c>
      <c r="K20">
        <v>6</v>
      </c>
      <c r="L20">
        <f>0.10149+0.418101</f>
        <v>0.51959100000000003</v>
      </c>
      <c r="M20" s="11">
        <f t="shared" si="0"/>
        <v>0.18349213187930841</v>
      </c>
      <c r="N20" t="s">
        <v>78</v>
      </c>
      <c r="O20" t="s">
        <v>131</v>
      </c>
    </row>
    <row r="21" spans="1:15">
      <c r="A21" t="s">
        <v>21</v>
      </c>
      <c r="B21" t="s">
        <v>13</v>
      </c>
      <c r="D21">
        <v>0</v>
      </c>
      <c r="E21">
        <f t="shared" ref="E21:E25" si="1">D21*2.83168</f>
        <v>0</v>
      </c>
      <c r="F21">
        <v>5</v>
      </c>
      <c r="G21">
        <v>12</v>
      </c>
      <c r="H21">
        <v>0</v>
      </c>
      <c r="I21">
        <v>24</v>
      </c>
      <c r="J21">
        <v>0</v>
      </c>
      <c r="K21">
        <v>6</v>
      </c>
      <c r="L21">
        <f>0.418101+17.3</f>
        <v>17.718101000000001</v>
      </c>
      <c r="M21" s="11">
        <f t="shared" si="0"/>
        <v>6.2570986128376092</v>
      </c>
      <c r="N21" t="s">
        <v>78</v>
      </c>
      <c r="O21" t="s">
        <v>131</v>
      </c>
    </row>
    <row r="22" spans="1:15">
      <c r="A22" t="s">
        <v>21</v>
      </c>
      <c r="B22" t="s">
        <v>13</v>
      </c>
      <c r="D22">
        <v>3</v>
      </c>
      <c r="E22" s="8">
        <f t="shared" si="1"/>
        <v>8.4950399999999995</v>
      </c>
      <c r="F22">
        <v>5</v>
      </c>
      <c r="G22">
        <v>12</v>
      </c>
      <c r="H22">
        <v>0</v>
      </c>
      <c r="I22">
        <v>24</v>
      </c>
      <c r="J22">
        <v>0</v>
      </c>
      <c r="K22">
        <v>6</v>
      </c>
      <c r="L22">
        <f>0.27644+0.418101</f>
        <v>0.69454100000000007</v>
      </c>
      <c r="M22" s="11">
        <f t="shared" si="0"/>
        <v>0.24527524296530684</v>
      </c>
      <c r="N22" t="s">
        <v>78</v>
      </c>
      <c r="O22" t="s">
        <v>131</v>
      </c>
    </row>
    <row r="23" spans="1:15">
      <c r="A23" t="s">
        <v>21</v>
      </c>
      <c r="B23" t="s">
        <v>13</v>
      </c>
      <c r="D23">
        <v>100</v>
      </c>
      <c r="E23">
        <f t="shared" si="1"/>
        <v>283.16800000000001</v>
      </c>
      <c r="F23">
        <v>5</v>
      </c>
      <c r="G23">
        <v>12</v>
      </c>
      <c r="H23">
        <v>0</v>
      </c>
      <c r="I23">
        <v>24</v>
      </c>
      <c r="J23">
        <v>0</v>
      </c>
      <c r="K23">
        <v>6</v>
      </c>
      <c r="L23">
        <f>0.25768+0.418101</f>
        <v>0.67578099999999997</v>
      </c>
      <c r="M23" s="11">
        <f t="shared" si="0"/>
        <v>0.238650200587637</v>
      </c>
      <c r="N23" t="s">
        <v>78</v>
      </c>
      <c r="O23" t="s">
        <v>131</v>
      </c>
    </row>
    <row r="24" spans="1:15">
      <c r="A24" t="s">
        <v>21</v>
      </c>
      <c r="B24" t="s">
        <v>13</v>
      </c>
      <c r="D24">
        <v>500</v>
      </c>
      <c r="E24">
        <f t="shared" si="1"/>
        <v>1415.84</v>
      </c>
      <c r="F24">
        <v>5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0.22969+0.418101</f>
        <v>0.64779100000000001</v>
      </c>
      <c r="M24" s="11">
        <f t="shared" si="0"/>
        <v>0.22876560910837382</v>
      </c>
      <c r="N24" t="s">
        <v>78</v>
      </c>
      <c r="O24" t="s">
        <v>131</v>
      </c>
    </row>
    <row r="25" spans="1:15">
      <c r="A25" t="s">
        <v>21</v>
      </c>
      <c r="B25" t="s">
        <v>13</v>
      </c>
      <c r="D25">
        <v>1000</v>
      </c>
      <c r="E25">
        <f t="shared" si="1"/>
        <v>2831.68</v>
      </c>
      <c r="F25">
        <v>5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0.09782+0.418101</f>
        <v>0.51592099999999996</v>
      </c>
      <c r="M25" s="11">
        <f t="shared" si="0"/>
        <v>0.1821960814781331</v>
      </c>
      <c r="N25" t="s">
        <v>78</v>
      </c>
      <c r="O25" t="s">
        <v>131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81"/>
  <sheetViews>
    <sheetView topLeftCell="A46"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A27" sqref="A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3" t="s">
        <v>1</v>
      </c>
      <c r="D1" s="1" t="s">
        <v>81</v>
      </c>
      <c r="E1" s="1" t="s">
        <v>80</v>
      </c>
      <c r="F1" s="1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1" t="s">
        <v>77</v>
      </c>
      <c r="M1" s="1" t="s">
        <v>76</v>
      </c>
      <c r="N1" s="3" t="s">
        <v>8</v>
      </c>
      <c r="O1" s="3" t="s">
        <v>9</v>
      </c>
    </row>
    <row r="2" spans="1:1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87</v>
      </c>
    </row>
    <row r="4" spans="1:1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>
      <c r="A5" t="s">
        <v>10</v>
      </c>
      <c r="B5" s="4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>
      <c r="A7" t="s">
        <v>10</v>
      </c>
      <c r="B7" t="s">
        <v>13</v>
      </c>
      <c r="D7" s="9">
        <v>1276333.33333333</v>
      </c>
      <c r="E7" s="9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>
      <c r="A8" t="s">
        <v>10</v>
      </c>
      <c r="B8" t="s">
        <v>13</v>
      </c>
      <c r="D8" s="9">
        <v>2552666.6666666698</v>
      </c>
      <c r="E8" s="9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>
      <c r="A12" t="s">
        <v>10</v>
      </c>
      <c r="B12" s="4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>
      <c r="A14" t="s">
        <v>10</v>
      </c>
      <c r="B14" t="s">
        <v>13</v>
      </c>
      <c r="D14" s="9">
        <v>1276333.33333333</v>
      </c>
      <c r="E14" s="9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>
      <c r="A15" t="s">
        <v>10</v>
      </c>
      <c r="B15" t="s">
        <v>13</v>
      </c>
      <c r="D15" s="9">
        <v>2552666.6666666698</v>
      </c>
      <c r="E15" s="9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>
      <c r="A19" t="s">
        <v>10</v>
      </c>
      <c r="B19" s="4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>
      <c r="A21" t="s">
        <v>10</v>
      </c>
      <c r="B21" t="s">
        <v>13</v>
      </c>
      <c r="D21" s="9">
        <v>1276333.33333333</v>
      </c>
      <c r="E21" s="9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>
      <c r="A22" t="s">
        <v>10</v>
      </c>
      <c r="B22" t="s">
        <v>13</v>
      </c>
      <c r="D22" s="9">
        <v>2552666.6666666698</v>
      </c>
      <c r="E22" s="9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5">
        <f>L26/2.83168</f>
        <v>0.39877387275398352</v>
      </c>
      <c r="N26" t="s">
        <v>78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A19" sqref="A19:O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21"/>
  <sheetViews>
    <sheetView workbookViewId="0">
      <selection activeCell="L22" sqref="L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  <row r="17" spans="1:14">
      <c r="A17" t="s">
        <v>21</v>
      </c>
      <c r="B17" t="s">
        <v>11</v>
      </c>
      <c r="L17">
        <v>350</v>
      </c>
      <c r="M17">
        <v>350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3</v>
      </c>
      <c r="H18">
        <v>0</v>
      </c>
      <c r="I18">
        <v>24</v>
      </c>
      <c r="J18">
        <v>0</v>
      </c>
      <c r="K18">
        <v>6</v>
      </c>
      <c r="L18">
        <v>0.36323</v>
      </c>
      <c r="M18" s="5">
        <f>L18/2.83168</f>
        <v>0.12827367499152448</v>
      </c>
      <c r="N18" t="s">
        <v>78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4</v>
      </c>
      <c r="G19">
        <v>6</v>
      </c>
      <c r="H19">
        <v>0</v>
      </c>
      <c r="I19">
        <v>24</v>
      </c>
      <c r="J19">
        <v>0</v>
      </c>
      <c r="K19">
        <v>6</v>
      </c>
      <c r="L19">
        <v>0.33068999999999998</v>
      </c>
      <c r="M19" s="5">
        <f>L19/2.83168</f>
        <v>0.11678226353260254</v>
      </c>
      <c r="N19" t="s">
        <v>78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7</v>
      </c>
      <c r="G20">
        <v>9</v>
      </c>
      <c r="H20">
        <v>0</v>
      </c>
      <c r="I20">
        <v>24</v>
      </c>
      <c r="J20">
        <v>0</v>
      </c>
      <c r="K20">
        <v>6</v>
      </c>
      <c r="L20">
        <v>0.53173999999999999</v>
      </c>
      <c r="M20" s="5">
        <f>L20/2.83168</f>
        <v>0.18778251779862132</v>
      </c>
      <c r="N20" t="s">
        <v>78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0.57313999999999998</v>
      </c>
      <c r="M21" s="5">
        <f>L21/2.83168</f>
        <v>0.20240281387727427</v>
      </c>
      <c r="N2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8"/>
  <sheetViews>
    <sheetView topLeftCell="A31" workbookViewId="0">
      <selection activeCell="A45" sqref="A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114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114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114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114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114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114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114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114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114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6">
        <f t="shared" ref="M45:M54" si="1">L45/2.83168</f>
        <v>54.246260170640745</v>
      </c>
      <c r="N45" t="s">
        <v>78</v>
      </c>
      <c r="O45" t="s">
        <v>128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6">
        <f>L46/2.83168</f>
        <v>0.17048183410554865</v>
      </c>
      <c r="N46" t="s">
        <v>78</v>
      </c>
      <c r="O46" t="s">
        <v>128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6">
        <f t="shared" si="1"/>
        <v>54.27229100745847</v>
      </c>
      <c r="N47" t="s">
        <v>78</v>
      </c>
      <c r="O47" t="s">
        <v>128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6">
        <f t="shared" si="1"/>
        <v>0.19651267092326816</v>
      </c>
      <c r="N48" t="s">
        <v>78</v>
      </c>
      <c r="O48" t="s">
        <v>128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6">
        <f t="shared" si="1"/>
        <v>54.258806079783028</v>
      </c>
      <c r="N49" t="s">
        <v>78</v>
      </c>
      <c r="O49" t="s">
        <v>128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6">
        <f t="shared" si="1"/>
        <v>0.18302774324782459</v>
      </c>
      <c r="N50" t="s">
        <v>78</v>
      </c>
      <c r="O50" t="s">
        <v>128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6">
        <f t="shared" si="1"/>
        <v>54.261852327946656</v>
      </c>
      <c r="N51" t="s">
        <v>78</v>
      </c>
      <c r="O51" t="s">
        <v>128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6">
        <f t="shared" si="1"/>
        <v>0.18607399141145892</v>
      </c>
      <c r="N52" t="s">
        <v>78</v>
      </c>
      <c r="O52" t="s">
        <v>128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6">
        <f t="shared" si="1"/>
        <v>54.244424511244205</v>
      </c>
      <c r="N53" t="s">
        <v>78</v>
      </c>
      <c r="O53" t="s">
        <v>128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6">
        <f t="shared" si="1"/>
        <v>0.16864617470900667</v>
      </c>
      <c r="N54" t="s">
        <v>78</v>
      </c>
      <c r="O54" t="s">
        <v>128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6">
        <f t="shared" ref="M55:M68" si="2">L55/2.83168</f>
        <v>54.269625098881221</v>
      </c>
      <c r="N55" t="s">
        <v>78</v>
      </c>
      <c r="O55" t="s">
        <v>128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6">
        <f t="shared" si="2"/>
        <v>0.19384676234602782</v>
      </c>
      <c r="N56" t="s">
        <v>78</v>
      </c>
      <c r="O56" t="s">
        <v>128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6">
        <f t="shared" si="2"/>
        <v>54.285910484235508</v>
      </c>
      <c r="N57" t="s">
        <v>78</v>
      </c>
      <c r="O57" t="s">
        <v>128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6">
        <f t="shared" si="2"/>
        <v>0.21013214770030511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6">
        <f t="shared" si="2"/>
        <v>54.278834472821785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6">
        <f t="shared" si="2"/>
        <v>0.20305613628658606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6">
        <f t="shared" si="2"/>
        <v>54.302084628206572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6">
        <f t="shared" si="2"/>
        <v>0.22630629167137531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6">
        <f t="shared" si="2"/>
        <v>54.351753376087686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6">
        <f t="shared" si="2"/>
        <v>0.27597503955249181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6">
        <f t="shared" si="2"/>
        <v>54.358878474968925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6">
        <f t="shared" si="2"/>
        <v>0.28310013843372134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6">
        <f t="shared" si="2"/>
        <v>54.347859927675444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6">
        <f t="shared" si="2"/>
        <v>0.27208159114024183</v>
      </c>
      <c r="N68" t="s">
        <v>78</v>
      </c>
      <c r="O68" t="s">
        <v>128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7"/>
  <sheetViews>
    <sheetView topLeftCell="A22" workbookViewId="0">
      <selection activeCell="O57" sqref="O5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85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85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85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85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85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85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85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85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85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85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85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85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85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85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85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85</v>
      </c>
    </row>
    <row r="51" spans="1:1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  <row r="55" spans="1:15">
      <c r="A55" t="s">
        <v>21</v>
      </c>
      <c r="B55" t="s">
        <v>15</v>
      </c>
      <c r="C55" t="s">
        <v>130</v>
      </c>
      <c r="D55">
        <v>0</v>
      </c>
      <c r="E55">
        <v>0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0.256*24</f>
        <v>6.1440000000000001</v>
      </c>
      <c r="M55" s="5">
        <f>L55/2.83168</f>
        <v>2.1697366934116848</v>
      </c>
      <c r="N55" t="s">
        <v>79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f>0.499</f>
        <v>0.499</v>
      </c>
      <c r="M56" s="5">
        <f>L56/2.83168</f>
        <v>0.17622047689004408</v>
      </c>
      <c r="N56" t="s">
        <v>78</v>
      </c>
    </row>
    <row r="57" spans="1:15">
      <c r="A57" t="s">
        <v>21</v>
      </c>
      <c r="B57" t="s">
        <v>13</v>
      </c>
      <c r="D57">
        <v>200000</v>
      </c>
      <c r="E57">
        <f>D57*2.83168</f>
        <v>566336</v>
      </c>
      <c r="F57">
        <v>1</v>
      </c>
      <c r="G57">
        <v>12</v>
      </c>
      <c r="H57">
        <v>0</v>
      </c>
      <c r="I57">
        <v>24</v>
      </c>
      <c r="J57">
        <v>0</v>
      </c>
      <c r="K57">
        <v>6</v>
      </c>
      <c r="L57">
        <v>0.40300000000000002</v>
      </c>
      <c r="M57" s="5">
        <f>L57/2.83168</f>
        <v>0.14231834105548652</v>
      </c>
      <c r="N57" t="s">
        <v>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topLeftCell="A13" workbookViewId="0">
      <selection activeCell="E45" sqref="E4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85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85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85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85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85</v>
      </c>
    </row>
    <row r="39" spans="1:1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f>1.59486*24</f>
        <v>38.27664</v>
      </c>
      <c r="M46" s="8">
        <f>L46/2.83168</f>
        <v>13.517290089275624</v>
      </c>
      <c r="N46" t="s">
        <v>79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0.43074000000000001</v>
      </c>
      <c r="M47" s="8">
        <f>L47/2.83168</f>
        <v>0.15211464572268055</v>
      </c>
      <c r="N47" t="s">
        <v>78</v>
      </c>
    </row>
    <row r="48" spans="1:1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0.41173999999999999</v>
      </c>
      <c r="M48" s="8">
        <f>L48/2.83168</f>
        <v>0.14540484800542433</v>
      </c>
      <c r="N48" t="s">
        <v>78</v>
      </c>
    </row>
    <row r="49" spans="1:14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0.38374000000000003</v>
      </c>
      <c r="M49" s="8">
        <f>L49/2.83168</f>
        <v>0.1355167250536784</v>
      </c>
      <c r="N49" t="s">
        <v>78</v>
      </c>
    </row>
    <row r="50" spans="1:14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0.32374000000000003</v>
      </c>
      <c r="M50" s="8">
        <f>L50/2.83168</f>
        <v>0.11432789015707991</v>
      </c>
      <c r="N50" t="s">
        <v>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5"/>
  <sheetViews>
    <sheetView workbookViewId="0">
      <selection activeCell="C26" sqref="C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58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58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58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58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58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58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58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58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58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58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58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58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58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59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59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59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59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59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0.19379+0.71354</f>
        <v>0.90732999999999997</v>
      </c>
      <c r="M24" s="6">
        <f>L24/2.83168</f>
        <v>0.32042109277884506</v>
      </c>
      <c r="N24" t="s">
        <v>78</v>
      </c>
      <c r="O24" t="s">
        <v>135</v>
      </c>
    </row>
    <row r="25" spans="1:15">
      <c r="A25" t="s">
        <v>21</v>
      </c>
      <c r="B25" t="s">
        <v>15</v>
      </c>
      <c r="C25" t="s">
        <v>130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0.575*24</f>
        <v>13.799999999999999</v>
      </c>
      <c r="M25" s="6">
        <f>L25/2.83168</f>
        <v>4.8734320262176514</v>
      </c>
      <c r="N25" t="s">
        <v>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66"/>
  <sheetViews>
    <sheetView topLeftCell="A35" workbookViewId="0">
      <selection activeCell="M67" sqref="M6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124</v>
      </c>
    </row>
    <row r="4" spans="1:15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124</v>
      </c>
    </row>
    <row r="5" spans="1:1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124</v>
      </c>
    </row>
    <row r="6" spans="1:1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124</v>
      </c>
    </row>
    <row r="8" spans="1:15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124</v>
      </c>
    </row>
    <row r="9" spans="1:15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124</v>
      </c>
    </row>
    <row r="10" spans="1:15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124</v>
      </c>
    </row>
    <row r="12" spans="1:15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124</v>
      </c>
    </row>
    <row r="13" spans="1:15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124</v>
      </c>
    </row>
    <row r="14" spans="1:15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124</v>
      </c>
    </row>
    <row r="16" spans="1:15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124</v>
      </c>
    </row>
    <row r="17" spans="1:15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124</v>
      </c>
    </row>
    <row r="18" spans="1:15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124</v>
      </c>
    </row>
    <row r="20" spans="1:15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124</v>
      </c>
    </row>
    <row r="21" spans="1:15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124</v>
      </c>
    </row>
    <row r="22" spans="1:15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124</v>
      </c>
    </row>
    <row r="24" spans="1:15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124</v>
      </c>
    </row>
    <row r="25" spans="1:15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124</v>
      </c>
    </row>
    <row r="26" spans="1:15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f>0.06781+0.03217</f>
        <v>9.9979999999999986E-2</v>
      </c>
      <c r="N27" t="s">
        <v>14</v>
      </c>
      <c r="O27" t="s">
        <v>124</v>
      </c>
    </row>
    <row r="28" spans="1:15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f>0.03661+0.03217</f>
        <v>6.8779999999999994E-2</v>
      </c>
      <c r="N28" t="s">
        <v>14</v>
      </c>
      <c r="O28" t="s">
        <v>124</v>
      </c>
    </row>
    <row r="29" spans="1:15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f>0.03537+0.03217</f>
        <v>6.7539999999999989E-2</v>
      </c>
      <c r="N29" t="s">
        <v>14</v>
      </c>
      <c r="O29" t="s">
        <v>124</v>
      </c>
    </row>
    <row r="30" spans="1:15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f>0.03502+0.03217</f>
        <v>6.719E-2</v>
      </c>
      <c r="N30" t="s">
        <v>14</v>
      </c>
      <c r="O30" t="s">
        <v>124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f>0.06781+0.03629</f>
        <v>0.1041</v>
      </c>
      <c r="N31" t="s">
        <v>14</v>
      </c>
      <c r="O31" t="s">
        <v>124</v>
      </c>
    </row>
    <row r="32" spans="1:15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f>0.03661+0.03629</f>
        <v>7.2899999999999993E-2</v>
      </c>
      <c r="N32" t="s">
        <v>14</v>
      </c>
      <c r="O32" t="s">
        <v>124</v>
      </c>
    </row>
    <row r="33" spans="1:15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f>0.03537+0.03629</f>
        <v>7.1660000000000001E-2</v>
      </c>
      <c r="N33" t="s">
        <v>14</v>
      </c>
      <c r="O33" t="s">
        <v>124</v>
      </c>
    </row>
    <row r="34" spans="1:15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f>0.03502+0.03629</f>
        <v>7.1310000000000012E-2</v>
      </c>
      <c r="N34" t="s">
        <v>14</v>
      </c>
      <c r="O34" t="s">
        <v>124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f>0.06781+0.03232</f>
        <v>0.10013</v>
      </c>
      <c r="N35" t="s">
        <v>14</v>
      </c>
      <c r="O35" t="s">
        <v>124</v>
      </c>
    </row>
    <row r="36" spans="1:15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f>0.03661+0.03232</f>
        <v>6.8929999999999991E-2</v>
      </c>
      <c r="N36" t="s">
        <v>14</v>
      </c>
      <c r="O36" t="s">
        <v>124</v>
      </c>
    </row>
    <row r="37" spans="1:15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f>0.03537+0.03232</f>
        <v>6.769E-2</v>
      </c>
      <c r="N37" t="s">
        <v>14</v>
      </c>
      <c r="O37" t="s">
        <v>124</v>
      </c>
    </row>
    <row r="38" spans="1:15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f>0.03502+0.03232</f>
        <v>6.7340000000000011E-2</v>
      </c>
      <c r="N38" t="s">
        <v>14</v>
      </c>
      <c r="O38" t="s">
        <v>124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f>0.06781+0.03235</f>
        <v>0.10016</v>
      </c>
      <c r="N39" t="s">
        <v>14</v>
      </c>
      <c r="O39" t="s">
        <v>124</v>
      </c>
    </row>
    <row r="40" spans="1:15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f>0.03661+0.03235</f>
        <v>6.8959999999999994E-2</v>
      </c>
      <c r="N40" t="s">
        <v>14</v>
      </c>
      <c r="O40" t="s">
        <v>124</v>
      </c>
    </row>
    <row r="41" spans="1:15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f>0.03537+0.03235</f>
        <v>6.7720000000000002E-2</v>
      </c>
      <c r="N41" t="s">
        <v>14</v>
      </c>
      <c r="O41" t="s">
        <v>124</v>
      </c>
    </row>
    <row r="42" spans="1:15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f>0.03502+0.03235</f>
        <v>6.7369999999999999E-2</v>
      </c>
      <c r="N42" t="s">
        <v>14</v>
      </c>
      <c r="O42" t="s">
        <v>124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f>0.06781+0.03592</f>
        <v>0.10372999999999999</v>
      </c>
      <c r="N43" t="s">
        <v>14</v>
      </c>
      <c r="O43" t="s">
        <v>124</v>
      </c>
    </row>
    <row r="44" spans="1:15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f>0.03661+0.03592</f>
        <v>7.2529999999999997E-2</v>
      </c>
      <c r="N44" t="s">
        <v>14</v>
      </c>
      <c r="O44" t="s">
        <v>124</v>
      </c>
    </row>
    <row r="45" spans="1:15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f>0.03537+0.03592</f>
        <v>7.1289999999999992E-2</v>
      </c>
      <c r="N45" t="s">
        <v>14</v>
      </c>
      <c r="O45" t="s">
        <v>124</v>
      </c>
    </row>
    <row r="46" spans="1:15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f>0.03502+0.03592</f>
        <v>7.0940000000000003E-2</v>
      </c>
      <c r="N46" t="s">
        <v>14</v>
      </c>
      <c r="O46" t="s">
        <v>124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f>0.06781+0.03708</f>
        <v>0.10489</v>
      </c>
      <c r="N47" t="s">
        <v>14</v>
      </c>
      <c r="O47" t="s">
        <v>124</v>
      </c>
    </row>
    <row r="48" spans="1:15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f>0.03661+0.03708</f>
        <v>7.3690000000000005E-2</v>
      </c>
      <c r="N48" t="s">
        <v>14</v>
      </c>
      <c r="O48" t="s">
        <v>124</v>
      </c>
    </row>
    <row r="49" spans="1:15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f>0.03537+0.03708</f>
        <v>7.2450000000000001E-2</v>
      </c>
      <c r="N49" t="s">
        <v>14</v>
      </c>
      <c r="O49" t="s">
        <v>124</v>
      </c>
    </row>
    <row r="50" spans="1:15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f>0.03502+0.03708</f>
        <v>7.2099999999999997E-2</v>
      </c>
      <c r="N50" t="s">
        <v>14</v>
      </c>
      <c r="O50" t="s">
        <v>124</v>
      </c>
    </row>
    <row r="51" spans="1:15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  <row r="54" spans="1:15">
      <c r="A54" t="s">
        <v>21</v>
      </c>
      <c r="B54" t="s">
        <v>11</v>
      </c>
      <c r="L54">
        <v>128</v>
      </c>
      <c r="M54">
        <v>128</v>
      </c>
      <c r="N54" t="s">
        <v>12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0</v>
      </c>
      <c r="I55">
        <v>24</v>
      </c>
      <c r="J55">
        <v>0</v>
      </c>
      <c r="K55">
        <v>6</v>
      </c>
      <c r="L55">
        <f>0.24335+0.42745</f>
        <v>0.67080000000000006</v>
      </c>
      <c r="M55" s="5">
        <f>L55/2.83168</f>
        <v>0.23689117414397109</v>
      </c>
      <c r="N55" t="s">
        <v>78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2</v>
      </c>
      <c r="G56">
        <v>2</v>
      </c>
      <c r="H56">
        <v>0</v>
      </c>
      <c r="I56">
        <v>24</v>
      </c>
      <c r="J56">
        <v>0</v>
      </c>
      <c r="K56">
        <v>6</v>
      </c>
      <c r="L56">
        <f>0.24335+0.45971</f>
        <v>0.70306000000000002</v>
      </c>
      <c r="M56" s="5">
        <f t="shared" ref="M56:M65" si="0">L56/2.83168</f>
        <v>0.24828370437337552</v>
      </c>
      <c r="N56" t="s">
        <v>78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3</v>
      </c>
      <c r="G57">
        <v>3</v>
      </c>
      <c r="H57">
        <v>0</v>
      </c>
      <c r="I57">
        <v>24</v>
      </c>
      <c r="J57">
        <v>0</v>
      </c>
      <c r="K57">
        <v>6</v>
      </c>
      <c r="L57">
        <f>0.46858+0.24335</f>
        <v>0.71192999999999995</v>
      </c>
      <c r="M57" s="5">
        <f t="shared" si="0"/>
        <v>0.25141612046558931</v>
      </c>
      <c r="N57" t="s">
        <v>78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4</v>
      </c>
      <c r="G58">
        <v>4</v>
      </c>
      <c r="H58">
        <v>0</v>
      </c>
      <c r="I58">
        <v>24</v>
      </c>
      <c r="J58">
        <v>0</v>
      </c>
      <c r="K58">
        <v>6</v>
      </c>
      <c r="L58">
        <f>0.24335+0.45312</f>
        <v>0.69647000000000003</v>
      </c>
      <c r="M58" s="5">
        <f t="shared" si="0"/>
        <v>0.24595646400723248</v>
      </c>
      <c r="N58" t="s">
        <v>78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5</v>
      </c>
      <c r="G59">
        <v>5</v>
      </c>
      <c r="H59">
        <v>0</v>
      </c>
      <c r="I59">
        <v>24</v>
      </c>
      <c r="J59">
        <v>0</v>
      </c>
      <c r="K59">
        <v>6</v>
      </c>
      <c r="L59">
        <f>0.24335+0.45307</f>
        <v>0.69642000000000004</v>
      </c>
      <c r="M59" s="5">
        <f t="shared" si="0"/>
        <v>0.24593880664481865</v>
      </c>
      <c r="N59" t="s">
        <v>78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6</v>
      </c>
      <c r="G60">
        <v>6</v>
      </c>
      <c r="H60">
        <v>0</v>
      </c>
      <c r="I60">
        <v>24</v>
      </c>
      <c r="J60">
        <v>0</v>
      </c>
      <c r="K60">
        <v>6</v>
      </c>
      <c r="L60">
        <f>0.24335+0.4521</f>
        <v>0.69545000000000001</v>
      </c>
      <c r="M60" s="5">
        <f t="shared" si="0"/>
        <v>0.24559625381399028</v>
      </c>
      <c r="N60" t="s">
        <v>78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7</v>
      </c>
      <c r="G61">
        <v>7</v>
      </c>
      <c r="H61">
        <v>0</v>
      </c>
      <c r="I61">
        <v>24</v>
      </c>
      <c r="J61">
        <v>0</v>
      </c>
      <c r="K61">
        <v>6</v>
      </c>
      <c r="L61">
        <f>0.24335+0.49595</f>
        <v>0.73930000000000007</v>
      </c>
      <c r="M61" s="5">
        <f t="shared" si="0"/>
        <v>0.26108176065092104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8</v>
      </c>
      <c r="G62">
        <v>8</v>
      </c>
      <c r="H62">
        <v>0</v>
      </c>
      <c r="I62">
        <v>24</v>
      </c>
      <c r="J62">
        <v>0</v>
      </c>
      <c r="K62">
        <v>6</v>
      </c>
      <c r="L62">
        <f>0.24335+0.56329</f>
        <v>0.80664000000000002</v>
      </c>
      <c r="M62" s="5">
        <f t="shared" si="0"/>
        <v>0.28486269634987005</v>
      </c>
      <c r="N62" t="s">
        <v>78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9</v>
      </c>
      <c r="G63">
        <v>9</v>
      </c>
      <c r="H63">
        <v>0</v>
      </c>
      <c r="I63">
        <v>24</v>
      </c>
      <c r="J63">
        <v>0</v>
      </c>
      <c r="K63">
        <v>6</v>
      </c>
      <c r="L63">
        <f>0.24335+0.5393</f>
        <v>0.78265000000000007</v>
      </c>
      <c r="M63" s="5">
        <f t="shared" si="0"/>
        <v>0.27639069386371345</v>
      </c>
      <c r="N63" t="s">
        <v>78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0.24335+0.65092</f>
        <v>0.89427000000000012</v>
      </c>
      <c r="M64" s="5">
        <f t="shared" si="0"/>
        <v>0.31580898971635218</v>
      </c>
      <c r="N64" t="s">
        <v>78</v>
      </c>
    </row>
    <row r="65" spans="1:14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0.24335+0.69819</f>
        <v>0.94154000000000004</v>
      </c>
      <c r="M65" s="5">
        <f t="shared" si="0"/>
        <v>0.33250226014238898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12</v>
      </c>
      <c r="G66">
        <v>12</v>
      </c>
      <c r="H66">
        <v>0</v>
      </c>
      <c r="I66">
        <v>24</v>
      </c>
      <c r="J66">
        <v>0</v>
      </c>
      <c r="K66">
        <v>6</v>
      </c>
      <c r="L66">
        <f>0.24335+0.63603</f>
        <v>0.87938000000000005</v>
      </c>
      <c r="M66" s="5">
        <f>L66/2.83168</f>
        <v>0.31055062718951298</v>
      </c>
      <c r="N66" t="s">
        <v>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81"/>
  <sheetViews>
    <sheetView topLeftCell="A43" zoomScaleNormal="100" workbookViewId="0">
      <selection activeCell="O81" sqref="A58:O81"/>
    </sheetView>
  </sheetViews>
  <sheetFormatPr baseColWidth="10" defaultColWidth="8.83203125" defaultRowHeight="15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7"/>
  <sheetViews>
    <sheetView workbookViewId="0">
      <selection activeCell="N17" sqref="A16:N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65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2.2695953920000001E-2</v>
      </c>
      <c r="M3" s="5">
        <v>2.2695953920000001E-2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3.6619551729999998E-2</v>
      </c>
      <c r="M4" s="5">
        <v>3.6619551729999998E-2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2.1242984390000001E-2</v>
      </c>
      <c r="M5" s="5">
        <v>2.1242984390000001E-2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2.0391664649999999E-2</v>
      </c>
      <c r="M6" s="5">
        <v>2.0391664649999999E-2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2.3658787939999999E-2</v>
      </c>
      <c r="M7" s="5">
        <v>2.3658787939999999E-2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2.827343467E-2</v>
      </c>
      <c r="M8" s="5">
        <v>2.827343467E-2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3.3143369280000001E-2</v>
      </c>
      <c r="M9" s="5">
        <v>3.3143369280000001E-2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4.0730189280000002E-2</v>
      </c>
      <c r="M10" s="5">
        <v>4.0730189280000002E-2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4.0832430490000002E-2</v>
      </c>
      <c r="M11" s="5">
        <v>4.0832430490000002E-2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4.430227405E-2</v>
      </c>
      <c r="M12" s="5">
        <v>4.430227405E-2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4.546055048E-2</v>
      </c>
      <c r="M13" s="5">
        <v>4.546055048E-2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3.3583509910000003E-2</v>
      </c>
      <c r="M14" s="5">
        <v>3.3583509910000003E-2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f>(0.357+0.49951)/1.037</f>
        <v>0.82594985535197696</v>
      </c>
      <c r="M17" s="6">
        <f>L17/2.83168</f>
        <v>0.29168191863204068</v>
      </c>
      <c r="N17" t="s">
        <v>78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C25" sqref="C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0.19379+0.71354</f>
        <v>0.90732999999999997</v>
      </c>
      <c r="M24" s="6">
        <f>L24/2.83168</f>
        <v>0.32042109277884506</v>
      </c>
      <c r="N24" t="s">
        <v>78</v>
      </c>
      <c r="O24" t="s">
        <v>135</v>
      </c>
    </row>
    <row r="25" spans="1:15">
      <c r="A25" t="s">
        <v>21</v>
      </c>
      <c r="B25" t="s">
        <v>15</v>
      </c>
      <c r="C25" t="s">
        <v>130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0.575*24</f>
        <v>13.799999999999999</v>
      </c>
      <c r="M25" s="6">
        <f>L25/2.83168</f>
        <v>4.8734320262176514</v>
      </c>
      <c r="N25" t="s">
        <v>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53"/>
  <sheetViews>
    <sheetView zoomScaleNormal="100" workbookViewId="0">
      <selection activeCell="A5" sqref="A5:N5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96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  <row r="5" spans="1:15">
      <c r="A5" t="s">
        <v>21</v>
      </c>
      <c r="B5" t="s">
        <v>11</v>
      </c>
      <c r="L5">
        <v>559.53</v>
      </c>
      <c r="M5">
        <v>559.53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f>0.3865/10.87 + 0.3537</f>
        <v>0.38925657773689054</v>
      </c>
      <c r="M6" s="6">
        <f t="shared" ref="M6" si="0">L6/2.83168</f>
        <v>0.13746488930136547</v>
      </c>
      <c r="N6" t="s">
        <v>78</v>
      </c>
    </row>
    <row r="7" spans="1:15">
      <c r="A7" t="s">
        <v>21</v>
      </c>
      <c r="B7" t="s">
        <v>13</v>
      </c>
      <c r="D7">
        <f>2000*10.87</f>
        <v>21740</v>
      </c>
      <c r="E7" s="9">
        <f>D7*2.83168</f>
        <v>61560.7232</v>
      </c>
      <c r="F7">
        <v>1</v>
      </c>
      <c r="G7">
        <v>1</v>
      </c>
      <c r="H7">
        <v>0</v>
      </c>
      <c r="I7">
        <v>24</v>
      </c>
      <c r="J7">
        <v>0</v>
      </c>
      <c r="K7">
        <v>6</v>
      </c>
      <c r="L7" s="6">
        <f>0.237/10.87+0.3537</f>
        <v>0.37550312787488505</v>
      </c>
      <c r="M7" s="6">
        <f>L7/2.83168</f>
        <v>0.13260789632828746</v>
      </c>
      <c r="N7" t="s">
        <v>78</v>
      </c>
    </row>
    <row r="8" spans="1:15">
      <c r="A8" t="s">
        <v>21</v>
      </c>
      <c r="B8" t="s">
        <v>13</v>
      </c>
      <c r="D8">
        <f>13000*10.87+D7</f>
        <v>163050</v>
      </c>
      <c r="E8" s="9">
        <f>D8*2.83168</f>
        <v>461705.424</v>
      </c>
      <c r="F8">
        <v>1</v>
      </c>
      <c r="G8">
        <v>1</v>
      </c>
      <c r="H8">
        <v>0</v>
      </c>
      <c r="I8">
        <v>24</v>
      </c>
      <c r="J8">
        <v>0</v>
      </c>
      <c r="K8">
        <v>6</v>
      </c>
      <c r="L8" s="6">
        <f>0.2068/10.87 + 0.3537</f>
        <v>0.37272483900643977</v>
      </c>
      <c r="M8" s="6">
        <f t="shared" ref="M8:M10" si="1">L8/2.83168</f>
        <v>0.1316267512594784</v>
      </c>
      <c r="N8" t="s">
        <v>78</v>
      </c>
    </row>
    <row r="9" spans="1:15">
      <c r="A9" t="s">
        <v>21</v>
      </c>
      <c r="B9" t="s">
        <v>13</v>
      </c>
      <c r="D9">
        <f>85000*10.87+D8</f>
        <v>1087000</v>
      </c>
      <c r="E9">
        <f>D9*2.83168</f>
        <v>3078036.16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 s="6">
        <f>0.1635/10.87 + 0.3537</f>
        <v>0.36874139834406627</v>
      </c>
      <c r="M9" s="6">
        <f t="shared" si="1"/>
        <v>0.13022001015088791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 s="6">
        <f>0.3865/10.87 + 0.383</f>
        <v>0.41855657773689053</v>
      </c>
      <c r="M10" s="6">
        <f t="shared" si="1"/>
        <v>0.14781210367587105</v>
      </c>
      <c r="N10" t="s">
        <v>78</v>
      </c>
    </row>
    <row r="11" spans="1:15">
      <c r="A11" t="s">
        <v>21</v>
      </c>
      <c r="B11" t="s">
        <v>13</v>
      </c>
      <c r="D11">
        <f>2000*10.87</f>
        <v>21740</v>
      </c>
      <c r="E11" s="9">
        <f>D11*2.83168</f>
        <v>61560.7232</v>
      </c>
      <c r="F11">
        <v>2</v>
      </c>
      <c r="G11">
        <v>2</v>
      </c>
      <c r="H11">
        <v>0</v>
      </c>
      <c r="I11">
        <v>24</v>
      </c>
      <c r="J11">
        <v>0</v>
      </c>
      <c r="K11">
        <v>6</v>
      </c>
      <c r="L11" s="6">
        <f>0.237/10.87 + 0.383</f>
        <v>0.40480312787488504</v>
      </c>
      <c r="M11" s="6">
        <f>L11/2.83168</f>
        <v>0.14295511070279307</v>
      </c>
      <c r="N11" t="s">
        <v>78</v>
      </c>
    </row>
    <row r="12" spans="1:15">
      <c r="A12" t="s">
        <v>21</v>
      </c>
      <c r="B12" t="s">
        <v>13</v>
      </c>
      <c r="D12">
        <f>13000*10.87+D11</f>
        <v>163050</v>
      </c>
      <c r="E12" s="9">
        <f>D12*2.83168</f>
        <v>461705.424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 s="6">
        <f>0.2068/10.87 + 0.383</f>
        <v>0.40202483900643976</v>
      </c>
      <c r="M12" s="6">
        <f t="shared" ref="M12:M14" si="2">L12/2.83168</f>
        <v>0.14197396563398398</v>
      </c>
      <c r="N12" t="s">
        <v>78</v>
      </c>
    </row>
    <row r="13" spans="1:15">
      <c r="A13" t="s">
        <v>21</v>
      </c>
      <c r="B13" t="s">
        <v>13</v>
      </c>
      <c r="D13">
        <f>85000*10.87+D12</f>
        <v>1087000</v>
      </c>
      <c r="E13">
        <f>D13*2.83168</f>
        <v>3078036.16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 s="6">
        <f>0.1635/10.87 + 0.383</f>
        <v>0.39804139834406627</v>
      </c>
      <c r="M13" s="6">
        <f t="shared" si="2"/>
        <v>0.1405672245253935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 s="6">
        <f>0.3865/10.87 + 0.3924</f>
        <v>0.42795657773689055</v>
      </c>
      <c r="M14" s="6">
        <f t="shared" si="2"/>
        <v>0.15113168780967148</v>
      </c>
      <c r="N14" t="s">
        <v>78</v>
      </c>
    </row>
    <row r="15" spans="1:15">
      <c r="A15" t="s">
        <v>21</v>
      </c>
      <c r="B15" t="s">
        <v>13</v>
      </c>
      <c r="D15">
        <f>2000*10.87</f>
        <v>21740</v>
      </c>
      <c r="E15" s="9">
        <f>D15*2.83168</f>
        <v>61560.7232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 s="6">
        <f>0.237/10.87 + 0.3924</f>
        <v>0.41420312787488506</v>
      </c>
      <c r="M15" s="6">
        <f>L15/2.83168</f>
        <v>0.1462746948365935</v>
      </c>
      <c r="N15" t="s">
        <v>78</v>
      </c>
    </row>
    <row r="16" spans="1:15">
      <c r="A16" t="s">
        <v>21</v>
      </c>
      <c r="B16" t="s">
        <v>13</v>
      </c>
      <c r="D16">
        <f>13000*10.87+D15</f>
        <v>163050</v>
      </c>
      <c r="E16" s="9">
        <f>D16*2.83168</f>
        <v>461705.424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 s="6">
        <f>0.2068/10.87 + 0.3924</f>
        <v>0.41142483900643978</v>
      </c>
      <c r="M16" s="6">
        <f t="shared" ref="M16:M18" si="3">L16/2.83168</f>
        <v>0.14529354976778441</v>
      </c>
      <c r="N16" t="s">
        <v>78</v>
      </c>
    </row>
    <row r="17" spans="1:14">
      <c r="A17" t="s">
        <v>21</v>
      </c>
      <c r="B17" t="s">
        <v>13</v>
      </c>
      <c r="D17">
        <f>85000*10.87+D16</f>
        <v>1087000</v>
      </c>
      <c r="E17">
        <f>D17*2.83168</f>
        <v>3078036.16</v>
      </c>
      <c r="F17">
        <v>3</v>
      </c>
      <c r="G17">
        <v>3</v>
      </c>
      <c r="H17">
        <v>0</v>
      </c>
      <c r="I17">
        <v>24</v>
      </c>
      <c r="J17">
        <v>0</v>
      </c>
      <c r="K17">
        <v>6</v>
      </c>
      <c r="L17" s="6">
        <f>0.1635/10.87 + 0.3924</f>
        <v>0.40744139834406629</v>
      </c>
      <c r="M17" s="6">
        <f t="shared" si="3"/>
        <v>0.14388680865919393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 s="6">
        <f>0.3865/10.87 + 0.4286</f>
        <v>0.46415657773689051</v>
      </c>
      <c r="M18" s="6">
        <f t="shared" si="3"/>
        <v>0.16391561819728589</v>
      </c>
      <c r="N18" t="s">
        <v>78</v>
      </c>
    </row>
    <row r="19" spans="1:14">
      <c r="A19" t="s">
        <v>21</v>
      </c>
      <c r="B19" t="s">
        <v>13</v>
      </c>
      <c r="D19">
        <f>2000*10.87</f>
        <v>21740</v>
      </c>
      <c r="E19" s="9">
        <f>D19*2.83168</f>
        <v>61560.7232</v>
      </c>
      <c r="F19">
        <v>4</v>
      </c>
      <c r="G19">
        <v>4</v>
      </c>
      <c r="H19">
        <v>0</v>
      </c>
      <c r="I19">
        <v>24</v>
      </c>
      <c r="J19">
        <v>0</v>
      </c>
      <c r="K19">
        <v>6</v>
      </c>
      <c r="L19" s="6">
        <f>0.237/10.87 + 0.4286</f>
        <v>0.45040312787488501</v>
      </c>
      <c r="M19" s="6">
        <f>L19/2.83168</f>
        <v>0.15905862522420788</v>
      </c>
      <c r="N19" t="s">
        <v>78</v>
      </c>
    </row>
    <row r="20" spans="1:14">
      <c r="A20" t="s">
        <v>21</v>
      </c>
      <c r="B20" t="s">
        <v>13</v>
      </c>
      <c r="D20">
        <f>13000*10.87+D19</f>
        <v>163050</v>
      </c>
      <c r="E20" s="9">
        <f>D20*2.83168</f>
        <v>461705.424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 s="6">
        <f>0.2068/10.87 +0.4286</f>
        <v>0.44762483900643973</v>
      </c>
      <c r="M20" s="6">
        <f t="shared" ref="M20:M22" si="4">L20/2.83168</f>
        <v>0.15807748015539883</v>
      </c>
      <c r="N20" t="s">
        <v>78</v>
      </c>
    </row>
    <row r="21" spans="1:14">
      <c r="A21" t="s">
        <v>21</v>
      </c>
      <c r="B21" t="s">
        <v>13</v>
      </c>
      <c r="D21">
        <f>85000*10.87+D20</f>
        <v>1087000</v>
      </c>
      <c r="E21">
        <f>D21*2.83168</f>
        <v>3078036.16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 s="6">
        <f>0.1635/10.87 + 0.4286</f>
        <v>0.44364139834406624</v>
      </c>
      <c r="M21" s="6">
        <f t="shared" si="4"/>
        <v>0.15667073904680834</v>
      </c>
      <c r="N21" t="s">
        <v>78</v>
      </c>
    </row>
    <row r="22" spans="1:14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 s="6">
        <f>0.3865/10.87 +0.4625</f>
        <v>0.49805657773689055</v>
      </c>
      <c r="M22" s="6">
        <f t="shared" si="4"/>
        <v>0.17588730991386406</v>
      </c>
      <c r="N22" t="s">
        <v>78</v>
      </c>
    </row>
    <row r="23" spans="1:14">
      <c r="A23" t="s">
        <v>21</v>
      </c>
      <c r="B23" t="s">
        <v>13</v>
      </c>
      <c r="D23">
        <f>2000*10.87</f>
        <v>21740</v>
      </c>
      <c r="E23" s="9">
        <f>D23*2.83168</f>
        <v>61560.7232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 s="6">
        <f>0.237/10.87 +0.4625</f>
        <v>0.48430312787488505</v>
      </c>
      <c r="M23" s="6">
        <f>L23/2.83168</f>
        <v>0.17103031694078605</v>
      </c>
      <c r="N23" t="s">
        <v>78</v>
      </c>
    </row>
    <row r="24" spans="1:14">
      <c r="A24" t="s">
        <v>21</v>
      </c>
      <c r="B24" t="s">
        <v>13</v>
      </c>
      <c r="D24">
        <f>13000*10.87+D23</f>
        <v>163050</v>
      </c>
      <c r="E24" s="9">
        <f>D24*2.83168</f>
        <v>461705.424</v>
      </c>
      <c r="F24">
        <v>5</v>
      </c>
      <c r="G24">
        <v>5</v>
      </c>
      <c r="H24">
        <v>0</v>
      </c>
      <c r="I24">
        <v>24</v>
      </c>
      <c r="J24">
        <v>0</v>
      </c>
      <c r="K24">
        <v>6</v>
      </c>
      <c r="L24" s="6">
        <f>0.2068/10.87 + 0.4625</f>
        <v>0.48152483900643978</v>
      </c>
      <c r="M24" s="6">
        <f t="shared" ref="M24:M26" si="5">L24/2.83168</f>
        <v>0.17004917187197699</v>
      </c>
      <c r="N24" t="s">
        <v>78</v>
      </c>
    </row>
    <row r="25" spans="1:14">
      <c r="A25" t="s">
        <v>21</v>
      </c>
      <c r="B25" t="s">
        <v>13</v>
      </c>
      <c r="D25">
        <f>85000*10.87+D24</f>
        <v>1087000</v>
      </c>
      <c r="E25">
        <f>D25*2.83168</f>
        <v>3078036.16</v>
      </c>
      <c r="F25">
        <v>5</v>
      </c>
      <c r="G25">
        <v>5</v>
      </c>
      <c r="H25">
        <v>0</v>
      </c>
      <c r="I25">
        <v>24</v>
      </c>
      <c r="J25">
        <v>0</v>
      </c>
      <c r="K25">
        <v>6</v>
      </c>
      <c r="L25" s="6">
        <f>0.1635/10.87 + 0.4625</f>
        <v>0.47754139834406628</v>
      </c>
      <c r="M25" s="6">
        <f t="shared" si="5"/>
        <v>0.1686424307633865</v>
      </c>
      <c r="N25" t="s">
        <v>78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 s="6">
        <f>0.3865/10.87 + 0.4684</f>
        <v>0.50395657773689051</v>
      </c>
      <c r="M26" s="6">
        <f t="shared" si="5"/>
        <v>0.17797087867869621</v>
      </c>
      <c r="N26" t="s">
        <v>78</v>
      </c>
    </row>
    <row r="27" spans="1:14">
      <c r="A27" t="s">
        <v>21</v>
      </c>
      <c r="B27" t="s">
        <v>13</v>
      </c>
      <c r="D27">
        <f>2000*10.87</f>
        <v>21740</v>
      </c>
      <c r="E27" s="9">
        <f>D27*2.83168</f>
        <v>61560.7232</v>
      </c>
      <c r="F27">
        <v>6</v>
      </c>
      <c r="G27">
        <v>6</v>
      </c>
      <c r="H27">
        <v>0</v>
      </c>
      <c r="I27">
        <v>24</v>
      </c>
      <c r="J27">
        <v>0</v>
      </c>
      <c r="K27">
        <v>6</v>
      </c>
      <c r="L27" s="6">
        <f>0.237/10.87 + 0.4684</f>
        <v>0.49020312787488501</v>
      </c>
      <c r="M27" s="6">
        <f>L27/2.83168</f>
        <v>0.17311388570561823</v>
      </c>
      <c r="N27" t="s">
        <v>78</v>
      </c>
    </row>
    <row r="28" spans="1:14">
      <c r="A28" t="s">
        <v>21</v>
      </c>
      <c r="B28" t="s">
        <v>13</v>
      </c>
      <c r="D28">
        <f>13000*10.87+D27</f>
        <v>163050</v>
      </c>
      <c r="E28" s="9">
        <f>D28*2.83168</f>
        <v>461705.424</v>
      </c>
      <c r="F28">
        <v>6</v>
      </c>
      <c r="G28">
        <v>6</v>
      </c>
      <c r="H28">
        <v>0</v>
      </c>
      <c r="I28">
        <v>24</v>
      </c>
      <c r="J28">
        <v>0</v>
      </c>
      <c r="K28">
        <v>6</v>
      </c>
      <c r="L28" s="6">
        <f>0.2068/10.87 + 0.4684</f>
        <v>0.48742483900643974</v>
      </c>
      <c r="M28" s="6">
        <f t="shared" ref="M28:M30" si="6">L28/2.83168</f>
        <v>0.17213274063680914</v>
      </c>
      <c r="N28" t="s">
        <v>78</v>
      </c>
    </row>
    <row r="29" spans="1:14">
      <c r="A29" t="s">
        <v>21</v>
      </c>
      <c r="B29" t="s">
        <v>13</v>
      </c>
      <c r="D29">
        <f>85000*10.87+D28</f>
        <v>1087000</v>
      </c>
      <c r="E29">
        <f>D29*2.83168</f>
        <v>3078036.16</v>
      </c>
      <c r="F29">
        <v>6</v>
      </c>
      <c r="G29">
        <v>6</v>
      </c>
      <c r="H29">
        <v>0</v>
      </c>
      <c r="I29">
        <v>24</v>
      </c>
      <c r="J29">
        <v>0</v>
      </c>
      <c r="K29">
        <v>6</v>
      </c>
      <c r="L29" s="6">
        <f>0.1635/10.87 + 0.4684</f>
        <v>0.48344139834406624</v>
      </c>
      <c r="M29" s="6">
        <f t="shared" si="6"/>
        <v>0.17072599952821868</v>
      </c>
      <c r="N29" t="s">
        <v>78</v>
      </c>
    </row>
    <row r="30" spans="1:14">
      <c r="A30" t="s">
        <v>21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 s="6">
        <f>0.3865/10.87 + 0.5377</f>
        <v>0.57325657773689054</v>
      </c>
      <c r="M30" s="6">
        <f t="shared" si="6"/>
        <v>0.2024439829842675</v>
      </c>
      <c r="N30" t="s">
        <v>78</v>
      </c>
    </row>
    <row r="31" spans="1:14">
      <c r="A31" t="s">
        <v>21</v>
      </c>
      <c r="B31" t="s">
        <v>13</v>
      </c>
      <c r="D31">
        <f>2000*10.87</f>
        <v>21740</v>
      </c>
      <c r="E31" s="9">
        <f>D31*2.83168</f>
        <v>61560.7232</v>
      </c>
      <c r="F31">
        <v>7</v>
      </c>
      <c r="G31">
        <v>7</v>
      </c>
      <c r="H31">
        <v>0</v>
      </c>
      <c r="I31">
        <v>24</v>
      </c>
      <c r="J31">
        <v>0</v>
      </c>
      <c r="K31">
        <v>6</v>
      </c>
      <c r="L31" s="6">
        <f>0.237/10.87 + 0.5377</f>
        <v>0.55950312787488499</v>
      </c>
      <c r="M31" s="6">
        <f>L31/2.83168</f>
        <v>0.19758699001118946</v>
      </c>
      <c r="N31" t="s">
        <v>78</v>
      </c>
    </row>
    <row r="32" spans="1:14">
      <c r="A32" t="s">
        <v>21</v>
      </c>
      <c r="B32" t="s">
        <v>13</v>
      </c>
      <c r="D32">
        <f>13000*10.87+D31</f>
        <v>163050</v>
      </c>
      <c r="E32" s="9">
        <f>D32*2.83168</f>
        <v>461705.424</v>
      </c>
      <c r="F32">
        <v>7</v>
      </c>
      <c r="G32">
        <v>7</v>
      </c>
      <c r="H32">
        <v>0</v>
      </c>
      <c r="I32">
        <v>24</v>
      </c>
      <c r="J32">
        <v>0</v>
      </c>
      <c r="K32">
        <v>6</v>
      </c>
      <c r="L32" s="6">
        <f>0.2068/10.87 + 0.5377</f>
        <v>0.55672483900643965</v>
      </c>
      <c r="M32" s="6">
        <f t="shared" ref="M32:M34" si="7">L32/2.83168</f>
        <v>0.19660584494238037</v>
      </c>
      <c r="N32" t="s">
        <v>78</v>
      </c>
    </row>
    <row r="33" spans="1:14">
      <c r="A33" t="s">
        <v>21</v>
      </c>
      <c r="B33" t="s">
        <v>13</v>
      </c>
      <c r="D33">
        <f>85000*10.87+D32</f>
        <v>1087000</v>
      </c>
      <c r="E33">
        <f>D33*2.83168</f>
        <v>3078036.16</v>
      </c>
      <c r="F33">
        <v>7</v>
      </c>
      <c r="G33">
        <v>7</v>
      </c>
      <c r="H33">
        <v>0</v>
      </c>
      <c r="I33">
        <v>24</v>
      </c>
      <c r="J33">
        <v>0</v>
      </c>
      <c r="K33">
        <v>6</v>
      </c>
      <c r="L33" s="6">
        <f>0.1635/10.87 + 0.5377</f>
        <v>0.55274139834406621</v>
      </c>
      <c r="M33" s="6">
        <f t="shared" si="7"/>
        <v>0.19519910383378991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 s="6">
        <f>0.3865/10.87 + 0.54871</f>
        <v>0.5842665777368905</v>
      </c>
      <c r="M34" s="6">
        <f t="shared" si="7"/>
        <v>0.20633213418779328</v>
      </c>
      <c r="N34" t="s">
        <v>78</v>
      </c>
    </row>
    <row r="35" spans="1:14">
      <c r="A35" t="s">
        <v>21</v>
      </c>
      <c r="B35" t="s">
        <v>13</v>
      </c>
      <c r="D35">
        <f>2000*10.87</f>
        <v>21740</v>
      </c>
      <c r="E35" s="9">
        <f>D35*2.83168</f>
        <v>61560.7232</v>
      </c>
      <c r="F35">
        <v>8</v>
      </c>
      <c r="G35">
        <v>8</v>
      </c>
      <c r="H35">
        <v>0</v>
      </c>
      <c r="I35">
        <v>24</v>
      </c>
      <c r="J35">
        <v>0</v>
      </c>
      <c r="K35">
        <v>6</v>
      </c>
      <c r="L35" s="6">
        <f>0.237/10.87 + 0.54871</f>
        <v>0.57051312787488506</v>
      </c>
      <c r="M35" s="6">
        <f>L35/2.83168</f>
        <v>0.20147514121471533</v>
      </c>
      <c r="N35" t="s">
        <v>78</v>
      </c>
    </row>
    <row r="36" spans="1:14">
      <c r="A36" t="s">
        <v>21</v>
      </c>
      <c r="B36" t="s">
        <v>13</v>
      </c>
      <c r="D36">
        <f>13000*10.87+D35</f>
        <v>163050</v>
      </c>
      <c r="E36" s="9">
        <f>D36*2.83168</f>
        <v>461705.424</v>
      </c>
      <c r="F36">
        <v>8</v>
      </c>
      <c r="G36">
        <v>8</v>
      </c>
      <c r="H36">
        <v>0</v>
      </c>
      <c r="I36">
        <v>24</v>
      </c>
      <c r="J36">
        <v>0</v>
      </c>
      <c r="K36">
        <v>6</v>
      </c>
      <c r="L36" s="6">
        <f>0.2068/10.87+0.54871</f>
        <v>0.56773483900643973</v>
      </c>
      <c r="M36" s="6">
        <f t="shared" ref="M36:M38" si="8">L36/2.83168</f>
        <v>0.20049399614590621</v>
      </c>
      <c r="N36" t="s">
        <v>78</v>
      </c>
    </row>
    <row r="37" spans="1:14">
      <c r="A37" t="s">
        <v>21</v>
      </c>
      <c r="B37" t="s">
        <v>13</v>
      </c>
      <c r="D37">
        <f>85000*10.87+D36</f>
        <v>1087000</v>
      </c>
      <c r="E37">
        <f>D37*2.83168</f>
        <v>3078036.16</v>
      </c>
      <c r="F37">
        <v>8</v>
      </c>
      <c r="G37">
        <v>8</v>
      </c>
      <c r="H37">
        <v>0</v>
      </c>
      <c r="I37">
        <v>24</v>
      </c>
      <c r="J37">
        <v>0</v>
      </c>
      <c r="K37">
        <v>6</v>
      </c>
      <c r="L37" s="6">
        <f>0.1635/10.87 + 0.54871</f>
        <v>0.56375139834406629</v>
      </c>
      <c r="M37" s="6">
        <f t="shared" si="8"/>
        <v>0.19908725503731575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 s="6">
        <f>0.3865/10.87+ 0.607</f>
        <v>0.64255657773689046</v>
      </c>
      <c r="M38" s="6">
        <f t="shared" si="8"/>
        <v>0.2269170872898387</v>
      </c>
      <c r="N38" t="s">
        <v>78</v>
      </c>
    </row>
    <row r="39" spans="1:14">
      <c r="A39" t="s">
        <v>21</v>
      </c>
      <c r="B39" t="s">
        <v>13</v>
      </c>
      <c r="D39">
        <f>2000*10.87</f>
        <v>21740</v>
      </c>
      <c r="E39" s="9">
        <f>D39*2.83168</f>
        <v>61560.7232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 s="6">
        <f>0.237/10.87 + 0.607</f>
        <v>0.62880312787488502</v>
      </c>
      <c r="M39" s="6">
        <f>L39/2.83168</f>
        <v>0.22206009431676074</v>
      </c>
      <c r="N39" t="s">
        <v>78</v>
      </c>
    </row>
    <row r="40" spans="1:14">
      <c r="A40" t="s">
        <v>21</v>
      </c>
      <c r="B40" t="s">
        <v>13</v>
      </c>
      <c r="D40">
        <f>13000*10.87+D39</f>
        <v>163050</v>
      </c>
      <c r="E40" s="9">
        <f>D40*2.83168</f>
        <v>461705.424</v>
      </c>
      <c r="F40">
        <v>9</v>
      </c>
      <c r="G40">
        <v>9</v>
      </c>
      <c r="H40">
        <v>0</v>
      </c>
      <c r="I40">
        <v>24</v>
      </c>
      <c r="J40">
        <v>0</v>
      </c>
      <c r="K40">
        <v>6</v>
      </c>
      <c r="L40" s="6">
        <f>0.2068/10.87 + 0.607</f>
        <v>0.62602483900643968</v>
      </c>
      <c r="M40" s="6">
        <f t="shared" ref="M40:M42" si="9">L40/2.83168</f>
        <v>0.22107894924795163</v>
      </c>
      <c r="N40" t="s">
        <v>78</v>
      </c>
    </row>
    <row r="41" spans="1:14">
      <c r="A41" t="s">
        <v>21</v>
      </c>
      <c r="B41" t="s">
        <v>13</v>
      </c>
      <c r="D41">
        <f>85000*10.87+D40</f>
        <v>1087000</v>
      </c>
      <c r="E41">
        <f>D41*2.83168</f>
        <v>3078036.16</v>
      </c>
      <c r="F41">
        <v>9</v>
      </c>
      <c r="G41">
        <v>9</v>
      </c>
      <c r="H41">
        <v>0</v>
      </c>
      <c r="I41">
        <v>24</v>
      </c>
      <c r="J41">
        <v>0</v>
      </c>
      <c r="K41">
        <v>6</v>
      </c>
      <c r="L41" s="6">
        <f>0.1635/10.87 + 0.607</f>
        <v>0.62204139834406624</v>
      </c>
      <c r="M41" s="6">
        <f t="shared" si="9"/>
        <v>0.21967220813936117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 s="6">
        <f>0.3865/10.87 + 0.7541</f>
        <v>0.78965657773689046</v>
      </c>
      <c r="M42" s="6">
        <f t="shared" si="9"/>
        <v>0.27886504751133268</v>
      </c>
      <c r="N42" t="s">
        <v>78</v>
      </c>
    </row>
    <row r="43" spans="1:14">
      <c r="A43" t="s">
        <v>21</v>
      </c>
      <c r="B43" t="s">
        <v>13</v>
      </c>
      <c r="D43">
        <f>2000*10.87</f>
        <v>21740</v>
      </c>
      <c r="E43" s="9">
        <f>D43*2.83168</f>
        <v>61560.7232</v>
      </c>
      <c r="F43">
        <v>10</v>
      </c>
      <c r="G43">
        <v>10</v>
      </c>
      <c r="H43">
        <v>0</v>
      </c>
      <c r="I43">
        <v>24</v>
      </c>
      <c r="J43">
        <v>0</v>
      </c>
      <c r="K43">
        <v>6</v>
      </c>
      <c r="L43" s="6">
        <f>0.237/10.87 + 0.7541</f>
        <v>0.77590312787488502</v>
      </c>
      <c r="M43" s="6">
        <f>L43/2.83168</f>
        <v>0.27400805453825466</v>
      </c>
      <c r="N43" t="s">
        <v>78</v>
      </c>
    </row>
    <row r="44" spans="1:14">
      <c r="A44" t="s">
        <v>21</v>
      </c>
      <c r="B44" t="s">
        <v>13</v>
      </c>
      <c r="D44">
        <f>13000*10.87+D43</f>
        <v>163050</v>
      </c>
      <c r="E44" s="9">
        <f>D44*2.83168</f>
        <v>461705.424</v>
      </c>
      <c r="F44">
        <v>10</v>
      </c>
      <c r="G44">
        <v>10</v>
      </c>
      <c r="H44">
        <v>0</v>
      </c>
      <c r="I44">
        <v>24</v>
      </c>
      <c r="J44">
        <v>0</v>
      </c>
      <c r="K44">
        <v>6</v>
      </c>
      <c r="L44" s="6">
        <f>0.2068/10.87+ 0.7541</f>
        <v>0.77312483900643969</v>
      </c>
      <c r="M44" s="6">
        <f t="shared" ref="M44:M46" si="10">L44/2.83168</f>
        <v>0.27302690946944558</v>
      </c>
      <c r="N44" t="s">
        <v>78</v>
      </c>
    </row>
    <row r="45" spans="1:14">
      <c r="A45" t="s">
        <v>21</v>
      </c>
      <c r="B45" t="s">
        <v>13</v>
      </c>
      <c r="D45">
        <f>85000*10.87+D44</f>
        <v>1087000</v>
      </c>
      <c r="E45">
        <f>D45*2.83168</f>
        <v>3078036.16</v>
      </c>
      <c r="F45">
        <v>10</v>
      </c>
      <c r="G45">
        <v>10</v>
      </c>
      <c r="H45">
        <v>0</v>
      </c>
      <c r="I45">
        <v>24</v>
      </c>
      <c r="J45">
        <v>0</v>
      </c>
      <c r="K45">
        <v>6</v>
      </c>
      <c r="L45" s="6">
        <f>0.1635/10.87 + 0.7541</f>
        <v>0.76914139834406625</v>
      </c>
      <c r="M45" s="6">
        <f t="shared" si="10"/>
        <v>0.27162016836085512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 s="6">
        <f>0.3865/10.87 + 0.7902</f>
        <v>0.82575657773689048</v>
      </c>
      <c r="M46" s="6">
        <f t="shared" si="10"/>
        <v>0.29161366317411941</v>
      </c>
      <c r="N46" t="s">
        <v>78</v>
      </c>
    </row>
    <row r="47" spans="1:14">
      <c r="A47" t="s">
        <v>21</v>
      </c>
      <c r="B47" t="s">
        <v>13</v>
      </c>
      <c r="D47">
        <f>2000*10.87</f>
        <v>21740</v>
      </c>
      <c r="E47" s="9">
        <f>D47*2.83168</f>
        <v>61560.7232</v>
      </c>
      <c r="F47">
        <v>11</v>
      </c>
      <c r="G47">
        <v>11</v>
      </c>
      <c r="H47">
        <v>0</v>
      </c>
      <c r="I47">
        <v>24</v>
      </c>
      <c r="J47">
        <v>0</v>
      </c>
      <c r="K47">
        <v>6</v>
      </c>
      <c r="L47" s="6">
        <f>0.237/10.87 + 0.7902</f>
        <v>0.81200312787488504</v>
      </c>
      <c r="M47" s="6">
        <f>L47/2.83168</f>
        <v>0.28675667020104145</v>
      </c>
      <c r="N47" t="s">
        <v>78</v>
      </c>
    </row>
    <row r="48" spans="1:14">
      <c r="A48" t="s">
        <v>21</v>
      </c>
      <c r="B48" t="s">
        <v>13</v>
      </c>
      <c r="D48">
        <f>13000*10.87+D47</f>
        <v>163050</v>
      </c>
      <c r="E48" s="9">
        <f>D48*2.83168</f>
        <v>461705.424</v>
      </c>
      <c r="F48">
        <v>11</v>
      </c>
      <c r="G48">
        <v>11</v>
      </c>
      <c r="H48">
        <v>0</v>
      </c>
      <c r="I48">
        <v>24</v>
      </c>
      <c r="J48">
        <v>0</v>
      </c>
      <c r="K48">
        <v>6</v>
      </c>
      <c r="L48" s="6">
        <f>0.2068/10.87 + 0.7902</f>
        <v>0.80922483900643971</v>
      </c>
      <c r="M48" s="6">
        <f t="shared" ref="M48:M50" si="11">L48/2.83168</f>
        <v>0.28577552513223237</v>
      </c>
      <c r="N48" t="s">
        <v>78</v>
      </c>
    </row>
    <row r="49" spans="1:14">
      <c r="A49" t="s">
        <v>21</v>
      </c>
      <c r="B49" t="s">
        <v>13</v>
      </c>
      <c r="D49">
        <f>85000*10.87+D48</f>
        <v>1087000</v>
      </c>
      <c r="E49">
        <f>D49*2.83168</f>
        <v>3078036.16</v>
      </c>
      <c r="F49">
        <v>11</v>
      </c>
      <c r="G49">
        <v>11</v>
      </c>
      <c r="H49">
        <v>0</v>
      </c>
      <c r="I49">
        <v>24</v>
      </c>
      <c r="J49">
        <v>0</v>
      </c>
      <c r="K49">
        <v>6</v>
      </c>
      <c r="L49" s="6">
        <f>0.1635/10.87 + 0.7902</f>
        <v>0.80524139834406627</v>
      </c>
      <c r="M49" s="6">
        <f t="shared" si="11"/>
        <v>0.28436878402364191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 s="6">
        <f>0.3865/10.87 + 0.7147</f>
        <v>0.75025657773689058</v>
      </c>
      <c r="M50" s="6">
        <f t="shared" si="11"/>
        <v>0.26495104592923302</v>
      </c>
      <c r="N50" t="s">
        <v>78</v>
      </c>
    </row>
    <row r="51" spans="1:14">
      <c r="A51" t="s">
        <v>21</v>
      </c>
      <c r="B51" t="s">
        <v>13</v>
      </c>
      <c r="D51">
        <f>2000*10.87</f>
        <v>21740</v>
      </c>
      <c r="E51" s="9">
        <f>D51*2.83168</f>
        <v>61560.7232</v>
      </c>
      <c r="F51">
        <v>12</v>
      </c>
      <c r="G51">
        <v>12</v>
      </c>
      <c r="H51">
        <v>0</v>
      </c>
      <c r="I51">
        <v>24</v>
      </c>
      <c r="J51">
        <v>0</v>
      </c>
      <c r="K51">
        <v>6</v>
      </c>
      <c r="L51" s="6">
        <f>0.237/10.87  + 0.7147</f>
        <v>0.73650312787488503</v>
      </c>
      <c r="M51" s="6">
        <f>L51/2.83168</f>
        <v>0.26009405295615501</v>
      </c>
      <c r="N51" t="s">
        <v>78</v>
      </c>
    </row>
    <row r="52" spans="1:14">
      <c r="A52" t="s">
        <v>21</v>
      </c>
      <c r="B52" t="s">
        <v>13</v>
      </c>
      <c r="D52">
        <f>13000*10.87+D51</f>
        <v>163050</v>
      </c>
      <c r="E52" s="9">
        <f>D52*2.83168</f>
        <v>461705.424</v>
      </c>
      <c r="F52">
        <v>12</v>
      </c>
      <c r="G52">
        <v>12</v>
      </c>
      <c r="H52">
        <v>0</v>
      </c>
      <c r="I52">
        <v>24</v>
      </c>
      <c r="J52">
        <v>0</v>
      </c>
      <c r="K52">
        <v>6</v>
      </c>
      <c r="L52" s="6">
        <f>0.2068/10.87  + 0.7147</f>
        <v>0.7337248390064397</v>
      </c>
      <c r="M52" s="6">
        <f t="shared" ref="M52:M53" si="12">L52/2.83168</f>
        <v>0.25911290788734592</v>
      </c>
      <c r="N52" t="s">
        <v>78</v>
      </c>
    </row>
    <row r="53" spans="1:14">
      <c r="A53" t="s">
        <v>21</v>
      </c>
      <c r="B53" t="s">
        <v>13</v>
      </c>
      <c r="D53">
        <f>85000*10.87+D52</f>
        <v>1087000</v>
      </c>
      <c r="E53">
        <f>D53*2.83168</f>
        <v>3078036.16</v>
      </c>
      <c r="F53">
        <v>12</v>
      </c>
      <c r="G53">
        <v>12</v>
      </c>
      <c r="H53">
        <v>0</v>
      </c>
      <c r="I53">
        <v>24</v>
      </c>
      <c r="J53">
        <v>0</v>
      </c>
      <c r="K53">
        <v>6</v>
      </c>
      <c r="L53" s="6">
        <f>0.1635/10.87  + 0.7147</f>
        <v>0.72974139834406626</v>
      </c>
      <c r="M53" s="6">
        <f t="shared" si="12"/>
        <v>0.25770616677875546</v>
      </c>
      <c r="N53" t="s">
        <v>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8"/>
  <sheetViews>
    <sheetView workbookViewId="0">
      <selection activeCell="C8" sqref="C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3.8219999999999997E-2</v>
      </c>
      <c r="M3">
        <v>3.8219999999999997E-2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>
      <c r="A5" t="s">
        <v>21</v>
      </c>
      <c r="B5" s="4" t="s">
        <v>11</v>
      </c>
      <c r="L5">
        <v>247.28</v>
      </c>
      <c r="M5">
        <v>247.28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0.08199+0.47587</f>
        <v>0.55786000000000002</v>
      </c>
      <c r="M6" s="6">
        <f>L6/2.83168</f>
        <v>0.19700672392360719</v>
      </c>
      <c r="N6" t="s">
        <v>78</v>
      </c>
      <c r="O6" t="s">
        <v>135</v>
      </c>
    </row>
    <row r="7" spans="1:15">
      <c r="A7" t="s">
        <v>21</v>
      </c>
      <c r="B7" t="s">
        <v>13</v>
      </c>
      <c r="D7">
        <v>0</v>
      </c>
      <c r="E7">
        <v>0</v>
      </c>
      <c r="F7">
        <v>2</v>
      </c>
      <c r="G7">
        <v>7</v>
      </c>
      <c r="H7">
        <v>0</v>
      </c>
      <c r="I7">
        <v>24</v>
      </c>
      <c r="J7">
        <v>0</v>
      </c>
      <c r="K7">
        <v>6</v>
      </c>
      <c r="L7">
        <f>0.08199+0.51959</f>
        <v>0.60158</v>
      </c>
      <c r="M7" s="6">
        <f>L7/2.83168</f>
        <v>0.21244632161826196</v>
      </c>
      <c r="N7" t="s">
        <v>78</v>
      </c>
      <c r="O7" t="s">
        <v>135</v>
      </c>
    </row>
    <row r="8" spans="1:15">
      <c r="A8" t="s">
        <v>21</v>
      </c>
      <c r="B8" t="s">
        <v>13</v>
      </c>
      <c r="D8">
        <v>0</v>
      </c>
      <c r="E8">
        <v>0</v>
      </c>
      <c r="F8">
        <v>8</v>
      </c>
      <c r="G8">
        <v>12</v>
      </c>
      <c r="H8">
        <v>0</v>
      </c>
      <c r="I8">
        <v>24</v>
      </c>
      <c r="J8">
        <v>0</v>
      </c>
      <c r="K8">
        <v>6</v>
      </c>
      <c r="L8">
        <f>0.08199+0.61363</f>
        <v>0.69562000000000002</v>
      </c>
      <c r="M8" s="6">
        <f>L8/2.83168</f>
        <v>0.24565628884619731</v>
      </c>
      <c r="N8" t="s">
        <v>78</v>
      </c>
      <c r="O8" t="s">
        <v>135</v>
      </c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81"/>
  <sheetViews>
    <sheetView workbookViewId="0">
      <selection activeCell="O81" sqref="A58:O81"/>
    </sheetView>
  </sheetViews>
  <sheetFormatPr baseColWidth="10" defaultColWidth="8.83203125" defaultRowHeight="15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5"/>
  <sheetViews>
    <sheetView topLeftCell="A26" workbookViewId="0">
      <selection activeCell="O55" sqref="O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93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  <row r="52" spans="1:15">
      <c r="A52" t="s">
        <v>21</v>
      </c>
      <c r="B52" t="s">
        <v>11</v>
      </c>
      <c r="L52">
        <v>350</v>
      </c>
      <c r="M52">
        <v>350</v>
      </c>
      <c r="N52" t="s">
        <v>12</v>
      </c>
    </row>
    <row r="53" spans="1:15">
      <c r="A53" t="s">
        <v>21</v>
      </c>
      <c r="B53" t="s">
        <v>15</v>
      </c>
      <c r="C53" t="s">
        <v>32</v>
      </c>
      <c r="D53">
        <v>0</v>
      </c>
      <c r="E53">
        <v>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1.1639999999999999</v>
      </c>
      <c r="M53" s="6">
        <f>L53/2.83168</f>
        <v>0.41106339699401062</v>
      </c>
      <c r="N53" t="s">
        <v>79</v>
      </c>
    </row>
    <row r="54" spans="1:15">
      <c r="A54" t="s">
        <v>21</v>
      </c>
      <c r="B54" t="s">
        <v>13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0.0155+0.4994</f>
        <v>0.51490000000000002</v>
      </c>
      <c r="M54" s="6">
        <f>L54/2.83168</f>
        <v>0.18183551813764268</v>
      </c>
      <c r="N54" t="s">
        <v>78</v>
      </c>
    </row>
    <row r="55" spans="1:15">
      <c r="A55" t="s">
        <v>21</v>
      </c>
      <c r="B55" t="s">
        <v>13</v>
      </c>
      <c r="D55">
        <v>5000</v>
      </c>
      <c r="E55">
        <f>D55*2.83168</f>
        <v>14158.4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0.0057+0.4994</f>
        <v>0.50509999999999999</v>
      </c>
      <c r="M55" s="6">
        <f>L55/2.83168</f>
        <v>0.17837467510453159</v>
      </c>
      <c r="N55" t="s">
        <v>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4"/>
  <sheetViews>
    <sheetView workbookViewId="0">
      <selection activeCell="A15" sqref="A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>
      <c r="A5" t="s">
        <v>10</v>
      </c>
      <c r="B5" t="s">
        <v>15</v>
      </c>
      <c r="C5" t="s">
        <v>66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>
      <c r="A11" t="s">
        <v>10</v>
      </c>
      <c r="B11" t="s">
        <v>15</v>
      </c>
      <c r="C11" t="s">
        <v>67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  <row r="13" spans="1:15">
      <c r="A13" t="s">
        <v>21</v>
      </c>
      <c r="B13" t="s">
        <v>11</v>
      </c>
      <c r="L13" s="15">
        <v>24.64</v>
      </c>
      <c r="M13" s="15">
        <v>24.64</v>
      </c>
      <c r="N13" t="s">
        <v>12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f>0.73056</f>
        <v>0.73055999999999999</v>
      </c>
      <c r="M14" s="6">
        <f>L14/2.83168</f>
        <v>0.25799525370098314</v>
      </c>
      <c r="N14" t="s">
        <v>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M12" sqref="M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6">
        <f>L12/2.83168</f>
        <v>0.32393490789919765</v>
      </c>
      <c r="N12" t="s">
        <v>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7"/>
  <sheetViews>
    <sheetView workbookViewId="0">
      <selection activeCell="C23" sqref="C2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5">
      <c r="A19" t="s">
        <v>10</v>
      </c>
      <c r="B19" t="s">
        <v>15</v>
      </c>
      <c r="C19" t="s">
        <v>68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  <row r="22" spans="1:15">
      <c r="A22" t="s">
        <v>21</v>
      </c>
      <c r="B22" t="s">
        <v>11</v>
      </c>
      <c r="L22">
        <v>1063.73</v>
      </c>
      <c r="M22">
        <v>1063.73</v>
      </c>
      <c r="N22" t="s">
        <v>12</v>
      </c>
    </row>
    <row r="23" spans="1:15">
      <c r="A23" t="s">
        <v>21</v>
      </c>
      <c r="B23" t="s">
        <v>15</v>
      </c>
      <c r="C23" t="s">
        <v>130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1.12*24</f>
        <v>26.880000000000003</v>
      </c>
      <c r="M23" s="6">
        <f>L23/2.83168</f>
        <v>9.4925980336761224</v>
      </c>
      <c r="N23" t="s">
        <v>79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10</v>
      </c>
      <c r="H24">
        <v>0</v>
      </c>
      <c r="I24">
        <v>24</v>
      </c>
      <c r="J24">
        <v>0</v>
      </c>
      <c r="K24">
        <v>6</v>
      </c>
      <c r="L24">
        <f>0.03008+0.37</f>
        <v>0.40007999999999999</v>
      </c>
      <c r="M24" s="6">
        <f>L24/2.83168</f>
        <v>0.1412871510905187</v>
      </c>
      <c r="N24" t="s">
        <v>78</v>
      </c>
      <c r="O24" t="s">
        <v>132</v>
      </c>
    </row>
    <row r="25" spans="1:15">
      <c r="A25" t="s">
        <v>21</v>
      </c>
      <c r="B25" t="s">
        <v>13</v>
      </c>
      <c r="D25">
        <v>36000</v>
      </c>
      <c r="E25" s="12">
        <f>D25*2.83168</f>
        <v>101940.48</v>
      </c>
      <c r="F25">
        <v>1</v>
      </c>
      <c r="G25">
        <v>10</v>
      </c>
      <c r="H25">
        <v>0</v>
      </c>
      <c r="I25">
        <v>24</v>
      </c>
      <c r="J25">
        <v>0</v>
      </c>
      <c r="K25">
        <v>6</v>
      </c>
      <c r="L25">
        <f>0.00882+0.37</f>
        <v>0.37881999999999999</v>
      </c>
      <c r="M25" s="6">
        <f>L25/2.83168</f>
        <v>0.13377924059215732</v>
      </c>
      <c r="N25" t="s">
        <v>78</v>
      </c>
      <c r="O25" t="s">
        <v>132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11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0.03008+0.59</f>
        <v>0.62007999999999996</v>
      </c>
      <c r="M26" s="6">
        <f>L26/2.83168</f>
        <v>0.21897954571137981</v>
      </c>
      <c r="N26" t="s">
        <v>78</v>
      </c>
      <c r="O26" t="s">
        <v>132</v>
      </c>
    </row>
    <row r="27" spans="1:15">
      <c r="A27" t="s">
        <v>21</v>
      </c>
      <c r="B27" t="s">
        <v>13</v>
      </c>
      <c r="D27">
        <v>36000</v>
      </c>
      <c r="E27" s="12">
        <f>D27*2.83168</f>
        <v>101940.48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f>0.00882+0.59</f>
        <v>0.59882000000000002</v>
      </c>
      <c r="M27" s="6">
        <f>L27/2.83168</f>
        <v>0.21147163521301843</v>
      </c>
      <c r="N27" t="s">
        <v>78</v>
      </c>
      <c r="O27" t="s">
        <v>132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7"/>
  <sheetViews>
    <sheetView workbookViewId="0">
      <selection activeCell="C23" sqref="C2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5">
      <c r="A19" t="s">
        <v>10</v>
      </c>
      <c r="B19" t="s">
        <v>15</v>
      </c>
      <c r="C19" t="s">
        <v>68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  <row r="22" spans="1:15">
      <c r="A22" t="s">
        <v>21</v>
      </c>
      <c r="B22" t="s">
        <v>11</v>
      </c>
      <c r="L22">
        <v>1063.73</v>
      </c>
      <c r="M22">
        <v>1063.73</v>
      </c>
      <c r="N22" t="s">
        <v>12</v>
      </c>
    </row>
    <row r="23" spans="1:15">
      <c r="A23" t="s">
        <v>21</v>
      </c>
      <c r="B23" t="s">
        <v>15</v>
      </c>
      <c r="C23" t="s">
        <v>130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1.12*24</f>
        <v>26.880000000000003</v>
      </c>
      <c r="M23" s="6">
        <f>L23/2.83168</f>
        <v>9.4925980336761224</v>
      </c>
      <c r="N23" t="s">
        <v>79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10</v>
      </c>
      <c r="H24">
        <v>0</v>
      </c>
      <c r="I24">
        <v>24</v>
      </c>
      <c r="J24">
        <v>0</v>
      </c>
      <c r="K24">
        <v>6</v>
      </c>
      <c r="L24">
        <f>0.03008+0.37</f>
        <v>0.40007999999999999</v>
      </c>
      <c r="M24" s="6">
        <f>L24/2.83168</f>
        <v>0.1412871510905187</v>
      </c>
      <c r="N24" t="s">
        <v>78</v>
      </c>
      <c r="O24" t="s">
        <v>132</v>
      </c>
    </row>
    <row r="25" spans="1:15">
      <c r="A25" t="s">
        <v>21</v>
      </c>
      <c r="B25" t="s">
        <v>13</v>
      </c>
      <c r="D25">
        <v>36000</v>
      </c>
      <c r="E25" s="12">
        <f>D25*2.83168</f>
        <v>101940.48</v>
      </c>
      <c r="F25">
        <v>1</v>
      </c>
      <c r="G25">
        <v>10</v>
      </c>
      <c r="H25">
        <v>0</v>
      </c>
      <c r="I25">
        <v>24</v>
      </c>
      <c r="J25">
        <v>0</v>
      </c>
      <c r="K25">
        <v>6</v>
      </c>
      <c r="L25">
        <f>0.00882+0.37</f>
        <v>0.37881999999999999</v>
      </c>
      <c r="M25" s="6">
        <f>L25/2.83168</f>
        <v>0.13377924059215732</v>
      </c>
      <c r="N25" t="s">
        <v>78</v>
      </c>
      <c r="O25" t="s">
        <v>132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11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0.03008+0.59</f>
        <v>0.62007999999999996</v>
      </c>
      <c r="M26" s="6">
        <f>L26/2.83168</f>
        <v>0.21897954571137981</v>
      </c>
      <c r="N26" t="s">
        <v>78</v>
      </c>
      <c r="O26" t="s">
        <v>132</v>
      </c>
    </row>
    <row r="27" spans="1:15">
      <c r="A27" t="s">
        <v>21</v>
      </c>
      <c r="B27" t="s">
        <v>13</v>
      </c>
      <c r="D27">
        <v>36000</v>
      </c>
      <c r="E27" s="12">
        <f>D27*2.83168</f>
        <v>101940.48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f>0.00882+0.59</f>
        <v>0.59882000000000002</v>
      </c>
      <c r="M27" s="6">
        <f>L27/2.83168</f>
        <v>0.21147163521301843</v>
      </c>
      <c r="N27" t="s">
        <v>78</v>
      </c>
      <c r="O27" t="s">
        <v>132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22"/>
  <sheetViews>
    <sheetView workbookViewId="0">
      <selection activeCell="C10" sqref="C1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119</v>
      </c>
    </row>
    <row r="4" spans="1:15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119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119</v>
      </c>
    </row>
    <row r="6" spans="1:15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119</v>
      </c>
    </row>
    <row r="7" spans="1:15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119</v>
      </c>
    </row>
    <row r="8" spans="1:1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  <row r="9" spans="1:15">
      <c r="A9" t="s">
        <v>21</v>
      </c>
      <c r="B9" t="s">
        <v>11</v>
      </c>
      <c r="L9">
        <v>300</v>
      </c>
      <c r="M9">
        <v>300</v>
      </c>
      <c r="N9" t="s">
        <v>12</v>
      </c>
    </row>
    <row r="10" spans="1:15">
      <c r="A10" t="s">
        <v>21</v>
      </c>
      <c r="B10" t="s">
        <v>15</v>
      </c>
      <c r="C10" t="s">
        <v>130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0.65*24</f>
        <v>15.600000000000001</v>
      </c>
      <c r="M10" s="6">
        <f t="shared" ref="M10:M22" si="0">L10/2.83168</f>
        <v>5.5090970731156066</v>
      </c>
      <c r="N10" t="s">
        <v>79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24</v>
      </c>
      <c r="J11">
        <v>0</v>
      </c>
      <c r="K11">
        <v>6</v>
      </c>
      <c r="L11">
        <f>0.0528+0.3012</f>
        <v>0.35400000000000004</v>
      </c>
      <c r="M11" s="6">
        <f t="shared" si="0"/>
        <v>0.12501412588993108</v>
      </c>
      <c r="N11" t="s">
        <v>78</v>
      </c>
      <c r="O11" t="s">
        <v>134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>
        <f>0.0528+0.3521</f>
        <v>0.40490000000000004</v>
      </c>
      <c r="M12" s="6">
        <f t="shared" si="0"/>
        <v>0.14298932082721214</v>
      </c>
      <c r="N12" t="s">
        <v>78</v>
      </c>
      <c r="O12" t="s">
        <v>134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0.0528+0.2687</f>
        <v>0.32150000000000001</v>
      </c>
      <c r="M13" s="6">
        <f t="shared" si="0"/>
        <v>0.11353684032094022</v>
      </c>
      <c r="N13" t="s">
        <v>78</v>
      </c>
      <c r="O13" t="s">
        <v>134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0</v>
      </c>
      <c r="I14">
        <v>24</v>
      </c>
      <c r="J14">
        <v>0</v>
      </c>
      <c r="K14">
        <v>6</v>
      </c>
      <c r="L14">
        <f>0.0528+0.2619</f>
        <v>0.31470000000000004</v>
      </c>
      <c r="M14" s="6">
        <f t="shared" si="0"/>
        <v>0.11113543903265907</v>
      </c>
      <c r="N14" t="s">
        <v>78</v>
      </c>
      <c r="O14" t="s">
        <v>134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24</v>
      </c>
      <c r="J15">
        <v>0</v>
      </c>
      <c r="K15">
        <v>6</v>
      </c>
      <c r="L15">
        <f>0.0528+0.2595</f>
        <v>0.31230000000000002</v>
      </c>
      <c r="M15" s="6">
        <f t="shared" si="0"/>
        <v>0.11028788563679513</v>
      </c>
      <c r="N15" t="s">
        <v>78</v>
      </c>
      <c r="O15" t="s">
        <v>134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0</v>
      </c>
      <c r="I16">
        <v>24</v>
      </c>
      <c r="J16">
        <v>0</v>
      </c>
      <c r="K16">
        <v>6</v>
      </c>
      <c r="L16">
        <f>0.0528+0.364</f>
        <v>0.4168</v>
      </c>
      <c r="M16" s="6">
        <f t="shared" si="0"/>
        <v>0.14719177308170414</v>
      </c>
      <c r="N16" t="s">
        <v>78</v>
      </c>
      <c r="O16" t="s">
        <v>134</v>
      </c>
    </row>
    <row r="17" spans="1:15">
      <c r="A17" t="s">
        <v>21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0</v>
      </c>
      <c r="K17">
        <v>6</v>
      </c>
      <c r="L17">
        <f>0.0528+0.2687</f>
        <v>0.32150000000000001</v>
      </c>
      <c r="M17" s="6">
        <f t="shared" si="0"/>
        <v>0.11353684032094022</v>
      </c>
      <c r="N17" t="s">
        <v>78</v>
      </c>
      <c r="O17" t="s">
        <v>134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0.2712+0.0528</f>
        <v>0.32400000000000001</v>
      </c>
      <c r="M18" s="6">
        <f t="shared" si="0"/>
        <v>0.11441970844163182</v>
      </c>
      <c r="N18" t="s">
        <v>78</v>
      </c>
      <c r="O18" t="s">
        <v>134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0.2925+0.0528</f>
        <v>0.3453</v>
      </c>
      <c r="M19" s="6">
        <f t="shared" si="0"/>
        <v>0.12194174482992429</v>
      </c>
      <c r="N19" t="s">
        <v>78</v>
      </c>
      <c r="O19" t="s">
        <v>134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10</v>
      </c>
      <c r="G20">
        <v>10</v>
      </c>
      <c r="H20">
        <v>0</v>
      </c>
      <c r="I20">
        <v>24</v>
      </c>
      <c r="J20">
        <v>0</v>
      </c>
      <c r="K20">
        <v>6</v>
      </c>
      <c r="L20">
        <f>0.3104+0.0528</f>
        <v>0.36320000000000002</v>
      </c>
      <c r="M20" s="6">
        <f t="shared" si="0"/>
        <v>0.12826308057407618</v>
      </c>
      <c r="N20" t="s">
        <v>78</v>
      </c>
      <c r="O20" t="s">
        <v>134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11</v>
      </c>
      <c r="G21">
        <v>11</v>
      </c>
      <c r="H21">
        <v>0</v>
      </c>
      <c r="I21">
        <v>24</v>
      </c>
      <c r="J21">
        <v>0</v>
      </c>
      <c r="K21">
        <v>6</v>
      </c>
      <c r="L21">
        <f>0.0528+0.3115</f>
        <v>0.36430000000000001</v>
      </c>
      <c r="M21" s="6">
        <f t="shared" si="0"/>
        <v>0.12865154254718048</v>
      </c>
      <c r="N21" t="s">
        <v>78</v>
      </c>
      <c r="O21" t="s">
        <v>134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12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0.0528+0.364</f>
        <v>0.4168</v>
      </c>
      <c r="M22" s="6">
        <f t="shared" si="0"/>
        <v>0.14719177308170414</v>
      </c>
      <c r="N22" t="s">
        <v>78</v>
      </c>
      <c r="O22" t="s">
        <v>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05"/>
  <sheetViews>
    <sheetView topLeftCell="A67" workbookViewId="0">
      <selection activeCell="A2" sqref="A2:XFD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20"/>
  <sheetViews>
    <sheetView workbookViewId="0">
      <selection activeCell="A5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C25" sqref="C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58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59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0.19379+0.71354</f>
        <v>0.90732999999999997</v>
      </c>
      <c r="M24" s="6">
        <f>L24/2.83168</f>
        <v>0.32042109277884506</v>
      </c>
      <c r="N24" t="s">
        <v>78</v>
      </c>
      <c r="O24" t="s">
        <v>135</v>
      </c>
    </row>
    <row r="25" spans="1:15">
      <c r="A25" t="s">
        <v>21</v>
      </c>
      <c r="B25" t="s">
        <v>15</v>
      </c>
      <c r="C25" t="s">
        <v>130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0.575*24</f>
        <v>13.799999999999999</v>
      </c>
      <c r="M25" s="6">
        <f>L25/2.83168</f>
        <v>4.8734320262176514</v>
      </c>
      <c r="N25" t="s">
        <v>79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81"/>
  <sheetViews>
    <sheetView topLeftCell="A46" workbookViewId="0">
      <selection activeCell="O81" sqref="A58:O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20"/>
  <sheetViews>
    <sheetView workbookViewId="0">
      <selection activeCell="A17" sqref="A17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  <row r="17" spans="1:14">
      <c r="A17" t="s">
        <v>21</v>
      </c>
      <c r="B17" t="s">
        <v>11</v>
      </c>
      <c r="L17">
        <v>60</v>
      </c>
      <c r="M17">
        <v>60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(1.25+5.597)/10.37</f>
        <v>0.66027000964320159</v>
      </c>
      <c r="M18" s="5">
        <f>L18/2.83168</f>
        <v>0.23317253702508814</v>
      </c>
      <c r="N18" t="s">
        <v>78</v>
      </c>
    </row>
    <row r="19" spans="1:14">
      <c r="A19" t="s">
        <v>21</v>
      </c>
      <c r="B19" t="s">
        <v>13</v>
      </c>
      <c r="D19">
        <f>100*10.37</f>
        <v>1037</v>
      </c>
      <c r="E19" s="9">
        <f>D19*2.83168</f>
        <v>2936.4521599999998</v>
      </c>
      <c r="F19">
        <v>1</v>
      </c>
      <c r="G19">
        <v>12</v>
      </c>
      <c r="H19">
        <v>0</v>
      </c>
      <c r="I19">
        <v>24</v>
      </c>
      <c r="J19">
        <v>0</v>
      </c>
      <c r="K19">
        <v>6</v>
      </c>
      <c r="L19">
        <f>(0.97+5.597)/10.37</f>
        <v>0.63326904532304729</v>
      </c>
      <c r="M19" s="5">
        <f>L19/2.83168</f>
        <v>0.22363722077460987</v>
      </c>
      <c r="N19" t="s">
        <v>78</v>
      </c>
    </row>
    <row r="20" spans="1:14">
      <c r="A20" t="s">
        <v>21</v>
      </c>
      <c r="B20" t="s">
        <v>13</v>
      </c>
      <c r="D20">
        <f>500*10.37</f>
        <v>5185</v>
      </c>
      <c r="E20" s="9">
        <f>D20*2.83168</f>
        <v>14682.2608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(0.82+5.597)/10.37</f>
        <v>0.61880424300867898</v>
      </c>
      <c r="M20" s="5">
        <f>L20/2.83168</f>
        <v>0.21852901564042512</v>
      </c>
      <c r="N20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N30" sqref="A24:N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5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5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5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5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5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5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20"/>
  <sheetViews>
    <sheetView workbookViewId="0">
      <selection activeCell="A5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107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  <c r="O6" t="s">
        <v>63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38" sqref="L3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>
      <c r="A4" t="s">
        <v>10</v>
      </c>
      <c r="B4" t="s">
        <v>15</v>
      </c>
      <c r="C4" t="s">
        <v>69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>
      <c r="A6" t="s">
        <v>10</v>
      </c>
      <c r="B6" t="s">
        <v>15</v>
      </c>
      <c r="C6" t="s">
        <v>70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5">
        <f>L37/2.83168</f>
        <v>0.22195657701435192</v>
      </c>
      <c r="N37" t="s">
        <v>78</v>
      </c>
    </row>
    <row r="38" spans="1:14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f>0.086705*24</f>
        <v>2.0809199999999999</v>
      </c>
      <c r="M38" s="5">
        <f>L38/2.83168</f>
        <v>0.73487117188382867</v>
      </c>
      <c r="N38" t="s">
        <v>79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8"/>
  <sheetViews>
    <sheetView workbookViewId="0">
      <selection activeCell="A16" sqref="A16:O2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5">
        <v>3.0879516129032201E-2</v>
      </c>
      <c r="M4" s="5">
        <v>3.0879516129032201E-2</v>
      </c>
      <c r="N4" t="s">
        <v>14</v>
      </c>
      <c r="O4" t="s">
        <v>113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5">
        <v>3.3753883928571399E-2</v>
      </c>
      <c r="M5" s="5">
        <v>3.3753883928571399E-2</v>
      </c>
      <c r="N5" t="s">
        <v>14</v>
      </c>
      <c r="O5" t="s">
        <v>113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5">
        <v>2.3279381720430099E-2</v>
      </c>
      <c r="M6" s="5">
        <v>2.3279381720430099E-2</v>
      </c>
      <c r="N6" t="s">
        <v>14</v>
      </c>
      <c r="O6" t="s">
        <v>113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5">
        <v>2.5462583333333299E-2</v>
      </c>
      <c r="M7" s="5">
        <v>2.5462583333333299E-2</v>
      </c>
      <c r="N7" t="s">
        <v>14</v>
      </c>
      <c r="O7" t="s">
        <v>113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5">
        <v>2.7886196236559101E-2</v>
      </c>
      <c r="M8" s="5">
        <v>2.7886196236559101E-2</v>
      </c>
      <c r="N8" t="s">
        <v>14</v>
      </c>
      <c r="O8" t="s">
        <v>113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5">
        <v>3.2229958333333301E-2</v>
      </c>
      <c r="M9" s="5">
        <v>3.2229958333333301E-2</v>
      </c>
      <c r="N9" t="s">
        <v>14</v>
      </c>
      <c r="O9" t="s">
        <v>113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5">
        <v>3.9789287634408602E-2</v>
      </c>
      <c r="M10" s="5">
        <v>3.9789287634408602E-2</v>
      </c>
      <c r="N10" t="s">
        <v>14</v>
      </c>
      <c r="O10" t="s">
        <v>113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5">
        <v>4.6466774193548298E-2</v>
      </c>
      <c r="M11" s="5">
        <v>4.6466774193548298E-2</v>
      </c>
      <c r="N11" t="s">
        <v>14</v>
      </c>
      <c r="O11" t="s">
        <v>113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5">
        <v>4.2815319444444402E-2</v>
      </c>
      <c r="M12" s="5">
        <v>4.2815319444444402E-2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5">
        <v>4.7652782258064498E-2</v>
      </c>
      <c r="M13" s="5">
        <v>4.7652782258064498E-2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5">
        <v>3.7968652777777702E-2</v>
      </c>
      <c r="M14" s="5">
        <v>3.7968652777777702E-2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5">
        <v>3.8975134408602098E-2</v>
      </c>
      <c r="M15" s="5">
        <v>3.8975134408602098E-2</v>
      </c>
      <c r="N15" t="s">
        <v>14</v>
      </c>
      <c r="O15" t="s">
        <v>113</v>
      </c>
    </row>
    <row r="16" spans="1:15">
      <c r="A16" t="s">
        <v>21</v>
      </c>
      <c r="B16" t="s">
        <v>11</v>
      </c>
      <c r="L16">
        <v>781</v>
      </c>
      <c r="M16">
        <v>781</v>
      </c>
      <c r="N16" t="s">
        <v>12</v>
      </c>
    </row>
    <row r="17" spans="1:15">
      <c r="A17" t="s">
        <v>21</v>
      </c>
      <c r="B17" t="s">
        <v>13</v>
      </c>
      <c r="D17">
        <v>100</v>
      </c>
      <c r="E17">
        <f t="shared" ref="E17:E28" si="0">D17*2.83168</f>
        <v>283.16800000000001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>
        <f>0.11265+0.25963</f>
        <v>0.37228000000000006</v>
      </c>
      <c r="M17" s="6">
        <f t="shared" ref="M17:M28" si="1">L17/2.83168</f>
        <v>0.1314696575884281</v>
      </c>
      <c r="N17" t="s">
        <v>78</v>
      </c>
      <c r="O17" t="s">
        <v>128</v>
      </c>
    </row>
    <row r="18" spans="1:15">
      <c r="A18" t="s">
        <v>21</v>
      </c>
      <c r="B18" t="s">
        <v>13</v>
      </c>
      <c r="D18">
        <v>100</v>
      </c>
      <c r="E18">
        <f t="shared" si="0"/>
        <v>283.16800000000001</v>
      </c>
      <c r="F18">
        <v>2</v>
      </c>
      <c r="G18">
        <v>2</v>
      </c>
      <c r="H18">
        <v>0</v>
      </c>
      <c r="I18">
        <v>24</v>
      </c>
      <c r="J18">
        <v>0</v>
      </c>
      <c r="K18">
        <v>6</v>
      </c>
      <c r="L18">
        <f>0.11265+0.34446</f>
        <v>0.45711000000000002</v>
      </c>
      <c r="M18" s="6">
        <f t="shared" si="1"/>
        <v>0.16142713865973557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100</v>
      </c>
      <c r="E19">
        <f t="shared" si="0"/>
        <v>283.16800000000001</v>
      </c>
      <c r="F19">
        <v>3</v>
      </c>
      <c r="G19">
        <v>3</v>
      </c>
      <c r="H19">
        <v>0</v>
      </c>
      <c r="I19">
        <v>24</v>
      </c>
      <c r="J19">
        <v>0</v>
      </c>
      <c r="K19">
        <v>6</v>
      </c>
      <c r="L19">
        <f>0.11265+0.33725</f>
        <v>0.44989999999999997</v>
      </c>
      <c r="M19" s="6">
        <f t="shared" si="1"/>
        <v>0.15888094699966096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100</v>
      </c>
      <c r="E20">
        <f t="shared" si="0"/>
        <v>283.16800000000001</v>
      </c>
      <c r="F20">
        <v>4</v>
      </c>
      <c r="G20">
        <v>4</v>
      </c>
      <c r="H20">
        <v>0</v>
      </c>
      <c r="I20">
        <v>24</v>
      </c>
      <c r="J20">
        <v>0</v>
      </c>
      <c r="K20">
        <v>6</v>
      </c>
      <c r="L20">
        <f>0.11265+0.32633</f>
        <v>0.43898000000000004</v>
      </c>
      <c r="M20" s="6">
        <f t="shared" si="1"/>
        <v>0.15502457904848008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100</v>
      </c>
      <c r="E21">
        <f t="shared" si="0"/>
        <v>283.16800000000001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0.11265+0.3532</f>
        <v>0.46584999999999999</v>
      </c>
      <c r="M21" s="6">
        <f t="shared" si="1"/>
        <v>0.16451364560967341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100</v>
      </c>
      <c r="E22">
        <f t="shared" si="0"/>
        <v>283.16800000000001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f>0.11265+0.37028</f>
        <v>0.48292999999999997</v>
      </c>
      <c r="M22" s="6">
        <f t="shared" si="1"/>
        <v>0.17054540061023843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100</v>
      </c>
      <c r="E23">
        <f t="shared" si="0"/>
        <v>283.16800000000001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f>0.11265+0.41565</f>
        <v>0.52829999999999999</v>
      </c>
      <c r="M23" s="6">
        <f t="shared" si="1"/>
        <v>0.18656769126454967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100</v>
      </c>
      <c r="E24">
        <f t="shared" si="0"/>
        <v>283.16800000000001</v>
      </c>
      <c r="F24">
        <v>8</v>
      </c>
      <c r="G24">
        <v>8</v>
      </c>
      <c r="H24">
        <v>0</v>
      </c>
      <c r="I24">
        <v>24</v>
      </c>
      <c r="J24">
        <v>0</v>
      </c>
      <c r="K24">
        <v>6</v>
      </c>
      <c r="L24">
        <f>0.11265+0.38839</f>
        <v>0.50104000000000004</v>
      </c>
      <c r="M24" s="6">
        <f t="shared" si="1"/>
        <v>0.17694089727652842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100</v>
      </c>
      <c r="E25">
        <f t="shared" si="0"/>
        <v>283.16800000000001</v>
      </c>
      <c r="F25">
        <v>9</v>
      </c>
      <c r="G25">
        <v>9</v>
      </c>
      <c r="H25">
        <v>0</v>
      </c>
      <c r="I25">
        <v>24</v>
      </c>
      <c r="J25">
        <v>0</v>
      </c>
      <c r="K25">
        <v>6</v>
      </c>
      <c r="L25">
        <f>0.11265+0.44301</f>
        <v>0.55566000000000004</v>
      </c>
      <c r="M25" s="6">
        <f t="shared" si="1"/>
        <v>0.19622979997739859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100</v>
      </c>
      <c r="E26">
        <f t="shared" si="0"/>
        <v>283.16800000000001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>
        <f>0.11265+0.55893</f>
        <v>0.67158000000000007</v>
      </c>
      <c r="M26" s="6">
        <f t="shared" si="1"/>
        <v>0.23716662899762689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100</v>
      </c>
      <c r="E27">
        <f t="shared" si="0"/>
        <v>283.16800000000001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>
        <f>0.11265+0.57933</f>
        <v>0.69198000000000004</v>
      </c>
      <c r="M27" s="6">
        <f t="shared" si="1"/>
        <v>0.24437083286247036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100</v>
      </c>
      <c r="E28">
        <f t="shared" si="0"/>
        <v>283.16800000000001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>
        <f>0.11265+0.55188</f>
        <v>0.66453000000000007</v>
      </c>
      <c r="M28" s="6">
        <f t="shared" si="1"/>
        <v>0.23467694089727656</v>
      </c>
      <c r="N28" t="s">
        <v>78</v>
      </c>
      <c r="O28" t="s">
        <v>128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17"/>
  <sheetViews>
    <sheetView workbookViewId="0">
      <selection activeCell="M6" sqref="M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105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  <row r="5" spans="1:15">
      <c r="A5" t="s">
        <v>21</v>
      </c>
      <c r="B5" t="s">
        <v>11</v>
      </c>
      <c r="L5">
        <v>226.64</v>
      </c>
      <c r="M5">
        <v>226.64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0.3293+0.139784</f>
        <v>0.46908399999999995</v>
      </c>
      <c r="M6" s="5">
        <f t="shared" ref="M6:M17" si="0">L6/2.83168</f>
        <v>0.16565572381060004</v>
      </c>
      <c r="N6" t="s">
        <v>78</v>
      </c>
    </row>
    <row r="7" spans="1:15">
      <c r="A7" t="s">
        <v>21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0.3294+0.139784</f>
        <v>0.46918400000000005</v>
      </c>
      <c r="M7" s="5">
        <f t="shared" si="0"/>
        <v>0.16569103853542774</v>
      </c>
      <c r="N7" t="s">
        <v>78</v>
      </c>
    </row>
    <row r="8" spans="1:15">
      <c r="A8" t="s">
        <v>21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0.3895+0.139784</f>
        <v>0.52928399999999998</v>
      </c>
      <c r="M8" s="5">
        <f t="shared" si="0"/>
        <v>0.18691518815685387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0.3944+0.139784</f>
        <v>0.53418399999999999</v>
      </c>
      <c r="M9" s="5">
        <f t="shared" si="0"/>
        <v>0.18864560967340943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>
        <f>0.3748+0.139784</f>
        <v>0.51458400000000004</v>
      </c>
      <c r="M10" s="5">
        <f t="shared" si="0"/>
        <v>0.18172392360718728</v>
      </c>
      <c r="N10" t="s">
        <v>78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>
        <f>0.5565+0.139784</f>
        <v>0.69628400000000001</v>
      </c>
      <c r="M11" s="5">
        <f t="shared" si="0"/>
        <v>0.24589077861905301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>
        <f>0.5786+0.139784</f>
        <v>0.71838400000000002</v>
      </c>
      <c r="M12" s="5">
        <f t="shared" si="0"/>
        <v>0.25369533280596679</v>
      </c>
      <c r="N12" t="s">
        <v>78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>
        <f>0.6433+0.139784</f>
        <v>0.783084</v>
      </c>
      <c r="M13" s="5">
        <f t="shared" si="0"/>
        <v>0.2765439597694655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>
        <f>0.6644+0.139784</f>
        <v>0.80418400000000001</v>
      </c>
      <c r="M14" s="5">
        <f t="shared" si="0"/>
        <v>0.2839953667081026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>
        <f>0.713+0.139784</f>
        <v>0.85278399999999999</v>
      </c>
      <c r="M15" s="5">
        <f t="shared" si="0"/>
        <v>0.30115832297434736</v>
      </c>
      <c r="N15" t="s">
        <v>78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0.7899+0.139784</f>
        <v>0.92968400000000007</v>
      </c>
      <c r="M16" s="5">
        <f t="shared" si="0"/>
        <v>0.32831534636682114</v>
      </c>
      <c r="N16" t="s">
        <v>78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>
        <f>0.6817+0.139784</f>
        <v>0.82148399999999999</v>
      </c>
      <c r="M17" s="5">
        <f t="shared" si="0"/>
        <v>0.29010481410328853</v>
      </c>
      <c r="N17" t="s">
        <v>78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5" sqref="O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20"/>
  <sheetViews>
    <sheetView workbookViewId="0">
      <selection activeCell="A5" sqref="A5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8</v>
      </c>
      <c r="H6">
        <v>0</v>
      </c>
      <c r="I6">
        <v>24</v>
      </c>
      <c r="J6">
        <v>0</v>
      </c>
      <c r="K6">
        <v>6</v>
      </c>
      <c r="L6">
        <f>0.02846+0.6379</f>
        <v>0.66636000000000006</v>
      </c>
      <c r="M6" s="5">
        <f t="shared" ref="M6:M20" si="0">L6/2.83168</f>
        <v>0.2353232003616228</v>
      </c>
      <c r="N6" t="s">
        <v>78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8</v>
      </c>
      <c r="H7">
        <v>0</v>
      </c>
      <c r="I7">
        <v>24</v>
      </c>
      <c r="J7">
        <v>0</v>
      </c>
      <c r="K7">
        <v>6</v>
      </c>
      <c r="L7">
        <f>0.02075+0.6379</f>
        <v>0.65865000000000007</v>
      </c>
      <c r="M7" s="5">
        <f t="shared" si="0"/>
        <v>0.23260043507740991</v>
      </c>
      <c r="N7" t="s">
        <v>78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8</v>
      </c>
      <c r="H8">
        <v>0</v>
      </c>
      <c r="I8">
        <v>24</v>
      </c>
      <c r="J8">
        <v>0</v>
      </c>
      <c r="K8">
        <v>6</v>
      </c>
      <c r="L8">
        <f>0.00327+0.6379</f>
        <v>0.64117000000000002</v>
      </c>
      <c r="M8" s="5">
        <f t="shared" si="0"/>
        <v>0.2264274211775342</v>
      </c>
      <c r="N8" t="s">
        <v>78</v>
      </c>
    </row>
    <row r="9" spans="1:15">
      <c r="A9" t="s">
        <v>21</v>
      </c>
      <c r="B9" t="s">
        <v>13</v>
      </c>
      <c r="D9">
        <v>0</v>
      </c>
      <c r="E9">
        <v>0</v>
      </c>
      <c r="F9">
        <v>9</v>
      </c>
      <c r="G9">
        <v>9</v>
      </c>
      <c r="H9">
        <v>0</v>
      </c>
      <c r="I9">
        <v>24</v>
      </c>
      <c r="J9">
        <v>0</v>
      </c>
      <c r="K9">
        <v>6</v>
      </c>
      <c r="L9">
        <f>0.02846+0.6378</f>
        <v>0.66626000000000007</v>
      </c>
      <c r="M9" s="5">
        <f t="shared" si="0"/>
        <v>0.23528788563679515</v>
      </c>
      <c r="N9" t="s">
        <v>78</v>
      </c>
    </row>
    <row r="10" spans="1:15">
      <c r="A10" t="s">
        <v>21</v>
      </c>
      <c r="B10" t="s">
        <v>13</v>
      </c>
      <c r="D10">
        <v>15000</v>
      </c>
      <c r="E10">
        <f>D10*2.83168</f>
        <v>42475.199999999997</v>
      </c>
      <c r="F10">
        <v>9</v>
      </c>
      <c r="G10">
        <v>9</v>
      </c>
      <c r="H10">
        <v>0</v>
      </c>
      <c r="I10">
        <v>24</v>
      </c>
      <c r="J10">
        <v>0</v>
      </c>
      <c r="K10">
        <v>6</v>
      </c>
      <c r="L10">
        <f>0.02075+0.6378</f>
        <v>0.65855000000000008</v>
      </c>
      <c r="M10" s="5">
        <f t="shared" si="0"/>
        <v>0.23256512035258226</v>
      </c>
      <c r="N10" t="s">
        <v>78</v>
      </c>
    </row>
    <row r="11" spans="1:15">
      <c r="A11" t="s">
        <v>21</v>
      </c>
      <c r="B11" t="s">
        <v>13</v>
      </c>
      <c r="D11">
        <v>50000</v>
      </c>
      <c r="E11">
        <f>D11*2.83168</f>
        <v>141584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0.00327+0.6378</f>
        <v>0.64107000000000003</v>
      </c>
      <c r="M11" s="5">
        <f t="shared" si="0"/>
        <v>0.22639210645270652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0.02846+0.7816</f>
        <v>0.81006</v>
      </c>
      <c r="M12" s="5">
        <f t="shared" si="0"/>
        <v>0.28607045993897617</v>
      </c>
      <c r="N12" t="s">
        <v>78</v>
      </c>
    </row>
    <row r="13" spans="1:15">
      <c r="A13" t="s">
        <v>21</v>
      </c>
      <c r="B13" t="s">
        <v>13</v>
      </c>
      <c r="D13">
        <v>15000</v>
      </c>
      <c r="E13">
        <f>D13*2.83168</f>
        <v>42475.199999999997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>
        <f>0.02075+0.7816</f>
        <v>0.80235000000000001</v>
      </c>
      <c r="M13" s="5">
        <f t="shared" si="0"/>
        <v>0.28334769465476328</v>
      </c>
      <c r="N13" t="s">
        <v>78</v>
      </c>
    </row>
    <row r="14" spans="1:15">
      <c r="A14" t="s">
        <v>21</v>
      </c>
      <c r="B14" t="s">
        <v>13</v>
      </c>
      <c r="D14">
        <v>50000</v>
      </c>
      <c r="E14">
        <f>D14*2.83168</f>
        <v>141584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f>0.00327+0.7816</f>
        <v>0.78486999999999996</v>
      </c>
      <c r="M14" s="5">
        <f t="shared" si="0"/>
        <v>0.27717468075488755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11</v>
      </c>
      <c r="H15">
        <v>0</v>
      </c>
      <c r="I15">
        <v>24</v>
      </c>
      <c r="J15">
        <v>0</v>
      </c>
      <c r="K15">
        <v>6</v>
      </c>
      <c r="L15">
        <f>0.02846+0.7825</f>
        <v>0.81096000000000001</v>
      </c>
      <c r="M15" s="5">
        <f t="shared" si="0"/>
        <v>0.28638829246242514</v>
      </c>
      <c r="N15" t="s">
        <v>78</v>
      </c>
    </row>
    <row r="16" spans="1:15">
      <c r="A16" t="s">
        <v>21</v>
      </c>
      <c r="B16" t="s">
        <v>13</v>
      </c>
      <c r="D16">
        <v>15000</v>
      </c>
      <c r="E16">
        <f>D16*2.83168</f>
        <v>42475.199999999997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0.02075+0.7825</f>
        <v>0.80325000000000002</v>
      </c>
      <c r="M16" s="5">
        <f t="shared" si="0"/>
        <v>0.28366552717821225</v>
      </c>
      <c r="N16" t="s">
        <v>78</v>
      </c>
    </row>
    <row r="17" spans="1:14">
      <c r="A17" t="s">
        <v>21</v>
      </c>
      <c r="B17" t="s">
        <v>13</v>
      </c>
      <c r="D17">
        <v>50000</v>
      </c>
      <c r="E17">
        <f>D17*2.83168</f>
        <v>141584</v>
      </c>
      <c r="F17">
        <v>11</v>
      </c>
      <c r="G17">
        <v>11</v>
      </c>
      <c r="H17">
        <v>0</v>
      </c>
      <c r="I17">
        <v>24</v>
      </c>
      <c r="J17">
        <v>0</v>
      </c>
      <c r="K17">
        <v>6</v>
      </c>
      <c r="L17">
        <f>0.00327+0.7825</f>
        <v>0.78576999999999997</v>
      </c>
      <c r="M17" s="5">
        <f t="shared" si="0"/>
        <v>0.27749251327833652</v>
      </c>
      <c r="N17" t="s">
        <v>78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12</v>
      </c>
      <c r="G18">
        <v>12</v>
      </c>
      <c r="H18">
        <v>0</v>
      </c>
      <c r="I18">
        <v>24</v>
      </c>
      <c r="J18">
        <v>0</v>
      </c>
      <c r="K18">
        <v>6</v>
      </c>
      <c r="L18">
        <f>0.02846+0.7751</f>
        <v>0.80356000000000005</v>
      </c>
      <c r="M18" s="5">
        <f t="shared" si="0"/>
        <v>0.28377500282517798</v>
      </c>
      <c r="N18" t="s">
        <v>78</v>
      </c>
    </row>
    <row r="19" spans="1:14">
      <c r="A19" t="s">
        <v>21</v>
      </c>
      <c r="B19" t="s">
        <v>13</v>
      </c>
      <c r="D19">
        <v>15000</v>
      </c>
      <c r="E19">
        <f>D19*2.83168</f>
        <v>42475.199999999997</v>
      </c>
      <c r="F19">
        <v>12</v>
      </c>
      <c r="G19">
        <v>12</v>
      </c>
      <c r="H19">
        <v>0</v>
      </c>
      <c r="I19">
        <v>24</v>
      </c>
      <c r="J19">
        <v>0</v>
      </c>
      <c r="K19">
        <v>6</v>
      </c>
      <c r="L19">
        <f>0.02075+0.7751</f>
        <v>0.79585000000000006</v>
      </c>
      <c r="M19" s="5">
        <f t="shared" si="0"/>
        <v>0.28105223754096509</v>
      </c>
      <c r="N19" t="s">
        <v>78</v>
      </c>
    </row>
    <row r="20" spans="1:14">
      <c r="A20" t="s">
        <v>21</v>
      </c>
      <c r="B20" t="s">
        <v>13</v>
      </c>
      <c r="D20">
        <v>50000</v>
      </c>
      <c r="E20">
        <f>D20*2.83168</f>
        <v>141584</v>
      </c>
      <c r="F20">
        <v>12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0.00327+0.7751</f>
        <v>0.77837000000000001</v>
      </c>
      <c r="M20" s="5">
        <f t="shared" si="0"/>
        <v>0.27487922364108941</v>
      </c>
      <c r="N20" t="s">
        <v>78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6"/>
  <sheetViews>
    <sheetView workbookViewId="0">
      <selection activeCell="L14" sqref="L1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83</v>
      </c>
    </row>
    <row r="11" spans="1:1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>
      <c r="A12" t="s">
        <v>21</v>
      </c>
      <c r="B12" t="s">
        <v>15</v>
      </c>
      <c r="C12" t="s">
        <v>130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f>1.1*24</f>
        <v>26.400000000000002</v>
      </c>
      <c r="M12" s="8">
        <f>L12/2.83168</f>
        <v>9.3230873545033344</v>
      </c>
      <c r="N12" t="s">
        <v>79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1</v>
      </c>
      <c r="G13">
        <v>3</v>
      </c>
      <c r="H13">
        <v>0</v>
      </c>
      <c r="I13">
        <v>24</v>
      </c>
      <c r="J13">
        <v>0</v>
      </c>
      <c r="K13">
        <v>6</v>
      </c>
      <c r="L13">
        <f>0.02759+0.3</f>
        <v>0.32758999999999999</v>
      </c>
      <c r="M13" s="6">
        <f t="shared" ref="M13:M16" si="0">L13/2.83168</f>
        <v>0.11568750706294496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4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0.02759+0.3327</f>
        <v>0.36029</v>
      </c>
      <c r="M14" s="6">
        <f t="shared" si="0"/>
        <v>0.12723542208159114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7</v>
      </c>
      <c r="G15">
        <v>9</v>
      </c>
      <c r="H15">
        <v>0</v>
      </c>
      <c r="I15">
        <v>24</v>
      </c>
      <c r="J15">
        <v>0</v>
      </c>
      <c r="K15">
        <v>6</v>
      </c>
      <c r="L15">
        <f>0.02759+0.4057</f>
        <v>0.43329000000000001</v>
      </c>
      <c r="M15" s="6">
        <f t="shared" si="0"/>
        <v>0.15301517120578598</v>
      </c>
      <c r="N15" t="s">
        <v>78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0.02759+0.5254</f>
        <v>0.55298999999999998</v>
      </c>
      <c r="M16" s="6">
        <f t="shared" si="0"/>
        <v>0.19528689682449993</v>
      </c>
      <c r="N16" t="s">
        <v>78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M23" sqref="M2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6">
        <f t="shared" ref="M23" si="2">L23/2.83168</f>
        <v>0.18939286925076279</v>
      </c>
      <c r="N23" t="s">
        <v>78</v>
      </c>
    </row>
    <row r="24" spans="1:14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6">
        <f>L24/2.83168</f>
        <v>0.10068228048367046</v>
      </c>
      <c r="N24" t="s">
        <v>78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8"/>
  <sheetViews>
    <sheetView workbookViewId="0">
      <selection activeCell="M18" sqref="M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2.3898133799999999E-2</v>
      </c>
      <c r="M3" s="5">
        <v>2.3898133799999999E-2</v>
      </c>
      <c r="N3" t="s">
        <v>14</v>
      </c>
      <c r="O3" t="s">
        <v>108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3.604653134E-2</v>
      </c>
      <c r="M4" s="5">
        <v>3.604653134E-2</v>
      </c>
      <c r="N4" t="s">
        <v>14</v>
      </c>
      <c r="O4" t="s">
        <v>108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2.447091375E-2</v>
      </c>
      <c r="M5" s="5">
        <v>2.447091375E-2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2.5445395070000001E-2</v>
      </c>
      <c r="M6" s="5">
        <v>2.5445395070000001E-2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2.7086476660000001E-2</v>
      </c>
      <c r="M7" s="5">
        <v>2.7086476660000001E-2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3.2237855750000002E-2</v>
      </c>
      <c r="M8" s="5">
        <v>3.2237855750000002E-2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3.4456949879999997E-2</v>
      </c>
      <c r="M9" s="5">
        <v>3.4456949879999997E-2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4.2882188330000001E-2</v>
      </c>
      <c r="M10" s="5">
        <v>4.2882188330000001E-2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4.5681787379999998E-2</v>
      </c>
      <c r="M11" s="5">
        <v>4.5681787379999998E-2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5.85827337E-2</v>
      </c>
      <c r="M12" s="5">
        <v>5.85827337E-2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6.5017620560000003E-2</v>
      </c>
      <c r="M13" s="5">
        <v>6.5017620560000003E-2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3.6457294680000002E-2</v>
      </c>
      <c r="M14" s="5">
        <v>3.6457294680000002E-2</v>
      </c>
      <c r="N14" t="s">
        <v>14</v>
      </c>
      <c r="O14" t="s">
        <v>108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71</v>
      </c>
    </row>
    <row r="16" spans="1:15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  <row r="17" spans="1:14">
      <c r="A17" t="s">
        <v>21</v>
      </c>
      <c r="B17" t="s">
        <v>11</v>
      </c>
      <c r="L17" s="13">
        <v>1104</v>
      </c>
      <c r="M17" s="13">
        <v>1104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v>0.77109000000000005</v>
      </c>
      <c r="M18" s="6">
        <f t="shared" ref="M18" si="0">L18/2.83168</f>
        <v>0.27230831167363545</v>
      </c>
      <c r="N18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topLeftCell="A13" workbookViewId="0">
      <selection activeCell="O31" sqref="O3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121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121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121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121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121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121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121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121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121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121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121</v>
      </c>
    </row>
    <row r="22" spans="1:15">
      <c r="A22" t="s">
        <v>10</v>
      </c>
      <c r="B22" t="s">
        <v>13</v>
      </c>
      <c r="C22" s="5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121</v>
      </c>
    </row>
    <row r="23" spans="1:15">
      <c r="A23" t="s">
        <v>10</v>
      </c>
      <c r="B23" t="s">
        <v>13</v>
      </c>
      <c r="C23" s="5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121</v>
      </c>
    </row>
    <row r="24" spans="1:15">
      <c r="A24" t="s">
        <v>10</v>
      </c>
      <c r="B24" t="s">
        <v>13</v>
      </c>
      <c r="C24" s="5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121</v>
      </c>
    </row>
    <row r="25" spans="1:15">
      <c r="A25" t="s">
        <v>10</v>
      </c>
      <c r="B25" t="s">
        <v>13</v>
      </c>
      <c r="C25" s="5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121</v>
      </c>
    </row>
    <row r="26" spans="1:15">
      <c r="A26" t="s">
        <v>10</v>
      </c>
      <c r="B26" t="s">
        <v>13</v>
      </c>
      <c r="C26" s="5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121</v>
      </c>
    </row>
    <row r="27" spans="1:15">
      <c r="A27" t="s">
        <v>10</v>
      </c>
      <c r="B27" t="s">
        <v>13</v>
      </c>
      <c r="C27" s="5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121</v>
      </c>
    </row>
    <row r="28" spans="1:15">
      <c r="A28" t="s">
        <v>10</v>
      </c>
      <c r="B28" t="s">
        <v>13</v>
      </c>
      <c r="C28" s="5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121</v>
      </c>
    </row>
    <row r="29" spans="1:15">
      <c r="A29" t="s">
        <v>10</v>
      </c>
      <c r="B29" t="s">
        <v>13</v>
      </c>
      <c r="C29" s="5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121</v>
      </c>
    </row>
    <row r="30" spans="1:15">
      <c r="A30" t="s">
        <v>21</v>
      </c>
      <c r="B30" t="s">
        <v>11</v>
      </c>
      <c r="C30" s="5"/>
      <c r="L30">
        <v>55</v>
      </c>
      <c r="M30">
        <v>55</v>
      </c>
      <c r="N30" t="s">
        <v>12</v>
      </c>
    </row>
    <row r="31" spans="1:15">
      <c r="A31" t="s">
        <v>21</v>
      </c>
      <c r="B31" t="s">
        <v>13</v>
      </c>
      <c r="C31" s="5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5">
        <f>L31/2.83168</f>
        <v>0.12070572946095603</v>
      </c>
      <c r="N31" t="s">
        <v>78</v>
      </c>
      <c r="O31" t="s">
        <v>122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5">
        <f t="shared" ref="M32:M42" si="2">L32/2.83168</f>
        <v>0.1222242626285456</v>
      </c>
      <c r="N32" t="s">
        <v>78</v>
      </c>
      <c r="O32" t="s">
        <v>122</v>
      </c>
    </row>
    <row r="33" spans="1:15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5">
        <f t="shared" si="2"/>
        <v>0.10015255961125552</v>
      </c>
      <c r="N33" t="s">
        <v>78</v>
      </c>
      <c r="O33" t="s">
        <v>122</v>
      </c>
    </row>
    <row r="34" spans="1:15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5">
        <f t="shared" si="2"/>
        <v>2.6344784721437451E-2</v>
      </c>
      <c r="N34" t="s">
        <v>78</v>
      </c>
      <c r="O34" t="s">
        <v>122</v>
      </c>
    </row>
    <row r="35" spans="1:15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5">
        <f t="shared" si="2"/>
        <v>4.7251101819414623E-2</v>
      </c>
      <c r="N35" t="s">
        <v>78</v>
      </c>
      <c r="O35" t="s">
        <v>122</v>
      </c>
    </row>
    <row r="36" spans="1:15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5">
        <f t="shared" si="2"/>
        <v>8.7968979545711382E-2</v>
      </c>
      <c r="N36" t="s">
        <v>78</v>
      </c>
      <c r="O36" t="s">
        <v>122</v>
      </c>
    </row>
    <row r="37" spans="1:15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5">
        <f t="shared" si="2"/>
        <v>0.10128263080574076</v>
      </c>
      <c r="N37" t="s">
        <v>78</v>
      </c>
      <c r="O37" t="s">
        <v>122</v>
      </c>
    </row>
    <row r="38" spans="1:15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5">
        <f t="shared" si="2"/>
        <v>0.10287179342298565</v>
      </c>
      <c r="N38" t="s">
        <v>78</v>
      </c>
      <c r="O38" t="s">
        <v>122</v>
      </c>
    </row>
    <row r="39" spans="1:15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5">
        <f t="shared" si="2"/>
        <v>0.10273053452367499</v>
      </c>
      <c r="N39" t="s">
        <v>78</v>
      </c>
      <c r="O39" t="s">
        <v>122</v>
      </c>
    </row>
    <row r="40" spans="1:15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5">
        <f t="shared" si="2"/>
        <v>9.9269691490563916E-2</v>
      </c>
      <c r="N40" t="s">
        <v>78</v>
      </c>
      <c r="O40" t="s">
        <v>122</v>
      </c>
    </row>
    <row r="41" spans="1:15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5">
        <f t="shared" si="2"/>
        <v>0.11650327720646401</v>
      </c>
      <c r="N41" t="s">
        <v>78</v>
      </c>
      <c r="O41" t="s">
        <v>122</v>
      </c>
    </row>
    <row r="42" spans="1:15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5">
        <f t="shared" si="2"/>
        <v>0.13755085320375185</v>
      </c>
      <c r="N42" t="s">
        <v>78</v>
      </c>
      <c r="O42" t="s">
        <v>122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78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78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78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05"/>
  <sheetViews>
    <sheetView topLeftCell="A62" workbookViewId="0">
      <selection activeCell="N105" sqref="A58:N10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5"/>
  <sheetViews>
    <sheetView workbookViewId="0">
      <selection activeCell="A22" sqref="A22:N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  <row r="22" spans="1:14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5">
        <f>L23/2.83168</f>
        <v>0.23317253702508814</v>
      </c>
      <c r="N23" t="s">
        <v>78</v>
      </c>
    </row>
    <row r="24" spans="1:14">
      <c r="A24" t="s">
        <v>21</v>
      </c>
      <c r="B24" t="s">
        <v>13</v>
      </c>
      <c r="D24">
        <f>100*10.37</f>
        <v>1037</v>
      </c>
      <c r="E24" s="9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5">
        <f>L24/2.83168</f>
        <v>0.22363722077460987</v>
      </c>
      <c r="N24" t="s">
        <v>78</v>
      </c>
    </row>
    <row r="25" spans="1:14">
      <c r="A25" t="s">
        <v>21</v>
      </c>
      <c r="B25" t="s">
        <v>13</v>
      </c>
      <c r="D25">
        <f>500*10.37</f>
        <v>5185</v>
      </c>
      <c r="E25" s="9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5">
        <f>L25/2.83168</f>
        <v>0.21852901564042512</v>
      </c>
      <c r="N25" t="s">
        <v>78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81"/>
  <sheetViews>
    <sheetView topLeftCell="A46" workbookViewId="0">
      <selection activeCell="A55" sqref="A55:N8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>
      <c r="A4" t="s">
        <v>10</v>
      </c>
      <c r="B4" t="s">
        <v>15</v>
      </c>
      <c r="C4" t="s">
        <v>72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>
      <c r="A6" t="s">
        <v>10</v>
      </c>
      <c r="B6" t="s">
        <v>15</v>
      </c>
      <c r="C6" t="s">
        <v>72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5">
        <v>2.7671218819999999E-2</v>
      </c>
      <c r="M7" s="5">
        <v>2.7671218819999999E-2</v>
      </c>
      <c r="N7" t="s">
        <v>14</v>
      </c>
      <c r="O7" t="s">
        <v>110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5">
        <v>2.7671218819999999E-2</v>
      </c>
      <c r="M8" s="5">
        <v>2.7671218819999999E-2</v>
      </c>
      <c r="N8" t="s">
        <v>14</v>
      </c>
      <c r="O8" t="s">
        <v>110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5">
        <v>3.0170493780000002E-2</v>
      </c>
      <c r="M9" s="5">
        <v>3.0170493780000002E-2</v>
      </c>
      <c r="N9" t="s">
        <v>14</v>
      </c>
      <c r="O9" t="s">
        <v>110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5">
        <v>2.7671218819999999E-2</v>
      </c>
      <c r="M10" s="5">
        <v>2.7671218819999999E-2</v>
      </c>
      <c r="N10" t="s">
        <v>14</v>
      </c>
      <c r="O10" t="s">
        <v>110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5">
        <v>3.8993051639999998E-2</v>
      </c>
      <c r="M11" s="5">
        <v>3.8993051639999998E-2</v>
      </c>
      <c r="N11" t="s">
        <v>14</v>
      </c>
      <c r="O11" t="s">
        <v>110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5">
        <v>3.8993051639999998E-2</v>
      </c>
      <c r="M12" s="5">
        <v>3.8993051639999998E-2</v>
      </c>
      <c r="N12" t="s">
        <v>14</v>
      </c>
      <c r="O12" t="s">
        <v>110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5">
        <v>4.469269344E-2</v>
      </c>
      <c r="M13" s="5">
        <v>4.469269344E-2</v>
      </c>
      <c r="N13" t="s">
        <v>14</v>
      </c>
      <c r="O13" t="s">
        <v>110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5">
        <v>3.8993051639999998E-2</v>
      </c>
      <c r="M14" s="5">
        <v>3.8993051639999998E-2</v>
      </c>
      <c r="N14" t="s">
        <v>14</v>
      </c>
      <c r="O14" t="s">
        <v>110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5">
        <v>3.1872984520000001E-2</v>
      </c>
      <c r="M15" s="5">
        <v>3.1872984520000001E-2</v>
      </c>
      <c r="N15" t="s">
        <v>14</v>
      </c>
      <c r="O15" t="s">
        <v>110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5">
        <v>3.1872984520000001E-2</v>
      </c>
      <c r="M16" s="5">
        <v>3.1872984520000001E-2</v>
      </c>
      <c r="N16" t="s">
        <v>14</v>
      </c>
      <c r="O16" t="s">
        <v>110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5">
        <v>3.066592768E-2</v>
      </c>
      <c r="M17" s="5">
        <v>3.066592768E-2</v>
      </c>
      <c r="N17" t="s">
        <v>14</v>
      </c>
      <c r="O17" t="s">
        <v>110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5">
        <v>3.1872984520000001E-2</v>
      </c>
      <c r="M18" s="5">
        <v>3.1872984520000001E-2</v>
      </c>
      <c r="N18" t="s">
        <v>14</v>
      </c>
      <c r="O18" t="s">
        <v>110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5">
        <v>3.002261833E-2</v>
      </c>
      <c r="M19" s="5">
        <v>3.002261833E-2</v>
      </c>
      <c r="N19" t="s">
        <v>14</v>
      </c>
      <c r="O19" t="s">
        <v>110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5">
        <v>3.002261833E-2</v>
      </c>
      <c r="M20" s="5">
        <v>3.002261833E-2</v>
      </c>
      <c r="N20" t="s">
        <v>14</v>
      </c>
      <c r="O20" t="s">
        <v>110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5">
        <v>2.9529262050000001E-2</v>
      </c>
      <c r="M21" s="5">
        <v>2.9529262050000001E-2</v>
      </c>
      <c r="N21" t="s">
        <v>14</v>
      </c>
      <c r="O21" t="s">
        <v>110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5">
        <v>3.002261833E-2</v>
      </c>
      <c r="M22" s="5">
        <v>3.002261833E-2</v>
      </c>
      <c r="N22" t="s">
        <v>14</v>
      </c>
      <c r="O22" t="s">
        <v>110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5">
        <v>2.9604475769999999E-2</v>
      </c>
      <c r="M23" s="5">
        <v>2.9604475769999999E-2</v>
      </c>
      <c r="N23" t="s">
        <v>14</v>
      </c>
      <c r="O23" t="s">
        <v>110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5">
        <v>2.9604475769999999E-2</v>
      </c>
      <c r="M24" s="5">
        <v>2.9604475769999999E-2</v>
      </c>
      <c r="N24" t="s">
        <v>14</v>
      </c>
      <c r="O24" t="s">
        <v>110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5">
        <v>3.3251551880000001E-2</v>
      </c>
      <c r="M25" s="5">
        <v>3.3251551880000001E-2</v>
      </c>
      <c r="N25" t="s">
        <v>14</v>
      </c>
      <c r="O25" t="s">
        <v>110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5">
        <v>2.9604475769999999E-2</v>
      </c>
      <c r="M26" s="5">
        <v>2.9604475769999999E-2</v>
      </c>
      <c r="N26" t="s">
        <v>14</v>
      </c>
      <c r="O26" t="s">
        <v>110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5">
        <v>3.1483394400000003E-2</v>
      </c>
      <c r="M27" s="5">
        <v>3.1483394400000003E-2</v>
      </c>
      <c r="N27" t="s">
        <v>14</v>
      </c>
      <c r="O27" t="s">
        <v>110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5">
        <v>3.1483394400000003E-2</v>
      </c>
      <c r="M28" s="5">
        <v>3.1483394400000003E-2</v>
      </c>
      <c r="N28" t="s">
        <v>14</v>
      </c>
      <c r="O28" t="s">
        <v>110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5">
        <v>3.7065309159999997E-2</v>
      </c>
      <c r="M29" s="5">
        <v>3.7065309159999997E-2</v>
      </c>
      <c r="N29" t="s">
        <v>14</v>
      </c>
      <c r="O29" t="s">
        <v>110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5">
        <v>3.1483394400000003E-2</v>
      </c>
      <c r="M30" s="5">
        <v>3.1483394400000003E-2</v>
      </c>
      <c r="N30" t="s">
        <v>14</v>
      </c>
      <c r="O30" t="s">
        <v>110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5">
        <v>3.4740708670000002E-2</v>
      </c>
      <c r="M31" s="5">
        <v>3.4740708670000002E-2</v>
      </c>
      <c r="N31" t="s">
        <v>14</v>
      </c>
      <c r="O31" t="s">
        <v>110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5">
        <v>3.4740708670000002E-2</v>
      </c>
      <c r="M32" s="5">
        <v>3.4740708670000002E-2</v>
      </c>
      <c r="N32" t="s">
        <v>14</v>
      </c>
      <c r="O32" t="s">
        <v>110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5">
        <v>4.1894896360000003E-2</v>
      </c>
      <c r="M33" s="5">
        <v>4.1894896360000003E-2</v>
      </c>
      <c r="N33" t="s">
        <v>14</v>
      </c>
      <c r="O33" t="s">
        <v>110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5">
        <v>3.4740708670000002E-2</v>
      </c>
      <c r="M34" s="5">
        <v>3.4740708670000002E-2</v>
      </c>
      <c r="N34" t="s">
        <v>14</v>
      </c>
      <c r="O34" t="s">
        <v>110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5">
        <v>3.8827221539999998E-2</v>
      </c>
      <c r="M35" s="5">
        <v>3.8827221539999998E-2</v>
      </c>
      <c r="N35" t="s">
        <v>14</v>
      </c>
      <c r="O35" t="s">
        <v>110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5">
        <v>3.8827221539999998E-2</v>
      </c>
      <c r="M36" s="5">
        <v>3.8827221539999998E-2</v>
      </c>
      <c r="N36" t="s">
        <v>14</v>
      </c>
      <c r="O36" t="s">
        <v>110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5">
        <v>4.9131158309999999E-2</v>
      </c>
      <c r="M37" s="5">
        <v>4.9131158309999999E-2</v>
      </c>
      <c r="N37" t="s">
        <v>14</v>
      </c>
      <c r="O37" t="s">
        <v>110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5">
        <v>3.8827221539999998E-2</v>
      </c>
      <c r="M38" s="5">
        <v>3.8827221539999998E-2</v>
      </c>
      <c r="N38" t="s">
        <v>14</v>
      </c>
      <c r="O38" t="s">
        <v>110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5">
        <v>4.1702698400000002E-2</v>
      </c>
      <c r="M39" s="5">
        <v>4.1702698400000002E-2</v>
      </c>
      <c r="N39" t="s">
        <v>14</v>
      </c>
      <c r="O39" t="s">
        <v>110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5">
        <v>4.1702698400000002E-2</v>
      </c>
      <c r="M40" s="5">
        <v>4.1702698400000002E-2</v>
      </c>
      <c r="N40" t="s">
        <v>14</v>
      </c>
      <c r="O40" t="s">
        <v>110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5">
        <v>5.0164077949999997E-2</v>
      </c>
      <c r="M41" s="5">
        <v>5.0164077949999997E-2</v>
      </c>
      <c r="N41" t="s">
        <v>14</v>
      </c>
      <c r="O41" t="s">
        <v>110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5">
        <v>4.1702698400000002E-2</v>
      </c>
      <c r="M42" s="5">
        <v>4.1702698400000002E-2</v>
      </c>
      <c r="N42" t="s">
        <v>14</v>
      </c>
      <c r="O42" t="s">
        <v>110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5">
        <v>5.2182881889999998E-2</v>
      </c>
      <c r="M43" s="5">
        <v>5.2182881889999998E-2</v>
      </c>
      <c r="N43" t="s">
        <v>14</v>
      </c>
      <c r="O43" t="s">
        <v>110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5">
        <v>5.2182881889999998E-2</v>
      </c>
      <c r="M44" s="5">
        <v>5.2182881889999998E-2</v>
      </c>
      <c r="N44" t="s">
        <v>14</v>
      </c>
      <c r="O44" t="s">
        <v>110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5">
        <v>5.6452981329999999E-2</v>
      </c>
      <c r="M45" s="5">
        <v>5.6452981329999999E-2</v>
      </c>
      <c r="N45" t="s">
        <v>14</v>
      </c>
      <c r="O45" t="s">
        <v>110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5">
        <v>5.2182881889999998E-2</v>
      </c>
      <c r="M46" s="5">
        <v>5.2182881889999998E-2</v>
      </c>
      <c r="N46" t="s">
        <v>14</v>
      </c>
      <c r="O46" t="s">
        <v>110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5">
        <v>5.4789943729999999E-2</v>
      </c>
      <c r="M47" s="5">
        <v>5.4789943729999999E-2</v>
      </c>
      <c r="N47" t="s">
        <v>14</v>
      </c>
      <c r="O47" t="s">
        <v>110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5">
        <v>5.4789943729999999E-2</v>
      </c>
      <c r="M48" s="5">
        <v>5.4789943729999999E-2</v>
      </c>
      <c r="N48" t="s">
        <v>14</v>
      </c>
      <c r="O48" t="s">
        <v>110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5">
        <v>5.7024925859999999E-2</v>
      </c>
      <c r="M49" s="5">
        <v>5.7024925859999999E-2</v>
      </c>
      <c r="N49" t="s">
        <v>14</v>
      </c>
      <c r="O49" t="s">
        <v>110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5">
        <v>5.4789943729999999E-2</v>
      </c>
      <c r="M50" s="5">
        <v>5.4789943729999999E-2</v>
      </c>
      <c r="N50" t="s">
        <v>14</v>
      </c>
      <c r="O50" t="s">
        <v>110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5">
        <v>3.7061986239999997E-2</v>
      </c>
      <c r="M51" s="5">
        <v>3.7061986239999997E-2</v>
      </c>
      <c r="N51" t="s">
        <v>14</v>
      </c>
      <c r="O51" t="s">
        <v>110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5">
        <v>3.7061986239999997E-2</v>
      </c>
      <c r="M52" s="5">
        <v>3.7061986239999997E-2</v>
      </c>
      <c r="N52" t="s">
        <v>14</v>
      </c>
      <c r="O52" t="s">
        <v>110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5">
        <v>4.2262979839999999E-2</v>
      </c>
      <c r="M53" s="5">
        <v>4.2262979839999999E-2</v>
      </c>
      <c r="N53" t="s">
        <v>14</v>
      </c>
      <c r="O53" t="s">
        <v>110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5">
        <v>3.7061986239999997E-2</v>
      </c>
      <c r="M54" s="5">
        <v>3.7061986239999997E-2</v>
      </c>
      <c r="N54" t="s">
        <v>14</v>
      </c>
      <c r="O54" t="s">
        <v>110</v>
      </c>
    </row>
    <row r="55" spans="1:15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>
      <c r="A56" t="s">
        <v>21</v>
      </c>
      <c r="B56" t="s">
        <v>15</v>
      </c>
      <c r="C56" t="s">
        <v>68</v>
      </c>
      <c r="D56">
        <v>0</v>
      </c>
      <c r="E56">
        <v>0</v>
      </c>
      <c r="F56">
        <v>1</v>
      </c>
      <c r="G56">
        <v>4</v>
      </c>
      <c r="H56">
        <v>0</v>
      </c>
      <c r="I56">
        <v>24</v>
      </c>
      <c r="J56">
        <v>0</v>
      </c>
      <c r="K56">
        <v>6</v>
      </c>
      <c r="L56" s="9">
        <f>4.0632 *24</f>
        <v>97.516800000000003</v>
      </c>
      <c r="M56" s="5">
        <f t="shared" ref="M56:M81" si="0">L56/2.83168</f>
        <v>34.437789580743591</v>
      </c>
      <c r="N56" t="s">
        <v>79</v>
      </c>
    </row>
    <row r="57" spans="1:15">
      <c r="A57" t="s">
        <v>21</v>
      </c>
      <c r="B57" t="s">
        <v>15</v>
      </c>
      <c r="C57" t="s">
        <v>68</v>
      </c>
      <c r="D57">
        <v>0</v>
      </c>
      <c r="E57">
        <v>0</v>
      </c>
      <c r="F57">
        <v>11</v>
      </c>
      <c r="G57">
        <v>12</v>
      </c>
      <c r="H57">
        <v>0</v>
      </c>
      <c r="I57">
        <v>24</v>
      </c>
      <c r="J57">
        <v>0</v>
      </c>
      <c r="K57">
        <v>6</v>
      </c>
      <c r="L57" s="9">
        <f>4.0632 *24</f>
        <v>97.516800000000003</v>
      </c>
      <c r="M57" s="5">
        <f t="shared" si="0"/>
        <v>34.437789580743591</v>
      </c>
      <c r="N57" t="s">
        <v>79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0.043725+0.472702</f>
        <v>0.51642699999999997</v>
      </c>
      <c r="M58" s="5">
        <f t="shared" si="0"/>
        <v>0.1823747739857611</v>
      </c>
      <c r="N58" t="s">
        <v>78</v>
      </c>
    </row>
    <row r="59" spans="1:15">
      <c r="A59" t="s">
        <v>21</v>
      </c>
      <c r="B59" t="s">
        <v>13</v>
      </c>
      <c r="D59">
        <v>1000</v>
      </c>
      <c r="E59">
        <f>D59*2.83168</f>
        <v>2831.68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0.043078+0.472702</f>
        <v>0.51578000000000002</v>
      </c>
      <c r="M59" s="5">
        <f t="shared" si="0"/>
        <v>0.18214628771612612</v>
      </c>
      <c r="N59" t="s">
        <v>78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>
        <f>0.043725+0.5016</f>
        <v>0.54532500000000006</v>
      </c>
      <c r="M60" s="5">
        <f t="shared" si="0"/>
        <v>0.1925800231664595</v>
      </c>
      <c r="N60" t="s">
        <v>78</v>
      </c>
    </row>
    <row r="61" spans="1:15">
      <c r="A61" t="s">
        <v>21</v>
      </c>
      <c r="B61" t="s">
        <v>13</v>
      </c>
      <c r="D61">
        <v>1000</v>
      </c>
      <c r="E61">
        <f>D61*2.83168</f>
        <v>2831.68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0.043078+0.5016</f>
        <v>0.544678</v>
      </c>
      <c r="M61" s="5">
        <f t="shared" si="0"/>
        <v>0.19235153689682449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0.043725+0.509192</f>
        <v>0.55291699999999999</v>
      </c>
      <c r="M62" s="5">
        <f t="shared" si="0"/>
        <v>0.19526111707537575</v>
      </c>
      <c r="N62" t="s">
        <v>78</v>
      </c>
    </row>
    <row r="63" spans="1:15">
      <c r="A63" t="s">
        <v>21</v>
      </c>
      <c r="B63" t="s">
        <v>13</v>
      </c>
      <c r="D63">
        <v>1000</v>
      </c>
      <c r="E63">
        <f>D63*2.83168</f>
        <v>2831.68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0.043078+0.509192</f>
        <v>0.55226999999999993</v>
      </c>
      <c r="M63" s="5">
        <f t="shared" si="0"/>
        <v>0.19503263080574074</v>
      </c>
      <c r="N63" t="s">
        <v>78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0.043725+0.479845</f>
        <v>0.52356999999999998</v>
      </c>
      <c r="M64" s="5">
        <f t="shared" si="0"/>
        <v>0.18489730478020114</v>
      </c>
      <c r="N64" t="s">
        <v>78</v>
      </c>
    </row>
    <row r="65" spans="1:14">
      <c r="A65" t="s">
        <v>21</v>
      </c>
      <c r="B65" t="s">
        <v>13</v>
      </c>
      <c r="D65">
        <v>1000</v>
      </c>
      <c r="E65">
        <f>D65*2.83168</f>
        <v>2831.68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0.043078+0.479845</f>
        <v>0.52292300000000003</v>
      </c>
      <c r="M65" s="5">
        <f t="shared" si="0"/>
        <v>0.18466881851056619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0.043725+0.514437</f>
        <v>0.55816200000000005</v>
      </c>
      <c r="M66" s="5">
        <f t="shared" si="0"/>
        <v>0.19711337439258675</v>
      </c>
      <c r="N66" t="s">
        <v>78</v>
      </c>
    </row>
    <row r="67" spans="1:14">
      <c r="A67" t="s">
        <v>21</v>
      </c>
      <c r="B67" t="s">
        <v>13</v>
      </c>
      <c r="D67">
        <v>1000</v>
      </c>
      <c r="E67">
        <f>D67*2.83168</f>
        <v>2831.68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0.043078+0.514437</f>
        <v>0.55751499999999998</v>
      </c>
      <c r="M67" s="5">
        <f t="shared" si="0"/>
        <v>0.19688488812295174</v>
      </c>
      <c r="N67" t="s">
        <v>78</v>
      </c>
    </row>
    <row r="68" spans="1:14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0.043725+0.520431</f>
        <v>0.56415599999999999</v>
      </c>
      <c r="M68" s="5">
        <f t="shared" si="0"/>
        <v>0.19923013899875691</v>
      </c>
      <c r="N68" t="s">
        <v>78</v>
      </c>
    </row>
    <row r="69" spans="1:14">
      <c r="A69" t="s">
        <v>21</v>
      </c>
      <c r="B69" t="s">
        <v>13</v>
      </c>
      <c r="D69">
        <v>1000</v>
      </c>
      <c r="E69">
        <f>D69*2.83168</f>
        <v>2831.68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0.043078+0.520431</f>
        <v>0.56350899999999993</v>
      </c>
      <c r="M69" s="5">
        <f t="shared" si="0"/>
        <v>0.1990016527291219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0.043725+0.580022</f>
        <v>0.62374700000000005</v>
      </c>
      <c r="M70" s="5">
        <f t="shared" si="0"/>
        <v>0.22027453667081029</v>
      </c>
      <c r="N70" t="s">
        <v>78</v>
      </c>
    </row>
    <row r="71" spans="1:14">
      <c r="A71" t="s">
        <v>21</v>
      </c>
      <c r="B71" t="s">
        <v>13</v>
      </c>
      <c r="D71">
        <v>1000</v>
      </c>
      <c r="E71">
        <f>D71*2.83168</f>
        <v>2831.68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0.043078+0.580022</f>
        <v>0.62309999999999999</v>
      </c>
      <c r="M71" s="5">
        <f t="shared" si="0"/>
        <v>0.22004605040117528</v>
      </c>
      <c r="N71" t="s">
        <v>78</v>
      </c>
    </row>
    <row r="72" spans="1:14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0.043725+0.626594</f>
        <v>0.670319</v>
      </c>
      <c r="M72" s="5">
        <f t="shared" si="0"/>
        <v>0.23672131031755</v>
      </c>
      <c r="N72" t="s">
        <v>78</v>
      </c>
    </row>
    <row r="73" spans="1:14">
      <c r="A73" t="s">
        <v>21</v>
      </c>
      <c r="B73" t="s">
        <v>13</v>
      </c>
      <c r="D73">
        <v>1000</v>
      </c>
      <c r="E73">
        <f>D73*2.83168</f>
        <v>2831.68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0.043078+0.626594</f>
        <v>0.66967199999999993</v>
      </c>
      <c r="M73" s="5">
        <f t="shared" si="0"/>
        <v>0.236492824047915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0.043725+0.658859</f>
        <v>0.70258399999999999</v>
      </c>
      <c r="M74" s="5">
        <f t="shared" si="0"/>
        <v>0.24811560628319584</v>
      </c>
      <c r="N74" t="s">
        <v>78</v>
      </c>
    </row>
    <row r="75" spans="1:14">
      <c r="A75" t="s">
        <v>21</v>
      </c>
      <c r="B75" t="s">
        <v>13</v>
      </c>
      <c r="D75">
        <v>1000</v>
      </c>
      <c r="E75">
        <f>D75*2.83168</f>
        <v>2831.68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0.043078+0.658859</f>
        <v>0.70193699999999992</v>
      </c>
      <c r="M75" s="5">
        <f t="shared" si="0"/>
        <v>0.24788712001356084</v>
      </c>
      <c r="N75" t="s">
        <v>78</v>
      </c>
    </row>
    <row r="76" spans="1:14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0.043725+0.804461</f>
        <v>0.848186</v>
      </c>
      <c r="M76" s="5">
        <f t="shared" si="0"/>
        <v>0.29953455192677136</v>
      </c>
      <c r="N76" t="s">
        <v>78</v>
      </c>
    </row>
    <row r="77" spans="1:14">
      <c r="A77" t="s">
        <v>21</v>
      </c>
      <c r="B77" t="s">
        <v>13</v>
      </c>
      <c r="D77">
        <v>1000</v>
      </c>
      <c r="E77">
        <f>D77*2.83168</f>
        <v>2831.68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0.043078+0.804461</f>
        <v>0.84753899999999993</v>
      </c>
      <c r="M77" s="5">
        <f t="shared" si="0"/>
        <v>0.29930606565713636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0.043725+0.853798</f>
        <v>0.89752299999999996</v>
      </c>
      <c r="M78" s="5">
        <f t="shared" si="0"/>
        <v>0.31695777771499606</v>
      </c>
      <c r="N78" t="s">
        <v>78</v>
      </c>
    </row>
    <row r="79" spans="1:14">
      <c r="A79" t="s">
        <v>21</v>
      </c>
      <c r="B79" t="s">
        <v>13</v>
      </c>
      <c r="D79">
        <v>1000</v>
      </c>
      <c r="E79">
        <f>D79*2.83168</f>
        <v>2831.68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0.043078+0.853798</f>
        <v>0.8968759999999999</v>
      </c>
      <c r="M79" s="5">
        <f t="shared" si="0"/>
        <v>0.31672929144536105</v>
      </c>
      <c r="N79" t="s">
        <v>78</v>
      </c>
    </row>
    <row r="80" spans="1:14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0.043725+0.775689</f>
        <v>0.81941399999999998</v>
      </c>
      <c r="M80" s="5">
        <f t="shared" si="0"/>
        <v>0.28937379929935586</v>
      </c>
      <c r="N80" t="s">
        <v>78</v>
      </c>
    </row>
    <row r="81" spans="1:14">
      <c r="A81" t="s">
        <v>21</v>
      </c>
      <c r="B81" t="s">
        <v>13</v>
      </c>
      <c r="D81">
        <v>1000</v>
      </c>
      <c r="E81">
        <f>D81*2.83168</f>
        <v>2831.68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0.043078+0.775689</f>
        <v>0.81876699999999991</v>
      </c>
      <c r="M81" s="5">
        <f t="shared" si="0"/>
        <v>0.28914531302972085</v>
      </c>
      <c r="N81" t="s">
        <v>78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M33" sqref="M3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101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101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101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101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101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101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101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101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101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101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101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101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101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101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101</v>
      </c>
    </row>
    <row r="25" spans="1:15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101</v>
      </c>
    </row>
    <row r="28" spans="1:15">
      <c r="A28" t="s">
        <v>10</v>
      </c>
      <c r="B28" t="s">
        <v>15</v>
      </c>
      <c r="C28" t="s">
        <v>68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6">
        <f>L30/2.83168</f>
        <v>0.46273590236184875</v>
      </c>
      <c r="N30" t="s">
        <v>78</v>
      </c>
    </row>
    <row r="31" spans="1:1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6">
        <f>L31/2.83168</f>
        <v>0.37362625720420384</v>
      </c>
      <c r="N31" t="s">
        <v>78</v>
      </c>
    </row>
    <row r="32" spans="1:1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6">
        <f>L32/2.83168</f>
        <v>0.34845392134704484</v>
      </c>
      <c r="N32" t="s">
        <v>78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7"/>
  <sheetViews>
    <sheetView workbookViewId="0">
      <selection activeCell="A18" sqref="A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65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2.2695953920000001E-2</v>
      </c>
      <c r="M3" s="5">
        <v>2.2695953920000001E-2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3.6619551729999998E-2</v>
      </c>
      <c r="M4" s="5">
        <v>3.6619551729999998E-2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2.1242984390000001E-2</v>
      </c>
      <c r="M5" s="5">
        <v>2.1242984390000001E-2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2.0391664649999999E-2</v>
      </c>
      <c r="M6" s="5">
        <v>2.0391664649999999E-2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2.3658787939999999E-2</v>
      </c>
      <c r="M7" s="5">
        <v>2.3658787939999999E-2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2.827343467E-2</v>
      </c>
      <c r="M8" s="5">
        <v>2.827343467E-2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3.3143369280000001E-2</v>
      </c>
      <c r="M9" s="5">
        <v>3.3143369280000001E-2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4.0730189280000002E-2</v>
      </c>
      <c r="M10" s="5">
        <v>4.0730189280000002E-2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4.0832430490000002E-2</v>
      </c>
      <c r="M11" s="5">
        <v>4.0832430490000002E-2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4.430227405E-2</v>
      </c>
      <c r="M12" s="5">
        <v>4.430227405E-2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4.546055048E-2</v>
      </c>
      <c r="M13" s="5">
        <v>4.546055048E-2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3.3583509910000003E-2</v>
      </c>
      <c r="M14" s="5">
        <v>3.3583509910000003E-2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f>(0.357+0.49951)/1.037</f>
        <v>0.82594985535197696</v>
      </c>
      <c r="M17" s="6">
        <f>L17/2.83168</f>
        <v>0.29168191863204068</v>
      </c>
      <c r="N17" t="s">
        <v>78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B21" sqref="B2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65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v>2.2695953920000001E-2</v>
      </c>
      <c r="M3" s="5">
        <v>2.2695953920000001E-2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v>3.6619551729999998E-2</v>
      </c>
      <c r="M4" s="5">
        <v>3.6619551729999998E-2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v>2.1242984390000001E-2</v>
      </c>
      <c r="M5" s="5">
        <v>2.1242984390000001E-2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v>2.0391664649999999E-2</v>
      </c>
      <c r="M6" s="5">
        <v>2.0391664649999999E-2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v>2.3658787939999999E-2</v>
      </c>
      <c r="M7" s="5">
        <v>2.3658787939999999E-2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v>2.827343467E-2</v>
      </c>
      <c r="M8" s="5">
        <v>2.827343467E-2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5">
        <v>3.3143369280000001E-2</v>
      </c>
      <c r="M9" s="5">
        <v>3.3143369280000001E-2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v>4.0730189280000002E-2</v>
      </c>
      <c r="M10" s="5">
        <v>4.0730189280000002E-2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v>4.0832430490000002E-2</v>
      </c>
      <c r="M11" s="5">
        <v>4.0832430490000002E-2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v>4.430227405E-2</v>
      </c>
      <c r="M12" s="5">
        <v>4.430227405E-2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v>4.546055048E-2</v>
      </c>
      <c r="M13" s="5">
        <v>4.546055048E-2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v>3.3583509910000003E-2</v>
      </c>
      <c r="M14" s="5">
        <v>3.3583509910000003E-2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f>(0.357+0.49951)/1.037</f>
        <v>0.82594985535197696</v>
      </c>
      <c r="M17" s="6">
        <f>L17/2.83168</f>
        <v>0.29168191863204068</v>
      </c>
      <c r="N17" t="s">
        <v>78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63"/>
  <sheetViews>
    <sheetView topLeftCell="A37" workbookViewId="0">
      <selection activeCell="O63" sqref="O6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97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97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97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97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97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97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97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97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97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97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97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97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97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97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97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97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97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97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97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97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97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97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97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97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97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97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97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97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97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97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97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97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97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97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97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97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97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97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97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97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97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97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97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97</v>
      </c>
    </row>
    <row r="55" spans="1:15">
      <c r="A55" t="s">
        <v>21</v>
      </c>
      <c r="B55" t="s">
        <v>11</v>
      </c>
      <c r="L55">
        <v>50</v>
      </c>
      <c r="M55">
        <v>50</v>
      </c>
      <c r="N55" t="s">
        <v>12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3</v>
      </c>
      <c r="H56">
        <v>0</v>
      </c>
      <c r="I56">
        <v>24</v>
      </c>
      <c r="J56">
        <v>0</v>
      </c>
      <c r="K56">
        <v>6</v>
      </c>
      <c r="L56">
        <v>0.540022</v>
      </c>
      <c r="M56" s="5">
        <f t="shared" ref="M56:M63" si="0">L56/2.83168</f>
        <v>0.19070728330884845</v>
      </c>
      <c r="N56" t="s">
        <v>78</v>
      </c>
      <c r="O56" t="s">
        <v>133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4</v>
      </c>
      <c r="G57">
        <v>4</v>
      </c>
      <c r="H57">
        <v>0</v>
      </c>
      <c r="I57">
        <v>24</v>
      </c>
      <c r="J57">
        <v>0</v>
      </c>
      <c r="K57">
        <v>6</v>
      </c>
      <c r="L57">
        <v>0.42613200000000001</v>
      </c>
      <c r="M57" s="5">
        <f t="shared" si="0"/>
        <v>0.15048734320262178</v>
      </c>
      <c r="N57" t="s">
        <v>78</v>
      </c>
      <c r="O57" t="s">
        <v>133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5</v>
      </c>
      <c r="G58">
        <v>5</v>
      </c>
      <c r="H58">
        <v>0</v>
      </c>
      <c r="I58">
        <v>24</v>
      </c>
      <c r="J58">
        <v>0</v>
      </c>
      <c r="K58">
        <v>6</v>
      </c>
      <c r="L58">
        <v>0.47905199999999998</v>
      </c>
      <c r="M58" s="5">
        <f t="shared" si="0"/>
        <v>0.16917589558142163</v>
      </c>
      <c r="N58" t="s">
        <v>78</v>
      </c>
      <c r="O58" t="s">
        <v>133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6</v>
      </c>
      <c r="G59">
        <v>8</v>
      </c>
      <c r="H59">
        <v>0</v>
      </c>
      <c r="I59">
        <v>24</v>
      </c>
      <c r="J59">
        <v>0</v>
      </c>
      <c r="K59">
        <v>6</v>
      </c>
      <c r="L59">
        <v>0.47104200000000002</v>
      </c>
      <c r="M59" s="5">
        <f t="shared" si="0"/>
        <v>0.16634718612272573</v>
      </c>
      <c r="N59" t="s">
        <v>78</v>
      </c>
      <c r="O59" t="s">
        <v>133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9</v>
      </c>
      <c r="G60">
        <v>9</v>
      </c>
      <c r="H60">
        <v>0</v>
      </c>
      <c r="I60">
        <v>24</v>
      </c>
      <c r="J60">
        <v>0</v>
      </c>
      <c r="K60">
        <v>6</v>
      </c>
      <c r="L60">
        <v>0.67435299999999998</v>
      </c>
      <c r="M60" s="5">
        <f t="shared" si="0"/>
        <v>0.23814590631709798</v>
      </c>
      <c r="N60" t="s">
        <v>78</v>
      </c>
      <c r="O60" t="s">
        <v>133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10</v>
      </c>
      <c r="G61">
        <v>10</v>
      </c>
      <c r="H61">
        <v>0</v>
      </c>
      <c r="I61">
        <v>24</v>
      </c>
      <c r="J61">
        <v>0</v>
      </c>
      <c r="K61">
        <v>6</v>
      </c>
      <c r="L61">
        <v>0.94541299999999995</v>
      </c>
      <c r="M61" s="5">
        <f t="shared" si="0"/>
        <v>0.33386999943496437</v>
      </c>
      <c r="N61" t="s">
        <v>78</v>
      </c>
      <c r="O61" t="s">
        <v>133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11</v>
      </c>
      <c r="G62">
        <v>11</v>
      </c>
      <c r="H62">
        <v>0</v>
      </c>
      <c r="I62">
        <v>24</v>
      </c>
      <c r="J62">
        <v>0</v>
      </c>
      <c r="K62">
        <v>6</v>
      </c>
      <c r="L62">
        <v>0.96176899999999999</v>
      </c>
      <c r="M62" s="5">
        <f t="shared" si="0"/>
        <v>0.33964607582777717</v>
      </c>
      <c r="N62" t="s">
        <v>78</v>
      </c>
      <c r="O62" t="s">
        <v>133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12</v>
      </c>
      <c r="G63">
        <v>12</v>
      </c>
      <c r="H63">
        <v>0</v>
      </c>
      <c r="I63">
        <v>24</v>
      </c>
      <c r="J63">
        <v>0</v>
      </c>
      <c r="K63">
        <v>6</v>
      </c>
      <c r="L63">
        <v>0.95347899999999997</v>
      </c>
      <c r="M63" s="5">
        <f t="shared" si="0"/>
        <v>0.33671848513956376</v>
      </c>
      <c r="N63" t="s">
        <v>78</v>
      </c>
      <c r="O63" t="s">
        <v>133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E16" sqref="E1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98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98</v>
      </c>
    </row>
    <row r="5" spans="1:1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98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98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98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98</v>
      </c>
    </row>
    <row r="9" spans="1:1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f>0.4503+0.6036</f>
        <v>1.0539000000000001</v>
      </c>
      <c r="M14" s="7">
        <f t="shared" ref="M14" si="1">L14/2.83168</f>
        <v>0.37218188495875243</v>
      </c>
      <c r="N14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topLeftCell="A31" workbookViewId="0">
      <selection activeCell="A45" sqref="A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114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114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114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114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114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114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114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114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114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114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114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6">
        <f t="shared" ref="M45:M54" si="1">L45/2.83168</f>
        <v>54.246260170640745</v>
      </c>
      <c r="N45" t="s">
        <v>78</v>
      </c>
      <c r="O45" t="s">
        <v>128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6">
        <f>L46/2.83168</f>
        <v>0.17048183410554865</v>
      </c>
      <c r="N46" t="s">
        <v>78</v>
      </c>
      <c r="O46" t="s">
        <v>128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6">
        <f t="shared" si="1"/>
        <v>54.27229100745847</v>
      </c>
      <c r="N47" t="s">
        <v>78</v>
      </c>
      <c r="O47" t="s">
        <v>128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6">
        <f t="shared" si="1"/>
        <v>0.19651267092326816</v>
      </c>
      <c r="N48" t="s">
        <v>78</v>
      </c>
      <c r="O48" t="s">
        <v>128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6">
        <f t="shared" si="1"/>
        <v>54.258806079783028</v>
      </c>
      <c r="N49" t="s">
        <v>78</v>
      </c>
      <c r="O49" t="s">
        <v>128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6">
        <f t="shared" si="1"/>
        <v>0.18302774324782459</v>
      </c>
      <c r="N50" t="s">
        <v>78</v>
      </c>
      <c r="O50" t="s">
        <v>128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6">
        <f t="shared" si="1"/>
        <v>54.261852327946656</v>
      </c>
      <c r="N51" t="s">
        <v>78</v>
      </c>
      <c r="O51" t="s">
        <v>128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6">
        <f t="shared" si="1"/>
        <v>0.18607399141145892</v>
      </c>
      <c r="N52" t="s">
        <v>78</v>
      </c>
      <c r="O52" t="s">
        <v>128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6">
        <f t="shared" si="1"/>
        <v>54.244424511244205</v>
      </c>
      <c r="N53" t="s">
        <v>78</v>
      </c>
      <c r="O53" t="s">
        <v>128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6">
        <f t="shared" si="1"/>
        <v>0.16864617470900667</v>
      </c>
      <c r="N54" t="s">
        <v>78</v>
      </c>
      <c r="O54" t="s">
        <v>128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6">
        <f t="shared" ref="M55:M68" si="2">L55/2.83168</f>
        <v>54.269625098881221</v>
      </c>
      <c r="N55" t="s">
        <v>78</v>
      </c>
      <c r="O55" t="s">
        <v>128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6">
        <f t="shared" si="2"/>
        <v>0.19384676234602782</v>
      </c>
      <c r="N56" t="s">
        <v>78</v>
      </c>
      <c r="O56" t="s">
        <v>128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6">
        <f t="shared" si="2"/>
        <v>54.285910484235508</v>
      </c>
      <c r="N57" t="s">
        <v>78</v>
      </c>
      <c r="O57" t="s">
        <v>128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6">
        <f t="shared" si="2"/>
        <v>0.21013214770030511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6">
        <f t="shared" si="2"/>
        <v>54.278834472821785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6">
        <f t="shared" si="2"/>
        <v>0.20305613628658606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6">
        <f t="shared" si="2"/>
        <v>54.302084628206572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6">
        <f t="shared" si="2"/>
        <v>0.22630629167137531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6">
        <f t="shared" si="2"/>
        <v>54.351753376087686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6">
        <f t="shared" si="2"/>
        <v>0.27597503955249181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6">
        <f t="shared" si="2"/>
        <v>54.358878474968925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6">
        <f t="shared" si="2"/>
        <v>0.28310013843372134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6">
        <f t="shared" si="2"/>
        <v>54.347859927675444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6">
        <f t="shared" si="2"/>
        <v>0.27208159114024183</v>
      </c>
      <c r="N68" t="s">
        <v>78</v>
      </c>
      <c r="O68" t="s">
        <v>128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29"/>
  <sheetViews>
    <sheetView tabSelected="1" workbookViewId="0">
      <selection activeCell="M16" sqref="M1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f>0.00121+0.0244678</f>
        <v>2.5677800000000001E-2</v>
      </c>
      <c r="M3" s="5">
        <f>0.00121+0.0244678</f>
        <v>2.5677800000000001E-2</v>
      </c>
      <c r="N3" t="s">
        <v>14</v>
      </c>
      <c r="O3" t="s">
        <v>111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f>0.00121+0.0445597</f>
        <v>4.5769700000000003E-2</v>
      </c>
      <c r="M4" s="5">
        <f>0.00121+0.0445597</f>
        <v>4.5769700000000003E-2</v>
      </c>
      <c r="N4" t="s">
        <v>14</v>
      </c>
      <c r="O4" t="s">
        <v>111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f>0.00121+0.02273642</f>
        <v>2.394642E-2</v>
      </c>
      <c r="M5" s="5">
        <f>0.00121+0.02273642</f>
        <v>2.394642E-2</v>
      </c>
      <c r="N5" t="s">
        <v>14</v>
      </c>
      <c r="O5" t="s">
        <v>111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f>0.00121+0.026576292</f>
        <v>2.7786292000000001E-2</v>
      </c>
      <c r="M6" s="5">
        <f>0.00121+0.026576292</f>
        <v>2.7786292000000001E-2</v>
      </c>
      <c r="N6" t="s">
        <v>14</v>
      </c>
      <c r="O6" t="s">
        <v>111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f>0.00121+0.026425685</f>
        <v>2.7635685E-2</v>
      </c>
      <c r="M7" s="5">
        <f>0.00121+0.026425685</f>
        <v>2.7635685E-2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f>0.00121+0.032569458</f>
        <v>3.3779458000000005E-2</v>
      </c>
      <c r="M8" s="5">
        <f>0.00121+0.032569458</f>
        <v>3.3779458000000005E-2</v>
      </c>
      <c r="N8" t="s">
        <v>14</v>
      </c>
      <c r="O8" t="s">
        <v>111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0">
        <f>0.00121+0.03256946</f>
        <v>3.3779460000000004E-2</v>
      </c>
      <c r="M9" s="10">
        <f>0.00121+0.03256946</f>
        <v>3.3779460000000004E-2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f>0.00121+0.043616868</f>
        <v>4.4826868000000006E-2</v>
      </c>
      <c r="M10" s="5">
        <f>0.00121+0.043616868</f>
        <v>4.4826868000000006E-2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f>0.00121+0.044587306</f>
        <v>4.5797306000000003E-2</v>
      </c>
      <c r="M11" s="5">
        <f>0.00121+0.044587306</f>
        <v>4.5797306000000003E-2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f>0.00121+0.055849073</f>
        <v>5.7059073000000002E-2</v>
      </c>
      <c r="M12" s="5">
        <f>0.00121+0.055849073</f>
        <v>5.7059073000000002E-2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f>0.00121+0.050181969</f>
        <v>5.1391969000000003E-2</v>
      </c>
      <c r="M13" s="5">
        <f>0.00121+0.050181969</f>
        <v>5.1391969000000003E-2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f>0.00121+0.0328868</f>
        <v>3.4096800000000003E-2</v>
      </c>
      <c r="M14" s="5">
        <f>0.00121+0.0328868</f>
        <v>3.4096800000000003E-2</v>
      </c>
      <c r="N14" t="s">
        <v>14</v>
      </c>
      <c r="O14" t="s">
        <v>111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74</v>
      </c>
    </row>
    <row r="16" spans="1:15">
      <c r="A16" t="s">
        <v>21</v>
      </c>
      <c r="B16" t="s">
        <v>11</v>
      </c>
      <c r="L16">
        <v>918</v>
      </c>
      <c r="M16">
        <v>918</v>
      </c>
      <c r="N16" t="s">
        <v>12</v>
      </c>
    </row>
    <row r="17" spans="1:15">
      <c r="A17" t="s">
        <v>21</v>
      </c>
      <c r="B17" t="s">
        <v>15</v>
      </c>
      <c r="C17" t="s">
        <v>130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5">
        <f t="shared" ref="M17:M29" si="0">L17/2.83168</f>
        <v>7.4444852525709111</v>
      </c>
      <c r="N17" t="s">
        <v>79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5">
        <f t="shared" si="0"/>
        <v>0.12326957848344447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5">
        <f t="shared" si="0"/>
        <v>0.12514125889931066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5">
        <f t="shared" si="0"/>
        <v>0.13499406712622897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5">
        <f t="shared" si="0"/>
        <v>0.18492908803254607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5">
        <f t="shared" si="0"/>
        <v>0.20929624816363429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5">
        <f t="shared" si="0"/>
        <v>0.22508193016160016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5">
        <f t="shared" si="0"/>
        <v>0.24298649564922589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5">
        <f t="shared" si="0"/>
        <v>0.25170923268165896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5">
        <f t="shared" si="0"/>
        <v>0.25499350209063171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5">
        <f t="shared" si="0"/>
        <v>0.2775596112555091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5">
        <f t="shared" si="0"/>
        <v>0.28218584020793308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5">
        <f t="shared" si="0"/>
        <v>0.26195050288168154</v>
      </c>
      <c r="N29" t="s">
        <v>78</v>
      </c>
      <c r="O29" t="s">
        <v>128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05"/>
  <sheetViews>
    <sheetView workbookViewId="0">
      <selection activeCell="N105" sqref="A58:N10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>
        <f>32.9+0.551098</f>
        <v>33.451098000000002</v>
      </c>
      <c r="M58" s="7">
        <f t="shared" ref="M58:M105" si="0">L58/2.83168</f>
        <v>11.813163210532265</v>
      </c>
      <c r="N58" t="s">
        <v>78</v>
      </c>
    </row>
    <row r="59" spans="1:15">
      <c r="A59" t="s">
        <v>21</v>
      </c>
      <c r="B59" t="s">
        <v>13</v>
      </c>
      <c r="D59">
        <v>3</v>
      </c>
      <c r="E59" s="9">
        <f>D59*2.83168</f>
        <v>8.4950399999999995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0.9223+0.551098</f>
        <v>1.473398</v>
      </c>
      <c r="M59" s="7">
        <f t="shared" si="0"/>
        <v>0.52032644931630689</v>
      </c>
      <c r="N59" t="s">
        <v>78</v>
      </c>
    </row>
    <row r="60" spans="1:15">
      <c r="A60" t="s">
        <v>21</v>
      </c>
      <c r="B60" t="s">
        <v>13</v>
      </c>
      <c r="D60">
        <v>90</v>
      </c>
      <c r="E60" s="9">
        <f>D60*2.83168</f>
        <v>254.85120000000001</v>
      </c>
      <c r="F60">
        <v>1</v>
      </c>
      <c r="G60">
        <v>1</v>
      </c>
      <c r="H60">
        <v>0</v>
      </c>
      <c r="I60">
        <v>24</v>
      </c>
      <c r="J60">
        <v>0</v>
      </c>
      <c r="K60">
        <v>6</v>
      </c>
      <c r="L60">
        <f>0.484+0.551098</f>
        <v>1.0350980000000001</v>
      </c>
      <c r="M60" s="7">
        <f t="shared" si="0"/>
        <v>0.36554201039665501</v>
      </c>
      <c r="N60" t="s">
        <v>78</v>
      </c>
    </row>
    <row r="61" spans="1:15">
      <c r="A61" t="s">
        <v>21</v>
      </c>
      <c r="B61" t="s">
        <v>13</v>
      </c>
      <c r="D61">
        <v>3000</v>
      </c>
      <c r="E61">
        <f>D61*2.83168</f>
        <v>8495.0399999999991</v>
      </c>
      <c r="F61">
        <v>1</v>
      </c>
      <c r="G61">
        <v>1</v>
      </c>
      <c r="H61">
        <v>0</v>
      </c>
      <c r="I61">
        <v>24</v>
      </c>
      <c r="J61">
        <v>0</v>
      </c>
      <c r="K61">
        <v>6</v>
      </c>
      <c r="L61">
        <f>0.3335+0.551098</f>
        <v>0.884598</v>
      </c>
      <c r="M61" s="7">
        <f t="shared" si="0"/>
        <v>0.31239334953102044</v>
      </c>
      <c r="N61" t="s">
        <v>78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2</v>
      </c>
      <c r="G62">
        <v>2</v>
      </c>
      <c r="H62">
        <v>0</v>
      </c>
      <c r="I62">
        <v>24</v>
      </c>
      <c r="J62">
        <v>0</v>
      </c>
      <c r="K62">
        <v>6</v>
      </c>
      <c r="L62">
        <f>32.9+0.536697</f>
        <v>33.436696999999995</v>
      </c>
      <c r="M62" s="7">
        <f t="shared" si="0"/>
        <v>11.808077537009829</v>
      </c>
      <c r="N62" t="s">
        <v>78</v>
      </c>
    </row>
    <row r="63" spans="1:15">
      <c r="A63" t="s">
        <v>21</v>
      </c>
      <c r="B63" t="s">
        <v>13</v>
      </c>
      <c r="D63">
        <v>3</v>
      </c>
      <c r="E63" s="9">
        <f>D63*2.83168</f>
        <v>8.4950399999999995</v>
      </c>
      <c r="F63">
        <v>2</v>
      </c>
      <c r="G63">
        <v>2</v>
      </c>
      <c r="H63">
        <v>0</v>
      </c>
      <c r="I63">
        <v>24</v>
      </c>
      <c r="J63">
        <v>0</v>
      </c>
      <c r="K63">
        <v>6</v>
      </c>
      <c r="L63">
        <f>0.9223+0.536697</f>
        <v>1.4589970000000001</v>
      </c>
      <c r="M63" s="7">
        <f t="shared" si="0"/>
        <v>0.51524077579387506</v>
      </c>
      <c r="N63" t="s">
        <v>78</v>
      </c>
    </row>
    <row r="64" spans="1:15">
      <c r="A64" t="s">
        <v>21</v>
      </c>
      <c r="B64" t="s">
        <v>13</v>
      </c>
      <c r="D64">
        <v>90</v>
      </c>
      <c r="E64" s="9">
        <f>D64*2.83168</f>
        <v>254.85120000000001</v>
      </c>
      <c r="F64">
        <v>2</v>
      </c>
      <c r="G64">
        <v>2</v>
      </c>
      <c r="H64">
        <v>0</v>
      </c>
      <c r="I64">
        <v>24</v>
      </c>
      <c r="J64">
        <v>0</v>
      </c>
      <c r="K64">
        <v>6</v>
      </c>
      <c r="L64">
        <f>0.484+0.536697</f>
        <v>1.020697</v>
      </c>
      <c r="M64" s="7">
        <f t="shared" si="0"/>
        <v>0.36045633687422307</v>
      </c>
      <c r="N64" t="s">
        <v>78</v>
      </c>
    </row>
    <row r="65" spans="1:14">
      <c r="A65" t="s">
        <v>21</v>
      </c>
      <c r="B65" t="s">
        <v>13</v>
      </c>
      <c r="D65">
        <v>3000</v>
      </c>
      <c r="E65">
        <f>D65*2.83168</f>
        <v>8495.0399999999991</v>
      </c>
      <c r="F65">
        <v>2</v>
      </c>
      <c r="G65">
        <v>2</v>
      </c>
      <c r="H65">
        <v>0</v>
      </c>
      <c r="I65">
        <v>24</v>
      </c>
      <c r="J65">
        <v>0</v>
      </c>
      <c r="K65">
        <v>6</v>
      </c>
      <c r="L65">
        <f>0.3335+0.536697</f>
        <v>0.870197</v>
      </c>
      <c r="M65" s="7">
        <f t="shared" si="0"/>
        <v>0.30730767600858855</v>
      </c>
      <c r="N65" t="s">
        <v>78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3</v>
      </c>
      <c r="G66">
        <v>3</v>
      </c>
      <c r="H66">
        <v>0</v>
      </c>
      <c r="I66">
        <v>24</v>
      </c>
      <c r="J66">
        <v>0</v>
      </c>
      <c r="K66">
        <v>6</v>
      </c>
      <c r="L66">
        <f>32.9+0.518574</f>
        <v>33.418574</v>
      </c>
      <c r="M66" s="7">
        <f t="shared" si="0"/>
        <v>11.801677449429315</v>
      </c>
      <c r="N66" t="s">
        <v>78</v>
      </c>
    </row>
    <row r="67" spans="1:14">
      <c r="A67" t="s">
        <v>21</v>
      </c>
      <c r="B67" t="s">
        <v>13</v>
      </c>
      <c r="D67">
        <v>3</v>
      </c>
      <c r="E67" s="9">
        <f>D67*2.83168</f>
        <v>8.4950399999999995</v>
      </c>
      <c r="F67">
        <v>3</v>
      </c>
      <c r="G67">
        <v>3</v>
      </c>
      <c r="H67">
        <v>0</v>
      </c>
      <c r="I67">
        <v>24</v>
      </c>
      <c r="J67">
        <v>0</v>
      </c>
      <c r="K67">
        <v>6</v>
      </c>
      <c r="L67">
        <f>0.9223+0.518574</f>
        <v>1.440874</v>
      </c>
      <c r="M67" s="7">
        <f t="shared" si="0"/>
        <v>0.50884068821335748</v>
      </c>
      <c r="N67" t="s">
        <v>78</v>
      </c>
    </row>
    <row r="68" spans="1:14">
      <c r="A68" t="s">
        <v>21</v>
      </c>
      <c r="B68" t="s">
        <v>13</v>
      </c>
      <c r="D68">
        <v>90</v>
      </c>
      <c r="E68" s="9">
        <f>D68*2.83168</f>
        <v>254.85120000000001</v>
      </c>
      <c r="F68">
        <v>3</v>
      </c>
      <c r="G68">
        <v>3</v>
      </c>
      <c r="H68">
        <v>0</v>
      </c>
      <c r="I68">
        <v>24</v>
      </c>
      <c r="J68">
        <v>0</v>
      </c>
      <c r="K68">
        <v>6</v>
      </c>
      <c r="L68">
        <f>0.484+0.518574</f>
        <v>1.0025740000000001</v>
      </c>
      <c r="M68" s="7">
        <f t="shared" si="0"/>
        <v>0.35405624929370555</v>
      </c>
      <c r="N68" t="s">
        <v>78</v>
      </c>
    </row>
    <row r="69" spans="1:14">
      <c r="A69" t="s">
        <v>21</v>
      </c>
      <c r="B69" t="s">
        <v>13</v>
      </c>
      <c r="D69">
        <v>3000</v>
      </c>
      <c r="E69">
        <f>D69*2.83168</f>
        <v>8495.0399999999991</v>
      </c>
      <c r="F69">
        <v>3</v>
      </c>
      <c r="G69">
        <v>3</v>
      </c>
      <c r="H69">
        <v>0</v>
      </c>
      <c r="I69">
        <v>24</v>
      </c>
      <c r="J69">
        <v>0</v>
      </c>
      <c r="K69">
        <v>6</v>
      </c>
      <c r="L69">
        <f>0.3335+0.518574</f>
        <v>0.852074</v>
      </c>
      <c r="M69" s="7">
        <f t="shared" si="0"/>
        <v>0.30090758842807097</v>
      </c>
      <c r="N69" t="s">
        <v>78</v>
      </c>
    </row>
    <row r="70" spans="1:14">
      <c r="A70" t="s">
        <v>21</v>
      </c>
      <c r="B70" t="s">
        <v>13</v>
      </c>
      <c r="D70">
        <v>0</v>
      </c>
      <c r="E70">
        <v>0</v>
      </c>
      <c r="F70">
        <v>4</v>
      </c>
      <c r="G70">
        <v>4</v>
      </c>
      <c r="H70">
        <v>0</v>
      </c>
      <c r="I70">
        <v>24</v>
      </c>
      <c r="J70">
        <v>0</v>
      </c>
      <c r="K70">
        <v>6</v>
      </c>
      <c r="L70">
        <f>32.9+0.479056</f>
        <v>33.379055999999999</v>
      </c>
      <c r="M70" s="7">
        <f t="shared" si="0"/>
        <v>11.787721776471917</v>
      </c>
      <c r="N70" t="s">
        <v>78</v>
      </c>
    </row>
    <row r="71" spans="1:14">
      <c r="A71" t="s">
        <v>21</v>
      </c>
      <c r="B71" t="s">
        <v>13</v>
      </c>
      <c r="D71">
        <v>3</v>
      </c>
      <c r="E71" s="9">
        <f>D71*2.83168</f>
        <v>8.4950399999999995</v>
      </c>
      <c r="F71">
        <v>4</v>
      </c>
      <c r="G71">
        <v>4</v>
      </c>
      <c r="H71">
        <v>0</v>
      </c>
      <c r="I71">
        <v>24</v>
      </c>
      <c r="J71">
        <v>0</v>
      </c>
      <c r="K71">
        <v>6</v>
      </c>
      <c r="L71">
        <f>0.9223+0.479056</f>
        <v>1.401356</v>
      </c>
      <c r="M71" s="7">
        <f t="shared" si="0"/>
        <v>0.49488501525596112</v>
      </c>
      <c r="N71" t="s">
        <v>78</v>
      </c>
    </row>
    <row r="72" spans="1:14">
      <c r="A72" t="s">
        <v>21</v>
      </c>
      <c r="B72" t="s">
        <v>13</v>
      </c>
      <c r="D72">
        <v>90</v>
      </c>
      <c r="E72" s="9">
        <f>D72*2.83168</f>
        <v>254.85120000000001</v>
      </c>
      <c r="F72">
        <v>4</v>
      </c>
      <c r="G72">
        <v>4</v>
      </c>
      <c r="H72">
        <v>0</v>
      </c>
      <c r="I72">
        <v>24</v>
      </c>
      <c r="J72">
        <v>0</v>
      </c>
      <c r="K72">
        <v>6</v>
      </c>
      <c r="L72">
        <f>0.484+0.479056</f>
        <v>0.96305599999999991</v>
      </c>
      <c r="M72" s="7">
        <f t="shared" si="0"/>
        <v>0.34010057633630913</v>
      </c>
      <c r="N72" t="s">
        <v>78</v>
      </c>
    </row>
    <row r="73" spans="1:14">
      <c r="A73" t="s">
        <v>21</v>
      </c>
      <c r="B73" t="s">
        <v>13</v>
      </c>
      <c r="D73">
        <v>3000</v>
      </c>
      <c r="E73">
        <f>D73*2.83168</f>
        <v>8495.0399999999991</v>
      </c>
      <c r="F73">
        <v>4</v>
      </c>
      <c r="G73">
        <v>4</v>
      </c>
      <c r="H73">
        <v>0</v>
      </c>
      <c r="I73">
        <v>24</v>
      </c>
      <c r="J73">
        <v>0</v>
      </c>
      <c r="K73">
        <v>6</v>
      </c>
      <c r="L73">
        <f>0.3335+0.479056</f>
        <v>0.81255600000000006</v>
      </c>
      <c r="M73" s="7">
        <f t="shared" si="0"/>
        <v>0.28695191547067467</v>
      </c>
      <c r="N73" t="s">
        <v>78</v>
      </c>
    </row>
    <row r="74" spans="1:14">
      <c r="A74" t="s">
        <v>21</v>
      </c>
      <c r="B74" t="s">
        <v>13</v>
      </c>
      <c r="D74">
        <v>0</v>
      </c>
      <c r="E74">
        <v>0</v>
      </c>
      <c r="F74">
        <v>5</v>
      </c>
      <c r="G74">
        <v>5</v>
      </c>
      <c r="H74">
        <v>0</v>
      </c>
      <c r="I74">
        <v>24</v>
      </c>
      <c r="J74">
        <v>0</v>
      </c>
      <c r="K74">
        <v>6</v>
      </c>
      <c r="L74">
        <f>32.9+0.421929</f>
        <v>33.321928999999997</v>
      </c>
      <c r="M74" s="7">
        <f t="shared" si="0"/>
        <v>11.767547533619616</v>
      </c>
      <c r="N74" t="s">
        <v>78</v>
      </c>
    </row>
    <row r="75" spans="1:14">
      <c r="A75" t="s">
        <v>21</v>
      </c>
      <c r="B75" t="s">
        <v>13</v>
      </c>
      <c r="D75">
        <v>3</v>
      </c>
      <c r="E75" s="9">
        <f>D75*2.83168</f>
        <v>8.4950399999999995</v>
      </c>
      <c r="F75">
        <v>5</v>
      </c>
      <c r="G75">
        <v>5</v>
      </c>
      <c r="H75">
        <v>0</v>
      </c>
      <c r="I75">
        <v>24</v>
      </c>
      <c r="J75">
        <v>0</v>
      </c>
      <c r="K75">
        <v>6</v>
      </c>
      <c r="L75">
        <f>0.9223+0.421929</f>
        <v>1.3442289999999999</v>
      </c>
      <c r="M75" s="7">
        <f t="shared" si="0"/>
        <v>0.47471077240366139</v>
      </c>
      <c r="N75" t="s">
        <v>78</v>
      </c>
    </row>
    <row r="76" spans="1:14">
      <c r="A76" t="s">
        <v>21</v>
      </c>
      <c r="B76" t="s">
        <v>13</v>
      </c>
      <c r="D76">
        <v>90</v>
      </c>
      <c r="E76" s="9">
        <f>D76*2.83168</f>
        <v>254.85120000000001</v>
      </c>
      <c r="F76">
        <v>5</v>
      </c>
      <c r="G76">
        <v>5</v>
      </c>
      <c r="H76">
        <v>0</v>
      </c>
      <c r="I76">
        <v>24</v>
      </c>
      <c r="J76">
        <v>0</v>
      </c>
      <c r="K76">
        <v>6</v>
      </c>
      <c r="L76">
        <f>0.484+0.421929</f>
        <v>0.90592899999999998</v>
      </c>
      <c r="M76" s="7">
        <f t="shared" si="0"/>
        <v>0.31992633348400951</v>
      </c>
      <c r="N76" t="s">
        <v>78</v>
      </c>
    </row>
    <row r="77" spans="1:14">
      <c r="A77" t="s">
        <v>21</v>
      </c>
      <c r="B77" t="s">
        <v>13</v>
      </c>
      <c r="D77">
        <v>3000</v>
      </c>
      <c r="E77">
        <f>D77*2.83168</f>
        <v>8495.0399999999991</v>
      </c>
      <c r="F77">
        <v>5</v>
      </c>
      <c r="G77">
        <v>5</v>
      </c>
      <c r="H77">
        <v>0</v>
      </c>
      <c r="I77">
        <v>24</v>
      </c>
      <c r="J77">
        <v>0</v>
      </c>
      <c r="K77">
        <v>6</v>
      </c>
      <c r="L77">
        <f>0.3335+0.421929</f>
        <v>0.75542900000000002</v>
      </c>
      <c r="M77" s="7">
        <f t="shared" si="0"/>
        <v>0.26677767261837498</v>
      </c>
      <c r="N77" t="s">
        <v>78</v>
      </c>
    </row>
    <row r="78" spans="1:14">
      <c r="A78" t="s">
        <v>21</v>
      </c>
      <c r="B78" t="s">
        <v>13</v>
      </c>
      <c r="D78">
        <v>0</v>
      </c>
      <c r="E78">
        <v>0</v>
      </c>
      <c r="F78">
        <v>6</v>
      </c>
      <c r="G78">
        <v>6</v>
      </c>
      <c r="H78">
        <v>0</v>
      </c>
      <c r="I78">
        <v>24</v>
      </c>
      <c r="J78">
        <v>0</v>
      </c>
      <c r="K78">
        <v>6</v>
      </c>
      <c r="L78">
        <f>32.9+0.490438</f>
        <v>33.390437999999996</v>
      </c>
      <c r="M78" s="7">
        <f t="shared" si="0"/>
        <v>11.791741298451802</v>
      </c>
      <c r="N78" t="s">
        <v>78</v>
      </c>
    </row>
    <row r="79" spans="1:14">
      <c r="A79" t="s">
        <v>21</v>
      </c>
      <c r="B79" t="s">
        <v>13</v>
      </c>
      <c r="D79">
        <v>3</v>
      </c>
      <c r="E79" s="9">
        <f>D79*2.83168</f>
        <v>8.4950399999999995</v>
      </c>
      <c r="F79">
        <v>6</v>
      </c>
      <c r="G79">
        <v>6</v>
      </c>
      <c r="H79">
        <v>0</v>
      </c>
      <c r="I79">
        <v>24</v>
      </c>
      <c r="J79">
        <v>0</v>
      </c>
      <c r="K79">
        <v>6</v>
      </c>
      <c r="L79">
        <f>0.9223+0.490438</f>
        <v>1.412738</v>
      </c>
      <c r="M79" s="7">
        <f t="shared" si="0"/>
        <v>0.49890453723584588</v>
      </c>
      <c r="N79" t="s">
        <v>78</v>
      </c>
    </row>
    <row r="80" spans="1:14">
      <c r="A80" t="s">
        <v>21</v>
      </c>
      <c r="B80" t="s">
        <v>13</v>
      </c>
      <c r="D80">
        <v>90</v>
      </c>
      <c r="E80" s="9">
        <f>D80*2.83168</f>
        <v>254.85120000000001</v>
      </c>
      <c r="F80">
        <v>6</v>
      </c>
      <c r="G80">
        <v>6</v>
      </c>
      <c r="H80">
        <v>0</v>
      </c>
      <c r="I80">
        <v>24</v>
      </c>
      <c r="J80">
        <v>0</v>
      </c>
      <c r="K80">
        <v>6</v>
      </c>
      <c r="L80">
        <f>0.484+0.490438</f>
        <v>0.97443799999999992</v>
      </c>
      <c r="M80" s="7">
        <f t="shared" si="0"/>
        <v>0.34412009831619389</v>
      </c>
      <c r="N80" t="s">
        <v>78</v>
      </c>
    </row>
    <row r="81" spans="1:14">
      <c r="A81" t="s">
        <v>21</v>
      </c>
      <c r="B81" t="s">
        <v>13</v>
      </c>
      <c r="D81">
        <v>3000</v>
      </c>
      <c r="E81">
        <f>D81*2.83168</f>
        <v>8495.0399999999991</v>
      </c>
      <c r="F81">
        <v>6</v>
      </c>
      <c r="G81">
        <v>6</v>
      </c>
      <c r="H81">
        <v>0</v>
      </c>
      <c r="I81">
        <v>24</v>
      </c>
      <c r="J81">
        <v>0</v>
      </c>
      <c r="K81">
        <v>6</v>
      </c>
      <c r="L81">
        <f>0.3335+0.490438</f>
        <v>0.82393800000000006</v>
      </c>
      <c r="M81" s="7">
        <f t="shared" si="0"/>
        <v>0.29097143745055942</v>
      </c>
      <c r="N81" t="s">
        <v>78</v>
      </c>
    </row>
    <row r="82" spans="1:14">
      <c r="A82" t="s">
        <v>21</v>
      </c>
      <c r="B82" t="s">
        <v>13</v>
      </c>
      <c r="D82">
        <v>0</v>
      </c>
      <c r="E82">
        <v>0</v>
      </c>
      <c r="F82">
        <v>7</v>
      </c>
      <c r="G82">
        <v>7</v>
      </c>
      <c r="H82">
        <v>0</v>
      </c>
      <c r="I82">
        <v>24</v>
      </c>
      <c r="J82">
        <v>0</v>
      </c>
      <c r="K82">
        <v>6</v>
      </c>
      <c r="L82">
        <f>32.9+0.510338</f>
        <v>33.410337999999996</v>
      </c>
      <c r="M82" s="7">
        <f t="shared" si="0"/>
        <v>11.798768928692507</v>
      </c>
      <c r="N82" t="s">
        <v>78</v>
      </c>
    </row>
    <row r="83" spans="1:14">
      <c r="A83" t="s">
        <v>21</v>
      </c>
      <c r="B83" t="s">
        <v>13</v>
      </c>
      <c r="D83">
        <v>3</v>
      </c>
      <c r="E83" s="9">
        <f>D83*2.83168</f>
        <v>8.4950399999999995</v>
      </c>
      <c r="F83">
        <v>7</v>
      </c>
      <c r="G83">
        <v>7</v>
      </c>
      <c r="H83">
        <v>0</v>
      </c>
      <c r="I83">
        <v>24</v>
      </c>
      <c r="J83">
        <v>0</v>
      </c>
      <c r="K83">
        <v>6</v>
      </c>
      <c r="L83">
        <f>0.9223+0.510338</f>
        <v>1.4326379999999999</v>
      </c>
      <c r="M83" s="7">
        <f t="shared" si="0"/>
        <v>0.50593216747655101</v>
      </c>
      <c r="N83" t="s">
        <v>78</v>
      </c>
    </row>
    <row r="84" spans="1:14">
      <c r="A84" t="s">
        <v>21</v>
      </c>
      <c r="B84" t="s">
        <v>13</v>
      </c>
      <c r="D84">
        <v>90</v>
      </c>
      <c r="E84" s="9">
        <f>D84*2.83168</f>
        <v>254.85120000000001</v>
      </c>
      <c r="F84">
        <v>7</v>
      </c>
      <c r="G84">
        <v>7</v>
      </c>
      <c r="H84">
        <v>0</v>
      </c>
      <c r="I84">
        <v>24</v>
      </c>
      <c r="J84">
        <v>0</v>
      </c>
      <c r="K84">
        <v>6</v>
      </c>
      <c r="L84">
        <f>0.484+0.510338</f>
        <v>0.99433799999999994</v>
      </c>
      <c r="M84" s="7">
        <f t="shared" si="0"/>
        <v>0.35114772855689907</v>
      </c>
      <c r="N84" t="s">
        <v>78</v>
      </c>
    </row>
    <row r="85" spans="1:14">
      <c r="A85" t="s">
        <v>21</v>
      </c>
      <c r="B85" t="s">
        <v>13</v>
      </c>
      <c r="D85">
        <v>3000</v>
      </c>
      <c r="E85">
        <f>D85*2.83168</f>
        <v>8495.0399999999991</v>
      </c>
      <c r="F85">
        <v>7</v>
      </c>
      <c r="G85">
        <v>7</v>
      </c>
      <c r="H85">
        <v>0</v>
      </c>
      <c r="I85">
        <v>24</v>
      </c>
      <c r="J85">
        <v>0</v>
      </c>
      <c r="K85">
        <v>6</v>
      </c>
      <c r="L85">
        <f>0.3335+0.510338</f>
        <v>0.84383799999999998</v>
      </c>
      <c r="M85" s="7">
        <f t="shared" si="0"/>
        <v>0.29799906769126455</v>
      </c>
      <c r="N85" t="s">
        <v>78</v>
      </c>
    </row>
    <row r="86" spans="1:14">
      <c r="A86" t="s">
        <v>21</v>
      </c>
      <c r="B86" t="s">
        <v>13</v>
      </c>
      <c r="D86">
        <v>0</v>
      </c>
      <c r="E86">
        <v>0</v>
      </c>
      <c r="F86">
        <v>8</v>
      </c>
      <c r="G86">
        <v>8</v>
      </c>
      <c r="H86">
        <v>0</v>
      </c>
      <c r="I86">
        <v>24</v>
      </c>
      <c r="J86">
        <v>0</v>
      </c>
      <c r="K86">
        <v>6</v>
      </c>
      <c r="L86">
        <f>32.9+0.595963</f>
        <v>33.495962999999996</v>
      </c>
      <c r="M86" s="7">
        <f t="shared" si="0"/>
        <v>11.829007161826194</v>
      </c>
      <c r="N86" t="s">
        <v>78</v>
      </c>
    </row>
    <row r="87" spans="1:14">
      <c r="A87" t="s">
        <v>21</v>
      </c>
      <c r="B87" t="s">
        <v>13</v>
      </c>
      <c r="D87">
        <v>3</v>
      </c>
      <c r="E87" s="9">
        <f>D87*2.83168</f>
        <v>8.4950399999999995</v>
      </c>
      <c r="F87">
        <v>8</v>
      </c>
      <c r="G87">
        <v>8</v>
      </c>
      <c r="H87">
        <v>0</v>
      </c>
      <c r="I87">
        <v>24</v>
      </c>
      <c r="J87">
        <v>0</v>
      </c>
      <c r="K87">
        <v>6</v>
      </c>
      <c r="L87">
        <f>0.9223+0.595963</f>
        <v>1.5182630000000001</v>
      </c>
      <c r="M87" s="7">
        <f t="shared" si="0"/>
        <v>0.53617040061023846</v>
      </c>
      <c r="N87" t="s">
        <v>78</v>
      </c>
    </row>
    <row r="88" spans="1:14">
      <c r="A88" t="s">
        <v>21</v>
      </c>
      <c r="B88" t="s">
        <v>13</v>
      </c>
      <c r="D88">
        <v>90</v>
      </c>
      <c r="E88" s="9">
        <f>D88*2.83168</f>
        <v>254.85120000000001</v>
      </c>
      <c r="F88">
        <v>8</v>
      </c>
      <c r="G88">
        <v>8</v>
      </c>
      <c r="H88">
        <v>0</v>
      </c>
      <c r="I88">
        <v>24</v>
      </c>
      <c r="J88">
        <v>0</v>
      </c>
      <c r="K88">
        <v>6</v>
      </c>
      <c r="L88">
        <f>0.484+0.595963</f>
        <v>1.079963</v>
      </c>
      <c r="M88" s="7">
        <f t="shared" si="0"/>
        <v>0.38138596169058653</v>
      </c>
      <c r="N88" t="s">
        <v>78</v>
      </c>
    </row>
    <row r="89" spans="1:14">
      <c r="A89" t="s">
        <v>21</v>
      </c>
      <c r="B89" t="s">
        <v>13</v>
      </c>
      <c r="D89">
        <v>3000</v>
      </c>
      <c r="E89">
        <f>D89*2.83168</f>
        <v>8495.0399999999991</v>
      </c>
      <c r="F89">
        <v>8</v>
      </c>
      <c r="G89">
        <v>8</v>
      </c>
      <c r="H89">
        <v>0</v>
      </c>
      <c r="I89">
        <v>24</v>
      </c>
      <c r="J89">
        <v>0</v>
      </c>
      <c r="K89">
        <v>6</v>
      </c>
      <c r="L89">
        <f>0.3335+0.595963</f>
        <v>0.92946300000000004</v>
      </c>
      <c r="M89" s="7">
        <f t="shared" si="0"/>
        <v>0.32823730082495201</v>
      </c>
      <c r="N89" t="s">
        <v>78</v>
      </c>
    </row>
    <row r="90" spans="1:14">
      <c r="A90" t="s">
        <v>21</v>
      </c>
      <c r="B90" t="s">
        <v>13</v>
      </c>
      <c r="D90">
        <v>0</v>
      </c>
      <c r="E90">
        <v>0</v>
      </c>
      <c r="F90">
        <v>9</v>
      </c>
      <c r="G90">
        <v>9</v>
      </c>
      <c r="H90">
        <v>0</v>
      </c>
      <c r="I90">
        <v>24</v>
      </c>
      <c r="J90">
        <v>0</v>
      </c>
      <c r="K90">
        <v>6</v>
      </c>
      <c r="L90">
        <f>32.9+0.574746</f>
        <v>33.474745999999996</v>
      </c>
      <c r="M90" s="7">
        <f t="shared" si="0"/>
        <v>11.821514436659509</v>
      </c>
      <c r="N90" t="s">
        <v>78</v>
      </c>
    </row>
    <row r="91" spans="1:14">
      <c r="A91" t="s">
        <v>21</v>
      </c>
      <c r="B91" t="s">
        <v>13</v>
      </c>
      <c r="D91">
        <v>3</v>
      </c>
      <c r="E91" s="9">
        <f>D91*2.83168</f>
        <v>8.4950399999999995</v>
      </c>
      <c r="F91">
        <v>9</v>
      </c>
      <c r="G91">
        <v>9</v>
      </c>
      <c r="H91">
        <v>0</v>
      </c>
      <c r="I91">
        <v>24</v>
      </c>
      <c r="J91">
        <v>0</v>
      </c>
      <c r="K91">
        <v>6</v>
      </c>
      <c r="L91">
        <f>0.9223+0.574746</f>
        <v>1.4970460000000001</v>
      </c>
      <c r="M91" s="7">
        <f t="shared" si="0"/>
        <v>0.52867767544355293</v>
      </c>
      <c r="N91" t="s">
        <v>78</v>
      </c>
    </row>
    <row r="92" spans="1:14">
      <c r="A92" t="s">
        <v>21</v>
      </c>
      <c r="B92" t="s">
        <v>13</v>
      </c>
      <c r="D92">
        <v>90</v>
      </c>
      <c r="E92" s="9">
        <f>D92*2.83168</f>
        <v>254.85120000000001</v>
      </c>
      <c r="F92">
        <v>9</v>
      </c>
      <c r="G92">
        <v>9</v>
      </c>
      <c r="H92">
        <v>0</v>
      </c>
      <c r="I92">
        <v>24</v>
      </c>
      <c r="J92">
        <v>0</v>
      </c>
      <c r="K92">
        <v>6</v>
      </c>
      <c r="L92">
        <f>0.484+0.574746</f>
        <v>1.058746</v>
      </c>
      <c r="M92" s="7">
        <f t="shared" si="0"/>
        <v>0.373893236523901</v>
      </c>
      <c r="N92" t="s">
        <v>78</v>
      </c>
    </row>
    <row r="93" spans="1:14">
      <c r="A93" t="s">
        <v>21</v>
      </c>
      <c r="B93" t="s">
        <v>13</v>
      </c>
      <c r="D93">
        <v>3000</v>
      </c>
      <c r="E93">
        <f>D93*2.83168</f>
        <v>8495.0399999999991</v>
      </c>
      <c r="F93">
        <v>9</v>
      </c>
      <c r="G93">
        <v>9</v>
      </c>
      <c r="H93">
        <v>0</v>
      </c>
      <c r="I93">
        <v>24</v>
      </c>
      <c r="J93">
        <v>0</v>
      </c>
      <c r="K93">
        <v>6</v>
      </c>
      <c r="L93">
        <f>0.3335+0.574746</f>
        <v>0.908246</v>
      </c>
      <c r="M93" s="7">
        <f t="shared" si="0"/>
        <v>0.32074457565826647</v>
      </c>
      <c r="N93" t="s">
        <v>78</v>
      </c>
    </row>
    <row r="94" spans="1:14">
      <c r="A94" t="s">
        <v>21</v>
      </c>
      <c r="B94" t="s">
        <v>13</v>
      </c>
      <c r="D94">
        <v>0</v>
      </c>
      <c r="E94">
        <v>0</v>
      </c>
      <c r="F94">
        <v>10</v>
      </c>
      <c r="G94">
        <v>10</v>
      </c>
      <c r="H94">
        <v>0</v>
      </c>
      <c r="I94">
        <v>24</v>
      </c>
      <c r="J94">
        <v>0</v>
      </c>
      <c r="K94">
        <v>6</v>
      </c>
      <c r="L94">
        <f>32.9+0.658035</f>
        <v>33.558034999999997</v>
      </c>
      <c r="M94" s="7">
        <f t="shared" si="0"/>
        <v>11.850927717821222</v>
      </c>
      <c r="N94" t="s">
        <v>78</v>
      </c>
    </row>
    <row r="95" spans="1:14">
      <c r="A95" t="s">
        <v>21</v>
      </c>
      <c r="B95" t="s">
        <v>13</v>
      </c>
      <c r="D95">
        <v>3</v>
      </c>
      <c r="E95" s="9">
        <f>D95*2.83168</f>
        <v>8.4950399999999995</v>
      </c>
      <c r="F95">
        <v>10</v>
      </c>
      <c r="G95">
        <v>10</v>
      </c>
      <c r="H95">
        <v>0</v>
      </c>
      <c r="I95">
        <v>24</v>
      </c>
      <c r="J95">
        <v>0</v>
      </c>
      <c r="K95">
        <v>6</v>
      </c>
      <c r="L95">
        <f>0.9223+0.658035</f>
        <v>1.580335</v>
      </c>
      <c r="M95" s="7">
        <f t="shared" si="0"/>
        <v>0.5580909566052662</v>
      </c>
      <c r="N95" t="s">
        <v>78</v>
      </c>
    </row>
    <row r="96" spans="1:14">
      <c r="A96" t="s">
        <v>21</v>
      </c>
      <c r="B96" t="s">
        <v>13</v>
      </c>
      <c r="D96">
        <v>90</v>
      </c>
      <c r="E96" s="9">
        <f>D96*2.83168</f>
        <v>254.85120000000001</v>
      </c>
      <c r="F96">
        <v>10</v>
      </c>
      <c r="G96">
        <v>10</v>
      </c>
      <c r="H96">
        <v>0</v>
      </c>
      <c r="I96">
        <v>24</v>
      </c>
      <c r="J96">
        <v>0</v>
      </c>
      <c r="K96">
        <v>6</v>
      </c>
      <c r="L96">
        <f>0.484+0.658035</f>
        <v>1.1420349999999999</v>
      </c>
      <c r="M96" s="7">
        <f t="shared" si="0"/>
        <v>0.40330651768561415</v>
      </c>
      <c r="N96" t="s">
        <v>78</v>
      </c>
    </row>
    <row r="97" spans="1:14">
      <c r="A97" t="s">
        <v>21</v>
      </c>
      <c r="B97" t="s">
        <v>13</v>
      </c>
      <c r="D97">
        <v>3000</v>
      </c>
      <c r="E97">
        <f>D97*2.83168</f>
        <v>8495.0399999999991</v>
      </c>
      <c r="F97">
        <v>10</v>
      </c>
      <c r="G97">
        <v>10</v>
      </c>
      <c r="H97">
        <v>0</v>
      </c>
      <c r="I97">
        <v>24</v>
      </c>
      <c r="J97">
        <v>0</v>
      </c>
      <c r="K97">
        <v>6</v>
      </c>
      <c r="L97">
        <f>0.3335+0.658035</f>
        <v>0.99153500000000006</v>
      </c>
      <c r="M97" s="7">
        <f t="shared" si="0"/>
        <v>0.35015785681997968</v>
      </c>
      <c r="N97" t="s">
        <v>78</v>
      </c>
    </row>
    <row r="98" spans="1:14">
      <c r="A98" t="s">
        <v>21</v>
      </c>
      <c r="B98" t="s">
        <v>13</v>
      </c>
      <c r="D98">
        <v>0</v>
      </c>
      <c r="E98">
        <v>0</v>
      </c>
      <c r="F98">
        <v>11</v>
      </c>
      <c r="G98">
        <v>11</v>
      </c>
      <c r="H98">
        <v>0</v>
      </c>
      <c r="I98">
        <v>24</v>
      </c>
      <c r="J98">
        <v>0</v>
      </c>
      <c r="K98">
        <v>6</v>
      </c>
      <c r="L98">
        <f>32.9+0.659757</f>
        <v>33.559756999999998</v>
      </c>
      <c r="M98" s="7">
        <f t="shared" si="0"/>
        <v>11.851535837382754</v>
      </c>
      <c r="N98" t="s">
        <v>78</v>
      </c>
    </row>
    <row r="99" spans="1:14">
      <c r="A99" t="s">
        <v>21</v>
      </c>
      <c r="B99" t="s">
        <v>13</v>
      </c>
      <c r="D99">
        <v>3</v>
      </c>
      <c r="E99" s="9">
        <f>D99*2.83168</f>
        <v>8.4950399999999995</v>
      </c>
      <c r="F99">
        <v>11</v>
      </c>
      <c r="G99">
        <v>11</v>
      </c>
      <c r="H99">
        <v>0</v>
      </c>
      <c r="I99">
        <v>24</v>
      </c>
      <c r="J99">
        <v>0</v>
      </c>
      <c r="K99">
        <v>6</v>
      </c>
      <c r="L99">
        <f>0.9223+0.659757</f>
        <v>1.582057</v>
      </c>
      <c r="M99" s="7">
        <f t="shared" si="0"/>
        <v>0.55869907616679848</v>
      </c>
      <c r="N99" t="s">
        <v>78</v>
      </c>
    </row>
    <row r="100" spans="1:14">
      <c r="A100" t="s">
        <v>21</v>
      </c>
      <c r="B100" t="s">
        <v>13</v>
      </c>
      <c r="D100">
        <v>90</v>
      </c>
      <c r="E100" s="9">
        <f>D100*2.83168</f>
        <v>254.85120000000001</v>
      </c>
      <c r="F100">
        <v>11</v>
      </c>
      <c r="G100">
        <v>11</v>
      </c>
      <c r="H100">
        <v>0</v>
      </c>
      <c r="I100">
        <v>24</v>
      </c>
      <c r="J100">
        <v>0</v>
      </c>
      <c r="K100">
        <v>6</v>
      </c>
      <c r="L100">
        <f>0.484+0.659757</f>
        <v>1.1437569999999999</v>
      </c>
      <c r="M100" s="7">
        <f t="shared" si="0"/>
        <v>0.40391463724714655</v>
      </c>
      <c r="N100" t="s">
        <v>78</v>
      </c>
    </row>
    <row r="101" spans="1:14">
      <c r="A101" t="s">
        <v>21</v>
      </c>
      <c r="B101" t="s">
        <v>13</v>
      </c>
      <c r="D101">
        <v>3000</v>
      </c>
      <c r="E101">
        <f>D101*2.83168</f>
        <v>8495.0399999999991</v>
      </c>
      <c r="F101">
        <v>11</v>
      </c>
      <c r="G101">
        <v>11</v>
      </c>
      <c r="H101">
        <v>0</v>
      </c>
      <c r="I101">
        <v>24</v>
      </c>
      <c r="J101">
        <v>0</v>
      </c>
      <c r="K101">
        <v>6</v>
      </c>
      <c r="L101">
        <f>0.3335+0.659757</f>
        <v>0.99325700000000006</v>
      </c>
      <c r="M101" s="7">
        <f t="shared" si="0"/>
        <v>0.35076597638151208</v>
      </c>
      <c r="N101" t="s">
        <v>78</v>
      </c>
    </row>
    <row r="102" spans="1:14">
      <c r="A102" t="s">
        <v>21</v>
      </c>
      <c r="B102" t="s">
        <v>13</v>
      </c>
      <c r="D102">
        <v>0</v>
      </c>
      <c r="E102">
        <v>0</v>
      </c>
      <c r="F102">
        <v>12</v>
      </c>
      <c r="G102">
        <v>12</v>
      </c>
      <c r="H102">
        <v>0</v>
      </c>
      <c r="I102">
        <v>24</v>
      </c>
      <c r="J102">
        <v>0</v>
      </c>
      <c r="K102">
        <v>6</v>
      </c>
      <c r="L102">
        <f>32.9+0.690801</f>
        <v>33.590800999999999</v>
      </c>
      <c r="M102" s="7">
        <f t="shared" si="0"/>
        <v>11.862498940558256</v>
      </c>
      <c r="N102" t="s">
        <v>78</v>
      </c>
    </row>
    <row r="103" spans="1:14">
      <c r="A103" t="s">
        <v>21</v>
      </c>
      <c r="B103" t="s">
        <v>13</v>
      </c>
      <c r="D103">
        <v>3</v>
      </c>
      <c r="E103" s="9">
        <f>D103*2.83168</f>
        <v>8.4950399999999995</v>
      </c>
      <c r="F103">
        <v>12</v>
      </c>
      <c r="G103">
        <v>12</v>
      </c>
      <c r="H103">
        <v>0</v>
      </c>
      <c r="I103">
        <v>24</v>
      </c>
      <c r="J103">
        <v>0</v>
      </c>
      <c r="K103">
        <v>6</v>
      </c>
      <c r="L103">
        <f>0.9223+0.690801</f>
        <v>1.6131009999999999</v>
      </c>
      <c r="M103" s="7">
        <f t="shared" si="0"/>
        <v>0.56966217934229857</v>
      </c>
      <c r="N103" t="s">
        <v>78</v>
      </c>
    </row>
    <row r="104" spans="1:14">
      <c r="A104" t="s">
        <v>21</v>
      </c>
      <c r="B104" t="s">
        <v>13</v>
      </c>
      <c r="D104">
        <v>90</v>
      </c>
      <c r="E104" s="9">
        <f>D104*2.83168</f>
        <v>254.85120000000001</v>
      </c>
      <c r="F104">
        <v>12</v>
      </c>
      <c r="G104">
        <v>12</v>
      </c>
      <c r="H104">
        <v>0</v>
      </c>
      <c r="I104">
        <v>24</v>
      </c>
      <c r="J104">
        <v>0</v>
      </c>
      <c r="K104">
        <v>6</v>
      </c>
      <c r="L104">
        <f>0.484+0.690801</f>
        <v>1.174801</v>
      </c>
      <c r="M104" s="7">
        <f t="shared" si="0"/>
        <v>0.41487774042264663</v>
      </c>
      <c r="N104" t="s">
        <v>78</v>
      </c>
    </row>
    <row r="105" spans="1:14">
      <c r="A105" t="s">
        <v>21</v>
      </c>
      <c r="B105" t="s">
        <v>13</v>
      </c>
      <c r="D105">
        <v>3000</v>
      </c>
      <c r="E105">
        <f>D105*2.83168</f>
        <v>8495.0399999999991</v>
      </c>
      <c r="F105">
        <v>12</v>
      </c>
      <c r="G105">
        <v>12</v>
      </c>
      <c r="H105">
        <v>0</v>
      </c>
      <c r="I105">
        <v>24</v>
      </c>
      <c r="J105">
        <v>0</v>
      </c>
      <c r="K105">
        <v>6</v>
      </c>
      <c r="L105">
        <f>0.3335+0.690801</f>
        <v>1.0243009999999999</v>
      </c>
      <c r="M105" s="7">
        <f t="shared" si="0"/>
        <v>0.36172907955701206</v>
      </c>
      <c r="N105" t="s">
        <v>78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81"/>
  <sheetViews>
    <sheetView workbookViewId="0">
      <selection activeCell="O6" sqref="O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8</v>
      </c>
      <c r="I3">
        <v>22</v>
      </c>
      <c r="J3">
        <v>0</v>
      </c>
      <c r="K3">
        <v>4</v>
      </c>
      <c r="L3">
        <v>13.96</v>
      </c>
      <c r="M3">
        <v>13.96</v>
      </c>
      <c r="N3" t="s">
        <v>17</v>
      </c>
    </row>
    <row r="4" spans="1:15">
      <c r="A4" t="s">
        <v>10</v>
      </c>
      <c r="B4" t="s">
        <v>15</v>
      </c>
      <c r="C4" t="s">
        <v>42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4.21</v>
      </c>
      <c r="M4">
        <v>4.21</v>
      </c>
      <c r="N4" t="s">
        <v>17</v>
      </c>
    </row>
    <row r="5" spans="1:15">
      <c r="A5" t="s">
        <v>10</v>
      </c>
      <c r="B5" t="s">
        <v>15</v>
      </c>
      <c r="C5" t="s">
        <v>18</v>
      </c>
      <c r="D5">
        <v>0</v>
      </c>
      <c r="E5">
        <v>0</v>
      </c>
      <c r="F5">
        <v>6</v>
      </c>
      <c r="G5">
        <v>9</v>
      </c>
      <c r="H5">
        <v>8</v>
      </c>
      <c r="I5">
        <v>22</v>
      </c>
      <c r="J5">
        <v>0</v>
      </c>
      <c r="K5">
        <v>4</v>
      </c>
      <c r="L5">
        <f>18.44</f>
        <v>18.440000000000001</v>
      </c>
      <c r="M5">
        <f>18.44</f>
        <v>18.440000000000001</v>
      </c>
      <c r="N5" t="s">
        <v>17</v>
      </c>
    </row>
    <row r="6" spans="1:15">
      <c r="A6" t="s">
        <v>10</v>
      </c>
      <c r="B6" t="s">
        <v>15</v>
      </c>
      <c r="C6" t="s">
        <v>43</v>
      </c>
      <c r="D6">
        <v>0</v>
      </c>
      <c r="E6">
        <v>0</v>
      </c>
      <c r="F6">
        <v>6</v>
      </c>
      <c r="G6">
        <v>9</v>
      </c>
      <c r="H6">
        <v>8</v>
      </c>
      <c r="I6">
        <v>18</v>
      </c>
      <c r="J6">
        <v>0</v>
      </c>
      <c r="K6">
        <v>4</v>
      </c>
      <c r="L6">
        <v>9.15</v>
      </c>
      <c r="M6">
        <v>9.15</v>
      </c>
      <c r="N6" t="s">
        <v>17</v>
      </c>
    </row>
    <row r="7" spans="1:15">
      <c r="A7" t="s">
        <v>10</v>
      </c>
      <c r="B7" t="s">
        <v>15</v>
      </c>
      <c r="C7" t="s">
        <v>44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16.66</v>
      </c>
      <c r="M7">
        <v>16.66</v>
      </c>
      <c r="N7" t="s">
        <v>17</v>
      </c>
    </row>
    <row r="8" spans="1:15">
      <c r="A8" t="s">
        <v>10</v>
      </c>
      <c r="B8" t="s">
        <v>15</v>
      </c>
      <c r="C8" t="s">
        <v>19</v>
      </c>
      <c r="D8">
        <v>0</v>
      </c>
      <c r="E8">
        <v>0</v>
      </c>
      <c r="F8">
        <v>10</v>
      </c>
      <c r="G8">
        <v>12</v>
      </c>
      <c r="H8">
        <v>8</v>
      </c>
      <c r="I8">
        <v>22</v>
      </c>
      <c r="J8">
        <v>0</v>
      </c>
      <c r="K8">
        <v>4</v>
      </c>
      <c r="L8">
        <v>13.96</v>
      </c>
      <c r="M8">
        <v>13.96</v>
      </c>
      <c r="N8" t="s">
        <v>17</v>
      </c>
    </row>
    <row r="9" spans="1:15">
      <c r="A9" t="s">
        <v>10</v>
      </c>
      <c r="B9" t="s">
        <v>15</v>
      </c>
      <c r="C9" t="s">
        <v>45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4.21</v>
      </c>
      <c r="M9">
        <v>4.21</v>
      </c>
      <c r="N9" t="s">
        <v>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8</v>
      </c>
      <c r="J10">
        <v>0</v>
      </c>
      <c r="K10">
        <v>4</v>
      </c>
      <c r="L10">
        <v>4.4678200000000001E-2</v>
      </c>
      <c r="M10">
        <v>4.4678200000000001E-2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22</v>
      </c>
      <c r="I11">
        <v>24</v>
      </c>
      <c r="J11">
        <v>0</v>
      </c>
      <c r="K11">
        <v>4</v>
      </c>
      <c r="L11">
        <v>4.4678200000000001E-2</v>
      </c>
      <c r="M11">
        <v>4.4678200000000001E-2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8</v>
      </c>
      <c r="I12">
        <v>22</v>
      </c>
      <c r="J12">
        <v>0</v>
      </c>
      <c r="K12">
        <v>4</v>
      </c>
      <c r="L12">
        <v>4.4253924731182698E-2</v>
      </c>
      <c r="M12">
        <v>4.4253924731182698E-2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0</v>
      </c>
      <c r="I13">
        <v>24</v>
      </c>
      <c r="J13">
        <v>5</v>
      </c>
      <c r="K13">
        <v>6</v>
      </c>
      <c r="L13">
        <v>4.4678200000000001E-2</v>
      </c>
      <c r="M13">
        <v>4.4678200000000001E-2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8</v>
      </c>
      <c r="J14">
        <v>0</v>
      </c>
      <c r="K14">
        <v>4</v>
      </c>
      <c r="L14">
        <v>5.5976499999999998E-2</v>
      </c>
      <c r="M14">
        <v>5.5976499999999998E-2</v>
      </c>
      <c r="N14" t="s">
        <v>14</v>
      </c>
      <c r="O14" t="s">
        <v>112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2</v>
      </c>
      <c r="G15">
        <v>2</v>
      </c>
      <c r="H15">
        <v>22</v>
      </c>
      <c r="I15">
        <v>24</v>
      </c>
      <c r="J15">
        <v>0</v>
      </c>
      <c r="K15">
        <v>4</v>
      </c>
      <c r="L15">
        <v>5.5976499999999998E-2</v>
      </c>
      <c r="M15">
        <v>5.5976499999999998E-2</v>
      </c>
      <c r="N15" t="s">
        <v>14</v>
      </c>
      <c r="O15" t="s">
        <v>112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8</v>
      </c>
      <c r="I16">
        <v>22</v>
      </c>
      <c r="J16">
        <v>0</v>
      </c>
      <c r="K16">
        <v>4</v>
      </c>
      <c r="L16">
        <v>7.2680386904761904E-2</v>
      </c>
      <c r="M16">
        <v>7.2680386904761904E-2</v>
      </c>
      <c r="N16" t="s">
        <v>14</v>
      </c>
      <c r="O16" t="s">
        <v>112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0</v>
      </c>
      <c r="I17">
        <v>24</v>
      </c>
      <c r="J17">
        <v>5</v>
      </c>
      <c r="K17">
        <v>6</v>
      </c>
      <c r="L17">
        <v>5.5976499999999998E-2</v>
      </c>
      <c r="M17">
        <v>5.5976499999999998E-2</v>
      </c>
      <c r="N17" t="s">
        <v>14</v>
      </c>
      <c r="O17" t="s">
        <v>112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8</v>
      </c>
      <c r="J18">
        <v>0</v>
      </c>
      <c r="K18">
        <v>4</v>
      </c>
      <c r="L18">
        <v>3.47283544303797E-2</v>
      </c>
      <c r="M18">
        <v>3.47283544303797E-2</v>
      </c>
      <c r="N18" t="s">
        <v>14</v>
      </c>
      <c r="O18" t="s">
        <v>112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3</v>
      </c>
      <c r="H19">
        <v>22</v>
      </c>
      <c r="I19">
        <v>24</v>
      </c>
      <c r="J19">
        <v>0</v>
      </c>
      <c r="K19">
        <v>4</v>
      </c>
      <c r="L19">
        <v>3.47283544303797E-2</v>
      </c>
      <c r="M19">
        <v>3.47283544303797E-2</v>
      </c>
      <c r="N19" t="s">
        <v>14</v>
      </c>
      <c r="O19" t="s">
        <v>112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8</v>
      </c>
      <c r="I20">
        <v>22</v>
      </c>
      <c r="J20">
        <v>0</v>
      </c>
      <c r="K20">
        <v>4</v>
      </c>
      <c r="L20">
        <v>3.72985060565275E-2</v>
      </c>
      <c r="M20">
        <v>3.72985060565275E-2</v>
      </c>
      <c r="N20" t="s">
        <v>14</v>
      </c>
      <c r="O20" t="s">
        <v>112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5</v>
      </c>
      <c r="K21">
        <v>6</v>
      </c>
      <c r="L21">
        <v>3.47283544303797E-2</v>
      </c>
      <c r="M21">
        <v>3.47283544303797E-2</v>
      </c>
      <c r="N21" t="s">
        <v>14</v>
      </c>
      <c r="O21" t="s">
        <v>112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8</v>
      </c>
      <c r="J22">
        <v>0</v>
      </c>
      <c r="K22">
        <v>4</v>
      </c>
      <c r="L22">
        <v>2.9360250000000001E-2</v>
      </c>
      <c r="M22">
        <v>2.9360250000000001E-2</v>
      </c>
      <c r="N22" t="s">
        <v>14</v>
      </c>
      <c r="O22" t="s">
        <v>112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4</v>
      </c>
      <c r="G23">
        <v>4</v>
      </c>
      <c r="H23">
        <v>22</v>
      </c>
      <c r="I23">
        <v>24</v>
      </c>
      <c r="J23">
        <v>0</v>
      </c>
      <c r="K23">
        <v>4</v>
      </c>
      <c r="L23">
        <v>2.9360250000000001E-2</v>
      </c>
      <c r="M23">
        <v>2.9360250000000001E-2</v>
      </c>
      <c r="N23" t="s">
        <v>14</v>
      </c>
      <c r="O23" t="s">
        <v>112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8</v>
      </c>
      <c r="I24">
        <v>22</v>
      </c>
      <c r="J24">
        <v>0</v>
      </c>
      <c r="K24">
        <v>4</v>
      </c>
      <c r="L24">
        <v>3.2452499999999898E-2</v>
      </c>
      <c r="M24">
        <v>3.2452499999999898E-2</v>
      </c>
      <c r="N24" t="s">
        <v>14</v>
      </c>
      <c r="O24" t="s">
        <v>112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5</v>
      </c>
      <c r="K25">
        <v>6</v>
      </c>
      <c r="L25">
        <v>2.9360250000000001E-2</v>
      </c>
      <c r="M25">
        <v>2.9360250000000001E-2</v>
      </c>
      <c r="N25" t="s">
        <v>14</v>
      </c>
      <c r="O25" t="s">
        <v>112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8</v>
      </c>
      <c r="J26">
        <v>0</v>
      </c>
      <c r="K26">
        <v>4</v>
      </c>
      <c r="L26">
        <v>2.8971699999999899E-2</v>
      </c>
      <c r="M26">
        <v>2.8971699999999899E-2</v>
      </c>
      <c r="N26" t="s">
        <v>14</v>
      </c>
      <c r="O26" t="s">
        <v>112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5</v>
      </c>
      <c r="G27">
        <v>5</v>
      </c>
      <c r="H27">
        <v>22</v>
      </c>
      <c r="I27">
        <v>24</v>
      </c>
      <c r="J27">
        <v>0</v>
      </c>
      <c r="K27">
        <v>4</v>
      </c>
      <c r="L27">
        <v>2.8971699999999899E-2</v>
      </c>
      <c r="M27">
        <v>2.8971699999999899E-2</v>
      </c>
      <c r="N27" t="s">
        <v>14</v>
      </c>
      <c r="O27" t="s">
        <v>112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8</v>
      </c>
      <c r="I28">
        <v>22</v>
      </c>
      <c r="J28">
        <v>0</v>
      </c>
      <c r="K28">
        <v>4</v>
      </c>
      <c r="L28">
        <v>3.4007311827956903E-2</v>
      </c>
      <c r="M28">
        <v>3.4007311827956903E-2</v>
      </c>
      <c r="N28" t="s">
        <v>14</v>
      </c>
      <c r="O28" t="s">
        <v>112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0</v>
      </c>
      <c r="I29">
        <v>24</v>
      </c>
      <c r="J29">
        <v>5</v>
      </c>
      <c r="K29">
        <v>6</v>
      </c>
      <c r="L29">
        <v>2.8971699999999899E-2</v>
      </c>
      <c r="M29">
        <v>2.8971699999999899E-2</v>
      </c>
      <c r="N29" t="s">
        <v>14</v>
      </c>
      <c r="O29" t="s">
        <v>112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8</v>
      </c>
      <c r="J30">
        <v>0</v>
      </c>
      <c r="K30">
        <v>4</v>
      </c>
      <c r="L30">
        <v>3.3858249999999999E-2</v>
      </c>
      <c r="M30">
        <v>3.3858249999999999E-2</v>
      </c>
      <c r="N30" t="s">
        <v>14</v>
      </c>
      <c r="O30" t="s">
        <v>112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6</v>
      </c>
      <c r="G31">
        <v>6</v>
      </c>
      <c r="H31">
        <v>22</v>
      </c>
      <c r="I31">
        <v>24</v>
      </c>
      <c r="J31">
        <v>0</v>
      </c>
      <c r="K31">
        <v>4</v>
      </c>
      <c r="L31">
        <v>3.3858249999999999E-2</v>
      </c>
      <c r="M31">
        <v>3.3858249999999999E-2</v>
      </c>
      <c r="N31" t="s">
        <v>14</v>
      </c>
      <c r="O31" t="s">
        <v>112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8</v>
      </c>
      <c r="I32">
        <v>22</v>
      </c>
      <c r="J32">
        <v>0</v>
      </c>
      <c r="K32">
        <v>4</v>
      </c>
      <c r="L32">
        <v>4.2739333333333303E-2</v>
      </c>
      <c r="M32">
        <v>4.2739333333333303E-2</v>
      </c>
      <c r="N32" t="s">
        <v>14</v>
      </c>
      <c r="O32" t="s">
        <v>112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0</v>
      </c>
      <c r="I33">
        <v>24</v>
      </c>
      <c r="J33">
        <v>5</v>
      </c>
      <c r="K33">
        <v>6</v>
      </c>
      <c r="L33">
        <v>3.3858249999999999E-2</v>
      </c>
      <c r="M33">
        <v>3.3858249999999999E-2</v>
      </c>
      <c r="N33" t="s">
        <v>14</v>
      </c>
      <c r="O33" t="s">
        <v>112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8</v>
      </c>
      <c r="J34">
        <v>0</v>
      </c>
      <c r="K34">
        <v>4</v>
      </c>
      <c r="L34">
        <v>3.7473333333333303E-2</v>
      </c>
      <c r="M34">
        <v>3.7473333333333303E-2</v>
      </c>
      <c r="N34" t="s">
        <v>14</v>
      </c>
      <c r="O34" t="s">
        <v>112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7</v>
      </c>
      <c r="G35">
        <v>7</v>
      </c>
      <c r="H35">
        <v>22</v>
      </c>
      <c r="I35">
        <v>24</v>
      </c>
      <c r="J35">
        <v>0</v>
      </c>
      <c r="K35">
        <v>4</v>
      </c>
      <c r="L35">
        <v>3.7473333333333303E-2</v>
      </c>
      <c r="M35">
        <v>3.7473333333333303E-2</v>
      </c>
      <c r="N35" t="s">
        <v>14</v>
      </c>
      <c r="O35" t="s">
        <v>112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8</v>
      </c>
      <c r="I36">
        <v>22</v>
      </c>
      <c r="J36">
        <v>0</v>
      </c>
      <c r="K36">
        <v>4</v>
      </c>
      <c r="L36">
        <v>4.9901948924731099E-2</v>
      </c>
      <c r="M36">
        <v>4.9901948924731099E-2</v>
      </c>
      <c r="N36" t="s">
        <v>14</v>
      </c>
      <c r="O36" t="s">
        <v>112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5</v>
      </c>
      <c r="K37">
        <v>6</v>
      </c>
      <c r="L37">
        <v>3.7473333333333303E-2</v>
      </c>
      <c r="M37">
        <v>3.7473333333333303E-2</v>
      </c>
      <c r="N37" t="s">
        <v>14</v>
      </c>
      <c r="O37" t="s">
        <v>112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8</v>
      </c>
      <c r="J38">
        <v>0</v>
      </c>
      <c r="K38">
        <v>4</v>
      </c>
      <c r="L38">
        <v>4.1839333333333298E-2</v>
      </c>
      <c r="M38">
        <v>4.1839333333333298E-2</v>
      </c>
      <c r="N38" t="s">
        <v>14</v>
      </c>
      <c r="O38" t="s">
        <v>112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8</v>
      </c>
      <c r="G39">
        <v>8</v>
      </c>
      <c r="H39">
        <v>22</v>
      </c>
      <c r="I39">
        <v>24</v>
      </c>
      <c r="J39">
        <v>0</v>
      </c>
      <c r="K39">
        <v>4</v>
      </c>
      <c r="L39">
        <v>4.1839333333333298E-2</v>
      </c>
      <c r="M39">
        <v>4.1839333333333298E-2</v>
      </c>
      <c r="N39" t="s">
        <v>14</v>
      </c>
      <c r="O39" t="s">
        <v>112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8</v>
      </c>
      <c r="I40">
        <v>22</v>
      </c>
      <c r="J40">
        <v>0</v>
      </c>
      <c r="K40">
        <v>4</v>
      </c>
      <c r="L40">
        <v>5.4796115591397798E-2</v>
      </c>
      <c r="M40">
        <v>5.4796115591397798E-2</v>
      </c>
      <c r="N40" t="s">
        <v>14</v>
      </c>
      <c r="O40" t="s">
        <v>112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0</v>
      </c>
      <c r="I41">
        <v>24</v>
      </c>
      <c r="J41">
        <v>5</v>
      </c>
      <c r="K41">
        <v>6</v>
      </c>
      <c r="L41">
        <v>4.1839333333333298E-2</v>
      </c>
      <c r="M41">
        <v>4.1839333333333298E-2</v>
      </c>
      <c r="N41" t="s">
        <v>14</v>
      </c>
      <c r="O41" t="s">
        <v>112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8</v>
      </c>
      <c r="J42">
        <v>0</v>
      </c>
      <c r="K42">
        <v>4</v>
      </c>
      <c r="L42">
        <v>4.5309374999999999E-2</v>
      </c>
      <c r="M42">
        <v>4.5309374999999999E-2</v>
      </c>
      <c r="N42" t="s">
        <v>14</v>
      </c>
      <c r="O42" t="s">
        <v>112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9</v>
      </c>
      <c r="G43">
        <v>9</v>
      </c>
      <c r="H43">
        <v>22</v>
      </c>
      <c r="I43">
        <v>24</v>
      </c>
      <c r="J43">
        <v>0</v>
      </c>
      <c r="K43">
        <v>4</v>
      </c>
      <c r="L43">
        <v>4.5309374999999999E-2</v>
      </c>
      <c r="M43">
        <v>4.5309374999999999E-2</v>
      </c>
      <c r="N43" t="s">
        <v>14</v>
      </c>
      <c r="O43" t="s">
        <v>112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8</v>
      </c>
      <c r="I44">
        <v>22</v>
      </c>
      <c r="J44">
        <v>0</v>
      </c>
      <c r="K44">
        <v>4</v>
      </c>
      <c r="L44">
        <v>5.6307944444444397E-2</v>
      </c>
      <c r="M44">
        <v>5.6307944444444397E-2</v>
      </c>
      <c r="N44" t="s">
        <v>14</v>
      </c>
      <c r="O44" t="s">
        <v>112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0</v>
      </c>
      <c r="I45">
        <v>24</v>
      </c>
      <c r="J45">
        <v>5</v>
      </c>
      <c r="K45">
        <v>6</v>
      </c>
      <c r="L45">
        <v>4.5309374999999999E-2</v>
      </c>
      <c r="M45">
        <v>4.5309374999999999E-2</v>
      </c>
      <c r="N45" t="s">
        <v>14</v>
      </c>
      <c r="O45" t="s">
        <v>112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8</v>
      </c>
      <c r="J46">
        <v>0</v>
      </c>
      <c r="K46">
        <v>4</v>
      </c>
      <c r="L46">
        <v>5.1256799999999901E-2</v>
      </c>
      <c r="M46">
        <v>5.1256799999999901E-2</v>
      </c>
      <c r="N46" t="s">
        <v>14</v>
      </c>
      <c r="O46" t="s">
        <v>112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10</v>
      </c>
      <c r="G47">
        <v>10</v>
      </c>
      <c r="H47">
        <v>22</v>
      </c>
      <c r="I47">
        <v>24</v>
      </c>
      <c r="J47">
        <v>0</v>
      </c>
      <c r="K47">
        <v>4</v>
      </c>
      <c r="L47">
        <v>5.1256799999999901E-2</v>
      </c>
      <c r="M47">
        <v>5.1256799999999901E-2</v>
      </c>
      <c r="N47" t="s">
        <v>14</v>
      </c>
      <c r="O47" t="s">
        <v>112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8</v>
      </c>
      <c r="I48">
        <v>22</v>
      </c>
      <c r="J48">
        <v>0</v>
      </c>
      <c r="K48">
        <v>4</v>
      </c>
      <c r="L48">
        <v>6.2368077956989197E-2</v>
      </c>
      <c r="M48">
        <v>6.2368077956989197E-2</v>
      </c>
      <c r="N48" t="s">
        <v>14</v>
      </c>
      <c r="O48" t="s">
        <v>112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0</v>
      </c>
      <c r="I49">
        <v>24</v>
      </c>
      <c r="J49">
        <v>5</v>
      </c>
      <c r="K49">
        <v>6</v>
      </c>
      <c r="L49">
        <v>5.1256799999999901E-2</v>
      </c>
      <c r="M49">
        <v>5.1256799999999901E-2</v>
      </c>
      <c r="N49" t="s">
        <v>14</v>
      </c>
      <c r="O49" t="s">
        <v>112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8</v>
      </c>
      <c r="J50">
        <v>0</v>
      </c>
      <c r="K50">
        <v>4</v>
      </c>
      <c r="L50">
        <v>5.7463827160493801E-2</v>
      </c>
      <c r="M50">
        <v>5.7463827160493801E-2</v>
      </c>
      <c r="N50" t="s">
        <v>14</v>
      </c>
      <c r="O50" t="s">
        <v>112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11</v>
      </c>
      <c r="G51">
        <v>11</v>
      </c>
      <c r="H51">
        <v>22</v>
      </c>
      <c r="I51">
        <v>24</v>
      </c>
      <c r="J51">
        <v>0</v>
      </c>
      <c r="K51">
        <v>4</v>
      </c>
      <c r="L51">
        <v>5.7463827160493801E-2</v>
      </c>
      <c r="M51">
        <v>5.7463827160493801E-2</v>
      </c>
      <c r="N51" t="s">
        <v>14</v>
      </c>
      <c r="O51" t="s">
        <v>112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8</v>
      </c>
      <c r="I52">
        <v>22</v>
      </c>
      <c r="J52">
        <v>0</v>
      </c>
      <c r="K52">
        <v>4</v>
      </c>
      <c r="L52">
        <v>6.5002760055478503E-2</v>
      </c>
      <c r="M52">
        <v>6.5002760055478503E-2</v>
      </c>
      <c r="N52" t="s">
        <v>14</v>
      </c>
      <c r="O52" t="s">
        <v>112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0</v>
      </c>
      <c r="I53">
        <v>24</v>
      </c>
      <c r="J53">
        <v>5</v>
      </c>
      <c r="K53">
        <v>6</v>
      </c>
      <c r="L53">
        <v>5.7463827160493801E-2</v>
      </c>
      <c r="M53">
        <v>5.7463827160493801E-2</v>
      </c>
      <c r="N53" t="s">
        <v>14</v>
      </c>
      <c r="O53" t="s">
        <v>112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8</v>
      </c>
      <c r="J54">
        <v>0</v>
      </c>
      <c r="K54">
        <v>4</v>
      </c>
      <c r="L54">
        <v>4.4907500000000003E-2</v>
      </c>
      <c r="M54">
        <v>4.4907500000000003E-2</v>
      </c>
      <c r="N54" t="s">
        <v>14</v>
      </c>
      <c r="O54" t="s">
        <v>112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12</v>
      </c>
      <c r="G55">
        <v>12</v>
      </c>
      <c r="H55">
        <v>22</v>
      </c>
      <c r="I55">
        <v>24</v>
      </c>
      <c r="J55">
        <v>0</v>
      </c>
      <c r="K55">
        <v>4</v>
      </c>
      <c r="L55">
        <v>4.4907500000000003E-2</v>
      </c>
      <c r="M55">
        <v>4.4907500000000003E-2</v>
      </c>
      <c r="N55" t="s">
        <v>14</v>
      </c>
      <c r="O55" t="s">
        <v>112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8</v>
      </c>
      <c r="I56">
        <v>22</v>
      </c>
      <c r="J56">
        <v>0</v>
      </c>
      <c r="K56">
        <v>4</v>
      </c>
      <c r="L56">
        <v>5.51881720430107E-2</v>
      </c>
      <c r="M56">
        <v>5.51881720430107E-2</v>
      </c>
      <c r="N56" t="s">
        <v>14</v>
      </c>
      <c r="O56" t="s">
        <v>112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0</v>
      </c>
      <c r="I57">
        <v>24</v>
      </c>
      <c r="J57">
        <v>5</v>
      </c>
      <c r="K57">
        <v>6</v>
      </c>
      <c r="L57">
        <v>4.4907500000000003E-2</v>
      </c>
      <c r="M57">
        <v>4.4907500000000003E-2</v>
      </c>
      <c r="N57" t="s">
        <v>14</v>
      </c>
      <c r="O57" t="s">
        <v>112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0</v>
      </c>
      <c r="I58">
        <v>24</v>
      </c>
      <c r="J58">
        <v>0</v>
      </c>
      <c r="K58">
        <v>6</v>
      </c>
      <c r="L58" s="7">
        <f>250+0.269727</f>
        <v>250.26972699999999</v>
      </c>
      <c r="M58" s="6">
        <f t="shared" ref="M58:M81" si="0">L58/2.83168</f>
        <v>88.382065416996269</v>
      </c>
      <c r="N58" t="s">
        <v>78</v>
      </c>
      <c r="O58" t="s">
        <v>128</v>
      </c>
    </row>
    <row r="59" spans="1:15">
      <c r="A59" t="s">
        <v>21</v>
      </c>
      <c r="B59" t="s">
        <v>13</v>
      </c>
      <c r="D59">
        <v>10</v>
      </c>
      <c r="E59">
        <f>D59*2.83168</f>
        <v>28.316800000000001</v>
      </c>
      <c r="F59">
        <v>1</v>
      </c>
      <c r="G59">
        <v>1</v>
      </c>
      <c r="H59">
        <v>0</v>
      </c>
      <c r="I59">
        <v>24</v>
      </c>
      <c r="J59">
        <v>0</v>
      </c>
      <c r="K59">
        <v>6</v>
      </c>
      <c r="L59">
        <f>0.2632+0.269727</f>
        <v>0.53292699999999993</v>
      </c>
      <c r="M59" s="6">
        <f t="shared" si="0"/>
        <v>0.18820170358232566</v>
      </c>
      <c r="N59" t="s">
        <v>78</v>
      </c>
      <c r="O59" t="s">
        <v>128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2</v>
      </c>
      <c r="G60">
        <v>2</v>
      </c>
      <c r="H60">
        <v>0</v>
      </c>
      <c r="I60">
        <v>24</v>
      </c>
      <c r="J60">
        <v>0</v>
      </c>
      <c r="K60">
        <v>6</v>
      </c>
      <c r="L60" s="7">
        <f>250+0.343588</f>
        <v>250.34358800000001</v>
      </c>
      <c r="M60" s="6">
        <f t="shared" si="0"/>
        <v>88.408149225901241</v>
      </c>
      <c r="N60" t="s">
        <v>78</v>
      </c>
      <c r="O60" t="s">
        <v>128</v>
      </c>
    </row>
    <row r="61" spans="1:15">
      <c r="A61" t="s">
        <v>21</v>
      </c>
      <c r="B61" t="s">
        <v>13</v>
      </c>
      <c r="D61">
        <v>10</v>
      </c>
      <c r="E61">
        <f>D61*2.83168</f>
        <v>28.316800000000001</v>
      </c>
      <c r="F61">
        <v>2</v>
      </c>
      <c r="G61">
        <v>2</v>
      </c>
      <c r="H61">
        <v>0</v>
      </c>
      <c r="I61">
        <v>24</v>
      </c>
      <c r="J61">
        <v>0</v>
      </c>
      <c r="K61">
        <v>6</v>
      </c>
      <c r="L61">
        <f>0.2632+0.343588</f>
        <v>0.60678799999999999</v>
      </c>
      <c r="M61" s="6">
        <f t="shared" si="0"/>
        <v>0.21428551248728669</v>
      </c>
      <c r="N61" t="s">
        <v>78</v>
      </c>
      <c r="O61" t="s">
        <v>128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3</v>
      </c>
      <c r="G62">
        <v>3</v>
      </c>
      <c r="H62">
        <v>0</v>
      </c>
      <c r="I62">
        <v>24</v>
      </c>
      <c r="J62">
        <v>0</v>
      </c>
      <c r="K62">
        <v>6</v>
      </c>
      <c r="L62">
        <f>0.30532+250</f>
        <v>250.30531999999999</v>
      </c>
      <c r="M62" s="6">
        <f t="shared" si="0"/>
        <v>88.394634987004181</v>
      </c>
      <c r="N62" t="s">
        <v>78</v>
      </c>
      <c r="O62" t="s">
        <v>128</v>
      </c>
    </row>
    <row r="63" spans="1:15">
      <c r="A63" t="s">
        <v>21</v>
      </c>
      <c r="B63" t="s">
        <v>13</v>
      </c>
      <c r="D63">
        <v>10</v>
      </c>
      <c r="E63">
        <f>D63*2.83168</f>
        <v>28.316800000000001</v>
      </c>
      <c r="F63">
        <v>3</v>
      </c>
      <c r="G63">
        <v>3</v>
      </c>
      <c r="H63">
        <v>0</v>
      </c>
      <c r="I63">
        <v>24</v>
      </c>
      <c r="J63">
        <v>0</v>
      </c>
      <c r="K63">
        <v>6</v>
      </c>
      <c r="L63">
        <f>0.2632+0.30532</f>
        <v>0.56851999999999991</v>
      </c>
      <c r="M63" s="6">
        <f t="shared" si="0"/>
        <v>0.20077127359023617</v>
      </c>
      <c r="N63" t="s">
        <v>78</v>
      </c>
      <c r="O63" t="s">
        <v>128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4</v>
      </c>
      <c r="G64">
        <v>4</v>
      </c>
      <c r="H64">
        <v>0</v>
      </c>
      <c r="I64">
        <v>24</v>
      </c>
      <c r="J64">
        <v>0</v>
      </c>
      <c r="K64">
        <v>6</v>
      </c>
      <c r="L64">
        <f>0.31388+250</f>
        <v>250.31388000000001</v>
      </c>
      <c r="M64" s="6">
        <f t="shared" si="0"/>
        <v>88.39765792744943</v>
      </c>
      <c r="N64" t="s">
        <v>78</v>
      </c>
      <c r="O64" t="s">
        <v>128</v>
      </c>
    </row>
    <row r="65" spans="1:15">
      <c r="A65" t="s">
        <v>21</v>
      </c>
      <c r="B65" t="s">
        <v>13</v>
      </c>
      <c r="D65">
        <v>10</v>
      </c>
      <c r="E65">
        <f>D65*2.83168</f>
        <v>28.316800000000001</v>
      </c>
      <c r="F65">
        <v>4</v>
      </c>
      <c r="G65">
        <v>4</v>
      </c>
      <c r="H65">
        <v>0</v>
      </c>
      <c r="I65">
        <v>24</v>
      </c>
      <c r="J65">
        <v>0</v>
      </c>
      <c r="K65">
        <v>6</v>
      </c>
      <c r="L65">
        <f>0.2632+0.31388</f>
        <v>0.57708000000000004</v>
      </c>
      <c r="M65" s="6">
        <f t="shared" si="0"/>
        <v>0.20379421403548426</v>
      </c>
      <c r="N65" t="s">
        <v>78</v>
      </c>
      <c r="O65" t="s">
        <v>128</v>
      </c>
    </row>
    <row r="66" spans="1:15">
      <c r="A66" t="s">
        <v>21</v>
      </c>
      <c r="B66" t="s">
        <v>13</v>
      </c>
      <c r="D66">
        <v>0</v>
      </c>
      <c r="E66">
        <v>0</v>
      </c>
      <c r="F66">
        <v>5</v>
      </c>
      <c r="G66">
        <v>5</v>
      </c>
      <c r="H66">
        <v>0</v>
      </c>
      <c r="I66">
        <v>24</v>
      </c>
      <c r="J66">
        <v>0</v>
      </c>
      <c r="K66">
        <v>6</v>
      </c>
      <c r="L66">
        <f>0.264282+250</f>
        <v>250.26428200000001</v>
      </c>
      <c r="M66" s="6">
        <f t="shared" si="0"/>
        <v>88.380142530229406</v>
      </c>
      <c r="N66" t="s">
        <v>78</v>
      </c>
      <c r="O66" t="s">
        <v>128</v>
      </c>
    </row>
    <row r="67" spans="1:15">
      <c r="A67" t="s">
        <v>21</v>
      </c>
      <c r="B67" t="s">
        <v>13</v>
      </c>
      <c r="D67">
        <v>10</v>
      </c>
      <c r="E67">
        <f>D67*2.83168</f>
        <v>28.316800000000001</v>
      </c>
      <c r="F67">
        <v>5</v>
      </c>
      <c r="G67">
        <v>5</v>
      </c>
      <c r="H67">
        <v>0</v>
      </c>
      <c r="I67">
        <v>24</v>
      </c>
      <c r="J67">
        <v>0</v>
      </c>
      <c r="K67">
        <v>6</v>
      </c>
      <c r="L67">
        <f>0.2632+0.264282</f>
        <v>0.52748200000000001</v>
      </c>
      <c r="M67" s="6">
        <f t="shared" si="0"/>
        <v>0.18627881681545938</v>
      </c>
      <c r="N67" t="s">
        <v>78</v>
      </c>
      <c r="O67" t="s">
        <v>128</v>
      </c>
    </row>
    <row r="68" spans="1:15">
      <c r="A68" t="s">
        <v>21</v>
      </c>
      <c r="B68" t="s">
        <v>13</v>
      </c>
      <c r="D68">
        <v>0</v>
      </c>
      <c r="E68">
        <v>0</v>
      </c>
      <c r="F68">
        <v>6</v>
      </c>
      <c r="G68">
        <v>6</v>
      </c>
      <c r="H68">
        <v>0</v>
      </c>
      <c r="I68">
        <v>24</v>
      </c>
      <c r="J68">
        <v>0</v>
      </c>
      <c r="K68">
        <v>6</v>
      </c>
      <c r="L68">
        <f>0.336001+250</f>
        <v>250.33600100000001</v>
      </c>
      <c r="M68" s="6">
        <f t="shared" si="0"/>
        <v>88.405469897728565</v>
      </c>
      <c r="N68" t="s">
        <v>78</v>
      </c>
      <c r="O68" t="s">
        <v>128</v>
      </c>
    </row>
    <row r="69" spans="1:15">
      <c r="A69" t="s">
        <v>21</v>
      </c>
      <c r="B69" t="s">
        <v>13</v>
      </c>
      <c r="D69">
        <v>10</v>
      </c>
      <c r="E69">
        <v>28.316800000000001</v>
      </c>
      <c r="F69">
        <v>6</v>
      </c>
      <c r="G69">
        <v>6</v>
      </c>
      <c r="H69">
        <v>0</v>
      </c>
      <c r="I69">
        <v>24</v>
      </c>
      <c r="J69">
        <v>0</v>
      </c>
      <c r="K69">
        <v>6</v>
      </c>
      <c r="L69">
        <f>0.2632+0.336001</f>
        <v>0.59920099999999998</v>
      </c>
      <c r="M69" s="6">
        <f t="shared" si="0"/>
        <v>0.21160618431461181</v>
      </c>
      <c r="N69" t="s">
        <v>78</v>
      </c>
      <c r="O69" t="s">
        <v>128</v>
      </c>
    </row>
    <row r="70" spans="1:15">
      <c r="A70" t="s">
        <v>21</v>
      </c>
      <c r="B70" t="s">
        <v>13</v>
      </c>
      <c r="D70">
        <v>0</v>
      </c>
      <c r="E70">
        <v>0</v>
      </c>
      <c r="F70">
        <v>7</v>
      </c>
      <c r="G70">
        <v>7</v>
      </c>
      <c r="H70">
        <v>0</v>
      </c>
      <c r="I70">
        <v>24</v>
      </c>
      <c r="J70">
        <v>0</v>
      </c>
      <c r="K70">
        <v>6</v>
      </c>
      <c r="L70">
        <f>0.382348+250</f>
        <v>250.38234800000001</v>
      </c>
      <c r="M70" s="6">
        <f t="shared" si="0"/>
        <v>88.421837213244444</v>
      </c>
      <c r="N70" t="s">
        <v>78</v>
      </c>
      <c r="O70" t="s">
        <v>128</v>
      </c>
    </row>
    <row r="71" spans="1:15">
      <c r="A71" t="s">
        <v>21</v>
      </c>
      <c r="B71" t="s">
        <v>13</v>
      </c>
      <c r="D71">
        <v>10</v>
      </c>
      <c r="E71">
        <v>28.316800000000001</v>
      </c>
      <c r="F71">
        <v>7</v>
      </c>
      <c r="G71">
        <v>7</v>
      </c>
      <c r="H71">
        <v>0</v>
      </c>
      <c r="I71">
        <v>24</v>
      </c>
      <c r="J71">
        <v>0</v>
      </c>
      <c r="K71">
        <v>6</v>
      </c>
      <c r="L71">
        <f>0.2632+0.382348</f>
        <v>0.64554800000000001</v>
      </c>
      <c r="M71" s="6">
        <f t="shared" si="0"/>
        <v>0.22797349983048934</v>
      </c>
      <c r="N71" t="s">
        <v>78</v>
      </c>
      <c r="O71" t="s">
        <v>128</v>
      </c>
    </row>
    <row r="72" spans="1:15">
      <c r="A72" t="s">
        <v>21</v>
      </c>
      <c r="B72" t="s">
        <v>13</v>
      </c>
      <c r="D72">
        <v>0</v>
      </c>
      <c r="E72">
        <v>0</v>
      </c>
      <c r="F72">
        <v>8</v>
      </c>
      <c r="G72">
        <v>8</v>
      </c>
      <c r="H72">
        <v>0</v>
      </c>
      <c r="I72">
        <v>24</v>
      </c>
      <c r="J72">
        <v>0</v>
      </c>
      <c r="K72">
        <v>6</v>
      </c>
      <c r="L72">
        <f>0.362432+250</f>
        <v>250.36243200000001</v>
      </c>
      <c r="M72" s="6">
        <f t="shared" si="0"/>
        <v>88.414803932647757</v>
      </c>
      <c r="N72" t="s">
        <v>78</v>
      </c>
      <c r="O72" t="s">
        <v>128</v>
      </c>
    </row>
    <row r="73" spans="1:15">
      <c r="A73" t="s">
        <v>21</v>
      </c>
      <c r="B73" t="s">
        <v>13</v>
      </c>
      <c r="D73">
        <v>10</v>
      </c>
      <c r="E73">
        <v>28.316800000000001</v>
      </c>
      <c r="F73">
        <v>8</v>
      </c>
      <c r="G73">
        <v>8</v>
      </c>
      <c r="H73">
        <v>0</v>
      </c>
      <c r="I73">
        <v>24</v>
      </c>
      <c r="J73">
        <v>0</v>
      </c>
      <c r="K73">
        <v>6</v>
      </c>
      <c r="L73">
        <f>0.2632+0.362432</f>
        <v>0.62563199999999997</v>
      </c>
      <c r="M73" s="6">
        <f t="shared" si="0"/>
        <v>0.22094021923381171</v>
      </c>
      <c r="N73" t="s">
        <v>78</v>
      </c>
      <c r="O73" t="s">
        <v>128</v>
      </c>
    </row>
    <row r="74" spans="1:15">
      <c r="A74" t="s">
        <v>21</v>
      </c>
      <c r="B74" t="s">
        <v>13</v>
      </c>
      <c r="D74">
        <v>0</v>
      </c>
      <c r="E74">
        <v>0</v>
      </c>
      <c r="F74">
        <v>9</v>
      </c>
      <c r="G74">
        <v>9</v>
      </c>
      <c r="H74">
        <v>0</v>
      </c>
      <c r="I74">
        <v>24</v>
      </c>
      <c r="J74">
        <v>0</v>
      </c>
      <c r="K74">
        <v>6</v>
      </c>
      <c r="L74">
        <f>0.426913+250</f>
        <v>250.42691300000001</v>
      </c>
      <c r="M74" s="6">
        <f t="shared" si="0"/>
        <v>88.437575220363883</v>
      </c>
      <c r="N74" t="s">
        <v>78</v>
      </c>
      <c r="O74" t="s">
        <v>128</v>
      </c>
    </row>
    <row r="75" spans="1:15">
      <c r="A75" t="s">
        <v>21</v>
      </c>
      <c r="B75" t="s">
        <v>13</v>
      </c>
      <c r="D75">
        <v>10</v>
      </c>
      <c r="E75">
        <v>28.316800000000001</v>
      </c>
      <c r="F75">
        <v>9</v>
      </c>
      <c r="G75">
        <v>9</v>
      </c>
      <c r="H75">
        <v>0</v>
      </c>
      <c r="I75">
        <v>24</v>
      </c>
      <c r="J75">
        <v>0</v>
      </c>
      <c r="K75">
        <v>6</v>
      </c>
      <c r="L75">
        <f>0.2632+0.426913</f>
        <v>0.69011299999999998</v>
      </c>
      <c r="M75" s="6">
        <f t="shared" si="0"/>
        <v>0.24371150694993785</v>
      </c>
      <c r="N75" t="s">
        <v>78</v>
      </c>
      <c r="O75" t="s">
        <v>128</v>
      </c>
    </row>
    <row r="76" spans="1:15">
      <c r="A76" t="s">
        <v>21</v>
      </c>
      <c r="B76" t="s">
        <v>13</v>
      </c>
      <c r="D76">
        <v>0</v>
      </c>
      <c r="E76">
        <v>0</v>
      </c>
      <c r="F76">
        <v>10</v>
      </c>
      <c r="G76">
        <v>10</v>
      </c>
      <c r="H76">
        <v>0</v>
      </c>
      <c r="I76">
        <v>24</v>
      </c>
      <c r="J76">
        <v>0</v>
      </c>
      <c r="K76">
        <v>6</v>
      </c>
      <c r="L76">
        <f>0.567246+250</f>
        <v>250.56724600000001</v>
      </c>
      <c r="M76" s="6">
        <f t="shared" si="0"/>
        <v>88.487133433156288</v>
      </c>
      <c r="N76" t="s">
        <v>78</v>
      </c>
      <c r="O76" t="s">
        <v>128</v>
      </c>
    </row>
    <row r="77" spans="1:15">
      <c r="A77" t="s">
        <v>21</v>
      </c>
      <c r="B77" t="s">
        <v>13</v>
      </c>
      <c r="D77">
        <v>10</v>
      </c>
      <c r="E77">
        <v>28.316800000000001</v>
      </c>
      <c r="F77">
        <v>10</v>
      </c>
      <c r="G77">
        <v>10</v>
      </c>
      <c r="H77">
        <v>0</v>
      </c>
      <c r="I77">
        <v>24</v>
      </c>
      <c r="J77">
        <v>0</v>
      </c>
      <c r="K77">
        <v>6</v>
      </c>
      <c r="L77">
        <f>0.2632+0.567246</f>
        <v>0.83044600000000002</v>
      </c>
      <c r="M77" s="6">
        <f t="shared" si="0"/>
        <v>0.29326971974234378</v>
      </c>
      <c r="N77" t="s">
        <v>78</v>
      </c>
      <c r="O77" t="s">
        <v>128</v>
      </c>
    </row>
    <row r="78" spans="1:15">
      <c r="A78" t="s">
        <v>21</v>
      </c>
      <c r="B78" t="s">
        <v>13</v>
      </c>
      <c r="D78">
        <v>0</v>
      </c>
      <c r="E78">
        <v>0</v>
      </c>
      <c r="F78">
        <v>11</v>
      </c>
      <c r="G78">
        <v>11</v>
      </c>
      <c r="H78">
        <v>0</v>
      </c>
      <c r="I78">
        <v>24</v>
      </c>
      <c r="J78">
        <v>0</v>
      </c>
      <c r="K78">
        <v>6</v>
      </c>
      <c r="L78">
        <f>0.58759+250</f>
        <v>250.58759000000001</v>
      </c>
      <c r="M78" s="6">
        <f t="shared" si="0"/>
        <v>88.494317860775226</v>
      </c>
      <c r="N78" t="s">
        <v>78</v>
      </c>
      <c r="O78" t="s">
        <v>128</v>
      </c>
    </row>
    <row r="79" spans="1:15">
      <c r="A79" t="s">
        <v>21</v>
      </c>
      <c r="B79" t="s">
        <v>13</v>
      </c>
      <c r="D79">
        <v>10</v>
      </c>
      <c r="E79">
        <v>28.316800000000001</v>
      </c>
      <c r="F79">
        <v>11</v>
      </c>
      <c r="G79">
        <v>11</v>
      </c>
      <c r="H79">
        <v>0</v>
      </c>
      <c r="I79">
        <v>24</v>
      </c>
      <c r="J79">
        <v>0</v>
      </c>
      <c r="K79">
        <v>6</v>
      </c>
      <c r="L79">
        <f>0.2632+0.58759</f>
        <v>0.85078999999999994</v>
      </c>
      <c r="M79" s="6">
        <f t="shared" si="0"/>
        <v>0.30045414736128373</v>
      </c>
      <c r="N79" t="s">
        <v>78</v>
      </c>
      <c r="O79" t="s">
        <v>128</v>
      </c>
    </row>
    <row r="80" spans="1:15">
      <c r="A80" t="s">
        <v>21</v>
      </c>
      <c r="B80" t="s">
        <v>13</v>
      </c>
      <c r="D80">
        <v>0</v>
      </c>
      <c r="E80">
        <v>0</v>
      </c>
      <c r="F80">
        <v>12</v>
      </c>
      <c r="G80">
        <v>12</v>
      </c>
      <c r="H80">
        <v>0</v>
      </c>
      <c r="I80">
        <v>24</v>
      </c>
      <c r="J80">
        <v>0</v>
      </c>
      <c r="K80">
        <v>6</v>
      </c>
      <c r="L80">
        <f>0.55643+250</f>
        <v>250.55643000000001</v>
      </c>
      <c r="M80" s="6">
        <f t="shared" si="0"/>
        <v>88.483313792518928</v>
      </c>
      <c r="N80" t="s">
        <v>78</v>
      </c>
      <c r="O80" t="s">
        <v>128</v>
      </c>
    </row>
    <row r="81" spans="1:15">
      <c r="A81" t="s">
        <v>21</v>
      </c>
      <c r="B81" t="s">
        <v>13</v>
      </c>
      <c r="D81">
        <v>10</v>
      </c>
      <c r="E81">
        <v>28.316800000000001</v>
      </c>
      <c r="F81">
        <v>12</v>
      </c>
      <c r="G81">
        <v>12</v>
      </c>
      <c r="H81">
        <v>0</v>
      </c>
      <c r="I81">
        <v>24</v>
      </c>
      <c r="J81">
        <v>0</v>
      </c>
      <c r="K81">
        <v>6</v>
      </c>
      <c r="L81">
        <f>0.2632+0.55643</f>
        <v>0.81962999999999997</v>
      </c>
      <c r="M81" s="6">
        <f t="shared" si="0"/>
        <v>0.2894500791049836</v>
      </c>
      <c r="N81" t="s">
        <v>78</v>
      </c>
      <c r="O81" t="s">
        <v>128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55"/>
  <sheetViews>
    <sheetView topLeftCell="A15" workbookViewId="0">
      <selection activeCell="A29" sqref="A29:N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5">
        <v>3.026328046E-2</v>
      </c>
      <c r="M5" s="5">
        <v>3.026328046E-2</v>
      </c>
      <c r="N5" t="s">
        <v>14</v>
      </c>
      <c r="O5" t="s">
        <v>108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5">
        <v>4.1977657850000002E-2</v>
      </c>
      <c r="M6" s="5">
        <v>4.1977657850000002E-2</v>
      </c>
      <c r="N6" t="s">
        <v>14</v>
      </c>
      <c r="O6" t="s">
        <v>108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5">
        <v>2.246983126E-2</v>
      </c>
      <c r="M7" s="5">
        <v>2.246983126E-2</v>
      </c>
      <c r="N7" t="s">
        <v>14</v>
      </c>
      <c r="O7" t="s">
        <v>108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5">
        <v>2.0291726560000001E-2</v>
      </c>
      <c r="M8" s="5">
        <v>2.0291726560000001E-2</v>
      </c>
      <c r="N8" t="s">
        <v>14</v>
      </c>
      <c r="O8" t="s">
        <v>108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5">
        <v>2.4018741480000001E-2</v>
      </c>
      <c r="M9" s="5">
        <v>2.4018741480000001E-2</v>
      </c>
      <c r="N9" t="s">
        <v>14</v>
      </c>
      <c r="O9" t="s">
        <v>108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5">
        <v>2.1854110190000001E-2</v>
      </c>
      <c r="M10" s="5">
        <v>2.1854110190000001E-2</v>
      </c>
      <c r="N10" t="s">
        <v>14</v>
      </c>
      <c r="O10" t="s">
        <v>108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5">
        <v>2.1854110190000001E-2</v>
      </c>
      <c r="M11" s="5">
        <v>2.1854110190000001E-2</v>
      </c>
      <c r="N11" t="s">
        <v>14</v>
      </c>
      <c r="O11" t="s">
        <v>108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5">
        <v>2.827895213E-2</v>
      </c>
      <c r="M12" s="5">
        <v>2.827895213E-2</v>
      </c>
      <c r="N12" t="s">
        <v>14</v>
      </c>
      <c r="O12" t="s">
        <v>108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5">
        <v>2.1854110190000001E-2</v>
      </c>
      <c r="M13" s="5">
        <v>2.1854110190000001E-2</v>
      </c>
      <c r="N13" t="s">
        <v>14</v>
      </c>
      <c r="O13" t="s">
        <v>108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5">
        <v>2.5479554389999999E-2</v>
      </c>
      <c r="M14" s="5">
        <v>2.5479554389999999E-2</v>
      </c>
      <c r="N14" t="s">
        <v>14</v>
      </c>
      <c r="O14" t="s">
        <v>108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5">
        <v>2.5479554389999999E-2</v>
      </c>
      <c r="M15" s="5">
        <v>2.5479554389999999E-2</v>
      </c>
      <c r="N15" t="s">
        <v>14</v>
      </c>
      <c r="O15" t="s">
        <v>108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5">
        <v>3.2981821770000003E-2</v>
      </c>
      <c r="M16" s="5">
        <v>3.2981821770000003E-2</v>
      </c>
      <c r="N16" t="s">
        <v>14</v>
      </c>
      <c r="O16" t="s">
        <v>108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5">
        <v>2.5479554389999999E-2</v>
      </c>
      <c r="M17" s="5">
        <v>2.5479554389999999E-2</v>
      </c>
      <c r="N17" t="s">
        <v>14</v>
      </c>
      <c r="O17" t="s">
        <v>108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5">
        <v>3.039418679E-2</v>
      </c>
      <c r="M18" s="5">
        <v>3.039418679E-2</v>
      </c>
      <c r="N18" t="s">
        <v>14</v>
      </c>
      <c r="O18" t="s">
        <v>108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5">
        <v>3.039418679E-2</v>
      </c>
      <c r="M19" s="5">
        <v>3.039418679E-2</v>
      </c>
      <c r="N19" t="s">
        <v>14</v>
      </c>
      <c r="O19" t="s">
        <v>108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5">
        <v>4.0217823329999999E-2</v>
      </c>
      <c r="M20" s="5">
        <v>4.0217823329999999E-2</v>
      </c>
      <c r="N20" t="s">
        <v>14</v>
      </c>
      <c r="O20" t="s">
        <v>108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5">
        <v>3.039418679E-2</v>
      </c>
      <c r="M21" s="5">
        <v>3.039418679E-2</v>
      </c>
      <c r="N21" t="s">
        <v>14</v>
      </c>
      <c r="O21" t="s">
        <v>108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5">
        <v>3.2882503930000001E-2</v>
      </c>
      <c r="M22" s="5">
        <v>3.2882503930000001E-2</v>
      </c>
      <c r="N22" t="s">
        <v>14</v>
      </c>
      <c r="O22" t="s">
        <v>108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5">
        <v>3.2882503930000001E-2</v>
      </c>
      <c r="M23" s="5">
        <v>3.2882503930000001E-2</v>
      </c>
      <c r="N23" t="s">
        <v>14</v>
      </c>
      <c r="O23" t="s">
        <v>108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5">
        <v>4.1110212530000002E-2</v>
      </c>
      <c r="M24" s="5">
        <v>4.1110212530000002E-2</v>
      </c>
      <c r="N24" t="s">
        <v>14</v>
      </c>
      <c r="O24" t="s">
        <v>108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5">
        <v>3.2882503930000001E-2</v>
      </c>
      <c r="M25" s="5">
        <v>3.2882503930000001E-2</v>
      </c>
      <c r="N25" t="s">
        <v>14</v>
      </c>
      <c r="O25" t="s">
        <v>108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5">
        <v>4.695841244E-2</v>
      </c>
      <c r="M26" s="5">
        <v>4.695841244E-2</v>
      </c>
      <c r="N26" t="s">
        <v>14</v>
      </c>
      <c r="O26" t="s">
        <v>108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5">
        <v>4.7585548550000002E-2</v>
      </c>
      <c r="M27" s="5">
        <v>4.7585548550000002E-2</v>
      </c>
      <c r="N27" t="s">
        <v>14</v>
      </c>
      <c r="O27" t="s">
        <v>108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5">
        <v>3.3438709269999999E-2</v>
      </c>
      <c r="M28" s="5">
        <v>3.3438709269999999E-2</v>
      </c>
      <c r="N28" t="s">
        <v>14</v>
      </c>
      <c r="O28" t="s">
        <v>108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15</v>
      </c>
      <c r="C30" t="s">
        <v>68</v>
      </c>
      <c r="D30">
        <v>0</v>
      </c>
      <c r="E30">
        <v>0</v>
      </c>
      <c r="F30">
        <v>1</v>
      </c>
      <c r="G30">
        <v>4</v>
      </c>
      <c r="H30">
        <v>0</v>
      </c>
      <c r="I30">
        <v>24</v>
      </c>
      <c r="J30">
        <v>0</v>
      </c>
      <c r="K30">
        <v>6</v>
      </c>
      <c r="L30" s="9">
        <f>4.0632 *24</f>
        <v>97.516800000000003</v>
      </c>
      <c r="M30" s="5">
        <f t="shared" ref="M30:M55" si="0">L30/2.83168</f>
        <v>34.437789580743591</v>
      </c>
      <c r="N30" t="s">
        <v>79</v>
      </c>
    </row>
    <row r="31" spans="1:15">
      <c r="A31" t="s">
        <v>21</v>
      </c>
      <c r="B31" t="s">
        <v>15</v>
      </c>
      <c r="C31" t="s">
        <v>68</v>
      </c>
      <c r="D31">
        <v>0</v>
      </c>
      <c r="E31">
        <v>0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9">
        <f>4.0632 *24</f>
        <v>97.516800000000003</v>
      </c>
      <c r="M31" s="5">
        <f t="shared" si="0"/>
        <v>34.437789580743591</v>
      </c>
      <c r="N31" t="s">
        <v>79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0</v>
      </c>
      <c r="I32">
        <v>24</v>
      </c>
      <c r="J32">
        <v>0</v>
      </c>
      <c r="K32">
        <v>6</v>
      </c>
      <c r="L32">
        <f>0.043725+0.472702</f>
        <v>0.51642699999999997</v>
      </c>
      <c r="M32" s="5">
        <f t="shared" si="0"/>
        <v>0.1823747739857611</v>
      </c>
      <c r="N32" t="s">
        <v>78</v>
      </c>
    </row>
    <row r="33" spans="1:14">
      <c r="A33" t="s">
        <v>21</v>
      </c>
      <c r="B33" t="s">
        <v>13</v>
      </c>
      <c r="D33">
        <v>1000</v>
      </c>
      <c r="E33">
        <f>D33*2.83168</f>
        <v>2831.68</v>
      </c>
      <c r="F33">
        <v>1</v>
      </c>
      <c r="G33">
        <v>1</v>
      </c>
      <c r="H33">
        <v>0</v>
      </c>
      <c r="I33">
        <v>24</v>
      </c>
      <c r="J33">
        <v>0</v>
      </c>
      <c r="K33">
        <v>6</v>
      </c>
      <c r="L33">
        <f>0.043078+0.472702</f>
        <v>0.51578000000000002</v>
      </c>
      <c r="M33" s="5">
        <f t="shared" si="0"/>
        <v>0.18214628771612612</v>
      </c>
      <c r="N33" t="s">
        <v>78</v>
      </c>
    </row>
    <row r="34" spans="1:14">
      <c r="A34" t="s">
        <v>21</v>
      </c>
      <c r="B34" t="s">
        <v>13</v>
      </c>
      <c r="D34">
        <v>0</v>
      </c>
      <c r="E34">
        <v>0</v>
      </c>
      <c r="F34">
        <v>2</v>
      </c>
      <c r="G34">
        <v>2</v>
      </c>
      <c r="H34">
        <v>0</v>
      </c>
      <c r="I34">
        <v>24</v>
      </c>
      <c r="J34">
        <v>0</v>
      </c>
      <c r="K34">
        <v>6</v>
      </c>
      <c r="L34">
        <f>0.043725+0.5016</f>
        <v>0.54532500000000006</v>
      </c>
      <c r="M34" s="5">
        <f t="shared" si="0"/>
        <v>0.1925800231664595</v>
      </c>
      <c r="N34" t="s">
        <v>78</v>
      </c>
    </row>
    <row r="35" spans="1:14">
      <c r="A35" t="s">
        <v>21</v>
      </c>
      <c r="B35" t="s">
        <v>13</v>
      </c>
      <c r="D35">
        <v>1000</v>
      </c>
      <c r="E35">
        <f>D35*2.83168</f>
        <v>2831.68</v>
      </c>
      <c r="F35">
        <v>2</v>
      </c>
      <c r="G35">
        <v>2</v>
      </c>
      <c r="H35">
        <v>0</v>
      </c>
      <c r="I35">
        <v>24</v>
      </c>
      <c r="J35">
        <v>0</v>
      </c>
      <c r="K35">
        <v>6</v>
      </c>
      <c r="L35">
        <f>0.043078+0.5016</f>
        <v>0.544678</v>
      </c>
      <c r="M35" s="5">
        <f t="shared" si="0"/>
        <v>0.19235153689682449</v>
      </c>
      <c r="N35" t="s">
        <v>78</v>
      </c>
    </row>
    <row r="36" spans="1:14">
      <c r="A36" t="s">
        <v>21</v>
      </c>
      <c r="B36" t="s">
        <v>13</v>
      </c>
      <c r="D36">
        <v>0</v>
      </c>
      <c r="E36">
        <v>0</v>
      </c>
      <c r="F36">
        <v>3</v>
      </c>
      <c r="G36">
        <v>3</v>
      </c>
      <c r="H36">
        <v>0</v>
      </c>
      <c r="I36">
        <v>24</v>
      </c>
      <c r="J36">
        <v>0</v>
      </c>
      <c r="K36">
        <v>6</v>
      </c>
      <c r="L36">
        <f>0.043725+0.509192</f>
        <v>0.55291699999999999</v>
      </c>
      <c r="M36" s="5">
        <f t="shared" si="0"/>
        <v>0.19526111707537575</v>
      </c>
      <c r="N36" t="s">
        <v>78</v>
      </c>
    </row>
    <row r="37" spans="1:14">
      <c r="A37" t="s">
        <v>21</v>
      </c>
      <c r="B37" t="s">
        <v>13</v>
      </c>
      <c r="D37">
        <v>1000</v>
      </c>
      <c r="E37">
        <f>D37*2.83168</f>
        <v>2831.68</v>
      </c>
      <c r="F37">
        <v>3</v>
      </c>
      <c r="G37">
        <v>3</v>
      </c>
      <c r="H37">
        <v>0</v>
      </c>
      <c r="I37">
        <v>24</v>
      </c>
      <c r="J37">
        <v>0</v>
      </c>
      <c r="K37">
        <v>6</v>
      </c>
      <c r="L37">
        <f>0.043078+0.509192</f>
        <v>0.55226999999999993</v>
      </c>
      <c r="M37" s="5">
        <f t="shared" si="0"/>
        <v>0.19503263080574074</v>
      </c>
      <c r="N37" t="s">
        <v>78</v>
      </c>
    </row>
    <row r="38" spans="1:14">
      <c r="A38" t="s">
        <v>21</v>
      </c>
      <c r="B38" t="s">
        <v>13</v>
      </c>
      <c r="D38">
        <v>0</v>
      </c>
      <c r="E38">
        <v>0</v>
      </c>
      <c r="F38">
        <v>4</v>
      </c>
      <c r="G38">
        <v>4</v>
      </c>
      <c r="H38">
        <v>0</v>
      </c>
      <c r="I38">
        <v>24</v>
      </c>
      <c r="J38">
        <v>0</v>
      </c>
      <c r="K38">
        <v>6</v>
      </c>
      <c r="L38">
        <f>0.043725+0.479845</f>
        <v>0.52356999999999998</v>
      </c>
      <c r="M38" s="5">
        <f t="shared" si="0"/>
        <v>0.18489730478020114</v>
      </c>
      <c r="N38" t="s">
        <v>78</v>
      </c>
    </row>
    <row r="39" spans="1:14">
      <c r="A39" t="s">
        <v>21</v>
      </c>
      <c r="B39" t="s">
        <v>13</v>
      </c>
      <c r="D39">
        <v>1000</v>
      </c>
      <c r="E39">
        <f>D39*2.83168</f>
        <v>2831.68</v>
      </c>
      <c r="F39">
        <v>4</v>
      </c>
      <c r="G39">
        <v>4</v>
      </c>
      <c r="H39">
        <v>0</v>
      </c>
      <c r="I39">
        <v>24</v>
      </c>
      <c r="J39">
        <v>0</v>
      </c>
      <c r="K39">
        <v>6</v>
      </c>
      <c r="L39">
        <f>0.043078+0.479845</f>
        <v>0.52292300000000003</v>
      </c>
      <c r="M39" s="5">
        <f t="shared" si="0"/>
        <v>0.18466881851056619</v>
      </c>
      <c r="N39" t="s">
        <v>78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5</v>
      </c>
      <c r="G40">
        <v>5</v>
      </c>
      <c r="H40">
        <v>0</v>
      </c>
      <c r="I40">
        <v>24</v>
      </c>
      <c r="J40">
        <v>0</v>
      </c>
      <c r="K40">
        <v>6</v>
      </c>
      <c r="L40">
        <f>0.043725+0.514437</f>
        <v>0.55816200000000005</v>
      </c>
      <c r="M40" s="5">
        <f t="shared" si="0"/>
        <v>0.19711337439258675</v>
      </c>
      <c r="N40" t="s">
        <v>78</v>
      </c>
    </row>
    <row r="41" spans="1:14">
      <c r="A41" t="s">
        <v>21</v>
      </c>
      <c r="B41" t="s">
        <v>13</v>
      </c>
      <c r="D41">
        <v>1000</v>
      </c>
      <c r="E41">
        <f>D41*2.83168</f>
        <v>2831.68</v>
      </c>
      <c r="F41">
        <v>5</v>
      </c>
      <c r="G41">
        <v>5</v>
      </c>
      <c r="H41">
        <v>0</v>
      </c>
      <c r="I41">
        <v>24</v>
      </c>
      <c r="J41">
        <v>0</v>
      </c>
      <c r="K41">
        <v>6</v>
      </c>
      <c r="L41">
        <f>0.043078+0.514437</f>
        <v>0.55751499999999998</v>
      </c>
      <c r="M41" s="5">
        <f t="shared" si="0"/>
        <v>0.19688488812295174</v>
      </c>
      <c r="N41" t="s">
        <v>78</v>
      </c>
    </row>
    <row r="42" spans="1:14">
      <c r="A42" t="s">
        <v>21</v>
      </c>
      <c r="B42" t="s">
        <v>13</v>
      </c>
      <c r="D42">
        <v>0</v>
      </c>
      <c r="E42">
        <v>0</v>
      </c>
      <c r="F42">
        <v>6</v>
      </c>
      <c r="G42">
        <v>6</v>
      </c>
      <c r="H42">
        <v>0</v>
      </c>
      <c r="I42">
        <v>24</v>
      </c>
      <c r="J42">
        <v>0</v>
      </c>
      <c r="K42">
        <v>6</v>
      </c>
      <c r="L42">
        <f>0.043725+0.520431</f>
        <v>0.56415599999999999</v>
      </c>
      <c r="M42" s="5">
        <f t="shared" si="0"/>
        <v>0.19923013899875691</v>
      </c>
      <c r="N42" t="s">
        <v>78</v>
      </c>
    </row>
    <row r="43" spans="1:14">
      <c r="A43" t="s">
        <v>21</v>
      </c>
      <c r="B43" t="s">
        <v>13</v>
      </c>
      <c r="D43">
        <v>1000</v>
      </c>
      <c r="E43">
        <f>D43*2.83168</f>
        <v>2831.68</v>
      </c>
      <c r="F43">
        <v>6</v>
      </c>
      <c r="G43">
        <v>6</v>
      </c>
      <c r="H43">
        <v>0</v>
      </c>
      <c r="I43">
        <v>24</v>
      </c>
      <c r="J43">
        <v>0</v>
      </c>
      <c r="K43">
        <v>6</v>
      </c>
      <c r="L43">
        <f>0.043078+0.520431</f>
        <v>0.56350899999999993</v>
      </c>
      <c r="M43" s="5">
        <f t="shared" si="0"/>
        <v>0.1990016527291219</v>
      </c>
      <c r="N43" t="s">
        <v>78</v>
      </c>
    </row>
    <row r="44" spans="1:14">
      <c r="A44" t="s">
        <v>21</v>
      </c>
      <c r="B44" t="s">
        <v>13</v>
      </c>
      <c r="D44">
        <v>0</v>
      </c>
      <c r="E44">
        <v>0</v>
      </c>
      <c r="F44">
        <v>7</v>
      </c>
      <c r="G44">
        <v>7</v>
      </c>
      <c r="H44">
        <v>0</v>
      </c>
      <c r="I44">
        <v>24</v>
      </c>
      <c r="J44">
        <v>0</v>
      </c>
      <c r="K44">
        <v>6</v>
      </c>
      <c r="L44">
        <f>0.043725+0.580022</f>
        <v>0.62374700000000005</v>
      </c>
      <c r="M44" s="5">
        <f t="shared" si="0"/>
        <v>0.22027453667081029</v>
      </c>
      <c r="N44" t="s">
        <v>78</v>
      </c>
    </row>
    <row r="45" spans="1:14">
      <c r="A45" t="s">
        <v>21</v>
      </c>
      <c r="B45" t="s">
        <v>13</v>
      </c>
      <c r="D45">
        <v>1000</v>
      </c>
      <c r="E45">
        <f>D45*2.83168</f>
        <v>2831.68</v>
      </c>
      <c r="F45">
        <v>7</v>
      </c>
      <c r="G45">
        <v>7</v>
      </c>
      <c r="H45">
        <v>0</v>
      </c>
      <c r="I45">
        <v>24</v>
      </c>
      <c r="J45">
        <v>0</v>
      </c>
      <c r="K45">
        <v>6</v>
      </c>
      <c r="L45">
        <f>0.043078+0.580022</f>
        <v>0.62309999999999999</v>
      </c>
      <c r="M45" s="5">
        <f t="shared" si="0"/>
        <v>0.22004605040117528</v>
      </c>
      <c r="N45" t="s">
        <v>78</v>
      </c>
    </row>
    <row r="46" spans="1:14">
      <c r="A46" t="s">
        <v>21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0</v>
      </c>
      <c r="K46">
        <v>6</v>
      </c>
      <c r="L46">
        <f>0.043725+0.626594</f>
        <v>0.670319</v>
      </c>
      <c r="M46" s="5">
        <f t="shared" si="0"/>
        <v>0.23672131031755</v>
      </c>
      <c r="N46" t="s">
        <v>78</v>
      </c>
    </row>
    <row r="47" spans="1:14">
      <c r="A47" t="s">
        <v>21</v>
      </c>
      <c r="B47" t="s">
        <v>13</v>
      </c>
      <c r="D47">
        <v>1000</v>
      </c>
      <c r="E47">
        <f>D47*2.83168</f>
        <v>2831.68</v>
      </c>
      <c r="F47">
        <v>8</v>
      </c>
      <c r="G47">
        <v>8</v>
      </c>
      <c r="H47">
        <v>0</v>
      </c>
      <c r="I47">
        <v>24</v>
      </c>
      <c r="J47">
        <v>0</v>
      </c>
      <c r="K47">
        <v>6</v>
      </c>
      <c r="L47">
        <f>0.043078+0.626594</f>
        <v>0.66967199999999993</v>
      </c>
      <c r="M47" s="5">
        <f t="shared" si="0"/>
        <v>0.236492824047915</v>
      </c>
      <c r="N47" t="s">
        <v>78</v>
      </c>
    </row>
    <row r="48" spans="1:14">
      <c r="A48" t="s">
        <v>21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0</v>
      </c>
      <c r="I48">
        <v>24</v>
      </c>
      <c r="J48">
        <v>0</v>
      </c>
      <c r="K48">
        <v>6</v>
      </c>
      <c r="L48">
        <f>0.043725+0.658859</f>
        <v>0.70258399999999999</v>
      </c>
      <c r="M48" s="5">
        <f t="shared" si="0"/>
        <v>0.24811560628319584</v>
      </c>
      <c r="N48" t="s">
        <v>78</v>
      </c>
    </row>
    <row r="49" spans="1:14">
      <c r="A49" t="s">
        <v>21</v>
      </c>
      <c r="B49" t="s">
        <v>13</v>
      </c>
      <c r="D49">
        <v>1000</v>
      </c>
      <c r="E49">
        <f>D49*2.83168</f>
        <v>2831.68</v>
      </c>
      <c r="F49">
        <v>9</v>
      </c>
      <c r="G49">
        <v>9</v>
      </c>
      <c r="H49">
        <v>0</v>
      </c>
      <c r="I49">
        <v>24</v>
      </c>
      <c r="J49">
        <v>0</v>
      </c>
      <c r="K49">
        <v>6</v>
      </c>
      <c r="L49">
        <f>0.043078+0.658859</f>
        <v>0.70193699999999992</v>
      </c>
      <c r="M49" s="5">
        <f t="shared" si="0"/>
        <v>0.24788712001356084</v>
      </c>
      <c r="N49" t="s">
        <v>78</v>
      </c>
    </row>
    <row r="50" spans="1:14">
      <c r="A50" t="s">
        <v>21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24</v>
      </c>
      <c r="J50">
        <v>0</v>
      </c>
      <c r="K50">
        <v>6</v>
      </c>
      <c r="L50">
        <f>0.043725+0.804461</f>
        <v>0.848186</v>
      </c>
      <c r="M50" s="5">
        <f t="shared" si="0"/>
        <v>0.29953455192677136</v>
      </c>
      <c r="N50" t="s">
        <v>78</v>
      </c>
    </row>
    <row r="51" spans="1:14">
      <c r="A51" t="s">
        <v>21</v>
      </c>
      <c r="B51" t="s">
        <v>13</v>
      </c>
      <c r="D51">
        <v>1000</v>
      </c>
      <c r="E51">
        <f>D51*2.83168</f>
        <v>2831.68</v>
      </c>
      <c r="F51">
        <v>10</v>
      </c>
      <c r="G51">
        <v>10</v>
      </c>
      <c r="H51">
        <v>0</v>
      </c>
      <c r="I51">
        <v>24</v>
      </c>
      <c r="J51">
        <v>0</v>
      </c>
      <c r="K51">
        <v>6</v>
      </c>
      <c r="L51">
        <f>0.043078+0.804461</f>
        <v>0.84753899999999993</v>
      </c>
      <c r="M51" s="5">
        <f t="shared" si="0"/>
        <v>0.29930606565713636</v>
      </c>
      <c r="N51" t="s">
        <v>78</v>
      </c>
    </row>
    <row r="52" spans="1:14">
      <c r="A52" t="s">
        <v>21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24</v>
      </c>
      <c r="J52">
        <v>0</v>
      </c>
      <c r="K52">
        <v>6</v>
      </c>
      <c r="L52">
        <f>0.043725+0.853798</f>
        <v>0.89752299999999996</v>
      </c>
      <c r="M52" s="5">
        <f t="shared" si="0"/>
        <v>0.31695777771499606</v>
      </c>
      <c r="N52" t="s">
        <v>78</v>
      </c>
    </row>
    <row r="53" spans="1:14">
      <c r="A53" t="s">
        <v>21</v>
      </c>
      <c r="B53" t="s">
        <v>13</v>
      </c>
      <c r="D53">
        <v>1000</v>
      </c>
      <c r="E53">
        <f>D53*2.83168</f>
        <v>2831.68</v>
      </c>
      <c r="F53">
        <v>11</v>
      </c>
      <c r="G53">
        <v>11</v>
      </c>
      <c r="H53">
        <v>0</v>
      </c>
      <c r="I53">
        <v>24</v>
      </c>
      <c r="J53">
        <v>0</v>
      </c>
      <c r="K53">
        <v>6</v>
      </c>
      <c r="L53">
        <f>0.043078+0.853798</f>
        <v>0.8968759999999999</v>
      </c>
      <c r="M53" s="5">
        <f t="shared" si="0"/>
        <v>0.31672929144536105</v>
      </c>
      <c r="N53" t="s">
        <v>78</v>
      </c>
    </row>
    <row r="54" spans="1:14">
      <c r="A54" t="s">
        <v>21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0.043725+0.775689</f>
        <v>0.81941399999999998</v>
      </c>
      <c r="M54" s="5">
        <f t="shared" si="0"/>
        <v>0.28937379929935586</v>
      </c>
      <c r="N54" t="s">
        <v>78</v>
      </c>
    </row>
    <row r="55" spans="1:14">
      <c r="A55" t="s">
        <v>21</v>
      </c>
      <c r="B55" t="s">
        <v>13</v>
      </c>
      <c r="D55">
        <v>1000</v>
      </c>
      <c r="E55">
        <f>D55*2.83168</f>
        <v>2831.68</v>
      </c>
      <c r="F55">
        <v>12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0.043078+0.775689</f>
        <v>0.81876699999999991</v>
      </c>
      <c r="M55" s="5">
        <f t="shared" si="0"/>
        <v>0.28914531302972085</v>
      </c>
      <c r="N55" t="s">
        <v>78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29"/>
  <sheetViews>
    <sheetView workbookViewId="0">
      <selection activeCell="M16" sqref="M1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5">
        <f>0.00121+0.0244678</f>
        <v>2.5677800000000001E-2</v>
      </c>
      <c r="M3" s="5">
        <f>0.00121+0.0244678</f>
        <v>2.5677800000000001E-2</v>
      </c>
      <c r="N3" t="s">
        <v>14</v>
      </c>
      <c r="O3" t="s">
        <v>111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5">
        <f>0.00121+0.0445597</f>
        <v>4.5769700000000003E-2</v>
      </c>
      <c r="M4" s="5">
        <f>0.00121+0.0445597</f>
        <v>4.5769700000000003E-2</v>
      </c>
      <c r="N4" t="s">
        <v>14</v>
      </c>
      <c r="O4" t="s">
        <v>111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5">
        <f>0.00121+0.02273642</f>
        <v>2.394642E-2</v>
      </c>
      <c r="M5" s="5">
        <f>0.00121+0.02273642</f>
        <v>2.394642E-2</v>
      </c>
      <c r="N5" t="s">
        <v>14</v>
      </c>
      <c r="O5" t="s">
        <v>111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5">
        <f>0.00121+0.026576292</f>
        <v>2.7786292000000001E-2</v>
      </c>
      <c r="M6" s="5">
        <f>0.00121+0.026576292</f>
        <v>2.7786292000000001E-2</v>
      </c>
      <c r="N6" t="s">
        <v>14</v>
      </c>
      <c r="O6" t="s">
        <v>111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5">
        <f>0.00121+0.026425685</f>
        <v>2.7635685E-2</v>
      </c>
      <c r="M7" s="5">
        <f>0.00121+0.026425685</f>
        <v>2.7635685E-2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5">
        <f>0.00121+0.032569458</f>
        <v>3.3779458000000005E-2</v>
      </c>
      <c r="M8" s="5">
        <f>0.00121+0.032569458</f>
        <v>3.3779458000000005E-2</v>
      </c>
      <c r="N8" t="s">
        <v>14</v>
      </c>
      <c r="O8" t="s">
        <v>111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0">
        <f>0.00121+0.03256946</f>
        <v>3.3779460000000004E-2</v>
      </c>
      <c r="M9" s="10">
        <f>0.00121+0.03256946</f>
        <v>3.3779460000000004E-2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5">
        <f>0.00121+0.043616868</f>
        <v>4.4826868000000006E-2</v>
      </c>
      <c r="M10" s="5">
        <f>0.00121+0.043616868</f>
        <v>4.4826868000000006E-2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5">
        <f>0.00121+0.044587306</f>
        <v>4.5797306000000003E-2</v>
      </c>
      <c r="M11" s="5">
        <f>0.00121+0.044587306</f>
        <v>4.5797306000000003E-2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5">
        <f>0.00121+0.055849073</f>
        <v>5.7059073000000002E-2</v>
      </c>
      <c r="M12" s="5">
        <f>0.00121+0.055849073</f>
        <v>5.7059073000000002E-2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5">
        <f>0.00121+0.050181969</f>
        <v>5.1391969000000003E-2</v>
      </c>
      <c r="M13" s="5">
        <f>0.00121+0.050181969</f>
        <v>5.1391969000000003E-2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5">
        <f>0.00121+0.0328868</f>
        <v>3.4096800000000003E-2</v>
      </c>
      <c r="M14" s="5">
        <f>0.00121+0.0328868</f>
        <v>3.4096800000000003E-2</v>
      </c>
      <c r="N14" t="s">
        <v>14</v>
      </c>
      <c r="O14" t="s">
        <v>111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74</v>
      </c>
    </row>
    <row r="16" spans="1:15">
      <c r="A16" t="s">
        <v>21</v>
      </c>
      <c r="B16" t="s">
        <v>11</v>
      </c>
      <c r="L16">
        <v>918</v>
      </c>
      <c r="M16">
        <v>918</v>
      </c>
      <c r="N16" t="s">
        <v>12</v>
      </c>
    </row>
    <row r="17" spans="1:15">
      <c r="A17" t="s">
        <v>21</v>
      </c>
      <c r="B17" t="s">
        <v>15</v>
      </c>
      <c r="C17" t="s">
        <v>130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5">
        <f t="shared" ref="M17:M29" si="0">L17/2.83168</f>
        <v>7.4444852525709111</v>
      </c>
      <c r="N17" t="s">
        <v>79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5">
        <f t="shared" si="0"/>
        <v>0.12326957848344447</v>
      </c>
      <c r="N18" t="s">
        <v>78</v>
      </c>
      <c r="O18" t="s">
        <v>128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5">
        <f t="shared" si="0"/>
        <v>0.12514125889931066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5">
        <f t="shared" si="0"/>
        <v>0.13499406712622897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5">
        <f t="shared" si="0"/>
        <v>0.18492908803254607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5">
        <f t="shared" si="0"/>
        <v>0.20929624816363429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5">
        <f t="shared" si="0"/>
        <v>0.22508193016160016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5">
        <f t="shared" si="0"/>
        <v>0.24298649564922589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5">
        <f t="shared" si="0"/>
        <v>0.25170923268165896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5">
        <f t="shared" si="0"/>
        <v>0.25499350209063171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5">
        <f t="shared" si="0"/>
        <v>0.2775596112555091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5">
        <f t="shared" si="0"/>
        <v>0.28218584020793308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5">
        <f t="shared" si="0"/>
        <v>0.26195050288168154</v>
      </c>
      <c r="N29" t="s">
        <v>78</v>
      </c>
      <c r="O29" t="s">
        <v>128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3"/>
  <sheetViews>
    <sheetView workbookViewId="0">
      <selection activeCell="C27" sqref="C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5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5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f>0.3651+0.5867</f>
        <v>0.95179999999999998</v>
      </c>
      <c r="M19" s="6">
        <f>L19/2.83168</f>
        <v>0.3361255509097073</v>
      </c>
      <c r="N19" t="s">
        <v>78</v>
      </c>
      <c r="O19" t="s">
        <v>128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f>0.3226+0.3895</f>
        <v>0.71209999999999996</v>
      </c>
      <c r="M20" s="6">
        <f>L20/2.83168</f>
        <v>0.25147615549779634</v>
      </c>
      <c r="N20" t="s">
        <v>78</v>
      </c>
      <c r="O20" t="s">
        <v>128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9</v>
      </c>
      <c r="G21">
        <v>10</v>
      </c>
      <c r="H21">
        <v>0</v>
      </c>
      <c r="I21">
        <v>24</v>
      </c>
      <c r="J21">
        <v>0</v>
      </c>
      <c r="K21">
        <v>6</v>
      </c>
      <c r="L21">
        <f>0.3651+0.4758</f>
        <v>0.84089999999999998</v>
      </c>
      <c r="M21" s="6">
        <f>L21/2.83168</f>
        <v>0.29696152107582779</v>
      </c>
      <c r="N21" t="s">
        <v>78</v>
      </c>
      <c r="O21" t="s">
        <v>128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0.3651+0.7282</f>
        <v>1.0932999999999999</v>
      </c>
      <c r="M22" s="6">
        <f>L22/2.83168</f>
        <v>0.38609588654085203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12</v>
      </c>
      <c r="G23">
        <v>12</v>
      </c>
      <c r="H23">
        <v>0</v>
      </c>
      <c r="I23">
        <v>24</v>
      </c>
      <c r="J23">
        <v>0</v>
      </c>
      <c r="K23">
        <v>6</v>
      </c>
      <c r="L23">
        <f>0.3651+0.8114</f>
        <v>1.1764999999999999</v>
      </c>
      <c r="M23" s="6">
        <f>L23/2.83168</f>
        <v>0.41547773759746859</v>
      </c>
      <c r="N23" t="s">
        <v>78</v>
      </c>
      <c r="O23" t="s">
        <v>128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5" sqref="O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A19" sqref="A19:O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88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126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89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89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89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89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89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89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89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89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89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89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89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89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5">
        <f>L20/2.83168</f>
        <v>0.57090490450898401</v>
      </c>
      <c r="N20" t="s">
        <v>78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5">
        <f>L21/2.83168</f>
        <v>0.41576378686857274</v>
      </c>
      <c r="N21" t="s">
        <v>78</v>
      </c>
      <c r="O21" s="1"/>
    </row>
    <row r="22" spans="1:15">
      <c r="A22" t="s">
        <v>21</v>
      </c>
      <c r="B22" t="s">
        <v>13</v>
      </c>
      <c r="D22">
        <v>4167</v>
      </c>
      <c r="E22" s="9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5">
        <f>L22/2.83168</f>
        <v>0.31174426488868801</v>
      </c>
      <c r="N22" t="s">
        <v>78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31"/>
  <sheetViews>
    <sheetView workbookViewId="0">
      <selection activeCell="F27" sqref="F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99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100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100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100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100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100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100</v>
      </c>
    </row>
    <row r="20" spans="1:1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>
      <c r="A21" t="s">
        <v>21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0.0352 * 24</f>
        <v>0.8448</v>
      </c>
      <c r="M21" s="6">
        <f t="shared" ref="M21:M31" si="0">L21/2.83168</f>
        <v>0.29833879534410668</v>
      </c>
      <c r="N21" t="s">
        <v>79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0</v>
      </c>
      <c r="I22">
        <v>24</v>
      </c>
      <c r="J22">
        <v>0</v>
      </c>
      <c r="K22">
        <v>6</v>
      </c>
      <c r="L22">
        <f>0.4006+0.4105</f>
        <v>0.81109999999999993</v>
      </c>
      <c r="M22" s="6">
        <f t="shared" si="0"/>
        <v>0.28643773307718384</v>
      </c>
      <c r="N22" t="s">
        <v>78</v>
      </c>
      <c r="O22" t="s">
        <v>128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2</v>
      </c>
      <c r="G23">
        <v>2</v>
      </c>
      <c r="H23">
        <v>0</v>
      </c>
      <c r="I23">
        <v>24</v>
      </c>
      <c r="J23">
        <v>0</v>
      </c>
      <c r="K23">
        <v>6</v>
      </c>
      <c r="L23">
        <f>0.4006+0.4268</f>
        <v>0.82740000000000002</v>
      </c>
      <c r="M23" s="6">
        <f t="shared" si="0"/>
        <v>0.29219403322409315</v>
      </c>
      <c r="N23" t="s">
        <v>78</v>
      </c>
      <c r="O23" t="s">
        <v>128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0</v>
      </c>
      <c r="I24">
        <v>24</v>
      </c>
      <c r="J24">
        <v>0</v>
      </c>
      <c r="K24">
        <v>6</v>
      </c>
      <c r="L24">
        <f>0.4006+0.6092</f>
        <v>1.0098</v>
      </c>
      <c r="M24" s="6">
        <f t="shared" si="0"/>
        <v>0.35660809130975252</v>
      </c>
      <c r="N24" t="s">
        <v>78</v>
      </c>
      <c r="O24" t="s">
        <v>128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0</v>
      </c>
      <c r="I25">
        <v>24</v>
      </c>
      <c r="J25">
        <v>0</v>
      </c>
      <c r="K25">
        <v>6</v>
      </c>
      <c r="L25">
        <f>0.4006+0.6512</f>
        <v>1.0518000000000001</v>
      </c>
      <c r="M25" s="6">
        <f t="shared" si="0"/>
        <v>0.37144027573737148</v>
      </c>
      <c r="N25" t="s">
        <v>78</v>
      </c>
      <c r="O25" t="s">
        <v>128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0</v>
      </c>
      <c r="K26">
        <v>6</v>
      </c>
      <c r="L26">
        <f>0.4006+0.669</f>
        <v>1.0696000000000001</v>
      </c>
      <c r="M26" s="6">
        <f t="shared" si="0"/>
        <v>0.37772629675669572</v>
      </c>
      <c r="N26" t="s">
        <v>78</v>
      </c>
      <c r="O26" t="s">
        <v>128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24</v>
      </c>
      <c r="J27">
        <v>0</v>
      </c>
      <c r="K27">
        <v>6</v>
      </c>
      <c r="L27">
        <f>0.719+0.4006</f>
        <v>1.1195999999999999</v>
      </c>
      <c r="M27" s="6">
        <f t="shared" si="0"/>
        <v>0.3953836591705277</v>
      </c>
      <c r="N27" t="s">
        <v>78</v>
      </c>
      <c r="O27" t="s">
        <v>128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7</v>
      </c>
      <c r="G28">
        <v>8</v>
      </c>
      <c r="H28">
        <v>0</v>
      </c>
      <c r="I28">
        <v>24</v>
      </c>
      <c r="J28">
        <v>0</v>
      </c>
      <c r="K28">
        <v>6</v>
      </c>
      <c r="L28">
        <f>0.7747+0.4006</f>
        <v>1.1753</v>
      </c>
      <c r="M28" s="6">
        <f t="shared" si="0"/>
        <v>0.41505396089953667</v>
      </c>
      <c r="N28" t="s">
        <v>78</v>
      </c>
      <c r="O28" t="s">
        <v>128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24</v>
      </c>
      <c r="J29">
        <v>0</v>
      </c>
      <c r="K29">
        <v>6</v>
      </c>
      <c r="L29">
        <f>0.6369+0.4006</f>
        <v>1.0375000000000001</v>
      </c>
      <c r="M29" s="6">
        <f t="shared" si="0"/>
        <v>0.36639027008701552</v>
      </c>
      <c r="N29" t="s">
        <v>78</v>
      </c>
      <c r="O29" t="s">
        <v>128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10</v>
      </c>
      <c r="G30">
        <v>11</v>
      </c>
      <c r="H30">
        <v>0</v>
      </c>
      <c r="I30">
        <v>24</v>
      </c>
      <c r="J30">
        <v>0</v>
      </c>
      <c r="K30">
        <v>6</v>
      </c>
      <c r="L30">
        <f>0.7937+0.4006</f>
        <v>1.1942999999999999</v>
      </c>
      <c r="M30" s="6">
        <f t="shared" si="0"/>
        <v>0.42176375861679283</v>
      </c>
      <c r="N30" t="s">
        <v>78</v>
      </c>
      <c r="O30" t="s">
        <v>128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12</v>
      </c>
      <c r="G31">
        <v>12</v>
      </c>
      <c r="H31">
        <v>0</v>
      </c>
      <c r="I31">
        <v>24</v>
      </c>
      <c r="J31">
        <v>0</v>
      </c>
      <c r="K31">
        <v>6</v>
      </c>
      <c r="L31">
        <f>0.5843+0.4006</f>
        <v>0.98490000000000011</v>
      </c>
      <c r="M31" s="6">
        <f t="shared" si="0"/>
        <v>0.34781472482766418</v>
      </c>
      <c r="N31" t="s">
        <v>78</v>
      </c>
      <c r="O31" t="s">
        <v>128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15"/>
  <sheetViews>
    <sheetView workbookViewId="0">
      <selection activeCell="A8" sqref="A8:N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81</v>
      </c>
      <c r="E1" s="1" t="s">
        <v>80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77</v>
      </c>
      <c r="M1" s="1" t="s">
        <v>76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6">
        <f>(14.07+17.1+2.92)/4.5</f>
        <v>7.5755555555555567</v>
      </c>
      <c r="M3" s="6">
        <f>(14.07+17.1+2.92)/4.5</f>
        <v>7.5755555555555567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9">
        <f>14.07+17.1+2.92</f>
        <v>34.090000000000003</v>
      </c>
      <c r="M4" s="9">
        <f>14.07+17.1+2.92</f>
        <v>34.090000000000003</v>
      </c>
      <c r="N4" t="s">
        <v>17</v>
      </c>
    </row>
    <row r="5" spans="1:1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6">
        <f>(14.07+17.1+2.92)/4.5</f>
        <v>7.5755555555555567</v>
      </c>
      <c r="M5" s="6">
        <f>(14.07+17.1+2.92)/4.5</f>
        <v>7.5755555555555567</v>
      </c>
      <c r="N5" t="s">
        <v>17</v>
      </c>
    </row>
    <row r="6" spans="1:1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6">
        <f>(14.07+17.1+2.92)/4.5</f>
        <v>7.5755555555555567</v>
      </c>
      <c r="M6" s="6">
        <f>(14.07+17.1+2.92)/4.5</f>
        <v>7.5755555555555567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  <row r="8" spans="1:15">
      <c r="A8" t="s">
        <v>21</v>
      </c>
      <c r="B8" t="s">
        <v>11</v>
      </c>
      <c r="L8">
        <v>700</v>
      </c>
      <c r="M8">
        <v>700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v>0.59394999999999998</v>
      </c>
      <c r="M9" s="5">
        <f>L9/2.83168</f>
        <v>0.20975180811391117</v>
      </c>
      <c r="N9" t="s">
        <v>78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4</v>
      </c>
      <c r="H10">
        <v>0</v>
      </c>
      <c r="I10">
        <v>24</v>
      </c>
      <c r="J10">
        <v>0</v>
      </c>
      <c r="K10">
        <v>6</v>
      </c>
      <c r="L10">
        <v>0.58394999999999997</v>
      </c>
      <c r="M10" s="5">
        <f t="shared" ref="M10:M15" si="0">L10/2.83168</f>
        <v>0.20622033563114475</v>
      </c>
      <c r="N10" t="s">
        <v>78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5</v>
      </c>
      <c r="G11">
        <v>7</v>
      </c>
      <c r="H11">
        <v>0</v>
      </c>
      <c r="I11">
        <v>24</v>
      </c>
      <c r="J11">
        <v>0</v>
      </c>
      <c r="K11">
        <v>6</v>
      </c>
      <c r="L11">
        <v>0.61194999999999999</v>
      </c>
      <c r="M11" s="5">
        <f t="shared" si="0"/>
        <v>0.21610845858289071</v>
      </c>
      <c r="N11" t="s">
        <v>78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8</v>
      </c>
      <c r="G12">
        <v>8</v>
      </c>
      <c r="H12">
        <v>0</v>
      </c>
      <c r="I12">
        <v>24</v>
      </c>
      <c r="J12">
        <v>0</v>
      </c>
      <c r="K12">
        <v>6</v>
      </c>
      <c r="L12">
        <v>0.62595000000000001</v>
      </c>
      <c r="M12" s="5">
        <f t="shared" si="0"/>
        <v>0.22105252005876372</v>
      </c>
      <c r="N12" t="s">
        <v>78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9</v>
      </c>
      <c r="G13">
        <v>9</v>
      </c>
      <c r="H13">
        <v>0</v>
      </c>
      <c r="I13">
        <v>24</v>
      </c>
      <c r="J13">
        <v>0</v>
      </c>
      <c r="K13">
        <v>6</v>
      </c>
      <c r="L13">
        <v>0.63395000000000001</v>
      </c>
      <c r="M13" s="5">
        <f t="shared" si="0"/>
        <v>0.22387769804497684</v>
      </c>
      <c r="N13" t="s">
        <v>78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v>0.63895000000000002</v>
      </c>
      <c r="M14" s="5">
        <f t="shared" si="0"/>
        <v>0.22564343428636005</v>
      </c>
      <c r="N14" t="s">
        <v>78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24</v>
      </c>
      <c r="J15">
        <v>0</v>
      </c>
      <c r="K15">
        <v>6</v>
      </c>
      <c r="L15">
        <v>0.64995000000000003</v>
      </c>
      <c r="M15" s="5">
        <f t="shared" si="0"/>
        <v>0.22952805401740312</v>
      </c>
      <c r="N15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2023-12-28T21:49:12Z</dcterms:modified>
</cp:coreProperties>
</file>