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1"/>
  </bookViews>
  <sheets>
    <sheet r:id="rId1" sheetId="1" name="12000053001"/>
    <sheet r:id="rId2" sheetId="2" name="48003033002"/>
    <sheet r:id="rId3" sheetId="3" name="31001825002"/>
    <sheet r:id="rId4" sheetId="4" name="36001010001"/>
    <sheet r:id="rId5" sheetId="5" name="36001010017"/>
    <sheet r:id="rId6" sheetId="6" name="9000641001"/>
    <sheet r:id="rId7" sheetId="7" name="6005025001"/>
    <sheet r:id="rId8" sheetId="8" name="35000021001"/>
    <sheet r:id="rId9" sheetId="9" name="36001010006"/>
    <sheet r:id="rId10" sheetId="10" name="48008015001"/>
    <sheet r:id="rId11" sheetId="11" name="34006012001"/>
    <sheet r:id="rId12" sheetId="12" name="6004010004"/>
    <sheet r:id="rId13" sheetId="13" name="36002001007"/>
    <sheet r:id="rId14" sheetId="14" name="51000161001"/>
    <sheet r:id="rId15" sheetId="15" name="40000123012"/>
    <sheet r:id="rId16" sheetId="16" name="53001280001"/>
    <sheet r:id="rId17" sheetId="17" name="36002001004"/>
    <sheet r:id="rId18" sheetId="18" name="32000011001"/>
    <sheet r:id="rId19" sheetId="19" name="36002001006"/>
    <sheet r:id="rId20" sheetId="20" name="41000017001"/>
    <sheet r:id="rId21" sheetId="21" name="47000245002"/>
    <sheet r:id="rId22" sheetId="22" name="24000001002"/>
    <sheet r:id="rId23" sheetId="23" name="42006056001"/>
    <sheet r:id="rId24" sheetId="24" name="53000776001"/>
    <sheet r:id="rId25" sheetId="25" name="47000940001"/>
    <sheet r:id="rId26" sheetId="26" name="36007136001"/>
    <sheet r:id="rId27" sheetId="27" name="39002093001"/>
    <sheet r:id="rId28" sheetId="28" name="12000001001"/>
    <sheet r:id="rId29" sheetId="29" name="10000027001"/>
    <sheet r:id="rId30" sheetId="30" name="51000154002"/>
    <sheet r:id="rId31" sheetId="31" name="6005053001"/>
    <sheet r:id="rId32" sheetId="32" name="34001005001"/>
    <sheet r:id="rId33" sheetId="33" name="15000003001"/>
    <sheet r:id="rId34" sheetId="34" name="48004026002"/>
    <sheet r:id="rId35" sheetId="35" name="39000084001"/>
    <sheet r:id="rId36" sheetId="36" name="36003169012"/>
    <sheet r:id="rId37" sheetId="37" name="39001792001"/>
    <sheet r:id="rId38" sheetId="38" name="6002032003"/>
    <sheet r:id="rId39" sheetId="39" name="6002036001"/>
    <sheet r:id="rId40" sheetId="40" name="26004005011"/>
    <sheet r:id="rId41" sheetId="41" name="29001011001"/>
    <sheet r:id="rId42" sheetId="42" name="6004009003"/>
    <sheet r:id="rId43" sheetId="43" name="34001030001"/>
    <sheet r:id="rId44" sheetId="44" name="39008260001"/>
    <sheet r:id="rId45" sheetId="45" name="36008024001"/>
    <sheet r:id="rId46" sheetId="46" name="36002001010"/>
    <sheet r:id="rId47" sheetId="47" name="13000012004"/>
    <sheet r:id="rId48" sheetId="48" name="6008022001"/>
    <sheet r:id="rId49" sheetId="49" name="32000200820"/>
    <sheet r:id="rId50" sheetId="50" name="47000940002"/>
    <sheet r:id="rId51" sheetId="51" name="47001016001"/>
    <sheet r:id="rId52" sheetId="52" name="12000017028"/>
    <sheet r:id="rId53" sheetId="53" name="22009071001"/>
    <sheet r:id="rId54" sheetId="54" name="36002001009"/>
    <sheet r:id="rId55" sheetId="55" name="42000094003"/>
    <sheet r:id="rId56" sheetId="56" name="12000017027"/>
    <sheet r:id="rId57" sheetId="57" name="39001792002"/>
    <sheet r:id="rId58" sheetId="58" name="48007039001"/>
    <sheet r:id="rId59" sheetId="59" name="36002001005"/>
    <sheet r:id="rId60" sheetId="60" name="21000025001"/>
    <sheet r:id="rId61" sheetId="61" name="53000776002"/>
    <sheet r:id="rId62" sheetId="62" name="29001023001"/>
    <sheet r:id="rId63" sheetId="63" name="29001023002"/>
    <sheet r:id="rId64" sheetId="64" name="18000061001"/>
    <sheet r:id="rId65" sheetId="65" name="36002001002"/>
    <sheet r:id="rId66" sheetId="66" name="48004026001"/>
    <sheet r:id="rId67" sheetId="67" name="12000017004"/>
    <sheet r:id="rId68" sheetId="68" name="36002001003"/>
    <sheet r:id="rId69" sheetId="69" name="39001666001"/>
    <sheet r:id="rId70" sheetId="70" name="48004122001"/>
    <sheet r:id="rId71" sheetId="71" name="4001318001"/>
    <sheet r:id="rId72" sheetId="72" name="6002041001"/>
    <sheet r:id="rId73" sheetId="73" name="36009071001"/>
    <sheet r:id="rId74" sheetId="74" name="39003369002"/>
    <sheet r:id="rId75" sheetId="75" name="6008022002"/>
    <sheet r:id="rId76" sheetId="76" name="48000004001"/>
    <sheet r:id="rId77" sheetId="77" name="8000070001"/>
    <sheet r:id="rId78" sheetId="78" name="24000001001"/>
    <sheet r:id="rId79" sheetId="79" name="42005016001"/>
    <sheet r:id="rId80" sheetId="80" name="6005009001"/>
    <sheet r:id="rId81" sheetId="81" name="6002121001"/>
    <sheet r:id="rId82" sheetId="82" name="36002001012"/>
    <sheet r:id="rId83" sheetId="83" name="39001666002"/>
    <sheet r:id="rId84" sheetId="84" name="34002065001"/>
    <sheet r:id="rId85" sheetId="85" name="6009031001"/>
    <sheet r:id="rId86" sheetId="86" name="42000094001"/>
    <sheet r:id="rId87" sheetId="87" name="42000094002"/>
    <sheet r:id="rId88" sheetId="88" name="27000001001"/>
    <sheet r:id="rId89" sheetId="89" name="55003100001"/>
    <sheet r:id="rId90" sheetId="90" name="17000721009"/>
    <sheet r:id="rId91" sheetId="91" name="36002001001"/>
    <sheet r:id="rId92" sheetId="92" name="36002001011"/>
    <sheet r:id="rId93" sheetId="93" name="34001082001"/>
    <sheet r:id="rId94" sheetId="94" name="17000721007"/>
    <sheet r:id="rId95" sheetId="95" name="25000128001"/>
    <sheet r:id="rId96" sheetId="96" name="6004010001"/>
    <sheet r:id="rId97" sheetId="97" name="6004009001"/>
    <sheet r:id="rId98" sheetId="98" name="11000001001"/>
    <sheet r:id="rId99" sheetId="99" name="26000596001"/>
    <sheet r:id="rId100" sheetId="100" name="17000721001"/>
    <sheet r:id="rId101" sheetId="101" name="1"/>
    <sheet r:id="rId102" sheetId="102" name="2"/>
  </sheets>
  <calcPr fullCalcOnLoad="1"/>
</workbook>
</file>

<file path=xl/sharedStrings.xml><?xml version="1.0" encoding="utf-8"?>
<sst xmlns="http://schemas.openxmlformats.org/spreadsheetml/2006/main" count="15548" uniqueCount="139">
  <si>
    <t>utility</t>
  </si>
  <si>
    <t>type</t>
  </si>
  <si>
    <t>period</t>
  </si>
  <si>
    <t>basic_charge_limit (imperial)</t>
  </si>
  <si>
    <t>month_start</t>
  </si>
  <si>
    <t>month_end</t>
  </si>
  <si>
    <t>hour_start</t>
  </si>
  <si>
    <t>hour_end</t>
  </si>
  <si>
    <t>weekday_start</t>
  </si>
  <si>
    <t>weekday_end</t>
  </si>
  <si>
    <t>charge (imperial)</t>
  </si>
  <si>
    <t>units</t>
  </si>
  <si>
    <t>Notes</t>
  </si>
  <si>
    <t>electric</t>
  </si>
  <si>
    <t>customer</t>
  </si>
  <si>
    <t>$/month</t>
  </si>
  <si>
    <t>Santa Barbara Clean Energy TOU-SUB-8-E (2023 rates)</t>
  </si>
  <si>
    <t>demand</t>
  </si>
  <si>
    <t>peak-summer</t>
  </si>
  <si>
    <t>$/kW</t>
  </si>
  <si>
    <t>Assumed &gt; 50 kV (transmission voltage)</t>
  </si>
  <si>
    <t>part-peak-winter1</t>
  </si>
  <si>
    <t>Includes distribution, transmission, and generation charges</t>
  </si>
  <si>
    <t>part-peak-winter2</t>
  </si>
  <si>
    <t>maximum</t>
  </si>
  <si>
    <t>energy</t>
  </si>
  <si>
    <t>$/kWh</t>
  </si>
  <si>
    <t>Southern California Edison - TOU 8 E (2021 rates)</t>
  </si>
  <si>
    <t>Assumed 2 to 50 kV (typical primary voltage)</t>
  </si>
  <si>
    <t>basic_charge_limit (metric)</t>
  </si>
  <si>
    <t>charge (metric)</t>
  </si>
  <si>
    <t>Extra Large Load Delivery Class</t>
  </si>
  <si>
    <t>Monthly average of day-ahead price plus base charge of $0.00121 / kWh</t>
  </si>
  <si>
    <t>Rate DSPP</t>
  </si>
  <si>
    <t>gas</t>
  </si>
  <si>
    <t>$/therm/hr or $/m3/hr</t>
  </si>
  <si>
    <t>$/therm or $/m3</t>
  </si>
  <si>
    <t>Includes cost of gas</t>
  </si>
  <si>
    <t>Estimated from multiplying cost of 1 meter for 1 day by 30 days</t>
  </si>
  <si>
    <t>off-peak</t>
  </si>
  <si>
    <t>on-peak</t>
  </si>
  <si>
    <t>Includes Transmission and Distribution charges</t>
  </si>
  <si>
    <t>Includes Generation, Transmission, and Distribution charges</t>
  </si>
  <si>
    <t>Had to choose between high demand or high energy charges (Option D or Option E)</t>
  </si>
  <si>
    <t>This is high demand, low energy</t>
  </si>
  <si>
    <t>Includes delivery and generation service</t>
  </si>
  <si>
    <t>winter1</t>
  </si>
  <si>
    <t>summer</t>
  </si>
  <si>
    <t>winter2</t>
  </si>
  <si>
    <t>Monthly average of LMP</t>
  </si>
  <si>
    <t>winter-peak</t>
  </si>
  <si>
    <t>winter-peak1</t>
  </si>
  <si>
    <t>winter-all-hours1</t>
  </si>
  <si>
    <t>summer-peak</t>
  </si>
  <si>
    <t>summer-super-peak</t>
  </si>
  <si>
    <t>summer-all-hours</t>
  </si>
  <si>
    <t>winter-peak2</t>
  </si>
  <si>
    <t>winter-all-hours2</t>
  </si>
  <si>
    <t>Monthly average of LMP price plus base charge of $0.0079 / kWh</t>
  </si>
  <si>
    <t>Includes cost of fuel adjustment</t>
  </si>
  <si>
    <t>Estimated from multiplying cost for 1 day by 30 days</t>
  </si>
  <si>
    <t>Includes Fuel Clause Charge</t>
  </si>
  <si>
    <t>Includes Purchased Gas Adjustment</t>
  </si>
  <si>
    <t>Rate-PD (Primary Distribution Power)</t>
  </si>
  <si>
    <t>Monthly average of LMP plus base charge of $0.0006 / kWh</t>
  </si>
  <si>
    <t>Includes Schedule EECC for generation</t>
  </si>
  <si>
    <t>winter</t>
  </si>
  <si>
    <t>Monthly average of LMP plus base charge of $0.009275 / kWh</t>
  </si>
  <si>
    <t>Includes Delivery Capital Recovery Rider</t>
  </si>
  <si>
    <t>Includes Riders GCR, TSA, GEN, and Fuel</t>
  </si>
  <si>
    <t>Time-of-day option selected for Rider GEN</t>
  </si>
  <si>
    <t>part-peak-summer</t>
  </si>
  <si>
    <t>peak-winter1</t>
  </si>
  <si>
    <t>peak-winter2</t>
  </si>
  <si>
    <t>No demand charges until 5000 kW is reached</t>
  </si>
  <si>
    <t>Includes Electricity Commodity Adjustment (ECA)</t>
  </si>
  <si>
    <t>Includes DSMCA, PCCA, and TCA</t>
  </si>
  <si>
    <t>Assumed a fixed rate contract at August 2022 rate</t>
  </si>
  <si>
    <t>Includes Rider RE</t>
  </si>
  <si>
    <t>Monthly average of day-head price</t>
  </si>
  <si>
    <t>summer-peak1</t>
  </si>
  <si>
    <t>summer-peak2</t>
  </si>
  <si>
    <t>Converted from MMBtu to therms</t>
  </si>
  <si>
    <t>Fuel charge included with energy</t>
  </si>
  <si>
    <t>Conservation and capacity charges included with demand</t>
  </si>
  <si>
    <t>Includes Purchased Gas Adjustment (PGA)</t>
  </si>
  <si>
    <t>Includes Fuel Adjsutment Charge</t>
  </si>
  <si>
    <t>Includes monthly gas supply charge</t>
  </si>
  <si>
    <t>Includes Fuel and Purchased Power Adjustment</t>
  </si>
  <si>
    <t>Includes purchased gas adjustment</t>
  </si>
  <si>
    <t>winter-super-peak1</t>
  </si>
  <si>
    <t>winter-super-peak2</t>
  </si>
  <si>
    <t>Generation Energy and Capacity Riders</t>
  </si>
  <si>
    <t>Includes monthly fuel adjustment</t>
  </si>
  <si>
    <t>Includes TVA Fuel Cost Adjustment</t>
  </si>
  <si>
    <t>transition-peak1</t>
  </si>
  <si>
    <t>summer-off-peak</t>
  </si>
  <si>
    <t>summer-mid-peak</t>
  </si>
  <si>
    <t>summer-on-peak</t>
  </si>
  <si>
    <t>Includes Fuel Cost Recovery Schedule: "FCR-25"</t>
  </si>
  <si>
    <t>Monthly average of commodity price</t>
  </si>
  <si>
    <t>Includes high voltage discount</t>
  </si>
  <si>
    <t>Average of commodity price</t>
  </si>
  <si>
    <t>Energy charge includes Riders GCR, TSA, GEN, and Fuel</t>
  </si>
  <si>
    <t>Ignored monthly fuel adjustment as it was &lt;= $0.0005 / kWh</t>
  </si>
  <si>
    <t>Converted from MCF to therm</t>
  </si>
  <si>
    <t>Includes monthly fuel cost</t>
  </si>
  <si>
    <t>Includes Rider A for fuel costs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</si>
  <si>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</si>
  <si>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</si>
  <si>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</si>
  <si>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</si>
  <si>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</si>
  <si>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</si>
  <si>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winter-peak3</t>
  </si>
  <si>
    <t>winter-peak4</t>
  </si>
  <si>
    <t>converted from ccf to therms</t>
  </si>
  <si>
    <t>Energy charge based on Standard Service Tariff Sheet No. G10</t>
  </si>
  <si>
    <t>75% of off-peak or 100% of on-peak, whichever is higher</t>
  </si>
  <si>
    <t>Represented both under "maximum" period</t>
  </si>
  <si>
    <t>Monthly average of day-ahead price</t>
  </si>
  <si>
    <t>Includes total monthly fuel cost adjusment (TMFCA)</t>
  </si>
  <si>
    <t>transition-peak2</t>
  </si>
  <si>
    <t>Power Service Agreement required for this rate schedule</t>
  </si>
  <si>
    <t>Includes Fuel Cost Adjustment (FCA) Factor</t>
  </si>
  <si>
    <t>Includes voluntary fixed price of gas</t>
  </si>
  <si>
    <t>Includes purchased gas cost</t>
  </si>
  <si>
    <t>Includes fuel adjustment factor</t>
  </si>
  <si>
    <t>Includes monthly average Power Supply Charge</t>
  </si>
  <si>
    <t>winter-mid-peak1</t>
  </si>
  <si>
    <t>summer-max-peak</t>
  </si>
  <si>
    <t>winter-mid-peak2</t>
  </si>
  <si>
    <t>Includes fuel adjustment</t>
  </si>
  <si>
    <t>Includes monthly cost of gas</t>
  </si>
  <si>
    <t>Includes generation supply and distribution service</t>
  </si>
  <si>
    <t>Ignored daylight savings, when the peak time shifts by an hour</t>
  </si>
  <si>
    <t>Sum of distribution, transmission, improvements, and competetive assessment demand charges</t>
  </si>
  <si>
    <t>Includes FPPA</t>
  </si>
  <si>
    <t>Includes fuel cost and environmental charge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</si>
</sst>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00000"/>
    <numFmt numFmtId="165" formatCode="#,##0.00000"/>
    <numFmt numFmtId="166" formatCode="#,##0.0000"/>
    <numFmt numFmtId="167" formatCode="#,##0.000"/>
    <numFmt numFmtId="168" formatCode="#,##0.0"/>
    <numFmt numFmtId="169" formatCode="#,##0.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66cc"/>
      <name val="Calibri"/>
      <family val="2"/>
    </font>
    <font>
      <sz val="10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" applyNumberFormat="1" borderId="1" applyBorder="1" fontId="3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168" applyNumberFormat="1" borderId="1" applyBorder="1" fontId="1" applyFont="1" fillId="0" applyAlignment="1">
      <alignment horizontal="right"/>
    </xf>
    <xf xfId="0" numFmtId="168" applyNumberFormat="1" borderId="1" applyBorder="1" fontId="2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169" applyNumberFormat="1" borderId="1" applyBorder="1" fontId="2" applyFont="1" fillId="0" applyAlignment="1">
      <alignment horizontal="right"/>
    </xf>
    <xf xfId="0" numFmtId="165" applyNumberFormat="1" borderId="1" applyBorder="1" fontId="3" applyFont="1" fillId="0" applyAlignment="1">
      <alignment horizontal="left"/>
    </xf>
    <xf xfId="0" numFmtId="165" applyNumberFormat="1" borderId="0" fontId="0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worksheets/sheet43.xml" Type="http://schemas.openxmlformats.org/officeDocument/2006/relationships/worksheet" Id="rId43"/><Relationship Target="worksheets/sheet44.xml" Type="http://schemas.openxmlformats.org/officeDocument/2006/relationships/worksheet" Id="rId44"/><Relationship Target="worksheets/sheet45.xml" Type="http://schemas.openxmlformats.org/officeDocument/2006/relationships/worksheet" Id="rId45"/><Relationship Target="worksheets/sheet46.xml" Type="http://schemas.openxmlformats.org/officeDocument/2006/relationships/worksheet" Id="rId46"/><Relationship Target="worksheets/sheet47.xml" Type="http://schemas.openxmlformats.org/officeDocument/2006/relationships/worksheet" Id="rId47"/><Relationship Target="worksheets/sheet48.xml" Type="http://schemas.openxmlformats.org/officeDocument/2006/relationships/worksheet" Id="rId48"/><Relationship Target="worksheets/sheet49.xml" Type="http://schemas.openxmlformats.org/officeDocument/2006/relationships/worksheet" Id="rId49"/><Relationship Target="worksheets/sheet50.xml" Type="http://schemas.openxmlformats.org/officeDocument/2006/relationships/worksheet" Id="rId50"/><Relationship Target="worksheets/sheet51.xml" Type="http://schemas.openxmlformats.org/officeDocument/2006/relationships/worksheet" Id="rId51"/><Relationship Target="worksheets/sheet52.xml" Type="http://schemas.openxmlformats.org/officeDocument/2006/relationships/worksheet" Id="rId52"/><Relationship Target="worksheets/sheet53.xml" Type="http://schemas.openxmlformats.org/officeDocument/2006/relationships/worksheet" Id="rId53"/><Relationship Target="worksheets/sheet54.xml" Type="http://schemas.openxmlformats.org/officeDocument/2006/relationships/worksheet" Id="rId54"/><Relationship Target="worksheets/sheet55.xml" Type="http://schemas.openxmlformats.org/officeDocument/2006/relationships/worksheet" Id="rId55"/><Relationship Target="worksheets/sheet56.xml" Type="http://schemas.openxmlformats.org/officeDocument/2006/relationships/worksheet" Id="rId56"/><Relationship Target="worksheets/sheet57.xml" Type="http://schemas.openxmlformats.org/officeDocument/2006/relationships/worksheet" Id="rId57"/><Relationship Target="worksheets/sheet58.xml" Type="http://schemas.openxmlformats.org/officeDocument/2006/relationships/worksheet" Id="rId58"/><Relationship Target="worksheets/sheet59.xml" Type="http://schemas.openxmlformats.org/officeDocument/2006/relationships/worksheet" Id="rId59"/><Relationship Target="worksheets/sheet60.xml" Type="http://schemas.openxmlformats.org/officeDocument/2006/relationships/worksheet" Id="rId60"/><Relationship Target="worksheets/sheet61.xml" Type="http://schemas.openxmlformats.org/officeDocument/2006/relationships/worksheet" Id="rId61"/><Relationship Target="worksheets/sheet62.xml" Type="http://schemas.openxmlformats.org/officeDocument/2006/relationships/worksheet" Id="rId62"/><Relationship Target="worksheets/sheet63.xml" Type="http://schemas.openxmlformats.org/officeDocument/2006/relationships/worksheet" Id="rId63"/><Relationship Target="worksheets/sheet64.xml" Type="http://schemas.openxmlformats.org/officeDocument/2006/relationships/worksheet" Id="rId64"/><Relationship Target="worksheets/sheet65.xml" Type="http://schemas.openxmlformats.org/officeDocument/2006/relationships/worksheet" Id="rId65"/><Relationship Target="worksheets/sheet66.xml" Type="http://schemas.openxmlformats.org/officeDocument/2006/relationships/worksheet" Id="rId66"/><Relationship Target="worksheets/sheet67.xml" Type="http://schemas.openxmlformats.org/officeDocument/2006/relationships/worksheet" Id="rId67"/><Relationship Target="worksheets/sheet68.xml" Type="http://schemas.openxmlformats.org/officeDocument/2006/relationships/worksheet" Id="rId68"/><Relationship Target="worksheets/sheet69.xml" Type="http://schemas.openxmlformats.org/officeDocument/2006/relationships/worksheet" Id="rId69"/><Relationship Target="worksheets/sheet70.xml" Type="http://schemas.openxmlformats.org/officeDocument/2006/relationships/worksheet" Id="rId70"/><Relationship Target="worksheets/sheet71.xml" Type="http://schemas.openxmlformats.org/officeDocument/2006/relationships/worksheet" Id="rId71"/><Relationship Target="worksheets/sheet72.xml" Type="http://schemas.openxmlformats.org/officeDocument/2006/relationships/worksheet" Id="rId72"/><Relationship Target="worksheets/sheet73.xml" Type="http://schemas.openxmlformats.org/officeDocument/2006/relationships/worksheet" Id="rId73"/><Relationship Target="worksheets/sheet74.xml" Type="http://schemas.openxmlformats.org/officeDocument/2006/relationships/worksheet" Id="rId74"/><Relationship Target="worksheets/sheet75.xml" Type="http://schemas.openxmlformats.org/officeDocument/2006/relationships/worksheet" Id="rId75"/><Relationship Target="worksheets/sheet76.xml" Type="http://schemas.openxmlformats.org/officeDocument/2006/relationships/worksheet" Id="rId76"/><Relationship Target="worksheets/sheet77.xml" Type="http://schemas.openxmlformats.org/officeDocument/2006/relationships/worksheet" Id="rId77"/><Relationship Target="worksheets/sheet78.xml" Type="http://schemas.openxmlformats.org/officeDocument/2006/relationships/worksheet" Id="rId78"/><Relationship Target="worksheets/sheet79.xml" Type="http://schemas.openxmlformats.org/officeDocument/2006/relationships/worksheet" Id="rId79"/><Relationship Target="worksheets/sheet80.xml" Type="http://schemas.openxmlformats.org/officeDocument/2006/relationships/worksheet" Id="rId80"/><Relationship Target="worksheets/sheet81.xml" Type="http://schemas.openxmlformats.org/officeDocument/2006/relationships/worksheet" Id="rId81"/><Relationship Target="worksheets/sheet82.xml" Type="http://schemas.openxmlformats.org/officeDocument/2006/relationships/worksheet" Id="rId82"/><Relationship Target="worksheets/sheet83.xml" Type="http://schemas.openxmlformats.org/officeDocument/2006/relationships/worksheet" Id="rId83"/><Relationship Target="worksheets/sheet84.xml" Type="http://schemas.openxmlformats.org/officeDocument/2006/relationships/worksheet" Id="rId84"/><Relationship Target="worksheets/sheet85.xml" Type="http://schemas.openxmlformats.org/officeDocument/2006/relationships/worksheet" Id="rId85"/><Relationship Target="worksheets/sheet86.xml" Type="http://schemas.openxmlformats.org/officeDocument/2006/relationships/worksheet" Id="rId86"/><Relationship Target="worksheets/sheet87.xml" Type="http://schemas.openxmlformats.org/officeDocument/2006/relationships/worksheet" Id="rId87"/><Relationship Target="worksheets/sheet88.xml" Type="http://schemas.openxmlformats.org/officeDocument/2006/relationships/worksheet" Id="rId88"/><Relationship Target="worksheets/sheet89.xml" Type="http://schemas.openxmlformats.org/officeDocument/2006/relationships/worksheet" Id="rId89"/><Relationship Target="worksheets/sheet90.xml" Type="http://schemas.openxmlformats.org/officeDocument/2006/relationships/worksheet" Id="rId90"/><Relationship Target="worksheets/sheet91.xml" Type="http://schemas.openxmlformats.org/officeDocument/2006/relationships/worksheet" Id="rId91"/><Relationship Target="worksheets/sheet92.xml" Type="http://schemas.openxmlformats.org/officeDocument/2006/relationships/worksheet" Id="rId92"/><Relationship Target="worksheets/sheet93.xml" Type="http://schemas.openxmlformats.org/officeDocument/2006/relationships/worksheet" Id="rId93"/><Relationship Target="worksheets/sheet94.xml" Type="http://schemas.openxmlformats.org/officeDocument/2006/relationships/worksheet" Id="rId94"/><Relationship Target="worksheets/sheet95.xml" Type="http://schemas.openxmlformats.org/officeDocument/2006/relationships/worksheet" Id="rId95"/><Relationship Target="worksheets/sheet96.xml" Type="http://schemas.openxmlformats.org/officeDocument/2006/relationships/worksheet" Id="rId96"/><Relationship Target="worksheets/sheet97.xml" Type="http://schemas.openxmlformats.org/officeDocument/2006/relationships/worksheet" Id="rId97"/><Relationship Target="worksheets/sheet98.xml" Type="http://schemas.openxmlformats.org/officeDocument/2006/relationships/worksheet" Id="rId98"/><Relationship Target="worksheets/sheet99.xml" Type="http://schemas.openxmlformats.org/officeDocument/2006/relationships/worksheet" Id="rId99"/><Relationship Target="worksheets/sheet100.xml" Type="http://schemas.openxmlformats.org/officeDocument/2006/relationships/worksheet" Id="rId100"/><Relationship Target="worksheets/sheet101.xml" Type="http://schemas.openxmlformats.org/officeDocument/2006/relationships/worksheet" Id="rId101"/><Relationship Target="worksheets/sheet102.xml" Type="http://schemas.openxmlformats.org/officeDocument/2006/relationships/worksheet" Id="rId102"/><Relationship Target="sharedStrings.xml" Type="http://schemas.openxmlformats.org/officeDocument/2006/relationships/sharedStrings" Id="rId103"/><Relationship Target="styles.xml" Type="http://schemas.openxmlformats.org/officeDocument/2006/relationships/styles" Id="rId104"/><Relationship Target="theme/theme1.xml" Type="http://schemas.openxmlformats.org/officeDocument/2006/relationships/theme" Id="rId10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2.14785714285715" customWidth="1" bestFit="1"/>
    <col min="2" max="2" style="6" width="16.14785714285714" customWidth="1" bestFit="1"/>
    <col min="3" max="3" style="6" width="13.29071428571428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4.147857142857141" customWidth="1" bestFit="1"/>
    <col min="14" max="14" style="6" width="14.005" customWidth="1" bestFit="1"/>
    <col min="15" max="15" style="6" width="12.43357142857143" customWidth="1" bestFit="1"/>
  </cols>
  <sheetData>
    <row x14ac:dyDescent="0.25" r="1" customHeight="1" ht="19.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130.44</v>
      </c>
      <c r="M2" s="4">
        <v>130.44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6</v>
      </c>
      <c r="J3" s="5">
        <v>0</v>
      </c>
      <c r="K3" s="5">
        <v>4</v>
      </c>
      <c r="L3" s="4">
        <f>0.01049+0.04099+0.00265</f>
      </c>
      <c r="M3" s="4">
        <f>0.01049+0.04099+0.00265</f>
      </c>
      <c r="N3" s="1" t="s">
        <v>26</v>
      </c>
      <c r="O3" s="1" t="s">
        <v>138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10</v>
      </c>
      <c r="J4" s="5">
        <v>0</v>
      </c>
      <c r="K4" s="5">
        <v>4</v>
      </c>
      <c r="L4" s="4">
        <f>0.02908+0.0462+0.00265</f>
      </c>
      <c r="M4" s="4">
        <f>0.02908+0.0462+0.00265</f>
      </c>
      <c r="N4" s="1" t="s">
        <v>26</v>
      </c>
      <c r="O4" s="1" t="s">
        <v>138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10</v>
      </c>
      <c r="I5" s="5">
        <v>18</v>
      </c>
      <c r="J5" s="5">
        <v>0</v>
      </c>
      <c r="K5" s="5">
        <v>4</v>
      </c>
      <c r="L5" s="4">
        <f>0.01049+0.04099+0.00265</f>
      </c>
      <c r="M5" s="4">
        <f>0.01049+0.04099+0.00265</f>
      </c>
      <c r="N5" s="1" t="s">
        <v>26</v>
      </c>
      <c r="O5" s="1" t="s">
        <v>138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18</v>
      </c>
      <c r="I6" s="5">
        <v>22</v>
      </c>
      <c r="J6" s="5">
        <v>0</v>
      </c>
      <c r="K6" s="5">
        <v>4</v>
      </c>
      <c r="L6" s="4">
        <f>0.02908+0.0462+0.00265</f>
      </c>
      <c r="M6" s="4">
        <f>0.02908+0.0462+0.00265</f>
      </c>
      <c r="N6" s="1" t="s">
        <v>26</v>
      </c>
      <c r="O6" s="1" t="s">
        <v>138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22</v>
      </c>
      <c r="I7" s="5">
        <v>24</v>
      </c>
      <c r="J7" s="5">
        <v>0</v>
      </c>
      <c r="K7" s="5">
        <v>4</v>
      </c>
      <c r="L7" s="4">
        <f>0.01049+0.04099+0.00265</f>
      </c>
      <c r="M7" s="4">
        <f>0.01049+0.04099+0.00265</f>
      </c>
      <c r="N7" s="1" t="s">
        <v>26</v>
      </c>
      <c r="O7" s="1" t="s">
        <v>138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10</v>
      </c>
      <c r="H8" s="5">
        <v>0</v>
      </c>
      <c r="I8" s="5">
        <v>12</v>
      </c>
      <c r="J8" s="5">
        <v>0</v>
      </c>
      <c r="K8" s="5">
        <v>4</v>
      </c>
      <c r="L8" s="4">
        <f>0.01049+0.04099+0.00265</f>
      </c>
      <c r="M8" s="4">
        <f>0.01049+0.04099+0.00265</f>
      </c>
      <c r="N8" s="1" t="s">
        <v>26</v>
      </c>
      <c r="O8" s="1" t="s">
        <v>138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10</v>
      </c>
      <c r="H9" s="5">
        <v>12</v>
      </c>
      <c r="I9" s="5">
        <v>21</v>
      </c>
      <c r="J9" s="5">
        <v>0</v>
      </c>
      <c r="K9" s="5">
        <v>4</v>
      </c>
      <c r="L9" s="4">
        <f>0.02908+0.0462+0.00265</f>
      </c>
      <c r="M9" s="4">
        <f>0.02908+0.0462+0.00265</f>
      </c>
      <c r="N9" s="1" t="s">
        <v>26</v>
      </c>
      <c r="O9" s="1" t="s">
        <v>138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10</v>
      </c>
      <c r="H10" s="5">
        <v>21</v>
      </c>
      <c r="I10" s="5">
        <v>24</v>
      </c>
      <c r="J10" s="5">
        <v>0</v>
      </c>
      <c r="K10" s="5">
        <v>4</v>
      </c>
      <c r="L10" s="4">
        <f>0.01049+0.04099+0.00265</f>
      </c>
      <c r="M10" s="4">
        <f>0.01049+0.04099+0.00265</f>
      </c>
      <c r="N10" s="1" t="s">
        <v>26</v>
      </c>
      <c r="O10" s="1" t="s">
        <v>138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11</v>
      </c>
      <c r="G11" s="5">
        <v>12</v>
      </c>
      <c r="H11" s="5">
        <v>0</v>
      </c>
      <c r="I11" s="5">
        <v>6</v>
      </c>
      <c r="J11" s="5">
        <v>0</v>
      </c>
      <c r="K11" s="5">
        <v>4</v>
      </c>
      <c r="L11" s="4">
        <f>0.01049+0.04099+0.00265</f>
      </c>
      <c r="M11" s="4">
        <f>0.01049+0.04099+0.00265</f>
      </c>
      <c r="N11" s="1" t="s">
        <v>26</v>
      </c>
      <c r="O11" s="1" t="s">
        <v>138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11</v>
      </c>
      <c r="G12" s="5">
        <v>12</v>
      </c>
      <c r="H12" s="5">
        <v>6</v>
      </c>
      <c r="I12" s="5">
        <v>10</v>
      </c>
      <c r="J12" s="5">
        <v>0</v>
      </c>
      <c r="K12" s="5">
        <v>4</v>
      </c>
      <c r="L12" s="4">
        <f>0.02908+0.0462+0.00265</f>
      </c>
      <c r="M12" s="4">
        <f>0.02908+0.0462+0.00265</f>
      </c>
      <c r="N12" s="1" t="s">
        <v>26</v>
      </c>
      <c r="O12" s="1" t="s">
        <v>138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10</v>
      </c>
      <c r="I13" s="5">
        <v>18</v>
      </c>
      <c r="J13" s="5">
        <v>0</v>
      </c>
      <c r="K13" s="5">
        <v>4</v>
      </c>
      <c r="L13" s="4">
        <f>0.01049+0.04099+0.00265</f>
      </c>
      <c r="M13" s="4">
        <f>0.01049+0.04099+0.00265</f>
      </c>
      <c r="N13" s="1" t="s">
        <v>26</v>
      </c>
      <c r="O13" s="1" t="s">
        <v>138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12</v>
      </c>
      <c r="H14" s="5">
        <v>18</v>
      </c>
      <c r="I14" s="5">
        <v>22</v>
      </c>
      <c r="J14" s="5">
        <v>0</v>
      </c>
      <c r="K14" s="5">
        <v>4</v>
      </c>
      <c r="L14" s="4">
        <f>0.02908+0.0462+0.00265</f>
      </c>
      <c r="M14" s="4">
        <f>0.02908+0.0462+0.00265</f>
      </c>
      <c r="N14" s="1" t="s">
        <v>26</v>
      </c>
      <c r="O14" s="1" t="s">
        <v>138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22</v>
      </c>
      <c r="I15" s="5">
        <v>24</v>
      </c>
      <c r="J15" s="5">
        <v>0</v>
      </c>
      <c r="K15" s="5">
        <v>4</v>
      </c>
      <c r="L15" s="4">
        <f>0.01049+0.04099+0.00265</f>
      </c>
      <c r="M15" s="4">
        <f>0.01049+0.04099+0.00265</f>
      </c>
      <c r="N15" s="1" t="s">
        <v>26</v>
      </c>
      <c r="O15" s="1" t="s">
        <v>138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12</v>
      </c>
      <c r="H16" s="5">
        <v>0</v>
      </c>
      <c r="I16" s="5">
        <v>24</v>
      </c>
      <c r="J16" s="5">
        <v>5</v>
      </c>
      <c r="K16" s="5">
        <v>6</v>
      </c>
      <c r="L16" s="4">
        <f>0.01049+0.04099+0.00265</f>
      </c>
      <c r="M16" s="4">
        <f>0.01049+0.04099+0.00265</f>
      </c>
      <c r="N16" s="1" t="s">
        <v>26</v>
      </c>
      <c r="O16" s="1" t="s">
        <v>138</v>
      </c>
    </row>
    <row x14ac:dyDescent="0.25" r="17" customHeight="1" ht="17.25">
      <c r="A17" s="1" t="s">
        <v>13</v>
      </c>
      <c r="B17" s="1" t="s">
        <v>17</v>
      </c>
      <c r="C17" s="1" t="s">
        <v>51</v>
      </c>
      <c r="D17" s="5">
        <v>0</v>
      </c>
      <c r="E17" s="5">
        <v>0</v>
      </c>
      <c r="F17" s="5">
        <v>1</v>
      </c>
      <c r="G17" s="5">
        <v>3</v>
      </c>
      <c r="H17" s="5">
        <v>6</v>
      </c>
      <c r="I17" s="5">
        <v>10</v>
      </c>
      <c r="J17" s="5">
        <v>0</v>
      </c>
      <c r="K17" s="5">
        <v>4</v>
      </c>
      <c r="L17" s="4">
        <v>7.14</v>
      </c>
      <c r="M17" s="4">
        <v>7.14</v>
      </c>
      <c r="N17" s="1" t="s">
        <v>19</v>
      </c>
      <c r="O17" s="1"/>
    </row>
    <row x14ac:dyDescent="0.25" r="18" customHeight="1" ht="17.25">
      <c r="A18" s="1" t="s">
        <v>13</v>
      </c>
      <c r="B18" s="1" t="s">
        <v>17</v>
      </c>
      <c r="C18" s="1" t="s">
        <v>51</v>
      </c>
      <c r="D18" s="5">
        <v>0</v>
      </c>
      <c r="E18" s="5">
        <v>0</v>
      </c>
      <c r="F18" s="5">
        <v>1</v>
      </c>
      <c r="G18" s="5">
        <v>3</v>
      </c>
      <c r="H18" s="5">
        <v>18</v>
      </c>
      <c r="I18" s="5">
        <v>22</v>
      </c>
      <c r="J18" s="5">
        <v>0</v>
      </c>
      <c r="K18" s="5">
        <v>4</v>
      </c>
      <c r="L18" s="4">
        <v>7.14</v>
      </c>
      <c r="M18" s="4">
        <v>7.14</v>
      </c>
      <c r="N18" s="1" t="s">
        <v>19</v>
      </c>
      <c r="O18" s="1"/>
    </row>
    <row x14ac:dyDescent="0.25" r="19" customHeight="1" ht="17.25">
      <c r="A19" s="1" t="s">
        <v>13</v>
      </c>
      <c r="B19" s="1" t="s">
        <v>17</v>
      </c>
      <c r="C19" s="1" t="s">
        <v>53</v>
      </c>
      <c r="D19" s="5">
        <v>0</v>
      </c>
      <c r="E19" s="5">
        <v>0</v>
      </c>
      <c r="F19" s="5">
        <v>4</v>
      </c>
      <c r="G19" s="5">
        <v>10</v>
      </c>
      <c r="H19" s="5">
        <v>12</v>
      </c>
      <c r="I19" s="5">
        <v>21</v>
      </c>
      <c r="J19" s="5">
        <v>0</v>
      </c>
      <c r="K19" s="5">
        <v>4</v>
      </c>
      <c r="L19" s="4">
        <v>7.14</v>
      </c>
      <c r="M19" s="4">
        <v>7.14</v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56</v>
      </c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10</v>
      </c>
      <c r="J20" s="5">
        <v>0</v>
      </c>
      <c r="K20" s="5">
        <v>4</v>
      </c>
      <c r="L20" s="4">
        <v>7.14</v>
      </c>
      <c r="M20" s="4">
        <v>7.14</v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11</v>
      </c>
      <c r="G21" s="5">
        <v>12</v>
      </c>
      <c r="H21" s="5">
        <v>18</v>
      </c>
      <c r="I21" s="5">
        <v>22</v>
      </c>
      <c r="J21" s="5">
        <v>0</v>
      </c>
      <c r="K21" s="5">
        <v>4</v>
      </c>
      <c r="L21" s="4">
        <v>7.14</v>
      </c>
      <c r="M21" s="4">
        <v>7.14</v>
      </c>
      <c r="N21" s="1" t="s">
        <v>19</v>
      </c>
      <c r="O21" s="1"/>
    </row>
    <row x14ac:dyDescent="0.25" r="22" customHeight="1" ht="17.25">
      <c r="A22" s="1" t="s">
        <v>13</v>
      </c>
      <c r="B22" s="1" t="s">
        <v>17</v>
      </c>
      <c r="C22" s="1" t="s">
        <v>39</v>
      </c>
      <c r="D22" s="5">
        <v>0</v>
      </c>
      <c r="E22" s="5">
        <v>0</v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3.49+0.6+0.52+0.72</f>
      </c>
      <c r="M22" s="4">
        <f>3.49+0.6+0.52+0.72</f>
      </c>
      <c r="N22" s="1" t="s">
        <v>19</v>
      </c>
      <c r="O22" s="1"/>
    </row>
    <row x14ac:dyDescent="0.25" r="23" customHeight="1" ht="17.25">
      <c r="A23" s="1" t="s">
        <v>34</v>
      </c>
      <c r="B23" s="1" t="s">
        <v>14</v>
      </c>
      <c r="C23" s="1"/>
      <c r="D23" s="2"/>
      <c r="E23" s="2"/>
      <c r="F23" s="2"/>
      <c r="G23" s="2"/>
      <c r="H23" s="2"/>
      <c r="I23" s="2"/>
      <c r="J23" s="2"/>
      <c r="K23" s="2"/>
      <c r="L23" s="5">
        <v>420</v>
      </c>
      <c r="M23" s="5">
        <v>420</v>
      </c>
      <c r="N23" s="1" t="s">
        <v>15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2</v>
      </c>
      <c r="H24" s="5">
        <v>0</v>
      </c>
      <c r="I24" s="5">
        <v>24</v>
      </c>
      <c r="J24" s="5">
        <v>0</v>
      </c>
      <c r="K24" s="5">
        <v>6</v>
      </c>
      <c r="L24" s="4">
        <f>0.9+0.21781</f>
      </c>
      <c r="M24" s="11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3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1.03639+0.21781</f>
      </c>
      <c r="M25" s="11">
        <f>L25/2.83168</f>
      </c>
      <c r="N25" s="1" t="s">
        <v>36</v>
      </c>
      <c r="O25" s="1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4"/>
      <c r="F2" s="2"/>
      <c r="G2" s="2"/>
      <c r="H2" s="2"/>
      <c r="I2" s="2"/>
      <c r="J2" s="2"/>
      <c r="K2" s="2"/>
      <c r="L2" s="5">
        <v>1000</v>
      </c>
      <c r="M2" s="5">
        <v>1000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4">
        <f>0.038+0.02236</f>
      </c>
      <c r="M3" s="4">
        <f>0.038+0.02236</f>
      </c>
      <c r="N3" s="1" t="s">
        <v>26</v>
      </c>
      <c r="O3" s="1" t="s">
        <v>127</v>
      </c>
    </row>
    <row x14ac:dyDescent="0.25" r="4" customHeight="1" ht="17.25">
      <c r="A4" s="1" t="s">
        <v>13</v>
      </c>
      <c r="B4" s="1" t="s">
        <v>25</v>
      </c>
      <c r="C4" s="1"/>
      <c r="D4" s="5">
        <v>250</v>
      </c>
      <c r="E4" s="5">
        <v>250</v>
      </c>
      <c r="F4" s="5">
        <v>1</v>
      </c>
      <c r="G4" s="5">
        <v>1</v>
      </c>
      <c r="H4" s="5">
        <v>0</v>
      </c>
      <c r="I4" s="5">
        <v>24</v>
      </c>
      <c r="J4" s="5">
        <v>0</v>
      </c>
      <c r="K4" s="5">
        <v>6</v>
      </c>
      <c r="L4" s="4">
        <f>0.0339+0.02236</f>
      </c>
      <c r="M4" s="4">
        <f>0.0339+0.02236</f>
      </c>
      <c r="N4" s="1" t="s">
        <v>26</v>
      </c>
      <c r="O4" s="1" t="s">
        <v>127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24</v>
      </c>
      <c r="J5" s="5">
        <v>0</v>
      </c>
      <c r="K5" s="5">
        <v>6</v>
      </c>
      <c r="L5" s="4">
        <f>0.038+0.02538</f>
      </c>
      <c r="M5" s="4">
        <f>0.038+0.02538</f>
      </c>
      <c r="N5" s="1" t="s">
        <v>26</v>
      </c>
      <c r="O5" s="1" t="s">
        <v>127</v>
      </c>
    </row>
    <row x14ac:dyDescent="0.25" r="6" customHeight="1" ht="17.25">
      <c r="A6" s="1" t="s">
        <v>13</v>
      </c>
      <c r="B6" s="1" t="s">
        <v>25</v>
      </c>
      <c r="C6" s="1"/>
      <c r="D6" s="5">
        <v>250</v>
      </c>
      <c r="E6" s="5">
        <v>250</v>
      </c>
      <c r="F6" s="5">
        <v>2</v>
      </c>
      <c r="G6" s="5">
        <v>2</v>
      </c>
      <c r="H6" s="5">
        <v>0</v>
      </c>
      <c r="I6" s="5">
        <v>24</v>
      </c>
      <c r="J6" s="5">
        <v>0</v>
      </c>
      <c r="K6" s="5">
        <v>6</v>
      </c>
      <c r="L6" s="4">
        <f>0.0339+0.02538</f>
      </c>
      <c r="M6" s="4">
        <f>0.0339+0.02538</f>
      </c>
      <c r="N6" s="1" t="s">
        <v>26</v>
      </c>
      <c r="O6" s="1" t="s">
        <v>127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24</v>
      </c>
      <c r="J7" s="5">
        <v>0</v>
      </c>
      <c r="K7" s="5">
        <v>6</v>
      </c>
      <c r="L7" s="4">
        <f>0.038+0.02538</f>
      </c>
      <c r="M7" s="4">
        <f>0.038+0.02538</f>
      </c>
      <c r="N7" s="1" t="s">
        <v>26</v>
      </c>
      <c r="O7" s="1" t="s">
        <v>127</v>
      </c>
    </row>
    <row x14ac:dyDescent="0.25" r="8" customHeight="1" ht="17.25">
      <c r="A8" s="1" t="s">
        <v>13</v>
      </c>
      <c r="B8" s="1" t="s">
        <v>25</v>
      </c>
      <c r="C8" s="1"/>
      <c r="D8" s="5">
        <v>250</v>
      </c>
      <c r="E8" s="5">
        <v>250</v>
      </c>
      <c r="F8" s="5">
        <v>3</v>
      </c>
      <c r="G8" s="5">
        <v>3</v>
      </c>
      <c r="H8" s="5">
        <v>0</v>
      </c>
      <c r="I8" s="5">
        <v>24</v>
      </c>
      <c r="J8" s="5">
        <v>0</v>
      </c>
      <c r="K8" s="5">
        <v>6</v>
      </c>
      <c r="L8" s="4">
        <f>0.0339+0.02538</f>
      </c>
      <c r="M8" s="4">
        <f>0.0339+0.02538</f>
      </c>
      <c r="N8" s="1" t="s">
        <v>26</v>
      </c>
      <c r="O8" s="1" t="s">
        <v>127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4</v>
      </c>
      <c r="H9" s="5">
        <v>0</v>
      </c>
      <c r="I9" s="5">
        <v>24</v>
      </c>
      <c r="J9" s="5">
        <v>0</v>
      </c>
      <c r="K9" s="5">
        <v>6</v>
      </c>
      <c r="L9" s="4">
        <f>0.038+0.03504</f>
      </c>
      <c r="M9" s="4">
        <f>0.038+0.03504</f>
      </c>
      <c r="N9" s="1" t="s">
        <v>26</v>
      </c>
      <c r="O9" s="1" t="s">
        <v>127</v>
      </c>
    </row>
    <row x14ac:dyDescent="0.25" r="10" customHeight="1" ht="17.25">
      <c r="A10" s="1" t="s">
        <v>13</v>
      </c>
      <c r="B10" s="1" t="s">
        <v>25</v>
      </c>
      <c r="C10" s="1"/>
      <c r="D10" s="5">
        <v>250</v>
      </c>
      <c r="E10" s="5">
        <v>250</v>
      </c>
      <c r="F10" s="5">
        <v>4</v>
      </c>
      <c r="G10" s="5">
        <v>4</v>
      </c>
      <c r="H10" s="5">
        <v>0</v>
      </c>
      <c r="I10" s="5">
        <v>24</v>
      </c>
      <c r="J10" s="5">
        <v>0</v>
      </c>
      <c r="K10" s="5">
        <v>6</v>
      </c>
      <c r="L10" s="4">
        <f>0.0339+0.03504</f>
      </c>
      <c r="M10" s="4">
        <f>0.0339+0.03504</f>
      </c>
      <c r="N10" s="1" t="s">
        <v>26</v>
      </c>
      <c r="O10" s="1" t="s">
        <v>127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5</v>
      </c>
      <c r="H11" s="5">
        <v>0</v>
      </c>
      <c r="I11" s="5">
        <v>24</v>
      </c>
      <c r="J11" s="5">
        <v>0</v>
      </c>
      <c r="K11" s="5">
        <v>6</v>
      </c>
      <c r="L11" s="4">
        <f>0.038+0.03883</f>
      </c>
      <c r="M11" s="4">
        <f>0.038+0.03883</f>
      </c>
      <c r="N11" s="1" t="s">
        <v>26</v>
      </c>
      <c r="O11" s="1" t="s">
        <v>127</v>
      </c>
    </row>
    <row x14ac:dyDescent="0.25" r="12" customHeight="1" ht="17.25">
      <c r="A12" s="1" t="s">
        <v>13</v>
      </c>
      <c r="B12" s="1" t="s">
        <v>25</v>
      </c>
      <c r="C12" s="1"/>
      <c r="D12" s="5">
        <v>250</v>
      </c>
      <c r="E12" s="5">
        <v>250</v>
      </c>
      <c r="F12" s="5">
        <v>5</v>
      </c>
      <c r="G12" s="5">
        <v>5</v>
      </c>
      <c r="H12" s="5">
        <v>0</v>
      </c>
      <c r="I12" s="5">
        <v>24</v>
      </c>
      <c r="J12" s="5">
        <v>0</v>
      </c>
      <c r="K12" s="5">
        <v>6</v>
      </c>
      <c r="L12" s="4">
        <f>0.0339+0.03883</f>
      </c>
      <c r="M12" s="4">
        <f>0.0339+0.03883</f>
      </c>
      <c r="N12" s="1" t="s">
        <v>26</v>
      </c>
      <c r="O12" s="1" t="s">
        <v>127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24</v>
      </c>
      <c r="J13" s="5">
        <v>0</v>
      </c>
      <c r="K13" s="5">
        <v>6</v>
      </c>
      <c r="L13" s="4">
        <f>0.038+0.03863</f>
      </c>
      <c r="M13" s="4">
        <f>0.038+0.03863</f>
      </c>
      <c r="N13" s="1" t="s">
        <v>26</v>
      </c>
      <c r="O13" s="1" t="s">
        <v>127</v>
      </c>
    </row>
    <row x14ac:dyDescent="0.25" r="14" customHeight="1" ht="17.25">
      <c r="A14" s="1" t="s">
        <v>13</v>
      </c>
      <c r="B14" s="1" t="s">
        <v>25</v>
      </c>
      <c r="C14" s="1"/>
      <c r="D14" s="5">
        <v>250</v>
      </c>
      <c r="E14" s="5">
        <v>250</v>
      </c>
      <c r="F14" s="5">
        <v>6</v>
      </c>
      <c r="G14" s="5">
        <v>6</v>
      </c>
      <c r="H14" s="5">
        <v>0</v>
      </c>
      <c r="I14" s="5">
        <v>24</v>
      </c>
      <c r="J14" s="5">
        <v>0</v>
      </c>
      <c r="K14" s="5">
        <v>6</v>
      </c>
      <c r="L14" s="4">
        <f>0.0339+0.03863</f>
      </c>
      <c r="M14" s="4">
        <f>0.0339+0.03863</f>
      </c>
      <c r="N14" s="1" t="s">
        <v>26</v>
      </c>
      <c r="O14" s="1" t="s">
        <v>127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0</v>
      </c>
      <c r="I15" s="5">
        <v>24</v>
      </c>
      <c r="J15" s="5">
        <v>0</v>
      </c>
      <c r="K15" s="5">
        <v>6</v>
      </c>
      <c r="L15" s="4">
        <f>0.038+0.03807</f>
      </c>
      <c r="M15" s="4">
        <f>0.038+0.03807</f>
      </c>
      <c r="N15" s="1" t="s">
        <v>26</v>
      </c>
      <c r="O15" s="1" t="s">
        <v>127</v>
      </c>
    </row>
    <row x14ac:dyDescent="0.25" r="16" customHeight="1" ht="17.25">
      <c r="A16" s="1" t="s">
        <v>13</v>
      </c>
      <c r="B16" s="1" t="s">
        <v>25</v>
      </c>
      <c r="C16" s="1"/>
      <c r="D16" s="5">
        <v>250</v>
      </c>
      <c r="E16" s="5">
        <v>250</v>
      </c>
      <c r="F16" s="5">
        <v>7</v>
      </c>
      <c r="G16" s="5">
        <v>7</v>
      </c>
      <c r="H16" s="5">
        <v>0</v>
      </c>
      <c r="I16" s="5">
        <v>24</v>
      </c>
      <c r="J16" s="5">
        <v>0</v>
      </c>
      <c r="K16" s="5">
        <v>6</v>
      </c>
      <c r="L16" s="4">
        <f>0.0339+0.03807</f>
      </c>
      <c r="M16" s="4">
        <f>0.0339+0.03807</f>
      </c>
      <c r="N16" s="1" t="s">
        <v>26</v>
      </c>
      <c r="O16" s="1" t="s">
        <v>127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8</v>
      </c>
      <c r="G17" s="5">
        <v>8</v>
      </c>
      <c r="H17" s="5">
        <v>0</v>
      </c>
      <c r="I17" s="5">
        <v>24</v>
      </c>
      <c r="J17" s="5">
        <v>0</v>
      </c>
      <c r="K17" s="5">
        <v>6</v>
      </c>
      <c r="L17" s="4">
        <f>0.038+0.0387</f>
      </c>
      <c r="M17" s="4">
        <f>0.038+0.0387</f>
      </c>
      <c r="N17" s="1" t="s">
        <v>26</v>
      </c>
      <c r="O17" s="1" t="s">
        <v>127</v>
      </c>
    </row>
    <row x14ac:dyDescent="0.25" r="18" customHeight="1" ht="17.25">
      <c r="A18" s="1" t="s">
        <v>13</v>
      </c>
      <c r="B18" s="1" t="s">
        <v>25</v>
      </c>
      <c r="C18" s="1"/>
      <c r="D18" s="5">
        <v>250</v>
      </c>
      <c r="E18" s="5">
        <v>250</v>
      </c>
      <c r="F18" s="5">
        <v>8</v>
      </c>
      <c r="G18" s="5">
        <v>8</v>
      </c>
      <c r="H18" s="5">
        <v>0</v>
      </c>
      <c r="I18" s="5">
        <v>24</v>
      </c>
      <c r="J18" s="5">
        <v>0</v>
      </c>
      <c r="K18" s="5">
        <v>6</v>
      </c>
      <c r="L18" s="4">
        <f>0.0339+0.0387</f>
      </c>
      <c r="M18" s="4">
        <f>0.0339+0.0387</f>
      </c>
      <c r="N18" s="1" t="s">
        <v>26</v>
      </c>
      <c r="O18" s="1" t="s">
        <v>127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9</v>
      </c>
      <c r="G19" s="5">
        <v>9</v>
      </c>
      <c r="H19" s="5">
        <v>0</v>
      </c>
      <c r="I19" s="5">
        <v>24</v>
      </c>
      <c r="J19" s="5">
        <v>0</v>
      </c>
      <c r="K19" s="5">
        <v>6</v>
      </c>
      <c r="L19" s="4">
        <f>0.038+0.036085</f>
      </c>
      <c r="M19" s="4">
        <f>0.038+0.036085</f>
      </c>
      <c r="N19" s="1" t="s">
        <v>26</v>
      </c>
      <c r="O19" s="1" t="s">
        <v>127</v>
      </c>
    </row>
    <row x14ac:dyDescent="0.25" r="20" customHeight="1" ht="17.25">
      <c r="A20" s="1" t="s">
        <v>13</v>
      </c>
      <c r="B20" s="1" t="s">
        <v>25</v>
      </c>
      <c r="C20" s="1"/>
      <c r="D20" s="5">
        <v>250</v>
      </c>
      <c r="E20" s="5">
        <v>250</v>
      </c>
      <c r="F20" s="5">
        <v>9</v>
      </c>
      <c r="G20" s="5">
        <v>9</v>
      </c>
      <c r="H20" s="5">
        <v>0</v>
      </c>
      <c r="I20" s="5">
        <v>24</v>
      </c>
      <c r="J20" s="5">
        <v>0</v>
      </c>
      <c r="K20" s="5">
        <v>6</v>
      </c>
      <c r="L20" s="4">
        <f>0.0339+0.036085</f>
      </c>
      <c r="M20" s="4">
        <f>0.0339+0.036085</f>
      </c>
      <c r="N20" s="1" t="s">
        <v>26</v>
      </c>
      <c r="O20" s="1" t="s">
        <v>127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10</v>
      </c>
      <c r="H21" s="5">
        <v>0</v>
      </c>
      <c r="I21" s="5">
        <v>24</v>
      </c>
      <c r="J21" s="5">
        <v>0</v>
      </c>
      <c r="K21" s="5">
        <v>6</v>
      </c>
      <c r="L21" s="4">
        <f>0.038+0.03274</f>
      </c>
      <c r="M21" s="4">
        <f>0.038+0.03274</f>
      </c>
      <c r="N21" s="1" t="s">
        <v>26</v>
      </c>
      <c r="O21" s="1" t="s">
        <v>127</v>
      </c>
    </row>
    <row x14ac:dyDescent="0.25" r="22" customHeight="1" ht="17.25">
      <c r="A22" s="1" t="s">
        <v>13</v>
      </c>
      <c r="B22" s="1" t="s">
        <v>25</v>
      </c>
      <c r="C22" s="1"/>
      <c r="D22" s="5">
        <v>250</v>
      </c>
      <c r="E22" s="5">
        <v>250</v>
      </c>
      <c r="F22" s="5">
        <v>10</v>
      </c>
      <c r="G22" s="5">
        <v>10</v>
      </c>
      <c r="H22" s="5">
        <v>0</v>
      </c>
      <c r="I22" s="5">
        <v>24</v>
      </c>
      <c r="J22" s="5">
        <v>0</v>
      </c>
      <c r="K22" s="5">
        <v>6</v>
      </c>
      <c r="L22" s="4">
        <f>0.0339+0.03274</f>
      </c>
      <c r="M22" s="4">
        <f>0.0339+0.03274</f>
      </c>
      <c r="N22" s="1" t="s">
        <v>26</v>
      </c>
      <c r="O22" s="1" t="s">
        <v>127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11</v>
      </c>
      <c r="G23" s="5">
        <v>11</v>
      </c>
      <c r="H23" s="5">
        <v>0</v>
      </c>
      <c r="I23" s="5">
        <v>24</v>
      </c>
      <c r="J23" s="5">
        <v>0</v>
      </c>
      <c r="K23" s="5">
        <v>6</v>
      </c>
      <c r="L23" s="4">
        <f>0.038+0.03605</f>
      </c>
      <c r="M23" s="4">
        <f>0.038+0.03605</f>
      </c>
      <c r="N23" s="1" t="s">
        <v>26</v>
      </c>
      <c r="O23" s="1" t="s">
        <v>127</v>
      </c>
    </row>
    <row x14ac:dyDescent="0.25" r="24" customHeight="1" ht="17.25">
      <c r="A24" s="1" t="s">
        <v>13</v>
      </c>
      <c r="B24" s="1" t="s">
        <v>25</v>
      </c>
      <c r="C24" s="1"/>
      <c r="D24" s="5">
        <v>250</v>
      </c>
      <c r="E24" s="5">
        <v>250</v>
      </c>
      <c r="F24" s="5">
        <v>11</v>
      </c>
      <c r="G24" s="5">
        <v>11</v>
      </c>
      <c r="H24" s="5">
        <v>0</v>
      </c>
      <c r="I24" s="5">
        <v>24</v>
      </c>
      <c r="J24" s="5">
        <v>0</v>
      </c>
      <c r="K24" s="5">
        <v>6</v>
      </c>
      <c r="L24" s="4">
        <f>0.0339+0.03605</f>
      </c>
      <c r="M24" s="4">
        <f>0.0339+0.03605</f>
      </c>
      <c r="N24" s="1" t="s">
        <v>26</v>
      </c>
      <c r="O24" s="1" t="s">
        <v>127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12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0.038+0.03088</f>
      </c>
      <c r="M25" s="4">
        <f>0.038+0.03088</f>
      </c>
      <c r="N25" s="1" t="s">
        <v>26</v>
      </c>
      <c r="O25" s="1" t="s">
        <v>127</v>
      </c>
    </row>
    <row x14ac:dyDescent="0.25" r="26" customHeight="1" ht="17.25">
      <c r="A26" s="1" t="s">
        <v>13</v>
      </c>
      <c r="B26" s="1" t="s">
        <v>25</v>
      </c>
      <c r="C26" s="1"/>
      <c r="D26" s="5">
        <v>250</v>
      </c>
      <c r="E26" s="5">
        <v>250</v>
      </c>
      <c r="F26" s="5">
        <v>12</v>
      </c>
      <c r="G26" s="5">
        <v>12</v>
      </c>
      <c r="H26" s="5">
        <v>0</v>
      </c>
      <c r="I26" s="5">
        <v>24</v>
      </c>
      <c r="J26" s="5">
        <v>0</v>
      </c>
      <c r="K26" s="5">
        <v>6</v>
      </c>
      <c r="L26" s="4">
        <f>0.0339+0.03088</f>
      </c>
      <c r="M26" s="4">
        <f>0.0339+0.03088</f>
      </c>
      <c r="N26" s="1" t="s">
        <v>26</v>
      </c>
      <c r="O26" s="1" t="s">
        <v>127</v>
      </c>
    </row>
    <row x14ac:dyDescent="0.25" r="27" customHeight="1" ht="17.25">
      <c r="A27" s="1" t="s">
        <v>13</v>
      </c>
      <c r="B27" s="1" t="s">
        <v>17</v>
      </c>
      <c r="C27" s="1" t="s">
        <v>46</v>
      </c>
      <c r="D27" s="5">
        <v>0</v>
      </c>
      <c r="E27" s="5">
        <v>0</v>
      </c>
      <c r="F27" s="5">
        <v>1</v>
      </c>
      <c r="G27" s="5">
        <v>5</v>
      </c>
      <c r="H27" s="5">
        <v>0</v>
      </c>
      <c r="I27" s="5">
        <v>24</v>
      </c>
      <c r="J27" s="5">
        <v>0</v>
      </c>
      <c r="K27" s="5">
        <v>6</v>
      </c>
      <c r="L27" s="4">
        <v>8.75</v>
      </c>
      <c r="M27" s="4">
        <v>8.75</v>
      </c>
      <c r="N27" s="1" t="s">
        <v>19</v>
      </c>
      <c r="O27" s="1"/>
    </row>
    <row x14ac:dyDescent="0.25" r="28" customHeight="1" ht="17.25">
      <c r="A28" s="1" t="s">
        <v>13</v>
      </c>
      <c r="B28" s="1" t="s">
        <v>17</v>
      </c>
      <c r="C28" s="1" t="s">
        <v>47</v>
      </c>
      <c r="D28" s="5">
        <v>0</v>
      </c>
      <c r="E28" s="5">
        <v>0</v>
      </c>
      <c r="F28" s="5">
        <v>6</v>
      </c>
      <c r="G28" s="5">
        <v>9</v>
      </c>
      <c r="H28" s="5">
        <v>0</v>
      </c>
      <c r="I28" s="5">
        <v>24</v>
      </c>
      <c r="J28" s="5">
        <v>0</v>
      </c>
      <c r="K28" s="5">
        <v>6</v>
      </c>
      <c r="L28" s="4">
        <v>11.4</v>
      </c>
      <c r="M28" s="4">
        <v>11.4</v>
      </c>
      <c r="N28" s="1" t="s">
        <v>19</v>
      </c>
      <c r="O28" s="1"/>
    </row>
    <row x14ac:dyDescent="0.25" r="29" customHeight="1" ht="17.25">
      <c r="A29" s="1" t="s">
        <v>13</v>
      </c>
      <c r="B29" s="1" t="s">
        <v>17</v>
      </c>
      <c r="C29" s="1" t="s">
        <v>48</v>
      </c>
      <c r="D29" s="5">
        <v>0</v>
      </c>
      <c r="E29" s="5">
        <v>0</v>
      </c>
      <c r="F29" s="5">
        <v>10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4">
        <v>8.75</v>
      </c>
      <c r="M29" s="4">
        <v>8.75</v>
      </c>
      <c r="N29" s="1" t="s">
        <v>19</v>
      </c>
      <c r="O29" s="1"/>
    </row>
    <row x14ac:dyDescent="0.25" r="30" customHeight="1" ht="17.25">
      <c r="A30" s="1" t="s">
        <v>34</v>
      </c>
      <c r="B30" s="1" t="s">
        <v>14</v>
      </c>
      <c r="C30" s="1"/>
      <c r="D30" s="2"/>
      <c r="E30" s="34"/>
      <c r="F30" s="2"/>
      <c r="G30" s="2"/>
      <c r="H30" s="2"/>
      <c r="I30" s="2"/>
      <c r="J30" s="2"/>
      <c r="K30" s="2"/>
      <c r="L30" s="5">
        <v>40</v>
      </c>
      <c r="M30" s="5">
        <v>40</v>
      </c>
      <c r="N30" s="1" t="s">
        <v>15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v>0</v>
      </c>
      <c r="E31" s="5">
        <v>0</v>
      </c>
      <c r="F31" s="5">
        <v>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0.473+0.22</f>
      </c>
      <c r="M31" s="14">
        <f>L31/2.83168</f>
      </c>
      <c r="N31" s="1" t="s">
        <v>36</v>
      </c>
      <c r="O31" s="1" t="s">
        <v>37</v>
      </c>
    </row>
    <row x14ac:dyDescent="0.25" r="32" customHeight="1" ht="17.25">
      <c r="A32" s="1" t="s">
        <v>34</v>
      </c>
      <c r="B32" s="1" t="s">
        <v>25</v>
      </c>
      <c r="C32" s="1"/>
      <c r="D32" s="5">
        <v>6000</v>
      </c>
      <c r="E32" s="17">
        <f>D32*2.83168</f>
      </c>
      <c r="F32" s="5">
        <v>1</v>
      </c>
      <c r="G32" s="5">
        <v>12</v>
      </c>
      <c r="H32" s="5">
        <v>0</v>
      </c>
      <c r="I32" s="5">
        <v>24</v>
      </c>
      <c r="J32" s="5">
        <v>0</v>
      </c>
      <c r="K32" s="5">
        <v>6</v>
      </c>
      <c r="L32" s="4">
        <f>0.396+0.22</f>
      </c>
      <c r="M32" s="14">
        <f>L32/2.83168</f>
      </c>
      <c r="N32" s="1" t="s">
        <v>36</v>
      </c>
      <c r="O32" s="1" t="s">
        <v>37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8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1164.77+35.03</f>
      </c>
      <c r="M2" s="4">
        <f>1164.77+35.03</f>
      </c>
      <c r="N2" s="1" t="s">
        <v>15</v>
      </c>
      <c r="O2" s="1" t="s">
        <v>31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f>0.00121+0.0244678</f>
      </c>
      <c r="M3" s="11">
        <f>0.00121+0.0244678</f>
      </c>
      <c r="N3" s="1" t="s">
        <v>26</v>
      </c>
      <c r="O3" s="1" t="s">
        <v>32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f>0.00121+0.0445597</f>
      </c>
      <c r="M4" s="11">
        <f>0.00121+0.0445597</f>
      </c>
      <c r="N4" s="1" t="s">
        <v>26</v>
      </c>
      <c r="O4" s="1" t="s">
        <v>32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f>0.00121+0.02273642</f>
      </c>
      <c r="M5" s="11">
        <f>0.00121+0.02273642</f>
      </c>
      <c r="N5" s="1" t="s">
        <v>26</v>
      </c>
      <c r="O5" s="1" t="s">
        <v>32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f>0.00121+0.026576292</f>
      </c>
      <c r="M6" s="11">
        <f>0.00121+0.026576292</f>
      </c>
      <c r="N6" s="1" t="s">
        <v>26</v>
      </c>
      <c r="O6" s="1" t="s">
        <v>32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f>0.00121+0.026425685</f>
      </c>
      <c r="M7" s="11">
        <f>0.00121+0.026425685</f>
      </c>
      <c r="N7" s="1" t="s">
        <v>26</v>
      </c>
      <c r="O7" s="1" t="s">
        <v>32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f>0.00121+0.032569458</f>
      </c>
      <c r="M8" s="11">
        <f>0.00121+0.032569458</f>
      </c>
      <c r="N8" s="1" t="s">
        <v>26</v>
      </c>
      <c r="O8" s="1" t="s">
        <v>32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2">
        <f>0.00121+0.03256946</f>
      </c>
      <c r="M9" s="12">
        <f>0.00121+0.03256946</f>
      </c>
      <c r="N9" s="1" t="s">
        <v>26</v>
      </c>
      <c r="O9" s="1" t="s">
        <v>32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f>0.00121+0.043616868</f>
      </c>
      <c r="M10" s="11">
        <f>0.00121+0.043616868</f>
      </c>
      <c r="N10" s="1" t="s">
        <v>26</v>
      </c>
      <c r="O10" s="1" t="s">
        <v>32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f>0.00121+0.044587306</f>
      </c>
      <c r="M11" s="11">
        <f>0.00121+0.044587306</f>
      </c>
      <c r="N11" s="1" t="s">
        <v>26</v>
      </c>
      <c r="O11" s="1" t="s">
        <v>32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f>0.00121+0.055849073</f>
      </c>
      <c r="M12" s="11">
        <f>0.00121+0.055849073</f>
      </c>
      <c r="N12" s="1" t="s">
        <v>26</v>
      </c>
      <c r="O12" s="1" t="s">
        <v>32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f>0.00121+0.050181969</f>
      </c>
      <c r="M13" s="11">
        <f>0.00121+0.050181969</f>
      </c>
      <c r="N13" s="1" t="s">
        <v>26</v>
      </c>
      <c r="O13" s="1" t="s">
        <v>32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f>0.00121+0.0328868</f>
      </c>
      <c r="M14" s="11">
        <f>0.00121+0.0328868</f>
      </c>
      <c r="N14" s="1" t="s">
        <v>26</v>
      </c>
      <c r="O14" s="1" t="s">
        <v>32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0.34+7.3</f>
      </c>
      <c r="M15" s="4">
        <f>0.34+7.3</f>
      </c>
      <c r="N15" s="1" t="s">
        <v>19</v>
      </c>
      <c r="O15" s="1" t="s">
        <v>33</v>
      </c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5">
        <v>918</v>
      </c>
      <c r="M16" s="5">
        <v>918</v>
      </c>
      <c r="N16" s="1" t="s">
        <v>15</v>
      </c>
      <c r="O16" s="1"/>
    </row>
    <row x14ac:dyDescent="0.25" r="17" customHeight="1" ht="17.25">
      <c r="A17" s="1" t="s">
        <v>34</v>
      </c>
      <c r="B17" s="1" t="s">
        <v>17</v>
      </c>
      <c r="C17" s="1" t="s">
        <v>24</v>
      </c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0.87835*24</f>
      </c>
      <c r="M17" s="11">
        <f>L17/2.83168</f>
      </c>
      <c r="N17" s="1" t="s">
        <v>35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24</v>
      </c>
      <c r="J18" s="5">
        <v>0</v>
      </c>
      <c r="K18" s="5">
        <v>6</v>
      </c>
      <c r="L18" s="4">
        <f>0.06036+0.2887</f>
      </c>
      <c r="M18" s="11">
        <f>L18/2.83168</f>
      </c>
      <c r="N18" s="1" t="s">
        <v>36</v>
      </c>
      <c r="O18" s="1" t="s">
        <v>37</v>
      </c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2</v>
      </c>
      <c r="G19" s="5">
        <v>2</v>
      </c>
      <c r="H19" s="5">
        <v>0</v>
      </c>
      <c r="I19" s="5">
        <v>24</v>
      </c>
      <c r="J19" s="5">
        <v>0</v>
      </c>
      <c r="K19" s="5">
        <v>6</v>
      </c>
      <c r="L19" s="4">
        <f>0.06036+0.294</f>
      </c>
      <c r="M19" s="11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0</v>
      </c>
      <c r="I20" s="5">
        <v>24</v>
      </c>
      <c r="J20" s="5">
        <v>0</v>
      </c>
      <c r="K20" s="5">
        <v>6</v>
      </c>
      <c r="L20" s="4">
        <f>0.06036+0.3219</f>
      </c>
      <c r="M20" s="11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0</v>
      </c>
      <c r="I21" s="5">
        <v>24</v>
      </c>
      <c r="J21" s="5">
        <v>0</v>
      </c>
      <c r="K21" s="5">
        <v>6</v>
      </c>
      <c r="L21" s="4">
        <f>0.06036+0.4633</f>
      </c>
      <c r="M21" s="11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4">
        <f>0.06036+0.5323</f>
      </c>
      <c r="M22" s="11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6</v>
      </c>
      <c r="G23" s="5">
        <v>6</v>
      </c>
      <c r="H23" s="5">
        <v>0</v>
      </c>
      <c r="I23" s="5">
        <v>24</v>
      </c>
      <c r="J23" s="5">
        <v>0</v>
      </c>
      <c r="K23" s="5">
        <v>6</v>
      </c>
      <c r="L23" s="4">
        <f>0.06036+0.577</f>
      </c>
      <c r="M23" s="11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7</v>
      </c>
      <c r="H24" s="5">
        <v>0</v>
      </c>
      <c r="I24" s="5">
        <v>24</v>
      </c>
      <c r="J24" s="5">
        <v>0</v>
      </c>
      <c r="K24" s="5">
        <v>6</v>
      </c>
      <c r="L24" s="4">
        <f>0.06036+0.6277</f>
      </c>
      <c r="M24" s="11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24</v>
      </c>
      <c r="J25" s="5">
        <v>0</v>
      </c>
      <c r="K25" s="5">
        <v>6</v>
      </c>
      <c r="L25" s="4">
        <f>0.06036+0.6524</f>
      </c>
      <c r="M25" s="11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9</v>
      </c>
      <c r="G26" s="5">
        <v>9</v>
      </c>
      <c r="H26" s="5">
        <v>0</v>
      </c>
      <c r="I26" s="5">
        <v>24</v>
      </c>
      <c r="J26" s="5">
        <v>0</v>
      </c>
      <c r="K26" s="5">
        <v>6</v>
      </c>
      <c r="L26" s="4">
        <f>0.06036+0.6617</f>
      </c>
      <c r="M26" s="11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10</v>
      </c>
      <c r="G27" s="5">
        <v>10</v>
      </c>
      <c r="H27" s="5">
        <v>0</v>
      </c>
      <c r="I27" s="5">
        <v>24</v>
      </c>
      <c r="J27" s="5">
        <v>0</v>
      </c>
      <c r="K27" s="5">
        <v>6</v>
      </c>
      <c r="L27" s="4">
        <f>0.06036+0.7256</f>
      </c>
      <c r="M27" s="11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0</v>
      </c>
      <c r="E28" s="5">
        <v>0</v>
      </c>
      <c r="F28" s="5">
        <v>11</v>
      </c>
      <c r="G28" s="5">
        <v>11</v>
      </c>
      <c r="H28" s="5">
        <v>0</v>
      </c>
      <c r="I28" s="5">
        <v>24</v>
      </c>
      <c r="J28" s="5">
        <v>0</v>
      </c>
      <c r="K28" s="5">
        <v>6</v>
      </c>
      <c r="L28" s="4">
        <f>0.06036+0.7387</f>
      </c>
      <c r="M28" s="11">
        <f>L28/2.83168</f>
      </c>
      <c r="N28" s="1" t="s">
        <v>36</v>
      </c>
      <c r="O28" s="1" t="s">
        <v>37</v>
      </c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12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4">
        <f>0.06036+0.6814</f>
      </c>
      <c r="M29" s="11">
        <f>L29/2.83168</f>
      </c>
      <c r="N29" s="1" t="s">
        <v>36</v>
      </c>
      <c r="O29" s="1" t="s">
        <v>37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8"/>
  <sheetViews>
    <sheetView workbookViewId="0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7" width="12.4335714285714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8" width="12.43357142857143" customWidth="1" bestFit="1"/>
    <col min="12" max="12" style="6" width="12.43357142857143" customWidth="1" bestFit="1"/>
    <col min="13" max="13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</row>
    <row x14ac:dyDescent="0.25" r="2" customHeight="1" ht="19.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4">
        <v>373.12</v>
      </c>
      <c r="L2" s="1" t="s">
        <v>15</v>
      </c>
      <c r="M2" s="1" t="s">
        <v>27</v>
      </c>
    </row>
    <row x14ac:dyDescent="0.25" r="3" customHeight="1" ht="19.5">
      <c r="A3" s="1" t="s">
        <v>13</v>
      </c>
      <c r="B3" s="1" t="s">
        <v>17</v>
      </c>
      <c r="C3" s="1" t="s">
        <v>18</v>
      </c>
      <c r="D3" s="5">
        <v>0</v>
      </c>
      <c r="E3" s="5">
        <v>6</v>
      </c>
      <c r="F3" s="5">
        <v>9</v>
      </c>
      <c r="G3" s="5">
        <v>16</v>
      </c>
      <c r="H3" s="5">
        <v>21</v>
      </c>
      <c r="I3" s="5">
        <v>0</v>
      </c>
      <c r="J3" s="5">
        <v>4</v>
      </c>
      <c r="K3" s="4">
        <v>4.13</v>
      </c>
      <c r="L3" s="1" t="s">
        <v>19</v>
      </c>
      <c r="M3" s="1" t="s">
        <v>28</v>
      </c>
    </row>
    <row x14ac:dyDescent="0.25" r="4" customHeight="1" ht="19.5">
      <c r="A4" s="1" t="s">
        <v>13</v>
      </c>
      <c r="B4" s="1" t="s">
        <v>17</v>
      </c>
      <c r="C4" s="1" t="s">
        <v>21</v>
      </c>
      <c r="D4" s="5">
        <v>0</v>
      </c>
      <c r="E4" s="5">
        <v>1</v>
      </c>
      <c r="F4" s="5">
        <v>5</v>
      </c>
      <c r="G4" s="5">
        <v>16</v>
      </c>
      <c r="H4" s="5">
        <v>21</v>
      </c>
      <c r="I4" s="5">
        <v>0</v>
      </c>
      <c r="J4" s="5">
        <v>4</v>
      </c>
      <c r="K4" s="4">
        <v>1.03</v>
      </c>
      <c r="L4" s="1" t="s">
        <v>19</v>
      </c>
      <c r="M4" s="1" t="s">
        <v>22</v>
      </c>
    </row>
    <row x14ac:dyDescent="0.25" r="5" customHeight="1" ht="19.5">
      <c r="A5" s="1" t="s">
        <v>13</v>
      </c>
      <c r="B5" s="1" t="s">
        <v>17</v>
      </c>
      <c r="C5" s="1" t="s">
        <v>23</v>
      </c>
      <c r="D5" s="5">
        <v>0</v>
      </c>
      <c r="E5" s="5">
        <v>10</v>
      </c>
      <c r="F5" s="5">
        <v>12</v>
      </c>
      <c r="G5" s="5">
        <v>16</v>
      </c>
      <c r="H5" s="5">
        <v>21</v>
      </c>
      <c r="I5" s="5">
        <v>0</v>
      </c>
      <c r="J5" s="5">
        <v>4</v>
      </c>
      <c r="K5" s="4">
        <v>1.03</v>
      </c>
      <c r="L5" s="1" t="s">
        <v>19</v>
      </c>
      <c r="M5" s="1"/>
    </row>
    <row x14ac:dyDescent="0.25" r="6" customHeight="1" ht="19.5">
      <c r="A6" s="1" t="s">
        <v>13</v>
      </c>
      <c r="B6" s="1" t="s">
        <v>17</v>
      </c>
      <c r="C6" s="1" t="s">
        <v>24</v>
      </c>
      <c r="D6" s="5">
        <v>0</v>
      </c>
      <c r="E6" s="5">
        <v>1</v>
      </c>
      <c r="F6" s="5">
        <v>12</v>
      </c>
      <c r="G6" s="5">
        <v>0</v>
      </c>
      <c r="H6" s="5">
        <v>24</v>
      </c>
      <c r="I6" s="5">
        <v>0</v>
      </c>
      <c r="J6" s="5">
        <v>6</v>
      </c>
      <c r="K6" s="4">
        <v>11.26</v>
      </c>
      <c r="L6" s="1" t="s">
        <v>19</v>
      </c>
      <c r="M6" s="1"/>
    </row>
    <row x14ac:dyDescent="0.25" r="7" customHeight="1" ht="19.5">
      <c r="A7" s="1" t="s">
        <v>13</v>
      </c>
      <c r="B7" s="1" t="s">
        <v>25</v>
      </c>
      <c r="C7" s="1"/>
      <c r="D7" s="5">
        <v>0</v>
      </c>
      <c r="E7" s="5">
        <v>6</v>
      </c>
      <c r="F7" s="5">
        <v>9</v>
      </c>
      <c r="G7" s="5">
        <v>16</v>
      </c>
      <c r="H7" s="5">
        <v>21</v>
      </c>
      <c r="I7" s="5">
        <v>0</v>
      </c>
      <c r="J7" s="5">
        <v>4</v>
      </c>
      <c r="K7" s="4">
        <v>0.50403</v>
      </c>
      <c r="L7" s="1" t="s">
        <v>26</v>
      </c>
      <c r="M7" s="1"/>
    </row>
    <row x14ac:dyDescent="0.25" r="8" customHeight="1" ht="19.5">
      <c r="A8" s="1" t="s">
        <v>13</v>
      </c>
      <c r="B8" s="1" t="s">
        <v>25</v>
      </c>
      <c r="C8" s="1"/>
      <c r="D8" s="5">
        <v>0</v>
      </c>
      <c r="E8" s="5">
        <v>6</v>
      </c>
      <c r="F8" s="5">
        <v>9</v>
      </c>
      <c r="G8" s="5">
        <v>0</v>
      </c>
      <c r="H8" s="5">
        <v>16</v>
      </c>
      <c r="I8" s="5">
        <v>0</v>
      </c>
      <c r="J8" s="5">
        <v>6</v>
      </c>
      <c r="K8" s="4">
        <v>0.12291</v>
      </c>
      <c r="L8" s="1" t="s">
        <v>26</v>
      </c>
      <c r="M8" s="1"/>
    </row>
    <row x14ac:dyDescent="0.25" r="9" customHeight="1" ht="19.5">
      <c r="A9" s="1" t="s">
        <v>13</v>
      </c>
      <c r="B9" s="1" t="s">
        <v>25</v>
      </c>
      <c r="C9" s="1"/>
      <c r="D9" s="5">
        <v>0</v>
      </c>
      <c r="E9" s="5">
        <v>6</v>
      </c>
      <c r="F9" s="5">
        <v>9</v>
      </c>
      <c r="G9" s="5">
        <v>21</v>
      </c>
      <c r="H9" s="5">
        <v>24</v>
      </c>
      <c r="I9" s="5">
        <v>0</v>
      </c>
      <c r="J9" s="5">
        <v>6</v>
      </c>
      <c r="K9" s="4">
        <v>0.12291</v>
      </c>
      <c r="L9" s="1" t="s">
        <v>26</v>
      </c>
      <c r="M9" s="1"/>
    </row>
    <row x14ac:dyDescent="0.25" r="10" customHeight="1" ht="19.5">
      <c r="A10" s="1" t="s">
        <v>13</v>
      </c>
      <c r="B10" s="1" t="s">
        <v>25</v>
      </c>
      <c r="C10" s="1"/>
      <c r="D10" s="5">
        <v>0</v>
      </c>
      <c r="E10" s="5">
        <v>6</v>
      </c>
      <c r="F10" s="5">
        <v>9</v>
      </c>
      <c r="G10" s="5">
        <v>16</v>
      </c>
      <c r="H10" s="5">
        <v>21</v>
      </c>
      <c r="I10" s="5">
        <v>5</v>
      </c>
      <c r="J10" s="5">
        <v>6</v>
      </c>
      <c r="K10" s="4">
        <v>0.185</v>
      </c>
      <c r="L10" s="1" t="s">
        <v>26</v>
      </c>
      <c r="M10" s="1"/>
    </row>
    <row x14ac:dyDescent="0.25" r="11" customHeight="1" ht="19.5">
      <c r="A11" s="1" t="s">
        <v>13</v>
      </c>
      <c r="B11" s="1" t="s">
        <v>25</v>
      </c>
      <c r="C11" s="1"/>
      <c r="D11" s="5">
        <v>0</v>
      </c>
      <c r="E11" s="5">
        <v>1</v>
      </c>
      <c r="F11" s="5">
        <v>5</v>
      </c>
      <c r="G11" s="5">
        <v>16</v>
      </c>
      <c r="H11" s="5">
        <v>21</v>
      </c>
      <c r="I11" s="5">
        <v>0</v>
      </c>
      <c r="J11" s="5">
        <v>6</v>
      </c>
      <c r="K11" s="4">
        <v>0.15716</v>
      </c>
      <c r="L11" s="1" t="s">
        <v>26</v>
      </c>
      <c r="M11" s="1"/>
    </row>
    <row x14ac:dyDescent="0.25" r="12" customHeight="1" ht="19.5">
      <c r="A12" s="1" t="s">
        <v>13</v>
      </c>
      <c r="B12" s="1" t="s">
        <v>25</v>
      </c>
      <c r="C12" s="1"/>
      <c r="D12" s="5">
        <v>0</v>
      </c>
      <c r="E12" s="5">
        <v>1</v>
      </c>
      <c r="F12" s="5">
        <v>5</v>
      </c>
      <c r="G12" s="5">
        <v>0</v>
      </c>
      <c r="H12" s="5">
        <v>8</v>
      </c>
      <c r="I12" s="5">
        <v>0</v>
      </c>
      <c r="J12" s="5">
        <v>6</v>
      </c>
      <c r="K12" s="4">
        <v>0.09174</v>
      </c>
      <c r="L12" s="1" t="s">
        <v>26</v>
      </c>
      <c r="M12" s="1"/>
    </row>
    <row x14ac:dyDescent="0.25" r="13" customHeight="1" ht="19.5">
      <c r="A13" s="1" t="s">
        <v>13</v>
      </c>
      <c r="B13" s="1" t="s">
        <v>25</v>
      </c>
      <c r="C13" s="1"/>
      <c r="D13" s="5">
        <v>0</v>
      </c>
      <c r="E13" s="5">
        <v>1</v>
      </c>
      <c r="F13" s="5">
        <v>5</v>
      </c>
      <c r="G13" s="5">
        <v>21</v>
      </c>
      <c r="H13" s="5">
        <v>24</v>
      </c>
      <c r="I13" s="5">
        <v>0</v>
      </c>
      <c r="J13" s="5">
        <v>6</v>
      </c>
      <c r="K13" s="4">
        <v>0.09174</v>
      </c>
      <c r="L13" s="1" t="s">
        <v>26</v>
      </c>
      <c r="M13" s="1"/>
    </row>
    <row x14ac:dyDescent="0.25" r="14" customHeight="1" ht="19.5">
      <c r="A14" s="1" t="s">
        <v>13</v>
      </c>
      <c r="B14" s="1" t="s">
        <v>25</v>
      </c>
      <c r="C14" s="1"/>
      <c r="D14" s="5">
        <v>0</v>
      </c>
      <c r="E14" s="5">
        <v>1</v>
      </c>
      <c r="F14" s="5">
        <v>5</v>
      </c>
      <c r="G14" s="5">
        <v>8</v>
      </c>
      <c r="H14" s="5">
        <v>16</v>
      </c>
      <c r="I14" s="5">
        <v>0</v>
      </c>
      <c r="J14" s="5">
        <v>6</v>
      </c>
      <c r="K14" s="4">
        <v>0.08717</v>
      </c>
      <c r="L14" s="1" t="s">
        <v>26</v>
      </c>
      <c r="M14" s="1"/>
    </row>
    <row x14ac:dyDescent="0.25" r="15" customHeight="1" ht="19.5">
      <c r="A15" s="1" t="s">
        <v>13</v>
      </c>
      <c r="B15" s="1" t="s">
        <v>25</v>
      </c>
      <c r="C15" s="1"/>
      <c r="D15" s="5">
        <v>0</v>
      </c>
      <c r="E15" s="5">
        <v>10</v>
      </c>
      <c r="F15" s="5">
        <v>12</v>
      </c>
      <c r="G15" s="5">
        <v>16</v>
      </c>
      <c r="H15" s="5">
        <v>21</v>
      </c>
      <c r="I15" s="5">
        <v>0</v>
      </c>
      <c r="J15" s="5">
        <v>6</v>
      </c>
      <c r="K15" s="4">
        <v>0.15716</v>
      </c>
      <c r="L15" s="1" t="s">
        <v>26</v>
      </c>
      <c r="M15" s="1"/>
    </row>
    <row x14ac:dyDescent="0.25" r="16" customHeight="1" ht="19.5">
      <c r="A16" s="1" t="s">
        <v>13</v>
      </c>
      <c r="B16" s="1" t="s">
        <v>25</v>
      </c>
      <c r="C16" s="1"/>
      <c r="D16" s="5">
        <v>0</v>
      </c>
      <c r="E16" s="5">
        <v>10</v>
      </c>
      <c r="F16" s="5">
        <v>12</v>
      </c>
      <c r="G16" s="5">
        <v>0</v>
      </c>
      <c r="H16" s="5">
        <v>8</v>
      </c>
      <c r="I16" s="5">
        <v>0</v>
      </c>
      <c r="J16" s="5">
        <v>6</v>
      </c>
      <c r="K16" s="4">
        <v>0.09174</v>
      </c>
      <c r="L16" s="1" t="s">
        <v>26</v>
      </c>
      <c r="M16" s="1"/>
    </row>
    <row x14ac:dyDescent="0.25" r="17" customHeight="1" ht="19.5">
      <c r="A17" s="1" t="s">
        <v>13</v>
      </c>
      <c r="B17" s="1" t="s">
        <v>25</v>
      </c>
      <c r="C17" s="1"/>
      <c r="D17" s="5">
        <v>0</v>
      </c>
      <c r="E17" s="5">
        <v>10</v>
      </c>
      <c r="F17" s="5">
        <v>12</v>
      </c>
      <c r="G17" s="5">
        <v>21</v>
      </c>
      <c r="H17" s="5">
        <v>24</v>
      </c>
      <c r="I17" s="5">
        <v>0</v>
      </c>
      <c r="J17" s="5">
        <v>6</v>
      </c>
      <c r="K17" s="4">
        <v>0.09174</v>
      </c>
      <c r="L17" s="1" t="s">
        <v>26</v>
      </c>
      <c r="M17" s="1"/>
    </row>
    <row x14ac:dyDescent="0.25" r="18" customHeight="1" ht="19.5">
      <c r="A18" s="1" t="s">
        <v>13</v>
      </c>
      <c r="B18" s="1" t="s">
        <v>25</v>
      </c>
      <c r="C18" s="1"/>
      <c r="D18" s="5">
        <v>0</v>
      </c>
      <c r="E18" s="5">
        <v>10</v>
      </c>
      <c r="F18" s="5">
        <v>12</v>
      </c>
      <c r="G18" s="5">
        <v>8</v>
      </c>
      <c r="H18" s="5">
        <v>16</v>
      </c>
      <c r="I18" s="5">
        <v>0</v>
      </c>
      <c r="J18" s="5">
        <v>6</v>
      </c>
      <c r="K18" s="4">
        <v>0.08717</v>
      </c>
      <c r="L18" s="1" t="s">
        <v>26</v>
      </c>
      <c r="M18" s="1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8"/>
  <sheetViews>
    <sheetView workbookViewId="0" tabSelected="1"/>
  </sheetViews>
  <sheetFormatPr defaultRowHeight="15" x14ac:dyDescent="0.25"/>
  <cols>
    <col min="1" max="1" style="6" width="12.43357142857143" customWidth="1" bestFit="1"/>
    <col min="2" max="2" style="6" width="12.43357142857143" customWidth="1" bestFit="1"/>
    <col min="3" max="3" style="6" width="12.43357142857143" customWidth="1" bestFit="1"/>
    <col min="4" max="4" style="7" width="12.43357142857143" customWidth="1" bestFit="1"/>
    <col min="5" max="5" style="7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8" width="12.43357142857143" customWidth="1" bestFit="1"/>
    <col min="12" max="12" style="6" width="12.43357142857143" customWidth="1" bestFit="1"/>
    <col min="13" max="13" style="6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4">
        <v>3649.76</v>
      </c>
      <c r="L2" s="1" t="s">
        <v>15</v>
      </c>
      <c r="M2" s="1" t="s">
        <v>16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6</v>
      </c>
      <c r="F3" s="5">
        <v>9</v>
      </c>
      <c r="G3" s="5">
        <v>16</v>
      </c>
      <c r="H3" s="5">
        <v>21</v>
      </c>
      <c r="I3" s="5">
        <v>0</v>
      </c>
      <c r="J3" s="5">
        <v>4</v>
      </c>
      <c r="K3" s="4">
        <v>2.55</v>
      </c>
      <c r="L3" s="1" t="s">
        <v>19</v>
      </c>
      <c r="M3" s="1" t="s">
        <v>20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1</v>
      </c>
      <c r="F4" s="5">
        <v>5</v>
      </c>
      <c r="G4" s="5">
        <v>16</v>
      </c>
      <c r="H4" s="5">
        <v>21</v>
      </c>
      <c r="I4" s="5">
        <v>0</v>
      </c>
      <c r="J4" s="5">
        <v>4</v>
      </c>
      <c r="K4" s="4">
        <v>1.24</v>
      </c>
      <c r="L4" s="1" t="s">
        <v>19</v>
      </c>
      <c r="M4" s="1" t="s">
        <v>22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10</v>
      </c>
      <c r="F5" s="5">
        <v>12</v>
      </c>
      <c r="G5" s="5">
        <v>16</v>
      </c>
      <c r="H5" s="5">
        <v>21</v>
      </c>
      <c r="I5" s="5">
        <v>0</v>
      </c>
      <c r="J5" s="5">
        <v>4</v>
      </c>
      <c r="K5" s="4">
        <v>1.24</v>
      </c>
      <c r="L5" s="1" t="s">
        <v>19</v>
      </c>
      <c r="M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1</v>
      </c>
      <c r="F6" s="5">
        <v>12</v>
      </c>
      <c r="G6" s="5">
        <v>0</v>
      </c>
      <c r="H6" s="5">
        <v>24</v>
      </c>
      <c r="I6" s="5">
        <v>0</v>
      </c>
      <c r="J6" s="5">
        <v>6</v>
      </c>
      <c r="K6" s="4">
        <v>8.03</v>
      </c>
      <c r="L6" s="1" t="s">
        <v>19</v>
      </c>
      <c r="M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6</v>
      </c>
      <c r="F7" s="5">
        <v>9</v>
      </c>
      <c r="G7" s="5">
        <v>16</v>
      </c>
      <c r="H7" s="5">
        <v>21</v>
      </c>
      <c r="I7" s="5">
        <v>0</v>
      </c>
      <c r="J7" s="5">
        <v>4</v>
      </c>
      <c r="K7" s="4">
        <v>0.52939</v>
      </c>
      <c r="L7" s="1" t="s">
        <v>26</v>
      </c>
      <c r="M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6</v>
      </c>
      <c r="F8" s="5">
        <v>9</v>
      </c>
      <c r="G8" s="5">
        <v>0</v>
      </c>
      <c r="H8" s="5">
        <v>16</v>
      </c>
      <c r="I8" s="5">
        <v>0</v>
      </c>
      <c r="J8" s="5">
        <v>6</v>
      </c>
      <c r="K8" s="4">
        <v>0.12955</v>
      </c>
      <c r="L8" s="1" t="s">
        <v>26</v>
      </c>
      <c r="M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6</v>
      </c>
      <c r="F9" s="5">
        <v>9</v>
      </c>
      <c r="G9" s="5">
        <v>21</v>
      </c>
      <c r="H9" s="5">
        <v>24</v>
      </c>
      <c r="I9" s="5">
        <v>0</v>
      </c>
      <c r="J9" s="5">
        <v>6</v>
      </c>
      <c r="K9" s="4">
        <v>0.12955</v>
      </c>
      <c r="L9" s="1" t="s">
        <v>26</v>
      </c>
      <c r="M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6</v>
      </c>
      <c r="F10" s="5">
        <v>9</v>
      </c>
      <c r="G10" s="5">
        <v>16</v>
      </c>
      <c r="H10" s="5">
        <v>21</v>
      </c>
      <c r="I10" s="5">
        <v>5</v>
      </c>
      <c r="J10" s="5">
        <v>6</v>
      </c>
      <c r="K10" s="4">
        <v>0.19809</v>
      </c>
      <c r="L10" s="1" t="s">
        <v>26</v>
      </c>
      <c r="M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1</v>
      </c>
      <c r="F11" s="5">
        <v>5</v>
      </c>
      <c r="G11" s="5">
        <v>16</v>
      </c>
      <c r="H11" s="5">
        <v>21</v>
      </c>
      <c r="I11" s="5">
        <v>0</v>
      </c>
      <c r="J11" s="5">
        <v>6</v>
      </c>
      <c r="K11" s="4">
        <v>0.20081</v>
      </c>
      <c r="L11" s="1" t="s">
        <v>26</v>
      </c>
      <c r="M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1</v>
      </c>
      <c r="F12" s="5">
        <v>5</v>
      </c>
      <c r="G12" s="5">
        <v>0</v>
      </c>
      <c r="H12" s="5">
        <v>8</v>
      </c>
      <c r="I12" s="5">
        <v>0</v>
      </c>
      <c r="J12" s="5">
        <v>6</v>
      </c>
      <c r="K12" s="4">
        <v>0.1332</v>
      </c>
      <c r="L12" s="1" t="s">
        <v>26</v>
      </c>
      <c r="M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1</v>
      </c>
      <c r="F13" s="5">
        <v>5</v>
      </c>
      <c r="G13" s="5">
        <v>21</v>
      </c>
      <c r="H13" s="5">
        <v>24</v>
      </c>
      <c r="I13" s="5">
        <v>0</v>
      </c>
      <c r="J13" s="5">
        <v>6</v>
      </c>
      <c r="K13" s="4">
        <v>0.1332</v>
      </c>
      <c r="L13" s="1" t="s">
        <v>26</v>
      </c>
      <c r="M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1</v>
      </c>
      <c r="F14" s="5">
        <v>5</v>
      </c>
      <c r="G14" s="5">
        <v>8</v>
      </c>
      <c r="H14" s="5">
        <v>16</v>
      </c>
      <c r="I14" s="5">
        <v>0</v>
      </c>
      <c r="J14" s="5">
        <v>6</v>
      </c>
      <c r="K14" s="4">
        <v>0.09081</v>
      </c>
      <c r="L14" s="1" t="s">
        <v>26</v>
      </c>
      <c r="M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10</v>
      </c>
      <c r="F15" s="5">
        <v>12</v>
      </c>
      <c r="G15" s="5">
        <v>16</v>
      </c>
      <c r="H15" s="5">
        <v>21</v>
      </c>
      <c r="I15" s="5">
        <v>0</v>
      </c>
      <c r="J15" s="5">
        <v>6</v>
      </c>
      <c r="K15" s="4">
        <v>0.20081</v>
      </c>
      <c r="L15" s="1" t="s">
        <v>26</v>
      </c>
      <c r="M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10</v>
      </c>
      <c r="F16" s="5">
        <v>12</v>
      </c>
      <c r="G16" s="5">
        <v>0</v>
      </c>
      <c r="H16" s="5">
        <v>8</v>
      </c>
      <c r="I16" s="5">
        <v>0</v>
      </c>
      <c r="J16" s="5">
        <v>6</v>
      </c>
      <c r="K16" s="4">
        <v>0.1332</v>
      </c>
      <c r="L16" s="1" t="s">
        <v>26</v>
      </c>
      <c r="M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10</v>
      </c>
      <c r="F17" s="5">
        <v>12</v>
      </c>
      <c r="G17" s="5">
        <v>21</v>
      </c>
      <c r="H17" s="5">
        <v>24</v>
      </c>
      <c r="I17" s="5">
        <v>0</v>
      </c>
      <c r="J17" s="5">
        <v>6</v>
      </c>
      <c r="K17" s="4">
        <v>0.1332</v>
      </c>
      <c r="L17" s="1" t="s">
        <v>26</v>
      </c>
      <c r="M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10</v>
      </c>
      <c r="F18" s="5">
        <v>12</v>
      </c>
      <c r="G18" s="5">
        <v>8</v>
      </c>
      <c r="H18" s="5">
        <v>16</v>
      </c>
      <c r="I18" s="5">
        <v>0</v>
      </c>
      <c r="J18" s="5">
        <v>6</v>
      </c>
      <c r="K18" s="4">
        <v>0.09081</v>
      </c>
      <c r="L18" s="1" t="s">
        <v>26</v>
      </c>
      <c r="M1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370.81+21.54</f>
      </c>
      <c r="M2" s="4">
        <f>370.81+21.54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1.7531</v>
      </c>
      <c r="M3" s="4">
        <v>1.7531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47</v>
      </c>
      <c r="D4" s="5">
        <v>0</v>
      </c>
      <c r="E4" s="5">
        <v>0</v>
      </c>
      <c r="F4" s="5">
        <v>6</v>
      </c>
      <c r="G4" s="5">
        <v>9</v>
      </c>
      <c r="H4" s="5">
        <v>7</v>
      </c>
      <c r="I4" s="5">
        <v>21</v>
      </c>
      <c r="J4" s="5">
        <v>0</v>
      </c>
      <c r="K4" s="5">
        <v>4</v>
      </c>
      <c r="L4" s="4">
        <v>9.7321</v>
      </c>
      <c r="M4" s="4">
        <v>9.7321</v>
      </c>
      <c r="N4" s="1" t="s">
        <v>19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24</v>
      </c>
      <c r="J5" s="5">
        <v>0</v>
      </c>
      <c r="K5" s="5">
        <v>6</v>
      </c>
      <c r="L5" s="11">
        <v>0.03026328046</v>
      </c>
      <c r="M5" s="11">
        <v>0.03026328046</v>
      </c>
      <c r="N5" s="1" t="s">
        <v>26</v>
      </c>
      <c r="O5" s="1" t="s">
        <v>49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24</v>
      </c>
      <c r="J6" s="5">
        <v>0</v>
      </c>
      <c r="K6" s="5">
        <v>6</v>
      </c>
      <c r="L6" s="11">
        <v>0.04197765785</v>
      </c>
      <c r="M6" s="11">
        <v>0.04197765785</v>
      </c>
      <c r="N6" s="1" t="s">
        <v>26</v>
      </c>
      <c r="O6" s="1" t="s">
        <v>49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24</v>
      </c>
      <c r="J7" s="5">
        <v>0</v>
      </c>
      <c r="K7" s="5">
        <v>6</v>
      </c>
      <c r="L7" s="11">
        <v>0.02246983126</v>
      </c>
      <c r="M7" s="11">
        <v>0.02246983126</v>
      </c>
      <c r="N7" s="1" t="s">
        <v>26</v>
      </c>
      <c r="O7" s="1" t="s">
        <v>49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4</v>
      </c>
      <c r="H8" s="5">
        <v>0</v>
      </c>
      <c r="I8" s="5">
        <v>24</v>
      </c>
      <c r="J8" s="5">
        <v>0</v>
      </c>
      <c r="K8" s="5">
        <v>6</v>
      </c>
      <c r="L8" s="11">
        <v>0.02029172656</v>
      </c>
      <c r="M8" s="11">
        <v>0.02029172656</v>
      </c>
      <c r="N8" s="1" t="s">
        <v>26</v>
      </c>
      <c r="O8" s="1" t="s">
        <v>49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5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11">
        <v>0.02401874148</v>
      </c>
      <c r="M9" s="11">
        <v>0.02401874148</v>
      </c>
      <c r="N9" s="1" t="s">
        <v>26</v>
      </c>
      <c r="O9" s="1" t="s">
        <v>49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6</v>
      </c>
      <c r="H10" s="5">
        <v>0</v>
      </c>
      <c r="I10" s="5">
        <v>7</v>
      </c>
      <c r="J10" s="5">
        <v>0</v>
      </c>
      <c r="K10" s="5">
        <v>4</v>
      </c>
      <c r="L10" s="11">
        <v>0.02185411019</v>
      </c>
      <c r="M10" s="11">
        <v>0.02185411019</v>
      </c>
      <c r="N10" s="1" t="s">
        <v>26</v>
      </c>
      <c r="O10" s="1" t="s">
        <v>49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6</v>
      </c>
      <c r="H11" s="5">
        <v>21</v>
      </c>
      <c r="I11" s="5">
        <v>24</v>
      </c>
      <c r="J11" s="5">
        <v>0</v>
      </c>
      <c r="K11" s="5">
        <v>4</v>
      </c>
      <c r="L11" s="11">
        <v>0.02185411019</v>
      </c>
      <c r="M11" s="11">
        <v>0.02185411019</v>
      </c>
      <c r="N11" s="1" t="s">
        <v>26</v>
      </c>
      <c r="O11" s="1" t="s">
        <v>49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6</v>
      </c>
      <c r="H12" s="5">
        <v>7</v>
      </c>
      <c r="I12" s="5">
        <v>21</v>
      </c>
      <c r="J12" s="5">
        <v>0</v>
      </c>
      <c r="K12" s="5">
        <v>4</v>
      </c>
      <c r="L12" s="11">
        <v>0.02827895213</v>
      </c>
      <c r="M12" s="11">
        <v>0.02827895213</v>
      </c>
      <c r="N12" s="1" t="s">
        <v>26</v>
      </c>
      <c r="O12" s="1" t="s">
        <v>49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24</v>
      </c>
      <c r="J13" s="5">
        <v>5</v>
      </c>
      <c r="K13" s="5">
        <v>6</v>
      </c>
      <c r="L13" s="11">
        <v>0.02185411019</v>
      </c>
      <c r="M13" s="11">
        <v>0.02185411019</v>
      </c>
      <c r="N13" s="1" t="s">
        <v>26</v>
      </c>
      <c r="O13" s="1" t="s">
        <v>49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7</v>
      </c>
      <c r="G14" s="5">
        <v>7</v>
      </c>
      <c r="H14" s="5">
        <v>0</v>
      </c>
      <c r="I14" s="5">
        <v>7</v>
      </c>
      <c r="J14" s="5">
        <v>0</v>
      </c>
      <c r="K14" s="5">
        <v>4</v>
      </c>
      <c r="L14" s="11">
        <v>0.02547955439</v>
      </c>
      <c r="M14" s="11">
        <v>0.02547955439</v>
      </c>
      <c r="N14" s="1" t="s">
        <v>26</v>
      </c>
      <c r="O14" s="1" t="s">
        <v>49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21</v>
      </c>
      <c r="I15" s="5">
        <v>24</v>
      </c>
      <c r="J15" s="5">
        <v>0</v>
      </c>
      <c r="K15" s="5">
        <v>4</v>
      </c>
      <c r="L15" s="11">
        <v>0.02547955439</v>
      </c>
      <c r="M15" s="11">
        <v>0.02547955439</v>
      </c>
      <c r="N15" s="1" t="s">
        <v>26</v>
      </c>
      <c r="O15" s="1" t="s">
        <v>49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7</v>
      </c>
      <c r="G16" s="5">
        <v>7</v>
      </c>
      <c r="H16" s="5">
        <v>7</v>
      </c>
      <c r="I16" s="5">
        <v>21</v>
      </c>
      <c r="J16" s="5">
        <v>0</v>
      </c>
      <c r="K16" s="5">
        <v>4</v>
      </c>
      <c r="L16" s="11">
        <v>0.03298182177</v>
      </c>
      <c r="M16" s="11">
        <v>0.03298182177</v>
      </c>
      <c r="N16" s="1" t="s">
        <v>26</v>
      </c>
      <c r="O16" s="1" t="s">
        <v>49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7</v>
      </c>
      <c r="G17" s="5">
        <v>7</v>
      </c>
      <c r="H17" s="5">
        <v>0</v>
      </c>
      <c r="I17" s="5">
        <v>24</v>
      </c>
      <c r="J17" s="5">
        <v>5</v>
      </c>
      <c r="K17" s="5">
        <v>6</v>
      </c>
      <c r="L17" s="11">
        <v>0.02547955439</v>
      </c>
      <c r="M17" s="11">
        <v>0.02547955439</v>
      </c>
      <c r="N17" s="1" t="s">
        <v>26</v>
      </c>
      <c r="O17" s="1" t="s">
        <v>49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8</v>
      </c>
      <c r="G18" s="5">
        <v>8</v>
      </c>
      <c r="H18" s="5">
        <v>0</v>
      </c>
      <c r="I18" s="5">
        <v>7</v>
      </c>
      <c r="J18" s="5">
        <v>0</v>
      </c>
      <c r="K18" s="5">
        <v>4</v>
      </c>
      <c r="L18" s="11">
        <v>0.03039418679</v>
      </c>
      <c r="M18" s="11">
        <v>0.03039418679</v>
      </c>
      <c r="N18" s="1" t="s">
        <v>26</v>
      </c>
      <c r="O18" s="1" t="s">
        <v>49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8</v>
      </c>
      <c r="G19" s="5">
        <v>8</v>
      </c>
      <c r="H19" s="5">
        <v>21</v>
      </c>
      <c r="I19" s="5">
        <v>24</v>
      </c>
      <c r="J19" s="5">
        <v>0</v>
      </c>
      <c r="K19" s="5">
        <v>4</v>
      </c>
      <c r="L19" s="11">
        <v>0.03039418679</v>
      </c>
      <c r="M19" s="11">
        <v>0.03039418679</v>
      </c>
      <c r="N19" s="1" t="s">
        <v>26</v>
      </c>
      <c r="O19" s="1" t="s">
        <v>49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8</v>
      </c>
      <c r="G20" s="5">
        <v>8</v>
      </c>
      <c r="H20" s="5">
        <v>7</v>
      </c>
      <c r="I20" s="5">
        <v>21</v>
      </c>
      <c r="J20" s="5">
        <v>0</v>
      </c>
      <c r="K20" s="5">
        <v>4</v>
      </c>
      <c r="L20" s="11">
        <v>0.04021782333</v>
      </c>
      <c r="M20" s="11">
        <v>0.04021782333</v>
      </c>
      <c r="N20" s="1" t="s">
        <v>26</v>
      </c>
      <c r="O20" s="1" t="s">
        <v>49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8</v>
      </c>
      <c r="G21" s="5">
        <v>8</v>
      </c>
      <c r="H21" s="5">
        <v>0</v>
      </c>
      <c r="I21" s="5">
        <v>24</v>
      </c>
      <c r="J21" s="5">
        <v>5</v>
      </c>
      <c r="K21" s="5">
        <v>6</v>
      </c>
      <c r="L21" s="11">
        <v>0.03039418679</v>
      </c>
      <c r="M21" s="11">
        <v>0.03039418679</v>
      </c>
      <c r="N21" s="1" t="s">
        <v>26</v>
      </c>
      <c r="O21" s="1" t="s">
        <v>49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9</v>
      </c>
      <c r="G22" s="5">
        <v>9</v>
      </c>
      <c r="H22" s="5">
        <v>0</v>
      </c>
      <c r="I22" s="5">
        <v>7</v>
      </c>
      <c r="J22" s="5">
        <v>0</v>
      </c>
      <c r="K22" s="5">
        <v>4</v>
      </c>
      <c r="L22" s="11">
        <v>0.03288250393</v>
      </c>
      <c r="M22" s="11">
        <v>0.03288250393</v>
      </c>
      <c r="N22" s="1" t="s">
        <v>26</v>
      </c>
      <c r="O22" s="1" t="s">
        <v>49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9</v>
      </c>
      <c r="G23" s="5">
        <v>9</v>
      </c>
      <c r="H23" s="5">
        <v>21</v>
      </c>
      <c r="I23" s="5">
        <v>24</v>
      </c>
      <c r="J23" s="5">
        <v>0</v>
      </c>
      <c r="K23" s="5">
        <v>4</v>
      </c>
      <c r="L23" s="11">
        <v>0.03288250393</v>
      </c>
      <c r="M23" s="11">
        <v>0.03288250393</v>
      </c>
      <c r="N23" s="1" t="s">
        <v>26</v>
      </c>
      <c r="O23" s="1" t="s">
        <v>49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9</v>
      </c>
      <c r="G24" s="5">
        <v>9</v>
      </c>
      <c r="H24" s="5">
        <v>7</v>
      </c>
      <c r="I24" s="5">
        <v>21</v>
      </c>
      <c r="J24" s="5">
        <v>0</v>
      </c>
      <c r="K24" s="5">
        <v>4</v>
      </c>
      <c r="L24" s="11">
        <v>0.04111021253</v>
      </c>
      <c r="M24" s="11">
        <v>0.04111021253</v>
      </c>
      <c r="N24" s="1" t="s">
        <v>26</v>
      </c>
      <c r="O24" s="1" t="s">
        <v>49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9</v>
      </c>
      <c r="G25" s="5">
        <v>9</v>
      </c>
      <c r="H25" s="5">
        <v>0</v>
      </c>
      <c r="I25" s="5">
        <v>24</v>
      </c>
      <c r="J25" s="5">
        <v>5</v>
      </c>
      <c r="K25" s="5">
        <v>6</v>
      </c>
      <c r="L25" s="11">
        <v>0.03288250393</v>
      </c>
      <c r="M25" s="11">
        <v>0.03288250393</v>
      </c>
      <c r="N25" s="1" t="s">
        <v>26</v>
      </c>
      <c r="O25" s="1" t="s">
        <v>49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11">
        <v>0.04695841244</v>
      </c>
      <c r="M26" s="11">
        <v>0.04695841244</v>
      </c>
      <c r="N26" s="1" t="s">
        <v>26</v>
      </c>
      <c r="O26" s="1" t="s">
        <v>49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11">
        <v>0.04758554855</v>
      </c>
      <c r="M27" s="11">
        <v>0.04758554855</v>
      </c>
      <c r="N27" s="1" t="s">
        <v>26</v>
      </c>
      <c r="O27" s="1" t="s">
        <v>49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11">
        <v>0.03343870927</v>
      </c>
      <c r="M28" s="11">
        <v>0.03343870927</v>
      </c>
      <c r="N28" s="1" t="s">
        <v>26</v>
      </c>
      <c r="O28" s="1" t="s">
        <v>49</v>
      </c>
    </row>
    <row x14ac:dyDescent="0.25" r="29" customHeight="1" ht="17.25">
      <c r="A29" s="1" t="s">
        <v>34</v>
      </c>
      <c r="B29" s="1" t="s">
        <v>14</v>
      </c>
      <c r="C29" s="1"/>
      <c r="D29" s="2"/>
      <c r="E29" s="3"/>
      <c r="F29" s="2"/>
      <c r="G29" s="2"/>
      <c r="H29" s="2"/>
      <c r="I29" s="2"/>
      <c r="J29" s="2"/>
      <c r="K29" s="2"/>
      <c r="L29" s="4">
        <v>17.75</v>
      </c>
      <c r="M29" s="4">
        <v>17.75</v>
      </c>
      <c r="N29" s="1" t="s">
        <v>15</v>
      </c>
      <c r="O29" s="1"/>
    </row>
    <row x14ac:dyDescent="0.25" r="30" customHeight="1" ht="17.25">
      <c r="A30" s="1" t="s">
        <v>34</v>
      </c>
      <c r="B30" s="1" t="s">
        <v>17</v>
      </c>
      <c r="C30" s="1" t="s">
        <v>50</v>
      </c>
      <c r="D30" s="5">
        <v>0</v>
      </c>
      <c r="E30" s="5">
        <v>0</v>
      </c>
      <c r="F30" s="5">
        <v>1</v>
      </c>
      <c r="G30" s="5">
        <v>4</v>
      </c>
      <c r="H30" s="5">
        <v>0</v>
      </c>
      <c r="I30" s="5">
        <v>24</v>
      </c>
      <c r="J30" s="5">
        <v>0</v>
      </c>
      <c r="K30" s="5">
        <v>6</v>
      </c>
      <c r="L30" s="4">
        <f>4.0632 *24</f>
      </c>
      <c r="M30" s="11">
        <f>L30/2.83168</f>
      </c>
      <c r="N30" s="1" t="s">
        <v>35</v>
      </c>
      <c r="O30" s="1"/>
    </row>
    <row x14ac:dyDescent="0.25" r="31" customHeight="1" ht="17.25">
      <c r="A31" s="1" t="s">
        <v>34</v>
      </c>
      <c r="B31" s="1" t="s">
        <v>17</v>
      </c>
      <c r="C31" s="1" t="s">
        <v>50</v>
      </c>
      <c r="D31" s="5">
        <v>0</v>
      </c>
      <c r="E31" s="5">
        <v>0</v>
      </c>
      <c r="F31" s="5">
        <v>11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4.0632 *24</f>
      </c>
      <c r="M31" s="11">
        <f>L31/2.83168</f>
      </c>
      <c r="N31" s="1" t="s">
        <v>35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24</v>
      </c>
      <c r="J32" s="5">
        <v>0</v>
      </c>
      <c r="K32" s="5">
        <v>6</v>
      </c>
      <c r="L32" s="4">
        <f>0.043725+0.472702</f>
      </c>
      <c r="M32" s="11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v>1000</v>
      </c>
      <c r="E33" s="4">
        <f>D33*2.83168</f>
      </c>
      <c r="F33" s="5">
        <v>1</v>
      </c>
      <c r="G33" s="5">
        <v>1</v>
      </c>
      <c r="H33" s="5">
        <v>0</v>
      </c>
      <c r="I33" s="5">
        <v>24</v>
      </c>
      <c r="J33" s="5">
        <v>0</v>
      </c>
      <c r="K33" s="5">
        <v>6</v>
      </c>
      <c r="L33" s="4">
        <f>0.043078+0.472702</f>
      </c>
      <c r="M33" s="11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2</v>
      </c>
      <c r="G34" s="5">
        <v>2</v>
      </c>
      <c r="H34" s="5">
        <v>0</v>
      </c>
      <c r="I34" s="5">
        <v>24</v>
      </c>
      <c r="J34" s="5">
        <v>0</v>
      </c>
      <c r="K34" s="5">
        <v>6</v>
      </c>
      <c r="L34" s="4">
        <f>0.043725+0.5016</f>
      </c>
      <c r="M34" s="11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v>1000</v>
      </c>
      <c r="E35" s="4">
        <f>D35*2.83168</f>
      </c>
      <c r="F35" s="5">
        <v>2</v>
      </c>
      <c r="G35" s="5">
        <v>2</v>
      </c>
      <c r="H35" s="5">
        <v>0</v>
      </c>
      <c r="I35" s="5">
        <v>24</v>
      </c>
      <c r="J35" s="5">
        <v>0</v>
      </c>
      <c r="K35" s="5">
        <v>6</v>
      </c>
      <c r="L35" s="4">
        <f>0.043078+0.5016</f>
      </c>
      <c r="M35" s="11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v>0</v>
      </c>
      <c r="E36" s="5">
        <v>0</v>
      </c>
      <c r="F36" s="5">
        <v>3</v>
      </c>
      <c r="G36" s="5">
        <v>3</v>
      </c>
      <c r="H36" s="5">
        <v>0</v>
      </c>
      <c r="I36" s="5">
        <v>24</v>
      </c>
      <c r="J36" s="5">
        <v>0</v>
      </c>
      <c r="K36" s="5">
        <v>6</v>
      </c>
      <c r="L36" s="4">
        <f>0.043725+0.509192</f>
      </c>
      <c r="M36" s="11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v>1000</v>
      </c>
      <c r="E37" s="4">
        <f>D37*2.83168</f>
      </c>
      <c r="F37" s="5">
        <v>3</v>
      </c>
      <c r="G37" s="5">
        <v>3</v>
      </c>
      <c r="H37" s="5">
        <v>0</v>
      </c>
      <c r="I37" s="5">
        <v>24</v>
      </c>
      <c r="J37" s="5">
        <v>0</v>
      </c>
      <c r="K37" s="5">
        <v>6</v>
      </c>
      <c r="L37" s="4">
        <f>0.043078+0.509192</f>
      </c>
      <c r="M37" s="11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4</v>
      </c>
      <c r="G38" s="5">
        <v>4</v>
      </c>
      <c r="H38" s="5">
        <v>0</v>
      </c>
      <c r="I38" s="5">
        <v>24</v>
      </c>
      <c r="J38" s="5">
        <v>0</v>
      </c>
      <c r="K38" s="5">
        <v>6</v>
      </c>
      <c r="L38" s="4">
        <f>0.043725+0.479845</f>
      </c>
      <c r="M38" s="11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v>1000</v>
      </c>
      <c r="E39" s="4">
        <f>D39*2.83168</f>
      </c>
      <c r="F39" s="5">
        <v>4</v>
      </c>
      <c r="G39" s="5">
        <v>4</v>
      </c>
      <c r="H39" s="5">
        <v>0</v>
      </c>
      <c r="I39" s="5">
        <v>24</v>
      </c>
      <c r="J39" s="5">
        <v>0</v>
      </c>
      <c r="K39" s="5">
        <v>6</v>
      </c>
      <c r="L39" s="4">
        <f>0.043078+0.479845</f>
      </c>
      <c r="M39" s="11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5</v>
      </c>
      <c r="G40" s="5">
        <v>5</v>
      </c>
      <c r="H40" s="5">
        <v>0</v>
      </c>
      <c r="I40" s="5">
        <v>24</v>
      </c>
      <c r="J40" s="5">
        <v>0</v>
      </c>
      <c r="K40" s="5">
        <v>6</v>
      </c>
      <c r="L40" s="4">
        <f>0.043725+0.514437</f>
      </c>
      <c r="M40" s="11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v>1000</v>
      </c>
      <c r="E41" s="4">
        <f>D41*2.83168</f>
      </c>
      <c r="F41" s="5">
        <v>5</v>
      </c>
      <c r="G41" s="5">
        <v>5</v>
      </c>
      <c r="H41" s="5">
        <v>0</v>
      </c>
      <c r="I41" s="5">
        <v>24</v>
      </c>
      <c r="J41" s="5">
        <v>0</v>
      </c>
      <c r="K41" s="5">
        <v>6</v>
      </c>
      <c r="L41" s="4">
        <f>0.043078+0.514437</f>
      </c>
      <c r="M41" s="11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6</v>
      </c>
      <c r="G42" s="5">
        <v>6</v>
      </c>
      <c r="H42" s="5">
        <v>0</v>
      </c>
      <c r="I42" s="5">
        <v>24</v>
      </c>
      <c r="J42" s="5">
        <v>0</v>
      </c>
      <c r="K42" s="5">
        <v>6</v>
      </c>
      <c r="L42" s="4">
        <f>0.043725+0.520431</f>
      </c>
      <c r="M42" s="11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v>1000</v>
      </c>
      <c r="E43" s="4">
        <f>D43*2.83168</f>
      </c>
      <c r="F43" s="5">
        <v>6</v>
      </c>
      <c r="G43" s="5">
        <v>6</v>
      </c>
      <c r="H43" s="5">
        <v>0</v>
      </c>
      <c r="I43" s="5">
        <v>24</v>
      </c>
      <c r="J43" s="5">
        <v>0</v>
      </c>
      <c r="K43" s="5">
        <v>6</v>
      </c>
      <c r="L43" s="4">
        <f>0.043078+0.520431</f>
      </c>
      <c r="M43" s="11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v>0</v>
      </c>
      <c r="E44" s="5">
        <v>0</v>
      </c>
      <c r="F44" s="5">
        <v>7</v>
      </c>
      <c r="G44" s="5">
        <v>7</v>
      </c>
      <c r="H44" s="5">
        <v>0</v>
      </c>
      <c r="I44" s="5">
        <v>24</v>
      </c>
      <c r="J44" s="5">
        <v>0</v>
      </c>
      <c r="K44" s="5">
        <v>6</v>
      </c>
      <c r="L44" s="4">
        <f>0.043725+0.580022</f>
      </c>
      <c r="M44" s="11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1000</v>
      </c>
      <c r="E45" s="4">
        <f>D45*2.83168</f>
      </c>
      <c r="F45" s="5">
        <v>7</v>
      </c>
      <c r="G45" s="5">
        <v>7</v>
      </c>
      <c r="H45" s="5">
        <v>0</v>
      </c>
      <c r="I45" s="5">
        <v>24</v>
      </c>
      <c r="J45" s="5">
        <v>0</v>
      </c>
      <c r="K45" s="5">
        <v>6</v>
      </c>
      <c r="L45" s="4">
        <f>0.043078+0.580022</f>
      </c>
      <c r="M45" s="11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0</v>
      </c>
      <c r="K46" s="5">
        <v>6</v>
      </c>
      <c r="L46" s="4">
        <f>0.043725+0.626594</f>
      </c>
      <c r="M46" s="11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1000</v>
      </c>
      <c r="E47" s="4">
        <f>D47*2.83168</f>
      </c>
      <c r="F47" s="5">
        <v>8</v>
      </c>
      <c r="G47" s="5">
        <v>8</v>
      </c>
      <c r="H47" s="5">
        <v>0</v>
      </c>
      <c r="I47" s="5">
        <v>24</v>
      </c>
      <c r="J47" s="5">
        <v>0</v>
      </c>
      <c r="K47" s="5">
        <v>6</v>
      </c>
      <c r="L47" s="4">
        <f>0.043078+0.626594</f>
      </c>
      <c r="M47" s="11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0</v>
      </c>
      <c r="E48" s="5">
        <v>0</v>
      </c>
      <c r="F48" s="5">
        <v>9</v>
      </c>
      <c r="G48" s="5">
        <v>9</v>
      </c>
      <c r="H48" s="5">
        <v>0</v>
      </c>
      <c r="I48" s="5">
        <v>24</v>
      </c>
      <c r="J48" s="5">
        <v>0</v>
      </c>
      <c r="K48" s="5">
        <v>6</v>
      </c>
      <c r="L48" s="4">
        <f>0.043725+0.658859</f>
      </c>
      <c r="M48" s="11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1000</v>
      </c>
      <c r="E49" s="4">
        <f>D49*2.83168</f>
      </c>
      <c r="F49" s="5">
        <v>9</v>
      </c>
      <c r="G49" s="5">
        <v>9</v>
      </c>
      <c r="H49" s="5">
        <v>0</v>
      </c>
      <c r="I49" s="5">
        <v>24</v>
      </c>
      <c r="J49" s="5">
        <v>0</v>
      </c>
      <c r="K49" s="5">
        <v>6</v>
      </c>
      <c r="L49" s="4">
        <f>0.043078+0.658859</f>
      </c>
      <c r="M49" s="11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10</v>
      </c>
      <c r="G50" s="5">
        <v>10</v>
      </c>
      <c r="H50" s="5">
        <v>0</v>
      </c>
      <c r="I50" s="5">
        <v>24</v>
      </c>
      <c r="J50" s="5">
        <v>0</v>
      </c>
      <c r="K50" s="5">
        <v>6</v>
      </c>
      <c r="L50" s="4">
        <f>0.043725+0.804461</f>
      </c>
      <c r="M50" s="11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1000</v>
      </c>
      <c r="E51" s="4">
        <f>D51*2.83168</f>
      </c>
      <c r="F51" s="5">
        <v>10</v>
      </c>
      <c r="G51" s="5">
        <v>10</v>
      </c>
      <c r="H51" s="5">
        <v>0</v>
      </c>
      <c r="I51" s="5">
        <v>24</v>
      </c>
      <c r="J51" s="5">
        <v>0</v>
      </c>
      <c r="K51" s="5">
        <v>6</v>
      </c>
      <c r="L51" s="4">
        <f>0.043078+0.804461</f>
      </c>
      <c r="M51" s="11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0</v>
      </c>
      <c r="I52" s="5">
        <v>24</v>
      </c>
      <c r="J52" s="5">
        <v>0</v>
      </c>
      <c r="K52" s="5">
        <v>6</v>
      </c>
      <c r="L52" s="4">
        <f>0.043725+0.853798</f>
      </c>
      <c r="M52" s="11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v>1000</v>
      </c>
      <c r="E53" s="4">
        <f>D53*2.83168</f>
      </c>
      <c r="F53" s="5">
        <v>11</v>
      </c>
      <c r="G53" s="5">
        <v>11</v>
      </c>
      <c r="H53" s="5">
        <v>0</v>
      </c>
      <c r="I53" s="5">
        <v>24</v>
      </c>
      <c r="J53" s="5">
        <v>0</v>
      </c>
      <c r="K53" s="5">
        <v>6</v>
      </c>
      <c r="L53" s="4">
        <f>0.043078+0.853798</f>
      </c>
      <c r="M53" s="11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f>0.043725+0.775689</f>
      </c>
      <c r="M54" s="11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1000</v>
      </c>
      <c r="E55" s="4">
        <f>D55*2.83168</f>
      </c>
      <c r="F55" s="5">
        <v>12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4">
        <f>0.043078+0.775689</f>
      </c>
      <c r="M55" s="11">
        <f>L55/2.83168</f>
      </c>
      <c r="N55" s="1" t="s">
        <v>36</v>
      </c>
      <c r="O5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4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v>14.7945</v>
      </c>
      <c r="M19" s="4">
        <v>14.7945</v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v>0</v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1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8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119.61</v>
      </c>
      <c r="M2" s="4">
        <v>119.61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7</v>
      </c>
      <c r="J3" s="5">
        <v>0</v>
      </c>
      <c r="K3" s="5">
        <v>4</v>
      </c>
      <c r="L3" s="4">
        <f>0.002568+0.000055+0.020448</f>
      </c>
      <c r="M3" s="4">
        <f>0.002568+0.000055+0.020448</f>
      </c>
      <c r="N3" s="1" t="s">
        <v>26</v>
      </c>
      <c r="O3" s="1" t="s">
        <v>107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7</v>
      </c>
      <c r="I4" s="5">
        <v>22</v>
      </c>
      <c r="J4" s="5">
        <v>0</v>
      </c>
      <c r="K4" s="5">
        <v>4</v>
      </c>
      <c r="L4" s="4">
        <f>0.003814+0.000055+0.020448</f>
      </c>
      <c r="M4" s="4">
        <f>0.003814+0.000055+0.020448</f>
      </c>
      <c r="N4" s="1" t="s">
        <v>26</v>
      </c>
      <c r="O4" s="1" t="s">
        <v>107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22</v>
      </c>
      <c r="I5" s="5">
        <v>24</v>
      </c>
      <c r="J5" s="5">
        <v>0</v>
      </c>
      <c r="K5" s="5">
        <v>4</v>
      </c>
      <c r="L5" s="4">
        <f>0.002568+0.000055+0.020448</f>
      </c>
      <c r="M5" s="4">
        <f>0.002568+0.000055+0.020448</f>
      </c>
      <c r="N5" s="1" t="s">
        <v>26</v>
      </c>
      <c r="O5" s="1" t="s">
        <v>107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0</v>
      </c>
      <c r="I6" s="5">
        <v>24</v>
      </c>
      <c r="J6" s="5">
        <v>5</v>
      </c>
      <c r="K6" s="5">
        <v>6</v>
      </c>
      <c r="L6" s="4">
        <f>0.002568+0.000055+0.020448</f>
      </c>
      <c r="M6" s="4">
        <f>0.002568+0.000055+0.020448</f>
      </c>
      <c r="N6" s="1" t="s">
        <v>26</v>
      </c>
      <c r="O6" s="1" t="s">
        <v>107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10</v>
      </c>
      <c r="J7" s="5">
        <v>0</v>
      </c>
      <c r="K7" s="5">
        <v>4</v>
      </c>
      <c r="L7" s="4">
        <f>0.003814+0.000055+0.020448</f>
      </c>
      <c r="M7" s="4">
        <f>0.003814+0.000055+0.020448</f>
      </c>
      <c r="N7" s="1" t="s">
        <v>26</v>
      </c>
      <c r="O7" s="1" t="s">
        <v>107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10</v>
      </c>
      <c r="I8" s="5">
        <v>22</v>
      </c>
      <c r="J8" s="5">
        <v>0</v>
      </c>
      <c r="K8" s="5">
        <v>4</v>
      </c>
      <c r="L8" s="4">
        <f>0.002568+0.000055+0.020448</f>
      </c>
      <c r="M8" s="4">
        <f>0.002568+0.000055+0.020448</f>
      </c>
      <c r="N8" s="1" t="s">
        <v>26</v>
      </c>
      <c r="O8" s="1" t="s">
        <v>107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22</v>
      </c>
      <c r="I9" s="5">
        <v>24</v>
      </c>
      <c r="J9" s="5">
        <v>0</v>
      </c>
      <c r="K9" s="5">
        <v>4</v>
      </c>
      <c r="L9" s="4">
        <f>0.002568+0.000055+0.020448</f>
      </c>
      <c r="M9" s="4">
        <f>0.002568+0.000055+0.020448</f>
      </c>
      <c r="N9" s="1" t="s">
        <v>26</v>
      </c>
      <c r="O9" s="1" t="s">
        <v>107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0</v>
      </c>
      <c r="I10" s="5">
        <v>24</v>
      </c>
      <c r="J10" s="5">
        <v>5</v>
      </c>
      <c r="K10" s="5">
        <v>6</v>
      </c>
      <c r="L10" s="4">
        <f>0.002568+0.000055+0.020448</f>
      </c>
      <c r="M10" s="4">
        <f>0.002568+0.000055+0.020448</f>
      </c>
      <c r="N10" s="1" t="s">
        <v>26</v>
      </c>
      <c r="O10" s="1" t="s">
        <v>107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10</v>
      </c>
      <c r="G11" s="5">
        <v>12</v>
      </c>
      <c r="H11" s="5">
        <v>0</v>
      </c>
      <c r="I11" s="5">
        <v>7</v>
      </c>
      <c r="J11" s="5">
        <v>0</v>
      </c>
      <c r="K11" s="5">
        <v>4</v>
      </c>
      <c r="L11" s="4">
        <f>0.002568+0.000055+0.020448</f>
      </c>
      <c r="M11" s="4">
        <f>0.002568+0.000055+0.020448</f>
      </c>
      <c r="N11" s="1" t="s">
        <v>26</v>
      </c>
      <c r="O11" s="1" t="s">
        <v>107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12</v>
      </c>
      <c r="H12" s="5">
        <v>7</v>
      </c>
      <c r="I12" s="5">
        <v>22</v>
      </c>
      <c r="J12" s="5">
        <v>0</v>
      </c>
      <c r="K12" s="5">
        <v>4</v>
      </c>
      <c r="L12" s="4">
        <f>0.003814+0.000055+0.020448</f>
      </c>
      <c r="M12" s="4">
        <f>0.003814+0.000055+0.020448</f>
      </c>
      <c r="N12" s="1" t="s">
        <v>26</v>
      </c>
      <c r="O12" s="1" t="s">
        <v>107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10</v>
      </c>
      <c r="G13" s="5">
        <v>12</v>
      </c>
      <c r="H13" s="5">
        <v>22</v>
      </c>
      <c r="I13" s="5">
        <v>24</v>
      </c>
      <c r="J13" s="5">
        <v>0</v>
      </c>
      <c r="K13" s="5">
        <v>4</v>
      </c>
      <c r="L13" s="4">
        <f>0.002568+0.000055+0.020448</f>
      </c>
      <c r="M13" s="4">
        <f>0.002568+0.000055+0.020448</f>
      </c>
      <c r="N13" s="1" t="s">
        <v>26</v>
      </c>
      <c r="O13" s="1" t="s">
        <v>107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10</v>
      </c>
      <c r="G14" s="5">
        <v>12</v>
      </c>
      <c r="H14" s="5">
        <v>0</v>
      </c>
      <c r="I14" s="5">
        <v>24</v>
      </c>
      <c r="J14" s="5">
        <v>5</v>
      </c>
      <c r="K14" s="5">
        <v>6</v>
      </c>
      <c r="L14" s="4">
        <f>0.002568+0.000055+0.020448</f>
      </c>
      <c r="M14" s="4">
        <f>0.002568+0.000055+0.020448</f>
      </c>
      <c r="N14" s="1" t="s">
        <v>26</v>
      </c>
      <c r="O14" s="1" t="s">
        <v>107</v>
      </c>
    </row>
    <row x14ac:dyDescent="0.25" r="15" customHeight="1" ht="17.25">
      <c r="A15" s="1" t="s">
        <v>13</v>
      </c>
      <c r="B15" s="1" t="s">
        <v>17</v>
      </c>
      <c r="C15" s="1" t="s">
        <v>108</v>
      </c>
      <c r="D15" s="5">
        <v>0</v>
      </c>
      <c r="E15" s="5">
        <v>0</v>
      </c>
      <c r="F15" s="5">
        <v>1</v>
      </c>
      <c r="G15" s="5">
        <v>5</v>
      </c>
      <c r="H15" s="5">
        <v>0</v>
      </c>
      <c r="I15" s="5">
        <v>7</v>
      </c>
      <c r="J15" s="5">
        <v>0</v>
      </c>
      <c r="K15" s="5">
        <v>4</v>
      </c>
      <c r="L15" s="4">
        <f>0.597+0.94-0.397</f>
      </c>
      <c r="M15" s="4">
        <f>0.597+0.94-0.397</f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109</v>
      </c>
      <c r="D16" s="5">
        <v>0</v>
      </c>
      <c r="E16" s="5">
        <v>0</v>
      </c>
      <c r="F16" s="5">
        <v>1</v>
      </c>
      <c r="G16" s="5">
        <v>5</v>
      </c>
      <c r="H16" s="5">
        <v>7</v>
      </c>
      <c r="I16" s="5">
        <v>22</v>
      </c>
      <c r="J16" s="5">
        <v>0</v>
      </c>
      <c r="K16" s="5">
        <v>4</v>
      </c>
      <c r="L16" s="4">
        <f>10.537+2.371+0.94-0.397</f>
      </c>
      <c r="M16" s="4">
        <f>10.537+2.371+0.94-0.397</f>
      </c>
      <c r="N16" s="1" t="s">
        <v>19</v>
      </c>
      <c r="O16" s="1"/>
    </row>
    <row x14ac:dyDescent="0.25" r="17" customHeight="1" ht="17.25">
      <c r="A17" s="1" t="s">
        <v>13</v>
      </c>
      <c r="B17" s="1" t="s">
        <v>17</v>
      </c>
      <c r="C17" s="1" t="s">
        <v>108</v>
      </c>
      <c r="D17" s="5">
        <v>0</v>
      </c>
      <c r="E17" s="5">
        <v>0</v>
      </c>
      <c r="F17" s="5">
        <v>1</v>
      </c>
      <c r="G17" s="5">
        <v>5</v>
      </c>
      <c r="H17" s="5">
        <v>22</v>
      </c>
      <c r="I17" s="5">
        <v>24</v>
      </c>
      <c r="J17" s="5">
        <v>0</v>
      </c>
      <c r="K17" s="5">
        <v>4</v>
      </c>
      <c r="L17" s="4">
        <f>0.597+0.94-0.397</f>
      </c>
      <c r="M17" s="4">
        <f>0.597+0.94-0.397</f>
      </c>
      <c r="N17" s="1" t="s">
        <v>19</v>
      </c>
      <c r="O17" s="1"/>
    </row>
    <row x14ac:dyDescent="0.25" r="18" customHeight="1" ht="17.25">
      <c r="A18" s="1" t="s">
        <v>13</v>
      </c>
      <c r="B18" s="1" t="s">
        <v>17</v>
      </c>
      <c r="C18" s="1" t="s">
        <v>108</v>
      </c>
      <c r="D18" s="5">
        <v>0</v>
      </c>
      <c r="E18" s="5">
        <v>0</v>
      </c>
      <c r="F18" s="5">
        <v>1</v>
      </c>
      <c r="G18" s="5">
        <v>5</v>
      </c>
      <c r="H18" s="5">
        <v>0</v>
      </c>
      <c r="I18" s="5">
        <v>24</v>
      </c>
      <c r="J18" s="5">
        <v>5</v>
      </c>
      <c r="K18" s="5">
        <v>6</v>
      </c>
      <c r="L18" s="4">
        <f>0.597+0.94-0.397</f>
      </c>
      <c r="M18" s="4">
        <f>0.597+0.94-0.397</f>
      </c>
      <c r="N18" s="1" t="s">
        <v>19</v>
      </c>
      <c r="O18" s="1"/>
    </row>
    <row x14ac:dyDescent="0.25" r="19" customHeight="1" ht="17.25">
      <c r="A19" s="1" t="s">
        <v>13</v>
      </c>
      <c r="B19" s="1" t="s">
        <v>17</v>
      </c>
      <c r="C19" s="1" t="s">
        <v>110</v>
      </c>
      <c r="D19" s="5">
        <v>0</v>
      </c>
      <c r="E19" s="5">
        <v>0</v>
      </c>
      <c r="F19" s="5">
        <v>6</v>
      </c>
      <c r="G19" s="5">
        <v>9</v>
      </c>
      <c r="H19" s="5">
        <v>0</v>
      </c>
      <c r="I19" s="5">
        <v>10</v>
      </c>
      <c r="J19" s="5">
        <v>0</v>
      </c>
      <c r="K19" s="5">
        <v>4</v>
      </c>
      <c r="L19" s="4">
        <f>0.597+0.94-0.397</f>
      </c>
      <c r="M19" s="4">
        <f>0.597+0.94-0.397</f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111</v>
      </c>
      <c r="D20" s="5">
        <v>0</v>
      </c>
      <c r="E20" s="5">
        <v>0</v>
      </c>
      <c r="F20" s="5">
        <v>6</v>
      </c>
      <c r="G20" s="5">
        <v>9</v>
      </c>
      <c r="H20" s="5">
        <v>10</v>
      </c>
      <c r="I20" s="5">
        <v>22</v>
      </c>
      <c r="J20" s="5">
        <v>0</v>
      </c>
      <c r="K20" s="5">
        <v>4</v>
      </c>
      <c r="L20" s="4">
        <f>10.537+2.371+0.94-0.397</f>
      </c>
      <c r="M20" s="4">
        <f>10.537+2.371+0.94-0.397</f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110</v>
      </c>
      <c r="D21" s="5">
        <v>0</v>
      </c>
      <c r="E21" s="5">
        <v>0</v>
      </c>
      <c r="F21" s="5">
        <v>6</v>
      </c>
      <c r="G21" s="5">
        <v>9</v>
      </c>
      <c r="H21" s="5">
        <v>22</v>
      </c>
      <c r="I21" s="5">
        <v>24</v>
      </c>
      <c r="J21" s="5">
        <v>0</v>
      </c>
      <c r="K21" s="5">
        <v>4</v>
      </c>
      <c r="L21" s="4">
        <f>0.597+0.94-0.397</f>
      </c>
      <c r="M21" s="4">
        <f>0.597+0.94-0.397</f>
      </c>
      <c r="N21" s="1" t="s">
        <v>19</v>
      </c>
      <c r="O21" s="1"/>
    </row>
    <row x14ac:dyDescent="0.25" r="22" customHeight="1" ht="17.25">
      <c r="A22" s="1" t="s">
        <v>13</v>
      </c>
      <c r="B22" s="1" t="s">
        <v>17</v>
      </c>
      <c r="C22" s="1" t="s">
        <v>110</v>
      </c>
      <c r="D22" s="5">
        <v>0</v>
      </c>
      <c r="E22" s="5">
        <v>0</v>
      </c>
      <c r="F22" s="5">
        <v>6</v>
      </c>
      <c r="G22" s="5">
        <v>9</v>
      </c>
      <c r="H22" s="5">
        <v>0</v>
      </c>
      <c r="I22" s="5">
        <v>24</v>
      </c>
      <c r="J22" s="5">
        <v>5</v>
      </c>
      <c r="K22" s="5">
        <v>6</v>
      </c>
      <c r="L22" s="4">
        <f>0.597+0.94-0.397</f>
      </c>
      <c r="M22" s="4">
        <f>0.597+0.94-0.397</f>
      </c>
      <c r="N22" s="1" t="s">
        <v>19</v>
      </c>
      <c r="O22" s="1"/>
    </row>
    <row x14ac:dyDescent="0.25" r="23" customHeight="1" ht="17.25">
      <c r="A23" s="1" t="s">
        <v>13</v>
      </c>
      <c r="B23" s="1" t="s">
        <v>17</v>
      </c>
      <c r="C23" s="1" t="s">
        <v>112</v>
      </c>
      <c r="D23" s="5">
        <v>0</v>
      </c>
      <c r="E23" s="5">
        <v>0</v>
      </c>
      <c r="F23" s="5">
        <v>10</v>
      </c>
      <c r="G23" s="5">
        <v>12</v>
      </c>
      <c r="H23" s="5">
        <v>0</v>
      </c>
      <c r="I23" s="5">
        <v>7</v>
      </c>
      <c r="J23" s="5">
        <v>0</v>
      </c>
      <c r="K23" s="5">
        <v>4</v>
      </c>
      <c r="L23" s="4">
        <f>0.597+0.94-0.397</f>
      </c>
      <c r="M23" s="4">
        <f>0.597+0.94-0.397</f>
      </c>
      <c r="N23" s="1" t="s">
        <v>19</v>
      </c>
      <c r="O23" s="1"/>
    </row>
    <row x14ac:dyDescent="0.25" r="24" customHeight="1" ht="17.25">
      <c r="A24" s="1" t="s">
        <v>13</v>
      </c>
      <c r="B24" s="1" t="s">
        <v>17</v>
      </c>
      <c r="C24" s="1" t="s">
        <v>113</v>
      </c>
      <c r="D24" s="5">
        <v>0</v>
      </c>
      <c r="E24" s="5">
        <v>0</v>
      </c>
      <c r="F24" s="5">
        <v>10</v>
      </c>
      <c r="G24" s="5">
        <v>12</v>
      </c>
      <c r="H24" s="5">
        <v>7</v>
      </c>
      <c r="I24" s="5">
        <v>22</v>
      </c>
      <c r="J24" s="5">
        <v>0</v>
      </c>
      <c r="K24" s="5">
        <v>4</v>
      </c>
      <c r="L24" s="4">
        <f>10.537+2.371+0.94-0.397</f>
      </c>
      <c r="M24" s="4">
        <f>10.537+2.371+0.94-0.397</f>
      </c>
      <c r="N24" s="1" t="s">
        <v>19</v>
      </c>
      <c r="O24" s="1"/>
    </row>
    <row x14ac:dyDescent="0.25" r="25" customHeight="1" ht="17.25">
      <c r="A25" s="1" t="s">
        <v>13</v>
      </c>
      <c r="B25" s="1" t="s">
        <v>17</v>
      </c>
      <c r="C25" s="1" t="s">
        <v>112</v>
      </c>
      <c r="D25" s="5">
        <v>0</v>
      </c>
      <c r="E25" s="5">
        <v>0</v>
      </c>
      <c r="F25" s="5">
        <v>10</v>
      </c>
      <c r="G25" s="5">
        <v>12</v>
      </c>
      <c r="H25" s="5">
        <v>22</v>
      </c>
      <c r="I25" s="5">
        <v>24</v>
      </c>
      <c r="J25" s="5">
        <v>0</v>
      </c>
      <c r="K25" s="5">
        <v>4</v>
      </c>
      <c r="L25" s="4">
        <f>0.597+0.94-0.397</f>
      </c>
      <c r="M25" s="4">
        <f>0.597+0.94-0.397</f>
      </c>
      <c r="N25" s="1" t="s">
        <v>19</v>
      </c>
      <c r="O25" s="1"/>
    </row>
    <row x14ac:dyDescent="0.25" r="26" customHeight="1" ht="17.25">
      <c r="A26" s="1" t="s">
        <v>13</v>
      </c>
      <c r="B26" s="1" t="s">
        <v>17</v>
      </c>
      <c r="C26" s="1" t="s">
        <v>112</v>
      </c>
      <c r="D26" s="5">
        <v>0</v>
      </c>
      <c r="E26" s="5">
        <v>0</v>
      </c>
      <c r="F26" s="5">
        <v>10</v>
      </c>
      <c r="G26" s="5">
        <v>12</v>
      </c>
      <c r="H26" s="5">
        <v>0</v>
      </c>
      <c r="I26" s="5">
        <v>24</v>
      </c>
      <c r="J26" s="5">
        <v>5</v>
      </c>
      <c r="K26" s="5">
        <v>6</v>
      </c>
      <c r="L26" s="4">
        <f>0.597+0.94-0.397</f>
      </c>
      <c r="M26" s="4">
        <f>0.597+0.94-0.397</f>
      </c>
      <c r="N26" s="1" t="s">
        <v>19</v>
      </c>
      <c r="O26" s="1"/>
    </row>
    <row x14ac:dyDescent="0.25" r="27" customHeight="1" ht="17.25">
      <c r="A27" s="1" t="s">
        <v>13</v>
      </c>
      <c r="B27" s="1" t="s">
        <v>17</v>
      </c>
      <c r="C27" s="1" t="s">
        <v>108</v>
      </c>
      <c r="D27" s="5">
        <v>5000</v>
      </c>
      <c r="E27" s="5">
        <v>5000</v>
      </c>
      <c r="F27" s="5">
        <v>1</v>
      </c>
      <c r="G27" s="5">
        <v>5</v>
      </c>
      <c r="H27" s="5">
        <v>0</v>
      </c>
      <c r="I27" s="5">
        <v>7</v>
      </c>
      <c r="J27" s="5">
        <v>0</v>
      </c>
      <c r="K27" s="5">
        <v>4</v>
      </c>
      <c r="L27" s="4">
        <f>0.597 - 0.3+0.709</f>
      </c>
      <c r="M27" s="4">
        <f>0.597 - 0.3+0.709</f>
      </c>
      <c r="N27" s="1" t="s">
        <v>19</v>
      </c>
      <c r="O27" s="1"/>
    </row>
    <row x14ac:dyDescent="0.25" r="28" customHeight="1" ht="17.25">
      <c r="A28" s="1" t="s">
        <v>13</v>
      </c>
      <c r="B28" s="1" t="s">
        <v>17</v>
      </c>
      <c r="C28" s="1" t="s">
        <v>109</v>
      </c>
      <c r="D28" s="5">
        <v>5000</v>
      </c>
      <c r="E28" s="5">
        <v>5000</v>
      </c>
      <c r="F28" s="5">
        <v>1</v>
      </c>
      <c r="G28" s="5">
        <v>5</v>
      </c>
      <c r="H28" s="5">
        <v>7</v>
      </c>
      <c r="I28" s="5">
        <v>22</v>
      </c>
      <c r="J28" s="5">
        <v>0</v>
      </c>
      <c r="K28" s="5">
        <v>4</v>
      </c>
      <c r="L28" s="4">
        <f>10.537+2.371- 0.3+0.709</f>
      </c>
      <c r="M28" s="4">
        <f>10.537+2.371- 0.3+0.709</f>
      </c>
      <c r="N28" s="1" t="s">
        <v>19</v>
      </c>
      <c r="O28" s="1"/>
    </row>
    <row x14ac:dyDescent="0.25" r="29" customHeight="1" ht="17.25">
      <c r="A29" s="1" t="s">
        <v>13</v>
      </c>
      <c r="B29" s="1" t="s">
        <v>17</v>
      </c>
      <c r="C29" s="1" t="s">
        <v>108</v>
      </c>
      <c r="D29" s="5">
        <v>5000</v>
      </c>
      <c r="E29" s="5">
        <v>5000</v>
      </c>
      <c r="F29" s="5">
        <v>1</v>
      </c>
      <c r="G29" s="5">
        <v>5</v>
      </c>
      <c r="H29" s="5">
        <v>22</v>
      </c>
      <c r="I29" s="5">
        <v>24</v>
      </c>
      <c r="J29" s="5">
        <v>0</v>
      </c>
      <c r="K29" s="5">
        <v>4</v>
      </c>
      <c r="L29" s="4">
        <f>0.597 - 0.3+0.709</f>
      </c>
      <c r="M29" s="4">
        <f>0.597 - 0.3+0.709</f>
      </c>
      <c r="N29" s="1" t="s">
        <v>19</v>
      </c>
      <c r="O29" s="1"/>
    </row>
    <row x14ac:dyDescent="0.25" r="30" customHeight="1" ht="17.25">
      <c r="A30" s="1" t="s">
        <v>13</v>
      </c>
      <c r="B30" s="1" t="s">
        <v>17</v>
      </c>
      <c r="C30" s="1" t="s">
        <v>108</v>
      </c>
      <c r="D30" s="5">
        <v>5000</v>
      </c>
      <c r="E30" s="5">
        <v>5000</v>
      </c>
      <c r="F30" s="5">
        <v>1</v>
      </c>
      <c r="G30" s="5">
        <v>5</v>
      </c>
      <c r="H30" s="5">
        <v>0</v>
      </c>
      <c r="I30" s="5">
        <v>24</v>
      </c>
      <c r="J30" s="5">
        <v>5</v>
      </c>
      <c r="K30" s="5">
        <v>6</v>
      </c>
      <c r="L30" s="4">
        <f>0.597 - 0.3+0.709</f>
      </c>
      <c r="M30" s="4">
        <f>0.597 - 0.3+0.709</f>
      </c>
      <c r="N30" s="1" t="s">
        <v>19</v>
      </c>
      <c r="O30" s="1"/>
    </row>
    <row x14ac:dyDescent="0.25" r="31" customHeight="1" ht="17.25">
      <c r="A31" s="1" t="s">
        <v>13</v>
      </c>
      <c r="B31" s="1" t="s">
        <v>17</v>
      </c>
      <c r="C31" s="1" t="s">
        <v>110</v>
      </c>
      <c r="D31" s="5">
        <v>5000</v>
      </c>
      <c r="E31" s="5">
        <v>5000</v>
      </c>
      <c r="F31" s="5">
        <v>6</v>
      </c>
      <c r="G31" s="5">
        <v>9</v>
      </c>
      <c r="H31" s="5">
        <v>0</v>
      </c>
      <c r="I31" s="5">
        <v>10</v>
      </c>
      <c r="J31" s="5">
        <v>0</v>
      </c>
      <c r="K31" s="5">
        <v>4</v>
      </c>
      <c r="L31" s="4">
        <f>0.597 - 0.3+0.709</f>
      </c>
      <c r="M31" s="4">
        <f>0.597 - 0.3+0.709</f>
      </c>
      <c r="N31" s="1" t="s">
        <v>19</v>
      </c>
      <c r="O31" s="1"/>
    </row>
    <row x14ac:dyDescent="0.25" r="32" customHeight="1" ht="17.25">
      <c r="A32" s="1" t="s">
        <v>13</v>
      </c>
      <c r="B32" s="1" t="s">
        <v>17</v>
      </c>
      <c r="C32" s="1" t="s">
        <v>111</v>
      </c>
      <c r="D32" s="5">
        <v>5000</v>
      </c>
      <c r="E32" s="5">
        <v>5000</v>
      </c>
      <c r="F32" s="5">
        <v>6</v>
      </c>
      <c r="G32" s="5">
        <v>9</v>
      </c>
      <c r="H32" s="5">
        <v>10</v>
      </c>
      <c r="I32" s="5">
        <v>22</v>
      </c>
      <c r="J32" s="5">
        <v>0</v>
      </c>
      <c r="K32" s="5">
        <v>4</v>
      </c>
      <c r="L32" s="4">
        <f>10.537+2.371- 0.3+0.709</f>
      </c>
      <c r="M32" s="4">
        <f>10.537+2.371- 0.3+0.709</f>
      </c>
      <c r="N32" s="1" t="s">
        <v>19</v>
      </c>
      <c r="O32" s="1"/>
    </row>
    <row x14ac:dyDescent="0.25" r="33" customHeight="1" ht="17.25">
      <c r="A33" s="1" t="s">
        <v>13</v>
      </c>
      <c r="B33" s="1" t="s">
        <v>17</v>
      </c>
      <c r="C33" s="1" t="s">
        <v>110</v>
      </c>
      <c r="D33" s="5">
        <v>5000</v>
      </c>
      <c r="E33" s="5">
        <v>5000</v>
      </c>
      <c r="F33" s="5">
        <v>6</v>
      </c>
      <c r="G33" s="5">
        <v>9</v>
      </c>
      <c r="H33" s="5">
        <v>22</v>
      </c>
      <c r="I33" s="5">
        <v>24</v>
      </c>
      <c r="J33" s="5">
        <v>0</v>
      </c>
      <c r="K33" s="5">
        <v>4</v>
      </c>
      <c r="L33" s="4">
        <f>0.597 - 0.3+0.709</f>
      </c>
      <c r="M33" s="4">
        <f>0.597 - 0.3+0.709</f>
      </c>
      <c r="N33" s="1" t="s">
        <v>19</v>
      </c>
      <c r="O33" s="1"/>
    </row>
    <row x14ac:dyDescent="0.25" r="34" customHeight="1" ht="17.25">
      <c r="A34" s="1" t="s">
        <v>13</v>
      </c>
      <c r="B34" s="1" t="s">
        <v>17</v>
      </c>
      <c r="C34" s="1" t="s">
        <v>110</v>
      </c>
      <c r="D34" s="5">
        <v>5000</v>
      </c>
      <c r="E34" s="5">
        <v>5000</v>
      </c>
      <c r="F34" s="5">
        <v>6</v>
      </c>
      <c r="G34" s="5">
        <v>9</v>
      </c>
      <c r="H34" s="5">
        <v>0</v>
      </c>
      <c r="I34" s="5">
        <v>24</v>
      </c>
      <c r="J34" s="5">
        <v>5</v>
      </c>
      <c r="K34" s="5">
        <v>6</v>
      </c>
      <c r="L34" s="4">
        <f>0.597 - 0.3+0.709</f>
      </c>
      <c r="M34" s="4">
        <f>0.597 - 0.3+0.709</f>
      </c>
      <c r="N34" s="1" t="s">
        <v>19</v>
      </c>
      <c r="O34" s="1"/>
    </row>
    <row x14ac:dyDescent="0.25" r="35" customHeight="1" ht="17.25">
      <c r="A35" s="1" t="s">
        <v>13</v>
      </c>
      <c r="B35" s="1" t="s">
        <v>17</v>
      </c>
      <c r="C35" s="1" t="s">
        <v>112</v>
      </c>
      <c r="D35" s="5">
        <v>5000</v>
      </c>
      <c r="E35" s="5">
        <v>5000</v>
      </c>
      <c r="F35" s="5">
        <v>10</v>
      </c>
      <c r="G35" s="5">
        <v>12</v>
      </c>
      <c r="H35" s="5">
        <v>0</v>
      </c>
      <c r="I35" s="5">
        <v>7</v>
      </c>
      <c r="J35" s="5">
        <v>0</v>
      </c>
      <c r="K35" s="5">
        <v>4</v>
      </c>
      <c r="L35" s="4">
        <f>0.597 - 0.3+0.709</f>
      </c>
      <c r="M35" s="4">
        <f>0.597 - 0.3+0.709</f>
      </c>
      <c r="N35" s="1" t="s">
        <v>19</v>
      </c>
      <c r="O35" s="1"/>
    </row>
    <row x14ac:dyDescent="0.25" r="36" customHeight="1" ht="17.25">
      <c r="A36" s="1" t="s">
        <v>13</v>
      </c>
      <c r="B36" s="1" t="s">
        <v>17</v>
      </c>
      <c r="C36" s="1" t="s">
        <v>113</v>
      </c>
      <c r="D36" s="5">
        <v>5000</v>
      </c>
      <c r="E36" s="5">
        <v>5000</v>
      </c>
      <c r="F36" s="5">
        <v>10</v>
      </c>
      <c r="G36" s="5">
        <v>12</v>
      </c>
      <c r="H36" s="5">
        <v>7</v>
      </c>
      <c r="I36" s="5">
        <v>22</v>
      </c>
      <c r="J36" s="5">
        <v>0</v>
      </c>
      <c r="K36" s="5">
        <v>4</v>
      </c>
      <c r="L36" s="4">
        <f>10.537+2.371- 0.3+0.709</f>
      </c>
      <c r="M36" s="4">
        <f>10.537+2.371- 0.3+0.709</f>
      </c>
      <c r="N36" s="1" t="s">
        <v>19</v>
      </c>
      <c r="O36" s="1"/>
    </row>
    <row x14ac:dyDescent="0.25" r="37" customHeight="1" ht="17.25">
      <c r="A37" s="1" t="s">
        <v>13</v>
      </c>
      <c r="B37" s="1" t="s">
        <v>17</v>
      </c>
      <c r="C37" s="1" t="s">
        <v>112</v>
      </c>
      <c r="D37" s="5">
        <v>5000</v>
      </c>
      <c r="E37" s="5">
        <v>5000</v>
      </c>
      <c r="F37" s="5">
        <v>10</v>
      </c>
      <c r="G37" s="5">
        <v>12</v>
      </c>
      <c r="H37" s="5">
        <v>22</v>
      </c>
      <c r="I37" s="5">
        <v>24</v>
      </c>
      <c r="J37" s="5">
        <v>0</v>
      </c>
      <c r="K37" s="5">
        <v>4</v>
      </c>
      <c r="L37" s="4">
        <f>0.597 - 0.3+0.709</f>
      </c>
      <c r="M37" s="4">
        <f>0.597 - 0.3+0.709</f>
      </c>
      <c r="N37" s="1" t="s">
        <v>19</v>
      </c>
      <c r="O37" s="1"/>
    </row>
    <row x14ac:dyDescent="0.25" r="38" customHeight="1" ht="17.25">
      <c r="A38" s="1" t="s">
        <v>13</v>
      </c>
      <c r="B38" s="1" t="s">
        <v>17</v>
      </c>
      <c r="C38" s="1" t="s">
        <v>112</v>
      </c>
      <c r="D38" s="5">
        <v>5000</v>
      </c>
      <c r="E38" s="5">
        <v>5000</v>
      </c>
      <c r="F38" s="5">
        <v>10</v>
      </c>
      <c r="G38" s="5">
        <v>12</v>
      </c>
      <c r="H38" s="5">
        <v>0</v>
      </c>
      <c r="I38" s="5">
        <v>24</v>
      </c>
      <c r="J38" s="5">
        <v>5</v>
      </c>
      <c r="K38" s="5">
        <v>6</v>
      </c>
      <c r="L38" s="4">
        <f>0.597 - 0.3+0.709</f>
      </c>
      <c r="M38" s="4">
        <f>0.597 - 0.3+0.709</f>
      </c>
      <c r="N38" s="1" t="s">
        <v>19</v>
      </c>
      <c r="O38" s="1"/>
    </row>
    <row x14ac:dyDescent="0.25" r="39" customHeight="1" ht="17.25">
      <c r="A39" s="1" t="s">
        <v>34</v>
      </c>
      <c r="B39" s="1" t="s">
        <v>14</v>
      </c>
      <c r="C39" s="1"/>
      <c r="D39" s="2"/>
      <c r="E39" s="3"/>
      <c r="F39" s="2"/>
      <c r="G39" s="2"/>
      <c r="H39" s="2"/>
      <c r="I39" s="2"/>
      <c r="J39" s="2"/>
      <c r="K39" s="2"/>
      <c r="L39" s="4">
        <v>21.39</v>
      </c>
      <c r="M39" s="4">
        <v>21.39</v>
      </c>
      <c r="N39" s="1" t="s">
        <v>15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1</v>
      </c>
      <c r="G40" s="5">
        <v>12</v>
      </c>
      <c r="H40" s="5">
        <v>0</v>
      </c>
      <c r="I40" s="5">
        <v>24</v>
      </c>
      <c r="J40" s="5">
        <v>0</v>
      </c>
      <c r="K40" s="5">
        <v>6</v>
      </c>
      <c r="L40" s="4">
        <v>1.03999</v>
      </c>
      <c r="M40" s="11">
        <f>L40/2.83168</f>
      </c>
      <c r="N40" s="1" t="s">
        <v>36</v>
      </c>
      <c r="O40" s="1" t="s">
        <v>126</v>
      </c>
    </row>
    <row x14ac:dyDescent="0.25" r="41" customHeight="1" ht="17.25">
      <c r="A41" s="1" t="s">
        <v>34</v>
      </c>
      <c r="B41" s="1" t="s">
        <v>25</v>
      </c>
      <c r="C41" s="1"/>
      <c r="D41" s="5">
        <v>500</v>
      </c>
      <c r="E41" s="4">
        <f>D41*2.83168</f>
      </c>
      <c r="F41" s="5">
        <v>1</v>
      </c>
      <c r="G41" s="5">
        <v>12</v>
      </c>
      <c r="H41" s="5">
        <v>0</v>
      </c>
      <c r="I41" s="5">
        <v>24</v>
      </c>
      <c r="J41" s="5">
        <v>0</v>
      </c>
      <c r="K41" s="5">
        <v>6</v>
      </c>
      <c r="L41" s="4">
        <v>0.9774</v>
      </c>
      <c r="M41" s="11">
        <f>L41/2.83168</f>
      </c>
      <c r="N41" s="1" t="s">
        <v>36</v>
      </c>
      <c r="O41" s="1" t="s">
        <v>126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300</v>
      </c>
      <c r="M2" s="5">
        <v>300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f>0.0031+0.016834</f>
      </c>
      <c r="M3" s="4">
        <f>0.0031+0.016834</f>
      </c>
      <c r="N3" s="1" t="s">
        <v>26</v>
      </c>
      <c r="O3" s="1" t="s">
        <v>124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6</v>
      </c>
      <c r="G4" s="5">
        <v>9</v>
      </c>
      <c r="H4" s="5">
        <v>0</v>
      </c>
      <c r="I4" s="5">
        <v>14</v>
      </c>
      <c r="J4" s="5">
        <v>0</v>
      </c>
      <c r="K4" s="5">
        <v>4</v>
      </c>
      <c r="L4" s="4">
        <f>0.0031+0.017962</f>
      </c>
      <c r="M4" s="4">
        <f>0.0031+0.017962</f>
      </c>
      <c r="N4" s="1" t="s">
        <v>26</v>
      </c>
      <c r="O4" s="1" t="s">
        <v>124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9</v>
      </c>
      <c r="H5" s="5">
        <v>14</v>
      </c>
      <c r="I5" s="5">
        <v>19</v>
      </c>
      <c r="J5" s="5">
        <v>0</v>
      </c>
      <c r="K5" s="5">
        <v>4</v>
      </c>
      <c r="L5" s="4">
        <f>0.0443+0.034226</f>
      </c>
      <c r="M5" s="4">
        <f>0.0443+0.034226</f>
      </c>
      <c r="N5" s="1" t="s">
        <v>26</v>
      </c>
      <c r="O5" s="1" t="s">
        <v>124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6</v>
      </c>
      <c r="G6" s="5">
        <v>9</v>
      </c>
      <c r="H6" s="5">
        <v>19</v>
      </c>
      <c r="I6" s="5">
        <v>24</v>
      </c>
      <c r="J6" s="5">
        <v>0</v>
      </c>
      <c r="K6" s="5">
        <v>4</v>
      </c>
      <c r="L6" s="4">
        <f>0.0031+0.017962</f>
      </c>
      <c r="M6" s="4">
        <f>0.0031+0.017962</f>
      </c>
      <c r="N6" s="1" t="s">
        <v>26</v>
      </c>
      <c r="O6" s="1" t="s">
        <v>124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5</v>
      </c>
      <c r="K7" s="5">
        <v>6</v>
      </c>
      <c r="L7" s="4">
        <f>0.0031+0.017962</f>
      </c>
      <c r="M7" s="4">
        <f>0.0031+0.017962</f>
      </c>
      <c r="N7" s="1" t="s">
        <v>26</v>
      </c>
      <c r="O7" s="1" t="s">
        <v>124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10</v>
      </c>
      <c r="G8" s="5">
        <v>10</v>
      </c>
      <c r="H8" s="5">
        <v>0</v>
      </c>
      <c r="I8" s="5">
        <v>24</v>
      </c>
      <c r="J8" s="5">
        <v>0</v>
      </c>
      <c r="K8" s="5">
        <v>6</v>
      </c>
      <c r="L8" s="4">
        <f>0.0031+0.022174</f>
      </c>
      <c r="M8" s="4">
        <f>0.0031+0.022174</f>
      </c>
      <c r="N8" s="1" t="s">
        <v>26</v>
      </c>
      <c r="O8" s="1" t="s">
        <v>124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11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f>0.0031+0.019452</f>
      </c>
      <c r="M9" s="4">
        <f>0.0031+0.019452</f>
      </c>
      <c r="N9" s="1" t="s">
        <v>26</v>
      </c>
      <c r="O9" s="1" t="s">
        <v>124</v>
      </c>
    </row>
    <row x14ac:dyDescent="0.25" r="10" customHeight="1" ht="17.25">
      <c r="A10" s="1" t="s">
        <v>13</v>
      </c>
      <c r="B10" s="1" t="s">
        <v>17</v>
      </c>
      <c r="C10" s="1" t="s">
        <v>24</v>
      </c>
      <c r="D10" s="5">
        <v>0</v>
      </c>
      <c r="E10" s="5">
        <v>0</v>
      </c>
      <c r="F10" s="5">
        <v>1</v>
      </c>
      <c r="G10" s="5">
        <v>12</v>
      </c>
      <c r="H10" s="5">
        <v>0</v>
      </c>
      <c r="I10" s="5">
        <v>24</v>
      </c>
      <c r="J10" s="5">
        <v>0</v>
      </c>
      <c r="K10" s="5">
        <v>6</v>
      </c>
      <c r="L10" s="4">
        <v>7.128</v>
      </c>
      <c r="M10" s="4">
        <v>7.128</v>
      </c>
      <c r="N10" s="1" t="s">
        <v>19</v>
      </c>
      <c r="O10" s="1"/>
    </row>
    <row x14ac:dyDescent="0.25" r="11" customHeight="1" ht="17.25">
      <c r="A11" s="1" t="s">
        <v>34</v>
      </c>
      <c r="B11" s="1" t="s">
        <v>14</v>
      </c>
      <c r="C11" s="1"/>
      <c r="D11" s="2"/>
      <c r="E11" s="2"/>
      <c r="F11" s="2"/>
      <c r="G11" s="2"/>
      <c r="H11" s="2"/>
      <c r="I11" s="2"/>
      <c r="J11" s="2"/>
      <c r="K11" s="2"/>
      <c r="L11" s="4">
        <v>93.14</v>
      </c>
      <c r="M11" s="4">
        <v>93.14</v>
      </c>
      <c r="N11" s="1" t="s">
        <v>15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v>0.2837</v>
      </c>
      <c r="M12" s="11">
        <f>L12/2.83168</f>
      </c>
      <c r="N12" s="1" t="s">
        <v>36</v>
      </c>
      <c r="O12" s="1" t="s">
        <v>125</v>
      </c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0</v>
      </c>
      <c r="I13" s="5">
        <v>24</v>
      </c>
      <c r="J13" s="5">
        <v>0</v>
      </c>
      <c r="K13" s="5">
        <v>6</v>
      </c>
      <c r="L13" s="4">
        <v>0.454</v>
      </c>
      <c r="M13" s="11">
        <f>L13/2.83168</f>
      </c>
      <c r="N13" s="1" t="s">
        <v>36</v>
      </c>
      <c r="O13" s="1" t="s">
        <v>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"/>
  <sheetViews>
    <sheetView workbookViewId="0"/>
  </sheetViews>
  <sheetFormatPr defaultRowHeight="15" x14ac:dyDescent="0.25"/>
  <cols>
    <col min="1" max="1" style="31" width="30.719285714285714" customWidth="1" bestFit="1"/>
    <col min="2" max="2" style="6" width="13.290714285714287" customWidth="1" bestFit="1"/>
    <col min="3" max="3" style="6" width="19.005" customWidth="1" bestFit="1"/>
    <col min="4" max="4" style="32" width="23.719285714285714" customWidth="1" bestFit="1"/>
    <col min="5" max="5" style="32" width="22.290714285714284" customWidth="1" bestFit="1"/>
    <col min="6" max="6" style="32" width="12.576428571428572" customWidth="1" bestFit="1"/>
    <col min="7" max="7" style="32" width="11.576428571428572" customWidth="1" bestFit="1"/>
    <col min="8" max="8" style="32" width="10.576428571428572" customWidth="1" bestFit="1"/>
    <col min="9" max="9" style="32" width="9.862142857142858" customWidth="1" bestFit="1"/>
    <col min="10" max="10" style="32" width="14.576428571428572" customWidth="1" bestFit="1"/>
    <col min="11" max="11" style="32" width="13.719285714285713" customWidth="1" bestFit="1"/>
    <col min="12" max="12" style="33" width="14.147857142857141" customWidth="1" bestFit="1"/>
    <col min="13" max="13" style="33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29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1715</v>
      </c>
      <c r="M2" s="5">
        <v>1715</v>
      </c>
      <c r="N2" s="1" t="s">
        <v>15</v>
      </c>
      <c r="O2" s="1" t="s">
        <v>123</v>
      </c>
    </row>
    <row x14ac:dyDescent="0.25" r="3" customHeight="1" ht="17.25">
      <c r="A3" s="29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0.04483</v>
      </c>
      <c r="M3" s="4">
        <v>0.04483</v>
      </c>
      <c r="N3" s="1" t="s">
        <v>26</v>
      </c>
      <c r="O3" s="1"/>
    </row>
    <row x14ac:dyDescent="0.25" r="4" customHeight="1" ht="17.25">
      <c r="A4" s="29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5.11</v>
      </c>
      <c r="M4" s="4">
        <v>5.11</v>
      </c>
      <c r="N4" s="1" t="s">
        <v>19</v>
      </c>
      <c r="O4" s="1"/>
    </row>
    <row x14ac:dyDescent="0.25" r="5" customHeight="1" ht="17.25">
      <c r="A5" s="29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33.84</v>
      </c>
      <c r="M5" s="4">
        <v>33.84</v>
      </c>
      <c r="N5" s="1" t="s">
        <v>15</v>
      </c>
      <c r="O5" s="1"/>
    </row>
    <row x14ac:dyDescent="0.25" r="6" customHeight="1" ht="17.25">
      <c r="A6" s="29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0.91728</v>
      </c>
      <c r="M6" s="11">
        <f>L6/2.83168</f>
      </c>
      <c r="N6" s="1" t="s">
        <v>36</v>
      </c>
      <c r="O6" s="1"/>
    </row>
    <row x14ac:dyDescent="0.25" r="7" customHeight="1" ht="17.25">
      <c r="A7" s="9"/>
      <c r="B7" s="1"/>
      <c r="C7" s="1"/>
      <c r="D7" s="2"/>
      <c r="E7" s="2"/>
      <c r="F7" s="2"/>
      <c r="G7" s="2"/>
      <c r="H7" s="2"/>
      <c r="I7" s="2"/>
      <c r="J7" s="2"/>
      <c r="K7" s="2"/>
      <c r="L7" s="3"/>
      <c r="M7" s="30"/>
      <c r="N7" s="1"/>
      <c r="O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8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214.1</v>
      </c>
      <c r="M2" s="4">
        <v>214.1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v>0.04591</v>
      </c>
      <c r="M3" s="4">
        <v>0.04591</v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6</v>
      </c>
      <c r="G4" s="5">
        <v>9</v>
      </c>
      <c r="H4" s="5">
        <v>0</v>
      </c>
      <c r="I4" s="5">
        <v>10</v>
      </c>
      <c r="J4" s="5">
        <v>0</v>
      </c>
      <c r="K4" s="5">
        <v>6</v>
      </c>
      <c r="L4" s="4">
        <v>0.04428</v>
      </c>
      <c r="M4" s="4">
        <v>0.04428</v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9</v>
      </c>
      <c r="H5" s="5">
        <v>10</v>
      </c>
      <c r="I5" s="5">
        <v>13</v>
      </c>
      <c r="J5" s="5">
        <v>0</v>
      </c>
      <c r="K5" s="5">
        <v>6</v>
      </c>
      <c r="L5" s="4">
        <v>0.05612</v>
      </c>
      <c r="M5" s="4">
        <v>0.05612</v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6</v>
      </c>
      <c r="G6" s="5">
        <v>9</v>
      </c>
      <c r="H6" s="5">
        <v>13</v>
      </c>
      <c r="I6" s="5">
        <v>19</v>
      </c>
      <c r="J6" s="5">
        <v>0</v>
      </c>
      <c r="K6" s="5">
        <v>6</v>
      </c>
      <c r="L6" s="4">
        <v>0.08168</v>
      </c>
      <c r="M6" s="4">
        <v>0.08168</v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19</v>
      </c>
      <c r="I7" s="5">
        <v>22</v>
      </c>
      <c r="J7" s="5">
        <v>0</v>
      </c>
      <c r="K7" s="5">
        <v>6</v>
      </c>
      <c r="L7" s="4">
        <v>0.05612</v>
      </c>
      <c r="M7" s="4">
        <v>0.05612</v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22</v>
      </c>
      <c r="I8" s="5">
        <v>24</v>
      </c>
      <c r="J8" s="5">
        <v>0</v>
      </c>
      <c r="K8" s="5">
        <v>6</v>
      </c>
      <c r="L8" s="4">
        <v>0.04428</v>
      </c>
      <c r="M8" s="4">
        <v>0.04428</v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0.04591</v>
      </c>
      <c r="M9" s="4">
        <v>0.04591</v>
      </c>
      <c r="N9" s="1" t="s">
        <v>26</v>
      </c>
      <c r="O9" s="1"/>
    </row>
    <row x14ac:dyDescent="0.25" r="10" customHeight="1" ht="17.25">
      <c r="A10" s="1" t="s">
        <v>13</v>
      </c>
      <c r="B10" s="1" t="s">
        <v>17</v>
      </c>
      <c r="C10" s="1" t="s">
        <v>46</v>
      </c>
      <c r="D10" s="5">
        <v>0</v>
      </c>
      <c r="E10" s="5">
        <v>0</v>
      </c>
      <c r="F10" s="5">
        <v>1</v>
      </c>
      <c r="G10" s="5">
        <v>5</v>
      </c>
      <c r="H10" s="5">
        <v>0</v>
      </c>
      <c r="I10" s="5">
        <v>24</v>
      </c>
      <c r="J10" s="5">
        <v>0</v>
      </c>
      <c r="K10" s="5">
        <v>6</v>
      </c>
      <c r="L10" s="4">
        <f>2.73+0.85</f>
      </c>
      <c r="M10" s="4">
        <f>2.73+0.85</f>
      </c>
      <c r="N10" s="1" t="s">
        <v>19</v>
      </c>
      <c r="O10" s="1"/>
    </row>
    <row x14ac:dyDescent="0.25" r="11" customHeight="1" ht="17.25">
      <c r="A11" s="1" t="s">
        <v>13</v>
      </c>
      <c r="B11" s="1" t="s">
        <v>17</v>
      </c>
      <c r="C11" s="1" t="s">
        <v>96</v>
      </c>
      <c r="D11" s="5">
        <v>0</v>
      </c>
      <c r="E11" s="5">
        <v>0</v>
      </c>
      <c r="F11" s="5">
        <v>6</v>
      </c>
      <c r="G11" s="5">
        <v>9</v>
      </c>
      <c r="H11" s="5">
        <v>0</v>
      </c>
      <c r="I11" s="5">
        <v>10</v>
      </c>
      <c r="J11" s="5">
        <v>0</v>
      </c>
      <c r="K11" s="5">
        <v>6</v>
      </c>
      <c r="L11" s="4">
        <f>2.73</f>
      </c>
      <c r="M11" s="4">
        <f>2.73</f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97</v>
      </c>
      <c r="D12" s="5">
        <v>0</v>
      </c>
      <c r="E12" s="5">
        <v>0</v>
      </c>
      <c r="F12" s="5">
        <v>6</v>
      </c>
      <c r="G12" s="5">
        <v>9</v>
      </c>
      <c r="H12" s="5">
        <v>10</v>
      </c>
      <c r="I12" s="5">
        <v>13</v>
      </c>
      <c r="J12" s="5">
        <v>0</v>
      </c>
      <c r="K12" s="5">
        <v>6</v>
      </c>
      <c r="L12" s="4">
        <f>2.73+3.36</f>
      </c>
      <c r="M12" s="4">
        <f>2.73+3.36</f>
      </c>
      <c r="N12" s="1" t="s">
        <v>19</v>
      </c>
      <c r="O12" s="1"/>
    </row>
    <row x14ac:dyDescent="0.25" r="13" customHeight="1" ht="17.25">
      <c r="A13" s="1" t="s">
        <v>13</v>
      </c>
      <c r="B13" s="1" t="s">
        <v>17</v>
      </c>
      <c r="C13" s="1" t="s">
        <v>98</v>
      </c>
      <c r="D13" s="5">
        <v>0</v>
      </c>
      <c r="E13" s="5">
        <v>0</v>
      </c>
      <c r="F13" s="5">
        <v>6</v>
      </c>
      <c r="G13" s="5">
        <v>9</v>
      </c>
      <c r="H13" s="5">
        <v>13</v>
      </c>
      <c r="I13" s="5">
        <v>19</v>
      </c>
      <c r="J13" s="5">
        <v>0</v>
      </c>
      <c r="K13" s="5">
        <v>6</v>
      </c>
      <c r="L13" s="4">
        <f>2.73+13.61</f>
      </c>
      <c r="M13" s="4">
        <f>2.73+13.61</f>
      </c>
      <c r="N13" s="1" t="s">
        <v>19</v>
      </c>
      <c r="O13" s="1"/>
    </row>
    <row x14ac:dyDescent="0.25" r="14" customHeight="1" ht="17.25">
      <c r="A14" s="1" t="s">
        <v>13</v>
      </c>
      <c r="B14" s="1" t="s">
        <v>17</v>
      </c>
      <c r="C14" s="1" t="s">
        <v>97</v>
      </c>
      <c r="D14" s="5">
        <v>0</v>
      </c>
      <c r="E14" s="5">
        <v>0</v>
      </c>
      <c r="F14" s="5">
        <v>6</v>
      </c>
      <c r="G14" s="5">
        <v>9</v>
      </c>
      <c r="H14" s="5">
        <v>19</v>
      </c>
      <c r="I14" s="5">
        <v>22</v>
      </c>
      <c r="J14" s="5">
        <v>0</v>
      </c>
      <c r="K14" s="5">
        <v>6</v>
      </c>
      <c r="L14" s="4">
        <f>2.73+3.36</f>
      </c>
      <c r="M14" s="4">
        <f>2.73+3.36</f>
      </c>
      <c r="N14" s="1" t="s">
        <v>19</v>
      </c>
      <c r="O14" s="1"/>
    </row>
    <row x14ac:dyDescent="0.25" r="15" customHeight="1" ht="17.25">
      <c r="A15" s="1" t="s">
        <v>13</v>
      </c>
      <c r="B15" s="1" t="s">
        <v>17</v>
      </c>
      <c r="C15" s="1" t="s">
        <v>96</v>
      </c>
      <c r="D15" s="5">
        <v>0</v>
      </c>
      <c r="E15" s="5">
        <v>0</v>
      </c>
      <c r="F15" s="5">
        <v>6</v>
      </c>
      <c r="G15" s="5">
        <v>9</v>
      </c>
      <c r="H15" s="5">
        <v>22</v>
      </c>
      <c r="I15" s="5">
        <v>24</v>
      </c>
      <c r="J15" s="5">
        <v>0</v>
      </c>
      <c r="K15" s="5">
        <v>6</v>
      </c>
      <c r="L15" s="4">
        <f>2.73</f>
      </c>
      <c r="M15" s="4">
        <f>2.73</f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48</v>
      </c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24</v>
      </c>
      <c r="J16" s="5">
        <v>0</v>
      </c>
      <c r="K16" s="5">
        <v>6</v>
      </c>
      <c r="L16" s="4">
        <f>2.73+0.85</f>
      </c>
      <c r="M16" s="4">
        <f>2.73+0.85</f>
      </c>
      <c r="N16" s="1" t="s">
        <v>19</v>
      </c>
      <c r="O16" s="1"/>
    </row>
    <row x14ac:dyDescent="0.25" r="17" customHeight="1" ht="17.25">
      <c r="A17" s="1" t="s">
        <v>34</v>
      </c>
      <c r="B17" s="1" t="s">
        <v>14</v>
      </c>
      <c r="C17" s="1"/>
      <c r="D17" s="2"/>
      <c r="E17" s="2"/>
      <c r="F17" s="2"/>
      <c r="G17" s="2"/>
      <c r="H17" s="2"/>
      <c r="I17" s="2"/>
      <c r="J17" s="2"/>
      <c r="K17" s="2"/>
      <c r="L17" s="5">
        <v>350</v>
      </c>
      <c r="M17" s="5">
        <v>350</v>
      </c>
      <c r="N17" s="1" t="s">
        <v>15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3</v>
      </c>
      <c r="H18" s="5">
        <v>0</v>
      </c>
      <c r="I18" s="5">
        <v>24</v>
      </c>
      <c r="J18" s="5">
        <v>0</v>
      </c>
      <c r="K18" s="5">
        <v>6</v>
      </c>
      <c r="L18" s="4">
        <v>0.36323</v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4</v>
      </c>
      <c r="G19" s="5">
        <v>6</v>
      </c>
      <c r="H19" s="5">
        <v>0</v>
      </c>
      <c r="I19" s="5">
        <v>24</v>
      </c>
      <c r="J19" s="5">
        <v>0</v>
      </c>
      <c r="K19" s="5">
        <v>6</v>
      </c>
      <c r="L19" s="4">
        <v>0.33069</v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9</v>
      </c>
      <c r="H20" s="5">
        <v>0</v>
      </c>
      <c r="I20" s="5">
        <v>24</v>
      </c>
      <c r="J20" s="5">
        <v>0</v>
      </c>
      <c r="K20" s="5">
        <v>6</v>
      </c>
      <c r="L20" s="4">
        <v>0.53174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0.57314</v>
      </c>
      <c r="M21" s="11">
        <f>L21/2.83168</f>
      </c>
      <c r="N21" s="1" t="s">
        <v>36</v>
      </c>
      <c r="O2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8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3.719285714285713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9.576428571428572" customWidth="1" bestFit="1"/>
    <col min="4" max="4" style="32" width="23.719285714285714" customWidth="1" bestFit="1"/>
    <col min="5" max="5" style="32" width="22.290714285714284" customWidth="1" bestFit="1"/>
    <col min="6" max="6" style="32" width="12.290714285714287" customWidth="1" bestFit="1"/>
    <col min="7" max="7" style="32" width="11.576428571428572" customWidth="1" bestFit="1"/>
    <col min="8" max="8" style="32" width="10.576428571428572" customWidth="1" bestFit="1"/>
    <col min="9" max="9" style="32" width="9.576428571428572" customWidth="1" bestFit="1"/>
    <col min="10" max="10" style="32" width="14.576428571428572" customWidth="1" bestFit="1"/>
    <col min="11" max="11" style="32" width="13.719285714285713" customWidth="1" bestFit="1"/>
    <col min="12" max="12" style="36" width="14.147857142857141" customWidth="1" bestFit="1"/>
    <col min="13" max="13" style="36" width="12.862142857142858" customWidth="1" bestFit="1"/>
    <col min="14" max="14" style="31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2200</v>
      </c>
      <c r="M2" s="5">
        <v>2200</v>
      </c>
      <c r="N2" s="29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0.00152+0.03009</f>
      </c>
      <c r="M3" s="4">
        <f>0.00152+0.03009</f>
      </c>
      <c r="N3" s="29" t="s">
        <v>26</v>
      </c>
      <c r="O3" s="1"/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f>9.17+4.5+2.75</f>
      </c>
      <c r="M4" s="4">
        <f>9.17+4.5+2.75</f>
      </c>
      <c r="N4" s="29" t="s">
        <v>19</v>
      </c>
      <c r="O4" s="1"/>
    </row>
    <row x14ac:dyDescent="0.25" r="5" customHeight="1" ht="17.25">
      <c r="A5" s="1" t="s">
        <v>34</v>
      </c>
      <c r="B5" s="23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53.33</v>
      </c>
      <c r="M5" s="4">
        <v>53.33</v>
      </c>
      <c r="N5" s="29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f>0.12679+0.59985</f>
      </c>
      <c r="M6" s="11">
        <f>L6/2.83168</f>
      </c>
      <c r="N6" s="29" t="s">
        <v>36</v>
      </c>
      <c r="O6" s="1" t="s">
        <v>37</v>
      </c>
    </row>
    <row x14ac:dyDescent="0.25" r="7" customHeight="1" ht="17.25">
      <c r="A7" s="9"/>
      <c r="B7" s="1"/>
      <c r="C7" s="1"/>
      <c r="D7" s="2"/>
      <c r="E7" s="2"/>
      <c r="F7" s="2"/>
      <c r="G7" s="2"/>
      <c r="H7" s="2"/>
      <c r="I7" s="2"/>
      <c r="J7" s="2"/>
      <c r="K7" s="2"/>
      <c r="L7" s="3"/>
      <c r="M7" s="30"/>
      <c r="N7" s="29"/>
      <c r="O7" s="1"/>
    </row>
    <row x14ac:dyDescent="0.25" r="8" customHeight="1" ht="17.25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3"/>
      <c r="M8" s="30"/>
      <c r="N8" s="29"/>
      <c r="O8" s="1"/>
    </row>
    <row x14ac:dyDescent="0.25" r="9" customHeight="1" ht="17.25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3"/>
      <c r="M9" s="30"/>
      <c r="N9" s="29"/>
      <c r="O9" s="1"/>
    </row>
    <row x14ac:dyDescent="0.25" r="10" customHeight="1" ht="17.25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13"/>
      <c r="M10" s="35"/>
      <c r="N10" s="9"/>
      <c r="O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1890</v>
      </c>
      <c r="M2" s="5">
        <v>1890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6</v>
      </c>
      <c r="J3" s="5">
        <v>0</v>
      </c>
      <c r="K3" s="5">
        <v>5</v>
      </c>
      <c r="L3" s="4">
        <f>0.00094+0.04273</f>
      </c>
      <c r="M3" s="4">
        <f>0.00094+0.04273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12</v>
      </c>
      <c r="H4" s="5">
        <v>6</v>
      </c>
      <c r="I4" s="5">
        <v>22</v>
      </c>
      <c r="J4" s="5">
        <v>0</v>
      </c>
      <c r="K4" s="5">
        <v>5</v>
      </c>
      <c r="L4" s="4">
        <f>0.00094+0.05773</f>
      </c>
      <c r="M4" s="4">
        <f>0.00094+0.05773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12</v>
      </c>
      <c r="H5" s="5">
        <v>22</v>
      </c>
      <c r="I5" s="5">
        <v>24</v>
      </c>
      <c r="J5" s="5">
        <v>0</v>
      </c>
      <c r="K5" s="5">
        <v>5</v>
      </c>
      <c r="L5" s="4">
        <f>0.00094+0.04273</f>
      </c>
      <c r="M5" s="4">
        <f>0.00094+0.04273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6</v>
      </c>
      <c r="K6" s="5">
        <v>6</v>
      </c>
      <c r="L6" s="4">
        <f>0.00094+0.04273</f>
      </c>
      <c r="M6" s="4">
        <f>0.00094+0.04273</f>
      </c>
      <c r="N6" s="1" t="s">
        <v>26</v>
      </c>
      <c r="O6" s="1"/>
    </row>
    <row x14ac:dyDescent="0.25" r="7" customHeight="1" ht="17.25">
      <c r="A7" s="1" t="s">
        <v>13</v>
      </c>
      <c r="B7" s="1" t="s">
        <v>17</v>
      </c>
      <c r="C7" s="1" t="s">
        <v>24</v>
      </c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v>1.49</v>
      </c>
      <c r="M7" s="4">
        <v>1.49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40</v>
      </c>
      <c r="D8" s="5">
        <v>0</v>
      </c>
      <c r="E8" s="5">
        <v>0</v>
      </c>
      <c r="F8" s="5">
        <v>1</v>
      </c>
      <c r="G8" s="5">
        <v>12</v>
      </c>
      <c r="H8" s="5">
        <v>6</v>
      </c>
      <c r="I8" s="5">
        <v>22</v>
      </c>
      <c r="J8" s="5">
        <v>0</v>
      </c>
      <c r="K8" s="5">
        <v>5</v>
      </c>
      <c r="L8" s="4">
        <f>2.53+0.76</f>
      </c>
      <c r="M8" s="4">
        <f>2.53+0.76</f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24</v>
      </c>
      <c r="D9" s="5">
        <v>4000</v>
      </c>
      <c r="E9" s="5">
        <v>4000</v>
      </c>
      <c r="F9" s="5">
        <v>1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1.18</v>
      </c>
      <c r="M9" s="4">
        <v>1.18</v>
      </c>
      <c r="N9" s="1" t="s">
        <v>19</v>
      </c>
      <c r="O9" s="1"/>
    </row>
    <row x14ac:dyDescent="0.25" r="10" customHeight="1" ht="17.25">
      <c r="A10" s="1" t="s">
        <v>34</v>
      </c>
      <c r="B10" s="1" t="s">
        <v>14</v>
      </c>
      <c r="C10" s="1"/>
      <c r="D10" s="2"/>
      <c r="E10" s="3"/>
      <c r="F10" s="2"/>
      <c r="G10" s="2"/>
      <c r="H10" s="2"/>
      <c r="I10" s="2"/>
      <c r="J10" s="2"/>
      <c r="K10" s="2"/>
      <c r="L10" s="5">
        <v>325</v>
      </c>
      <c r="M10" s="5">
        <v>325</v>
      </c>
      <c r="N10" s="1" t="s">
        <v>15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12</v>
      </c>
      <c r="H11" s="5">
        <v>0</v>
      </c>
      <c r="I11" s="5">
        <v>24</v>
      </c>
      <c r="J11" s="5">
        <v>0</v>
      </c>
      <c r="K11" s="5">
        <v>6</v>
      </c>
      <c r="L11" s="4">
        <v>0.58665</v>
      </c>
      <c r="M11" s="14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2000</v>
      </c>
      <c r="E12" s="4">
        <f>D12*2.83168</f>
      </c>
      <c r="F12" s="5">
        <v>1</v>
      </c>
      <c r="G12" s="5">
        <v>12</v>
      </c>
      <c r="H12" s="5">
        <v>0</v>
      </c>
      <c r="I12" s="5">
        <v>24</v>
      </c>
      <c r="J12" s="5">
        <v>0</v>
      </c>
      <c r="K12" s="5">
        <v>6</v>
      </c>
      <c r="L12" s="4">
        <v>0.56692</v>
      </c>
      <c r="M12" s="14">
        <f>L12/2.83168</f>
      </c>
      <c r="N12" s="1" t="s">
        <v>36</v>
      </c>
      <c r="O12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f>1560+350</f>
      </c>
      <c r="M2" s="5">
        <f>1560+350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5</v>
      </c>
      <c r="J3" s="5">
        <v>0</v>
      </c>
      <c r="K3" s="5">
        <v>4</v>
      </c>
      <c r="L3" s="4">
        <f>0.04381+0.01582</f>
      </c>
      <c r="M3" s="4">
        <f>0.04381+0.01582</f>
      </c>
      <c r="N3" s="1" t="s">
        <v>26</v>
      </c>
      <c r="O3" s="1" t="s">
        <v>121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5</v>
      </c>
      <c r="I4" s="5">
        <v>11</v>
      </c>
      <c r="J4" s="5">
        <v>0</v>
      </c>
      <c r="K4" s="5">
        <v>4</v>
      </c>
      <c r="L4" s="4">
        <f>0.0515+0.01582</f>
      </c>
      <c r="M4" s="4">
        <f>0.0515+0.01582</f>
      </c>
      <c r="N4" s="1" t="s">
        <v>26</v>
      </c>
      <c r="O4" s="1" t="s">
        <v>121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11</v>
      </c>
      <c r="I5" s="5">
        <v>24</v>
      </c>
      <c r="J5" s="5">
        <v>0</v>
      </c>
      <c r="K5" s="5">
        <v>4</v>
      </c>
      <c r="L5" s="4">
        <f>0.04381+0.01582</f>
      </c>
      <c r="M5" s="4">
        <f>0.04381+0.01582</f>
      </c>
      <c r="N5" s="1" t="s">
        <v>26</v>
      </c>
      <c r="O5" s="1" t="s">
        <v>121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5</v>
      </c>
      <c r="K6" s="5">
        <v>6</v>
      </c>
      <c r="L6" s="4">
        <f>0.04381+0.01582</f>
      </c>
      <c r="M6" s="4">
        <f>0.04381+0.01582</f>
      </c>
      <c r="N6" s="1" t="s">
        <v>26</v>
      </c>
      <c r="O6" s="1" t="s">
        <v>121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0</v>
      </c>
      <c r="I7" s="5">
        <v>5</v>
      </c>
      <c r="J7" s="5">
        <v>0</v>
      </c>
      <c r="K7" s="5">
        <v>4</v>
      </c>
      <c r="L7" s="4">
        <f>0.04381+0.01498</f>
      </c>
      <c r="M7" s="4">
        <f>0.04381+0.01498</f>
      </c>
      <c r="N7" s="1" t="s">
        <v>26</v>
      </c>
      <c r="O7" s="1" t="s">
        <v>121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2</v>
      </c>
      <c r="H8" s="5">
        <v>5</v>
      </c>
      <c r="I8" s="5">
        <v>11</v>
      </c>
      <c r="J8" s="5">
        <v>0</v>
      </c>
      <c r="K8" s="5">
        <v>4</v>
      </c>
      <c r="L8" s="4">
        <f>0.0515+0.01498</f>
      </c>
      <c r="M8" s="4">
        <f>0.0515+0.01498</f>
      </c>
      <c r="N8" s="1" t="s">
        <v>26</v>
      </c>
      <c r="O8" s="1" t="s">
        <v>121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2</v>
      </c>
      <c r="G9" s="5">
        <v>2</v>
      </c>
      <c r="H9" s="5">
        <v>11</v>
      </c>
      <c r="I9" s="5">
        <v>24</v>
      </c>
      <c r="J9" s="5">
        <v>0</v>
      </c>
      <c r="K9" s="5">
        <v>4</v>
      </c>
      <c r="L9" s="4">
        <f>0.04381+0.01498</f>
      </c>
      <c r="M9" s="4">
        <f>0.04381+0.01498</f>
      </c>
      <c r="N9" s="1" t="s">
        <v>26</v>
      </c>
      <c r="O9" s="1" t="s">
        <v>121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5</v>
      </c>
      <c r="K10" s="5">
        <v>6</v>
      </c>
      <c r="L10" s="4">
        <f>0.04381+0.01498</f>
      </c>
      <c r="M10" s="4">
        <f>0.04381+0.01498</f>
      </c>
      <c r="N10" s="1" t="s">
        <v>26</v>
      </c>
      <c r="O10" s="1" t="s">
        <v>121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0</v>
      </c>
      <c r="I11" s="5">
        <v>5</v>
      </c>
      <c r="J11" s="5">
        <v>0</v>
      </c>
      <c r="K11" s="5">
        <v>4</v>
      </c>
      <c r="L11" s="4">
        <f>0.04381+0.01551</f>
      </c>
      <c r="M11" s="4">
        <f>0.04381+0.01551</f>
      </c>
      <c r="N11" s="1" t="s">
        <v>26</v>
      </c>
      <c r="O11" s="1" t="s">
        <v>121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3</v>
      </c>
      <c r="G12" s="5">
        <v>3</v>
      </c>
      <c r="H12" s="5">
        <v>5</v>
      </c>
      <c r="I12" s="5">
        <v>11</v>
      </c>
      <c r="J12" s="5">
        <v>0</v>
      </c>
      <c r="K12" s="5">
        <v>4</v>
      </c>
      <c r="L12" s="4">
        <f>0.0515+0.01551</f>
      </c>
      <c r="M12" s="4">
        <f>0.0515+0.01551</f>
      </c>
      <c r="N12" s="1" t="s">
        <v>26</v>
      </c>
      <c r="O12" s="1" t="s">
        <v>121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3</v>
      </c>
      <c r="G13" s="5">
        <v>3</v>
      </c>
      <c r="H13" s="5">
        <v>11</v>
      </c>
      <c r="I13" s="5">
        <v>24</v>
      </c>
      <c r="J13" s="5">
        <v>0</v>
      </c>
      <c r="K13" s="5">
        <v>4</v>
      </c>
      <c r="L13" s="4">
        <f>0.04381+0.01551</f>
      </c>
      <c r="M13" s="4">
        <f>0.04381+0.01551</f>
      </c>
      <c r="N13" s="1" t="s">
        <v>26</v>
      </c>
      <c r="O13" s="1" t="s">
        <v>121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24</v>
      </c>
      <c r="J14" s="5">
        <v>5</v>
      </c>
      <c r="K14" s="5">
        <v>6</v>
      </c>
      <c r="L14" s="4">
        <f>0.04381+0.01551</f>
      </c>
      <c r="M14" s="4">
        <f>0.04381+0.01551</f>
      </c>
      <c r="N14" s="1" t="s">
        <v>26</v>
      </c>
      <c r="O14" s="1" t="s">
        <v>121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4</v>
      </c>
      <c r="G15" s="5">
        <v>4</v>
      </c>
      <c r="H15" s="5">
        <v>0</v>
      </c>
      <c r="I15" s="5">
        <v>24</v>
      </c>
      <c r="J15" s="5">
        <v>0</v>
      </c>
      <c r="K15" s="5">
        <v>4</v>
      </c>
      <c r="L15" s="4">
        <f>0.04127+0.01848</f>
      </c>
      <c r="M15" s="4">
        <f>0.04127+0.01848</f>
      </c>
      <c r="N15" s="1" t="s">
        <v>26</v>
      </c>
      <c r="O15" s="1" t="s">
        <v>121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5</v>
      </c>
      <c r="G16" s="5">
        <v>5</v>
      </c>
      <c r="H16" s="5">
        <v>0</v>
      </c>
      <c r="I16" s="5">
        <v>24</v>
      </c>
      <c r="J16" s="5">
        <v>0</v>
      </c>
      <c r="K16" s="5">
        <v>4</v>
      </c>
      <c r="L16" s="4">
        <f>0.04127+0.01662</f>
      </c>
      <c r="M16" s="4">
        <f>0.04127+0.01662</f>
      </c>
      <c r="N16" s="1" t="s">
        <v>26</v>
      </c>
      <c r="O16" s="1" t="s">
        <v>121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0</v>
      </c>
      <c r="I17" s="5">
        <v>14</v>
      </c>
      <c r="J17" s="5">
        <v>0</v>
      </c>
      <c r="K17" s="5">
        <v>4</v>
      </c>
      <c r="L17" s="4">
        <f>0.04159+0.01652</f>
      </c>
      <c r="M17" s="4">
        <f>0.04159+0.01652</f>
      </c>
      <c r="N17" s="1" t="s">
        <v>26</v>
      </c>
      <c r="O17" s="1" t="s">
        <v>121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6</v>
      </c>
      <c r="G18" s="5">
        <v>6</v>
      </c>
      <c r="H18" s="5">
        <v>14</v>
      </c>
      <c r="I18" s="5">
        <v>20</v>
      </c>
      <c r="J18" s="5">
        <v>0</v>
      </c>
      <c r="K18" s="5">
        <v>4</v>
      </c>
      <c r="L18" s="4">
        <f>0.0665+0.01652</f>
      </c>
      <c r="M18" s="4">
        <f>0.0665+0.01652</f>
      </c>
      <c r="N18" s="1" t="s">
        <v>26</v>
      </c>
      <c r="O18" s="1" t="s">
        <v>121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6</v>
      </c>
      <c r="G19" s="5">
        <v>6</v>
      </c>
      <c r="H19" s="5">
        <v>20</v>
      </c>
      <c r="I19" s="5">
        <v>24</v>
      </c>
      <c r="J19" s="5">
        <v>0</v>
      </c>
      <c r="K19" s="5">
        <v>4</v>
      </c>
      <c r="L19" s="4">
        <f>0.04159+0.01652</f>
      </c>
      <c r="M19" s="4">
        <f>0.04159+0.01652</f>
      </c>
      <c r="N19" s="1" t="s">
        <v>26</v>
      </c>
      <c r="O19" s="1" t="s">
        <v>121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6</v>
      </c>
      <c r="H20" s="5">
        <v>0</v>
      </c>
      <c r="I20" s="5">
        <v>24</v>
      </c>
      <c r="J20" s="5">
        <v>5</v>
      </c>
      <c r="K20" s="5">
        <v>6</v>
      </c>
      <c r="L20" s="4">
        <f>0.04159+0.01652</f>
      </c>
      <c r="M20" s="4">
        <f>0.04159+0.01652</f>
      </c>
      <c r="N20" s="1" t="s">
        <v>26</v>
      </c>
      <c r="O20" s="1" t="s">
        <v>121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0</v>
      </c>
      <c r="I21" s="5">
        <v>14</v>
      </c>
      <c r="J21" s="5">
        <v>0</v>
      </c>
      <c r="K21" s="5">
        <v>4</v>
      </c>
      <c r="L21" s="4">
        <f>0.04159+0.01843</f>
      </c>
      <c r="M21" s="4">
        <f>0.04159+0.01843</f>
      </c>
      <c r="N21" s="1" t="s">
        <v>26</v>
      </c>
      <c r="O21" s="1" t="s">
        <v>121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14</v>
      </c>
      <c r="I22" s="5">
        <v>20</v>
      </c>
      <c r="J22" s="5">
        <v>0</v>
      </c>
      <c r="K22" s="5">
        <v>4</v>
      </c>
      <c r="L22" s="4">
        <f>0.0665+0.01843</f>
      </c>
      <c r="M22" s="4">
        <f>0.0665+0.01843</f>
      </c>
      <c r="N22" s="1" t="s">
        <v>26</v>
      </c>
      <c r="O22" s="1" t="s">
        <v>121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7</v>
      </c>
      <c r="H23" s="5">
        <v>20</v>
      </c>
      <c r="I23" s="5">
        <v>24</v>
      </c>
      <c r="J23" s="5">
        <v>0</v>
      </c>
      <c r="K23" s="5">
        <v>4</v>
      </c>
      <c r="L23" s="4">
        <f>0.04159+0.01843</f>
      </c>
      <c r="M23" s="4">
        <f>0.04159+0.01843</f>
      </c>
      <c r="N23" s="1" t="s">
        <v>26</v>
      </c>
      <c r="O23" s="1" t="s">
        <v>121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7</v>
      </c>
      <c r="H24" s="5">
        <v>0</v>
      </c>
      <c r="I24" s="5">
        <v>24</v>
      </c>
      <c r="J24" s="5">
        <v>5</v>
      </c>
      <c r="K24" s="5">
        <v>6</v>
      </c>
      <c r="L24" s="4">
        <f>0.04159+0.01843</f>
      </c>
      <c r="M24" s="4">
        <f>0.04159+0.01843</f>
      </c>
      <c r="N24" s="1" t="s">
        <v>26</v>
      </c>
      <c r="O24" s="1" t="s">
        <v>121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14</v>
      </c>
      <c r="J25" s="5">
        <v>0</v>
      </c>
      <c r="K25" s="5">
        <v>4</v>
      </c>
      <c r="L25" s="4">
        <f>0.04159+0.01822</f>
      </c>
      <c r="M25" s="4">
        <f>0.04159+0.01822</f>
      </c>
      <c r="N25" s="1" t="s">
        <v>26</v>
      </c>
      <c r="O25" s="1" t="s">
        <v>121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14</v>
      </c>
      <c r="I26" s="5">
        <v>20</v>
      </c>
      <c r="J26" s="5">
        <v>0</v>
      </c>
      <c r="K26" s="5">
        <v>4</v>
      </c>
      <c r="L26" s="4">
        <f>0.0665+0.01822</f>
      </c>
      <c r="M26" s="4">
        <f>0.0665+0.01822</f>
      </c>
      <c r="N26" s="1" t="s">
        <v>26</v>
      </c>
      <c r="O26" s="1" t="s">
        <v>121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8</v>
      </c>
      <c r="G27" s="5">
        <v>8</v>
      </c>
      <c r="H27" s="5">
        <v>20</v>
      </c>
      <c r="I27" s="5">
        <v>24</v>
      </c>
      <c r="J27" s="5">
        <v>0</v>
      </c>
      <c r="K27" s="5">
        <v>4</v>
      </c>
      <c r="L27" s="4">
        <f>0.04159+0.01822</f>
      </c>
      <c r="M27" s="4">
        <f>0.04159+0.01822</f>
      </c>
      <c r="N27" s="1" t="s">
        <v>26</v>
      </c>
      <c r="O27" s="1" t="s">
        <v>121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8</v>
      </c>
      <c r="G28" s="5">
        <v>8</v>
      </c>
      <c r="H28" s="5">
        <v>0</v>
      </c>
      <c r="I28" s="5">
        <v>24</v>
      </c>
      <c r="J28" s="5">
        <v>5</v>
      </c>
      <c r="K28" s="5">
        <v>6</v>
      </c>
      <c r="L28" s="4">
        <f>0.04159+0.01822</f>
      </c>
      <c r="M28" s="4">
        <f>0.04159+0.01822</f>
      </c>
      <c r="N28" s="1" t="s">
        <v>26</v>
      </c>
      <c r="O28" s="1" t="s">
        <v>121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0</v>
      </c>
      <c r="I29" s="5">
        <v>14</v>
      </c>
      <c r="J29" s="5">
        <v>0</v>
      </c>
      <c r="K29" s="5">
        <v>4</v>
      </c>
      <c r="L29" s="4">
        <f>0.04159+0.01726</f>
      </c>
      <c r="M29" s="4">
        <f>0.04159+0.01726</f>
      </c>
      <c r="N29" s="1" t="s">
        <v>26</v>
      </c>
      <c r="O29" s="1" t="s">
        <v>121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9</v>
      </c>
      <c r="G30" s="5">
        <v>9</v>
      </c>
      <c r="H30" s="5">
        <v>14</v>
      </c>
      <c r="I30" s="5">
        <v>20</v>
      </c>
      <c r="J30" s="5">
        <v>0</v>
      </c>
      <c r="K30" s="5">
        <v>4</v>
      </c>
      <c r="L30" s="4">
        <f>0.0665+0.01726</f>
      </c>
      <c r="M30" s="4">
        <f>0.0665+0.01726</f>
      </c>
      <c r="N30" s="1" t="s">
        <v>26</v>
      </c>
      <c r="O30" s="1" t="s">
        <v>121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9</v>
      </c>
      <c r="G31" s="5">
        <v>9</v>
      </c>
      <c r="H31" s="5">
        <v>20</v>
      </c>
      <c r="I31" s="5">
        <v>24</v>
      </c>
      <c r="J31" s="5">
        <v>0</v>
      </c>
      <c r="K31" s="5">
        <v>4</v>
      </c>
      <c r="L31" s="4">
        <f>0.04159+0.01726</f>
      </c>
      <c r="M31" s="4">
        <f>0.04159+0.01726</f>
      </c>
      <c r="N31" s="1" t="s">
        <v>26</v>
      </c>
      <c r="O31" s="1" t="s">
        <v>121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9</v>
      </c>
      <c r="G32" s="5">
        <v>9</v>
      </c>
      <c r="H32" s="5">
        <v>0</v>
      </c>
      <c r="I32" s="5">
        <v>24</v>
      </c>
      <c r="J32" s="5">
        <v>5</v>
      </c>
      <c r="K32" s="5">
        <v>6</v>
      </c>
      <c r="L32" s="4">
        <f>0.04159+0.01726</f>
      </c>
      <c r="M32" s="4">
        <f>0.04159+0.01726</f>
      </c>
      <c r="N32" s="1" t="s">
        <v>26</v>
      </c>
      <c r="O32" s="1" t="s">
        <v>121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10</v>
      </c>
      <c r="G33" s="5">
        <v>10</v>
      </c>
      <c r="H33" s="5">
        <v>0</v>
      </c>
      <c r="I33" s="5">
        <v>24</v>
      </c>
      <c r="J33" s="5">
        <v>0</v>
      </c>
      <c r="K33" s="5">
        <v>4</v>
      </c>
      <c r="L33" s="4">
        <f>0.04127+0.01979</f>
      </c>
      <c r="M33" s="4">
        <f>0.04127+0.01979</f>
      </c>
      <c r="N33" s="1" t="s">
        <v>26</v>
      </c>
      <c r="O33" s="1" t="s">
        <v>121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11</v>
      </c>
      <c r="G34" s="5">
        <v>11</v>
      </c>
      <c r="H34" s="5">
        <v>0</v>
      </c>
      <c r="I34" s="5">
        <v>24</v>
      </c>
      <c r="J34" s="5">
        <v>0</v>
      </c>
      <c r="K34" s="5">
        <v>4</v>
      </c>
      <c r="L34" s="4">
        <f>0.04127+0.0227</f>
      </c>
      <c r="M34" s="4">
        <f>0.04127+0.0227</f>
      </c>
      <c r="N34" s="1" t="s">
        <v>26</v>
      </c>
      <c r="O34" s="1" t="s">
        <v>121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12</v>
      </c>
      <c r="G35" s="5">
        <v>12</v>
      </c>
      <c r="H35" s="5">
        <v>0</v>
      </c>
      <c r="I35" s="5">
        <v>5</v>
      </c>
      <c r="J35" s="5">
        <v>0</v>
      </c>
      <c r="K35" s="5">
        <v>4</v>
      </c>
      <c r="L35" s="4">
        <f>0.04381+0.02414</f>
      </c>
      <c r="M35" s="4">
        <f>0.04381+0.02414</f>
      </c>
      <c r="N35" s="1" t="s">
        <v>26</v>
      </c>
      <c r="O35" s="1" t="s">
        <v>121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12</v>
      </c>
      <c r="G36" s="5">
        <v>12</v>
      </c>
      <c r="H36" s="5">
        <v>5</v>
      </c>
      <c r="I36" s="5">
        <v>11</v>
      </c>
      <c r="J36" s="5">
        <v>0</v>
      </c>
      <c r="K36" s="5">
        <v>4</v>
      </c>
      <c r="L36" s="4">
        <f>0.0515+0.02414</f>
      </c>
      <c r="M36" s="4">
        <f>0.0515+0.02414</f>
      </c>
      <c r="N36" s="1" t="s">
        <v>26</v>
      </c>
      <c r="O36" s="1" t="s">
        <v>121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11</v>
      </c>
      <c r="I37" s="5">
        <v>24</v>
      </c>
      <c r="J37" s="5">
        <v>0</v>
      </c>
      <c r="K37" s="5">
        <v>4</v>
      </c>
      <c r="L37" s="4">
        <f>0.04381+0.02414</f>
      </c>
      <c r="M37" s="4">
        <f>0.04381+0.02414</f>
      </c>
      <c r="N37" s="1" t="s">
        <v>26</v>
      </c>
      <c r="O37" s="1" t="s">
        <v>121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0</v>
      </c>
      <c r="I38" s="5">
        <v>24</v>
      </c>
      <c r="J38" s="5">
        <v>5</v>
      </c>
      <c r="K38" s="5">
        <v>6</v>
      </c>
      <c r="L38" s="4">
        <f>0.04381+0.02414</f>
      </c>
      <c r="M38" s="4">
        <f>0.04381+0.02414</f>
      </c>
      <c r="N38" s="1" t="s">
        <v>26</v>
      </c>
      <c r="O38" s="1" t="s">
        <v>121</v>
      </c>
    </row>
    <row x14ac:dyDescent="0.25" r="39" customHeight="1" ht="17.25">
      <c r="A39" s="1" t="s">
        <v>13</v>
      </c>
      <c r="B39" s="1" t="s">
        <v>17</v>
      </c>
      <c r="C39" s="1" t="s">
        <v>51</v>
      </c>
      <c r="D39" s="5">
        <v>0</v>
      </c>
      <c r="E39" s="5">
        <v>0</v>
      </c>
      <c r="F39" s="5">
        <v>1</v>
      </c>
      <c r="G39" s="5">
        <v>3</v>
      </c>
      <c r="H39" s="5">
        <v>5</v>
      </c>
      <c r="I39" s="5">
        <v>11</v>
      </c>
      <c r="J39" s="5">
        <v>0</v>
      </c>
      <c r="K39" s="5">
        <v>4</v>
      </c>
      <c r="L39" s="4">
        <v>9.9</v>
      </c>
      <c r="M39" s="4">
        <v>9.9</v>
      </c>
      <c r="N39" s="1" t="s">
        <v>19</v>
      </c>
      <c r="O39" s="1"/>
    </row>
    <row x14ac:dyDescent="0.25" r="40" customHeight="1" ht="17.25">
      <c r="A40" s="1" t="s">
        <v>13</v>
      </c>
      <c r="B40" s="1" t="s">
        <v>17</v>
      </c>
      <c r="C40" s="1" t="s">
        <v>95</v>
      </c>
      <c r="D40" s="5">
        <v>0</v>
      </c>
      <c r="E40" s="5">
        <v>0</v>
      </c>
      <c r="F40" s="5">
        <v>4</v>
      </c>
      <c r="G40" s="5">
        <v>5</v>
      </c>
      <c r="H40" s="5">
        <v>14</v>
      </c>
      <c r="I40" s="5">
        <v>20</v>
      </c>
      <c r="J40" s="5">
        <v>0</v>
      </c>
      <c r="K40" s="5">
        <v>4</v>
      </c>
      <c r="L40" s="4">
        <v>9.9</v>
      </c>
      <c r="M40" s="4">
        <v>9.9</v>
      </c>
      <c r="N40" s="1" t="s">
        <v>19</v>
      </c>
      <c r="O40" s="1"/>
    </row>
    <row x14ac:dyDescent="0.25" r="41" customHeight="1" ht="17.25">
      <c r="A41" s="1" t="s">
        <v>13</v>
      </c>
      <c r="B41" s="1" t="s">
        <v>17</v>
      </c>
      <c r="C41" s="1" t="s">
        <v>53</v>
      </c>
      <c r="D41" s="5">
        <v>0</v>
      </c>
      <c r="E41" s="5">
        <v>0</v>
      </c>
      <c r="F41" s="5">
        <v>6</v>
      </c>
      <c r="G41" s="5">
        <v>9</v>
      </c>
      <c r="H41" s="5">
        <v>14</v>
      </c>
      <c r="I41" s="5">
        <v>20</v>
      </c>
      <c r="J41" s="5">
        <v>0</v>
      </c>
      <c r="K41" s="5">
        <v>4</v>
      </c>
      <c r="L41" s="4">
        <v>10.87</v>
      </c>
      <c r="M41" s="4">
        <v>10.87</v>
      </c>
      <c r="N41" s="1" t="s">
        <v>19</v>
      </c>
      <c r="O41" s="1"/>
    </row>
    <row x14ac:dyDescent="0.25" r="42" customHeight="1" ht="17.25">
      <c r="A42" s="1" t="s">
        <v>13</v>
      </c>
      <c r="B42" s="1" t="s">
        <v>17</v>
      </c>
      <c r="C42" s="1" t="s">
        <v>122</v>
      </c>
      <c r="D42" s="5">
        <v>0</v>
      </c>
      <c r="E42" s="5">
        <v>0</v>
      </c>
      <c r="F42" s="5">
        <v>10</v>
      </c>
      <c r="G42" s="5">
        <v>10</v>
      </c>
      <c r="H42" s="5">
        <v>14</v>
      </c>
      <c r="I42" s="5">
        <v>20</v>
      </c>
      <c r="J42" s="5">
        <v>0</v>
      </c>
      <c r="K42" s="5">
        <v>4</v>
      </c>
      <c r="L42" s="4">
        <v>9.9</v>
      </c>
      <c r="M42" s="4">
        <v>9.9</v>
      </c>
      <c r="N42" s="1" t="s">
        <v>19</v>
      </c>
      <c r="O42" s="1"/>
    </row>
    <row x14ac:dyDescent="0.25" r="43" customHeight="1" ht="17.25">
      <c r="A43" s="1" t="s">
        <v>13</v>
      </c>
      <c r="B43" s="1" t="s">
        <v>17</v>
      </c>
      <c r="C43" s="1" t="s">
        <v>56</v>
      </c>
      <c r="D43" s="5">
        <v>0</v>
      </c>
      <c r="E43" s="5">
        <v>0</v>
      </c>
      <c r="F43" s="5">
        <v>11</v>
      </c>
      <c r="G43" s="5">
        <v>12</v>
      </c>
      <c r="H43" s="5">
        <v>5</v>
      </c>
      <c r="I43" s="5">
        <v>11</v>
      </c>
      <c r="J43" s="5">
        <v>0</v>
      </c>
      <c r="K43" s="5">
        <v>4</v>
      </c>
      <c r="L43" s="4">
        <v>9.9</v>
      </c>
      <c r="M43" s="4">
        <v>9.9</v>
      </c>
      <c r="N43" s="1" t="s">
        <v>19</v>
      </c>
      <c r="O43" s="1"/>
    </row>
    <row x14ac:dyDescent="0.25" r="44" customHeight="1" ht="17.25">
      <c r="A44" s="1" t="s">
        <v>13</v>
      </c>
      <c r="B44" s="1" t="s">
        <v>17</v>
      </c>
      <c r="C44" s="1" t="s">
        <v>24</v>
      </c>
      <c r="D44" s="5">
        <v>0</v>
      </c>
      <c r="E44" s="5">
        <v>0</v>
      </c>
      <c r="F44" s="5">
        <v>1</v>
      </c>
      <c r="G44" s="5">
        <v>12</v>
      </c>
      <c r="H44" s="5">
        <v>0</v>
      </c>
      <c r="I44" s="5">
        <v>24</v>
      </c>
      <c r="J44" s="5">
        <v>0</v>
      </c>
      <c r="K44" s="5">
        <v>6</v>
      </c>
      <c r="L44" s="4">
        <v>5.46</v>
      </c>
      <c r="M44" s="4">
        <v>5.46</v>
      </c>
      <c r="N44" s="1" t="s">
        <v>19</v>
      </c>
      <c r="O44" s="1"/>
    </row>
    <row x14ac:dyDescent="0.25" r="45" customHeight="1" ht="17.25">
      <c r="A45" s="1" t="s">
        <v>34</v>
      </c>
      <c r="B45" s="1" t="s">
        <v>14</v>
      </c>
      <c r="C45" s="1"/>
      <c r="D45" s="2"/>
      <c r="E45" s="3"/>
      <c r="F45" s="2"/>
      <c r="G45" s="2"/>
      <c r="H45" s="2"/>
      <c r="I45" s="2"/>
      <c r="J45" s="2"/>
      <c r="K45" s="2"/>
      <c r="L45" s="4">
        <v>100.2</v>
      </c>
      <c r="M45" s="4">
        <v>100.2</v>
      </c>
      <c r="N45" s="1" t="s">
        <v>15</v>
      </c>
      <c r="O45" s="1"/>
    </row>
    <row x14ac:dyDescent="0.25" r="46" customHeight="1" ht="17.25">
      <c r="A46" s="1" t="s">
        <v>34</v>
      </c>
      <c r="B46" s="1" t="s">
        <v>17</v>
      </c>
      <c r="C46" s="1" t="s">
        <v>24</v>
      </c>
      <c r="D46" s="5">
        <v>0</v>
      </c>
      <c r="E46" s="5">
        <v>0</v>
      </c>
      <c r="F46" s="5">
        <v>1</v>
      </c>
      <c r="G46" s="5">
        <v>12</v>
      </c>
      <c r="H46" s="5">
        <v>0</v>
      </c>
      <c r="I46" s="5">
        <v>24</v>
      </c>
      <c r="J46" s="5">
        <v>0</v>
      </c>
      <c r="K46" s="5">
        <v>6</v>
      </c>
      <c r="L46" s="4">
        <f>17.7714/10</f>
      </c>
      <c r="M46" s="11">
        <f>L46/2.83168</f>
      </c>
      <c r="N46" s="1" t="s">
        <v>35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1</v>
      </c>
      <c r="G47" s="5">
        <v>4</v>
      </c>
      <c r="H47" s="5">
        <v>0</v>
      </c>
      <c r="I47" s="5">
        <v>24</v>
      </c>
      <c r="J47" s="5">
        <v>0</v>
      </c>
      <c r="K47" s="5">
        <v>6</v>
      </c>
      <c r="L47" s="28">
        <v>0.59966</v>
      </c>
      <c r="M47" s="11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3000</v>
      </c>
      <c r="E48" s="4">
        <f>D48*2.83168</f>
      </c>
      <c r="F48" s="5">
        <v>1</v>
      </c>
      <c r="G48" s="5">
        <v>4</v>
      </c>
      <c r="H48" s="5">
        <v>0</v>
      </c>
      <c r="I48" s="5">
        <v>24</v>
      </c>
      <c r="J48" s="5">
        <v>0</v>
      </c>
      <c r="K48" s="5">
        <v>6</v>
      </c>
      <c r="L48" s="28">
        <v>0.57776</v>
      </c>
      <c r="M48" s="11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5000</v>
      </c>
      <c r="E49" s="4">
        <f>D49*2.83168</f>
      </c>
      <c r="F49" s="5">
        <v>1</v>
      </c>
      <c r="G49" s="5">
        <v>4</v>
      </c>
      <c r="H49" s="5">
        <v>0</v>
      </c>
      <c r="I49" s="5">
        <v>24</v>
      </c>
      <c r="J49" s="5">
        <v>0</v>
      </c>
      <c r="K49" s="5">
        <v>6</v>
      </c>
      <c r="L49" s="28">
        <v>0.57182</v>
      </c>
      <c r="M49" s="11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15000</v>
      </c>
      <c r="E50" s="4">
        <f>D50*2.83168</f>
      </c>
      <c r="F50" s="5">
        <v>1</v>
      </c>
      <c r="G50" s="5">
        <v>4</v>
      </c>
      <c r="H50" s="5">
        <v>0</v>
      </c>
      <c r="I50" s="5">
        <v>24</v>
      </c>
      <c r="J50" s="5">
        <v>0</v>
      </c>
      <c r="K50" s="5">
        <v>6</v>
      </c>
      <c r="L50" s="28">
        <v>0.46404999999999996</v>
      </c>
      <c r="M50" s="11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0</v>
      </c>
      <c r="E51" s="5">
        <v>0</v>
      </c>
      <c r="F51" s="5">
        <v>5</v>
      </c>
      <c r="G51" s="5">
        <v>10</v>
      </c>
      <c r="H51" s="5">
        <v>0</v>
      </c>
      <c r="I51" s="5">
        <v>24</v>
      </c>
      <c r="J51" s="5">
        <v>0</v>
      </c>
      <c r="K51" s="5">
        <v>6</v>
      </c>
      <c r="L51" s="28">
        <v>0.54571</v>
      </c>
      <c r="M51" s="11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v>3000</v>
      </c>
      <c r="E52" s="4">
        <f>D52*2.83168</f>
      </c>
      <c r="F52" s="5">
        <v>5</v>
      </c>
      <c r="G52" s="5">
        <v>10</v>
      </c>
      <c r="H52" s="5">
        <v>0</v>
      </c>
      <c r="I52" s="5">
        <v>24</v>
      </c>
      <c r="J52" s="5">
        <v>0</v>
      </c>
      <c r="K52" s="5">
        <v>6</v>
      </c>
      <c r="L52" s="28">
        <v>0.5050600000000001</v>
      </c>
      <c r="M52" s="11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v>5000</v>
      </c>
      <c r="E53" s="4">
        <f>D53*2.83168</f>
      </c>
      <c r="F53" s="5">
        <v>5</v>
      </c>
      <c r="G53" s="5">
        <v>10</v>
      </c>
      <c r="H53" s="5">
        <v>0</v>
      </c>
      <c r="I53" s="5">
        <v>24</v>
      </c>
      <c r="J53" s="5">
        <v>0</v>
      </c>
      <c r="K53" s="5">
        <v>6</v>
      </c>
      <c r="L53" s="28">
        <v>0.49446</v>
      </c>
      <c r="M53" s="11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15000</v>
      </c>
      <c r="E54" s="4">
        <f>D54*2.83168</f>
      </c>
      <c r="F54" s="5">
        <v>5</v>
      </c>
      <c r="G54" s="5">
        <v>10</v>
      </c>
      <c r="H54" s="5">
        <v>0</v>
      </c>
      <c r="I54" s="5">
        <v>24</v>
      </c>
      <c r="J54" s="5">
        <v>0</v>
      </c>
      <c r="K54" s="5">
        <v>6</v>
      </c>
      <c r="L54" s="28">
        <v>0.46403</v>
      </c>
      <c r="M54" s="11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11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28">
        <v>0.59966</v>
      </c>
      <c r="M55" s="11">
        <f>L55/2.83168</f>
      </c>
      <c r="N55" s="1" t="s">
        <v>36</v>
      </c>
      <c r="O55" s="1"/>
    </row>
    <row x14ac:dyDescent="0.25" r="56" customHeight="1" ht="17.25">
      <c r="A56" s="1" t="s">
        <v>34</v>
      </c>
      <c r="B56" s="1" t="s">
        <v>25</v>
      </c>
      <c r="C56" s="1"/>
      <c r="D56" s="5">
        <v>3000</v>
      </c>
      <c r="E56" s="4">
        <f>D56*2.83168</f>
      </c>
      <c r="F56" s="5">
        <v>11</v>
      </c>
      <c r="G56" s="5">
        <v>12</v>
      </c>
      <c r="H56" s="5">
        <v>0</v>
      </c>
      <c r="I56" s="5">
        <v>24</v>
      </c>
      <c r="J56" s="5">
        <v>0</v>
      </c>
      <c r="K56" s="5">
        <v>6</v>
      </c>
      <c r="L56" s="28">
        <v>0.57776</v>
      </c>
      <c r="M56" s="11">
        <f>L56/2.83168</f>
      </c>
      <c r="N56" s="1" t="s">
        <v>36</v>
      </c>
      <c r="O56" s="1"/>
    </row>
    <row x14ac:dyDescent="0.25" r="57" customHeight="1" ht="17.25">
      <c r="A57" s="1" t="s">
        <v>34</v>
      </c>
      <c r="B57" s="1" t="s">
        <v>25</v>
      </c>
      <c r="C57" s="1"/>
      <c r="D57" s="5">
        <v>5000</v>
      </c>
      <c r="E57" s="4">
        <f>D57*2.83168</f>
      </c>
      <c r="F57" s="5">
        <v>11</v>
      </c>
      <c r="G57" s="5">
        <v>12</v>
      </c>
      <c r="H57" s="5">
        <v>0</v>
      </c>
      <c r="I57" s="5">
        <v>24</v>
      </c>
      <c r="J57" s="5">
        <v>0</v>
      </c>
      <c r="K57" s="5">
        <v>6</v>
      </c>
      <c r="L57" s="28">
        <v>0.57182</v>
      </c>
      <c r="M57" s="11">
        <f>L57/2.83168</f>
      </c>
      <c r="N57" s="1" t="s">
        <v>36</v>
      </c>
      <c r="O57" s="1"/>
    </row>
    <row x14ac:dyDescent="0.25" r="58" customHeight="1" ht="17.25">
      <c r="A58" s="1" t="s">
        <v>34</v>
      </c>
      <c r="B58" s="1" t="s">
        <v>25</v>
      </c>
      <c r="C58" s="1"/>
      <c r="D58" s="5">
        <v>15000</v>
      </c>
      <c r="E58" s="4">
        <f>D58*2.83168</f>
      </c>
      <c r="F58" s="5">
        <v>11</v>
      </c>
      <c r="G58" s="5">
        <v>12</v>
      </c>
      <c r="H58" s="5">
        <v>0</v>
      </c>
      <c r="I58" s="5">
        <v>24</v>
      </c>
      <c r="J58" s="5">
        <v>0</v>
      </c>
      <c r="K58" s="5">
        <v>6</v>
      </c>
      <c r="L58" s="28">
        <v>0.46404999999999996</v>
      </c>
      <c r="M58" s="11">
        <f>L58/2.83168</f>
      </c>
      <c r="N58" s="1" t="s">
        <v>36</v>
      </c>
      <c r="O5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600</v>
      </c>
      <c r="M2" s="5">
        <v>600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7</v>
      </c>
      <c r="J3" s="5">
        <v>0</v>
      </c>
      <c r="K3" s="5">
        <v>4</v>
      </c>
      <c r="L3" s="4">
        <f>0.00566+0.05161</f>
      </c>
      <c r="M3" s="4">
        <f>0.00566+0.05161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7</v>
      </c>
      <c r="I4" s="5">
        <v>11</v>
      </c>
      <c r="J4" s="5">
        <v>0</v>
      </c>
      <c r="K4" s="5">
        <v>4</v>
      </c>
      <c r="L4" s="4">
        <f>0.00566+0.08101</f>
      </c>
      <c r="M4" s="4">
        <f>0.00566+0.08101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11</v>
      </c>
      <c r="I5" s="5">
        <v>17</v>
      </c>
      <c r="J5" s="5">
        <v>0</v>
      </c>
      <c r="K5" s="5">
        <v>4</v>
      </c>
      <c r="L5" s="4">
        <f>0.00566+0.07322</f>
      </c>
      <c r="M5" s="4">
        <f>0.00566+0.07322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17</v>
      </c>
      <c r="I6" s="5">
        <v>21</v>
      </c>
      <c r="J6" s="5">
        <v>0</v>
      </c>
      <c r="K6" s="5">
        <v>4</v>
      </c>
      <c r="L6" s="4">
        <f>0.00566+0.08101</f>
      </c>
      <c r="M6" s="4">
        <f>0.00566+0.08101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21</v>
      </c>
      <c r="I7" s="5">
        <v>24</v>
      </c>
      <c r="J7" s="5">
        <v>0</v>
      </c>
      <c r="K7" s="5">
        <v>4</v>
      </c>
      <c r="L7" s="4">
        <f>0.00566+0.05161</f>
      </c>
      <c r="M7" s="4">
        <f>0.00566+0.05161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0</v>
      </c>
      <c r="I8" s="5">
        <v>24</v>
      </c>
      <c r="J8" s="5">
        <v>5</v>
      </c>
      <c r="K8" s="5">
        <v>6</v>
      </c>
      <c r="L8" s="4">
        <f>0.00566+0.05161</f>
      </c>
      <c r="M8" s="4">
        <f>0.00566+0.05161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7</v>
      </c>
      <c r="J9" s="5">
        <v>0</v>
      </c>
      <c r="K9" s="5">
        <v>4</v>
      </c>
      <c r="L9" s="4">
        <f>0.00566+0.05161</f>
      </c>
      <c r="M9" s="4">
        <f>0.00566+0.05161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7</v>
      </c>
      <c r="I10" s="5">
        <v>10</v>
      </c>
      <c r="J10" s="5">
        <v>0</v>
      </c>
      <c r="K10" s="5">
        <v>4</v>
      </c>
      <c r="L10" s="4">
        <f>0.00566+0.07322</f>
      </c>
      <c r="M10" s="4">
        <f>0.00566+0.07322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10</v>
      </c>
      <c r="I11" s="5">
        <v>20</v>
      </c>
      <c r="J11" s="5">
        <v>0</v>
      </c>
      <c r="K11" s="5">
        <v>4</v>
      </c>
      <c r="L11" s="4">
        <f>0.00566+0.08101</f>
      </c>
      <c r="M11" s="4">
        <f>0.00566+0.08101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20</v>
      </c>
      <c r="I12" s="5">
        <v>23</v>
      </c>
      <c r="J12" s="5">
        <v>0</v>
      </c>
      <c r="K12" s="5">
        <v>4</v>
      </c>
      <c r="L12" s="4">
        <f>0.00566+0.07322</f>
      </c>
      <c r="M12" s="4">
        <f>0.00566+0.07322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4</v>
      </c>
      <c r="L13" s="4">
        <f>0.00566+0.05161</f>
      </c>
      <c r="M13" s="4">
        <f>0.00566+0.05161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9</v>
      </c>
      <c r="H14" s="5">
        <v>0</v>
      </c>
      <c r="I14" s="5">
        <v>24</v>
      </c>
      <c r="J14" s="5">
        <v>5</v>
      </c>
      <c r="K14" s="5">
        <v>6</v>
      </c>
      <c r="L14" s="4">
        <f>0.00566+0.05161</f>
      </c>
      <c r="M14" s="4">
        <f>0.00566+0.05161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0</v>
      </c>
      <c r="I15" s="5">
        <v>7</v>
      </c>
      <c r="J15" s="5">
        <v>0</v>
      </c>
      <c r="K15" s="5">
        <v>4</v>
      </c>
      <c r="L15" s="4">
        <f>0.00566+0.05161</f>
      </c>
      <c r="M15" s="4">
        <f>0.00566+0.05161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7</v>
      </c>
      <c r="I16" s="5">
        <v>11</v>
      </c>
      <c r="J16" s="5">
        <v>0</v>
      </c>
      <c r="K16" s="5">
        <v>4</v>
      </c>
      <c r="L16" s="4">
        <f>0.00566+0.07322</f>
      </c>
      <c r="M16" s="4">
        <f>0.00566+0.07322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11</v>
      </c>
      <c r="I17" s="5">
        <v>17</v>
      </c>
      <c r="J17" s="5">
        <v>0</v>
      </c>
      <c r="K17" s="5">
        <v>4</v>
      </c>
      <c r="L17" s="4">
        <f>0.00566+0.08101</f>
      </c>
      <c r="M17" s="4">
        <f>0.00566+0.08101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17</v>
      </c>
      <c r="I18" s="5">
        <v>21</v>
      </c>
      <c r="J18" s="5">
        <v>0</v>
      </c>
      <c r="K18" s="5">
        <v>4</v>
      </c>
      <c r="L18" s="4">
        <f>0.00566+0.07322</f>
      </c>
      <c r="M18" s="4">
        <f>0.00566+0.07322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10</v>
      </c>
      <c r="G19" s="5">
        <v>12</v>
      </c>
      <c r="H19" s="5">
        <v>21</v>
      </c>
      <c r="I19" s="5">
        <v>24</v>
      </c>
      <c r="J19" s="5">
        <v>0</v>
      </c>
      <c r="K19" s="5">
        <v>4</v>
      </c>
      <c r="L19" s="4">
        <f>0.00566+0.05161</f>
      </c>
      <c r="M19" s="4">
        <f>0.00566+0.05161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10</v>
      </c>
      <c r="G20" s="5">
        <v>12</v>
      </c>
      <c r="H20" s="5">
        <v>0</v>
      </c>
      <c r="I20" s="5">
        <v>24</v>
      </c>
      <c r="J20" s="5">
        <v>5</v>
      </c>
      <c r="K20" s="5">
        <v>6</v>
      </c>
      <c r="L20" s="4">
        <f>0.00566+0.05161</f>
      </c>
      <c r="M20" s="4">
        <f>0.00566+0.05161</f>
      </c>
      <c r="N20" s="1" t="s">
        <v>26</v>
      </c>
      <c r="O20" s="1"/>
    </row>
    <row x14ac:dyDescent="0.25" r="21" customHeight="1" ht="17.25">
      <c r="A21" s="1" t="s">
        <v>13</v>
      </c>
      <c r="B21" s="1" t="s">
        <v>17</v>
      </c>
      <c r="C21" s="1" t="s">
        <v>24</v>
      </c>
      <c r="D21" s="5">
        <v>0</v>
      </c>
      <c r="E21" s="5">
        <v>0</v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3.11+3.93</f>
      </c>
      <c r="M21" s="4">
        <f>3.11+3.93</f>
      </c>
      <c r="N21" s="1" t="s">
        <v>19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3"/>
      <c r="F22" s="2"/>
      <c r="G22" s="2"/>
      <c r="H22" s="2"/>
      <c r="I22" s="2"/>
      <c r="J22" s="2"/>
      <c r="K22" s="2"/>
      <c r="L22" s="4">
        <f>36.3+65</f>
      </c>
      <c r="M22" s="4">
        <f>36.3+65</f>
      </c>
      <c r="N22" s="1" t="s">
        <v>15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0.5357+0.0006</f>
      </c>
      <c r="M23" s="14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10000</v>
      </c>
      <c r="E24" s="4">
        <f>D24*2.83168</f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0.2845+0.0006</f>
      </c>
      <c r="M24" s="14">
        <f>L24/2.83168</f>
      </c>
      <c r="N24" s="1" t="s">
        <v>36</v>
      </c>
      <c r="O2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27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26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3413.98</v>
      </c>
      <c r="M2" s="4">
        <v>3413.98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8</v>
      </c>
      <c r="I3" s="5">
        <v>20</v>
      </c>
      <c r="J3" s="5">
        <v>0</v>
      </c>
      <c r="K3" s="5">
        <v>4</v>
      </c>
      <c r="L3" s="4">
        <v>1.86</v>
      </c>
      <c r="M3" s="4">
        <v>1.86</v>
      </c>
      <c r="N3" s="1" t="s">
        <v>19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24</v>
      </c>
      <c r="J4" s="5">
        <v>0</v>
      </c>
      <c r="K4" s="5">
        <v>6</v>
      </c>
      <c r="L4" s="11">
        <v>0.02443190031</v>
      </c>
      <c r="M4" s="11">
        <v>0.02443190031</v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24</v>
      </c>
      <c r="J5" s="5">
        <v>0</v>
      </c>
      <c r="K5" s="5">
        <v>6</v>
      </c>
      <c r="L5" s="11">
        <v>0.03834943564</v>
      </c>
      <c r="M5" s="11">
        <v>0.03834943564</v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3</v>
      </c>
      <c r="G6" s="5">
        <v>3</v>
      </c>
      <c r="H6" s="5">
        <v>0</v>
      </c>
      <c r="I6" s="5">
        <v>24</v>
      </c>
      <c r="J6" s="5">
        <v>0</v>
      </c>
      <c r="K6" s="5">
        <v>6</v>
      </c>
      <c r="L6" s="11">
        <v>0.02324819446</v>
      </c>
      <c r="M6" s="11">
        <v>0.02324819446</v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4</v>
      </c>
      <c r="G7" s="5">
        <v>4</v>
      </c>
      <c r="H7" s="5">
        <v>0</v>
      </c>
      <c r="I7" s="5">
        <v>24</v>
      </c>
      <c r="J7" s="5">
        <v>0</v>
      </c>
      <c r="K7" s="5">
        <v>6</v>
      </c>
      <c r="L7" s="11">
        <v>0.02187149222</v>
      </c>
      <c r="M7" s="11">
        <v>0.02187149222</v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5</v>
      </c>
      <c r="G8" s="5">
        <v>5</v>
      </c>
      <c r="H8" s="5">
        <v>0</v>
      </c>
      <c r="I8" s="5">
        <v>24</v>
      </c>
      <c r="J8" s="5">
        <v>0</v>
      </c>
      <c r="K8" s="5">
        <v>6</v>
      </c>
      <c r="L8" s="11">
        <v>0.0260412811</v>
      </c>
      <c r="M8" s="11">
        <v>0.0260412811</v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6</v>
      </c>
      <c r="H9" s="5">
        <v>0</v>
      </c>
      <c r="I9" s="5">
        <v>24</v>
      </c>
      <c r="J9" s="5">
        <v>0</v>
      </c>
      <c r="K9" s="5">
        <v>6</v>
      </c>
      <c r="L9" s="11">
        <v>0.02862723688</v>
      </c>
      <c r="M9" s="11">
        <v>0.02862723688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7</v>
      </c>
      <c r="G10" s="5">
        <v>7</v>
      </c>
      <c r="H10" s="5">
        <v>0</v>
      </c>
      <c r="I10" s="5">
        <v>24</v>
      </c>
      <c r="J10" s="5">
        <v>0</v>
      </c>
      <c r="K10" s="5">
        <v>6</v>
      </c>
      <c r="L10" s="11">
        <v>0.03386880824</v>
      </c>
      <c r="M10" s="11">
        <v>0.03386880824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8</v>
      </c>
      <c r="G11" s="5">
        <v>8</v>
      </c>
      <c r="H11" s="5">
        <v>0</v>
      </c>
      <c r="I11" s="5">
        <v>24</v>
      </c>
      <c r="J11" s="5">
        <v>0</v>
      </c>
      <c r="K11" s="5">
        <v>6</v>
      </c>
      <c r="L11" s="11">
        <v>0.04225682364</v>
      </c>
      <c r="M11" s="11">
        <v>0.04225682364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9</v>
      </c>
      <c r="G12" s="5">
        <v>9</v>
      </c>
      <c r="H12" s="5">
        <v>0</v>
      </c>
      <c r="I12" s="5">
        <v>24</v>
      </c>
      <c r="J12" s="5">
        <v>0</v>
      </c>
      <c r="K12" s="5">
        <v>6</v>
      </c>
      <c r="L12" s="11">
        <v>0.04399040158</v>
      </c>
      <c r="M12" s="11">
        <v>0.04399040158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11">
        <v>0.05424559251</v>
      </c>
      <c r="M13" s="11">
        <v>0.05424559251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11</v>
      </c>
      <c r="H14" s="5">
        <v>0</v>
      </c>
      <c r="I14" s="5">
        <v>24</v>
      </c>
      <c r="J14" s="5">
        <v>0</v>
      </c>
      <c r="K14" s="5">
        <v>6</v>
      </c>
      <c r="L14" s="11">
        <v>0.06311734502</v>
      </c>
      <c r="M14" s="11">
        <v>0.06311734502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12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11">
        <v>0.03805194176</v>
      </c>
      <c r="M15" s="11">
        <v>0.03805194176</v>
      </c>
      <c r="N15" s="1" t="s">
        <v>26</v>
      </c>
      <c r="O15" s="1"/>
    </row>
    <row x14ac:dyDescent="0.25" r="16" customHeight="1" ht="17.25">
      <c r="A16" s="1" t="s">
        <v>34</v>
      </c>
      <c r="B16" s="1" t="s">
        <v>14</v>
      </c>
      <c r="C16" s="1"/>
      <c r="D16" s="2"/>
      <c r="E16" s="3"/>
      <c r="F16" s="2"/>
      <c r="G16" s="2"/>
      <c r="H16" s="2"/>
      <c r="I16" s="2"/>
      <c r="J16" s="2"/>
      <c r="K16" s="2"/>
      <c r="L16" s="4">
        <v>121.01</v>
      </c>
      <c r="M16" s="4">
        <v>121.01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1</v>
      </c>
      <c r="G17" s="5">
        <v>1</v>
      </c>
      <c r="H17" s="5">
        <v>0</v>
      </c>
      <c r="I17" s="5">
        <v>24</v>
      </c>
      <c r="J17" s="5">
        <v>0</v>
      </c>
      <c r="K17" s="5">
        <v>6</v>
      </c>
      <c r="L17" s="14">
        <v>0.56101</v>
      </c>
      <c r="M17" s="11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3000</v>
      </c>
      <c r="E18" s="4">
        <f>D18*2.83168</f>
      </c>
      <c r="F18" s="5">
        <v>1</v>
      </c>
      <c r="G18" s="5">
        <v>1</v>
      </c>
      <c r="H18" s="5">
        <v>0</v>
      </c>
      <c r="I18" s="5">
        <v>24</v>
      </c>
      <c r="J18" s="5">
        <v>0</v>
      </c>
      <c r="K18" s="5">
        <v>6</v>
      </c>
      <c r="L18" s="14">
        <v>0.54909</v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20000</v>
      </c>
      <c r="E19" s="4">
        <f>D19*2.83168</f>
      </c>
      <c r="F19" s="5">
        <v>1</v>
      </c>
      <c r="G19" s="5">
        <v>1</v>
      </c>
      <c r="H19" s="5">
        <v>0</v>
      </c>
      <c r="I19" s="5">
        <v>24</v>
      </c>
      <c r="J19" s="5">
        <v>0</v>
      </c>
      <c r="K19" s="5">
        <v>6</v>
      </c>
      <c r="L19" s="14">
        <v>0.52725</v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2</v>
      </c>
      <c r="G20" s="5">
        <v>7</v>
      </c>
      <c r="H20" s="5">
        <v>0</v>
      </c>
      <c r="I20" s="5">
        <v>24</v>
      </c>
      <c r="J20" s="5">
        <v>0</v>
      </c>
      <c r="K20" s="5">
        <v>6</v>
      </c>
      <c r="L20" s="14">
        <v>0.54482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1"/>
      <c r="D21" s="5">
        <v>3000</v>
      </c>
      <c r="E21" s="4">
        <f>D21*2.83168</f>
      </c>
      <c r="F21" s="5">
        <v>2</v>
      </c>
      <c r="G21" s="5">
        <v>7</v>
      </c>
      <c r="H21" s="5">
        <v>0</v>
      </c>
      <c r="I21" s="5">
        <v>24</v>
      </c>
      <c r="J21" s="5">
        <v>0</v>
      </c>
      <c r="K21" s="5">
        <v>6</v>
      </c>
      <c r="L21" s="14">
        <v>0.5329</v>
      </c>
      <c r="M21" s="11">
        <f>L21/2.83168</f>
      </c>
      <c r="N21" s="1" t="s">
        <v>36</v>
      </c>
      <c r="O21" s="1"/>
    </row>
    <row x14ac:dyDescent="0.25" r="22" customHeight="1" ht="17.25">
      <c r="A22" s="1" t="s">
        <v>34</v>
      </c>
      <c r="B22" s="1" t="s">
        <v>25</v>
      </c>
      <c r="C22" s="1"/>
      <c r="D22" s="5">
        <v>20000</v>
      </c>
      <c r="E22" s="4">
        <f>D22*2.83168</f>
      </c>
      <c r="F22" s="5">
        <v>2</v>
      </c>
      <c r="G22" s="5">
        <v>7</v>
      </c>
      <c r="H22" s="5">
        <v>0</v>
      </c>
      <c r="I22" s="5">
        <v>24</v>
      </c>
      <c r="J22" s="5">
        <v>0</v>
      </c>
      <c r="K22" s="5">
        <v>6</v>
      </c>
      <c r="L22" s="14">
        <v>0.51106</v>
      </c>
      <c r="M22" s="11">
        <f>L22/2.83168</f>
      </c>
      <c r="N22" s="1" t="s">
        <v>36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8</v>
      </c>
      <c r="G23" s="5">
        <v>9</v>
      </c>
      <c r="H23" s="5">
        <v>0</v>
      </c>
      <c r="I23" s="5">
        <v>24</v>
      </c>
      <c r="J23" s="5">
        <v>0</v>
      </c>
      <c r="K23" s="5">
        <v>6</v>
      </c>
      <c r="L23" s="14">
        <v>0.66204</v>
      </c>
      <c r="M23" s="11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3000</v>
      </c>
      <c r="E24" s="4">
        <f>D24*2.83168</f>
      </c>
      <c r="F24" s="5">
        <v>8</v>
      </c>
      <c r="G24" s="5">
        <v>9</v>
      </c>
      <c r="H24" s="5">
        <v>0</v>
      </c>
      <c r="I24" s="5">
        <v>24</v>
      </c>
      <c r="J24" s="5">
        <v>0</v>
      </c>
      <c r="K24" s="5">
        <v>6</v>
      </c>
      <c r="L24" s="14">
        <v>0.65012</v>
      </c>
      <c r="M24" s="11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v>20000</v>
      </c>
      <c r="E25" s="4">
        <f>D25*2.83168</f>
      </c>
      <c r="F25" s="5">
        <v>8</v>
      </c>
      <c r="G25" s="5">
        <v>9</v>
      </c>
      <c r="H25" s="5">
        <v>0</v>
      </c>
      <c r="I25" s="5">
        <v>24</v>
      </c>
      <c r="J25" s="5">
        <v>0</v>
      </c>
      <c r="K25" s="5">
        <v>6</v>
      </c>
      <c r="L25" s="14">
        <v>0.62828</v>
      </c>
      <c r="M25" s="11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14">
        <v>0.6306</v>
      </c>
      <c r="M26" s="11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3000</v>
      </c>
      <c r="E27" s="4">
        <f>D27*2.83168</f>
      </c>
      <c r="F27" s="5">
        <v>10</v>
      </c>
      <c r="G27" s="5">
        <v>10</v>
      </c>
      <c r="H27" s="5">
        <v>0</v>
      </c>
      <c r="I27" s="5">
        <v>24</v>
      </c>
      <c r="J27" s="5">
        <v>0</v>
      </c>
      <c r="K27" s="5">
        <v>6</v>
      </c>
      <c r="L27" s="14">
        <v>0.61954</v>
      </c>
      <c r="M27" s="11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20000</v>
      </c>
      <c r="E28" s="4">
        <f>D28*2.83168</f>
      </c>
      <c r="F28" s="5">
        <v>10</v>
      </c>
      <c r="G28" s="5">
        <v>10</v>
      </c>
      <c r="H28" s="5">
        <v>0</v>
      </c>
      <c r="I28" s="5">
        <v>24</v>
      </c>
      <c r="J28" s="5">
        <v>0</v>
      </c>
      <c r="K28" s="5">
        <v>6</v>
      </c>
      <c r="L28" s="14">
        <v>0.6081</v>
      </c>
      <c r="M28" s="11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11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14">
        <v>0.76493</v>
      </c>
      <c r="M29" s="11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3000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14">
        <v>0.75387</v>
      </c>
      <c r="M30" s="11">
        <f>L30/2.83168</f>
      </c>
      <c r="N30" s="1" t="s">
        <v>36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v>20000</v>
      </c>
      <c r="E31" s="4">
        <f>D31*2.83168</f>
      </c>
      <c r="F31" s="5">
        <v>11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14">
        <v>0.74243</v>
      </c>
      <c r="M31" s="11">
        <f>L31/2.83168</f>
      </c>
      <c r="N31" s="1" t="s">
        <v>36</v>
      </c>
      <c r="O31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358.11</v>
      </c>
      <c r="M2" s="4">
        <v>358.11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46</v>
      </c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24</v>
      </c>
      <c r="J3" s="5">
        <v>0</v>
      </c>
      <c r="K3" s="5">
        <v>6</v>
      </c>
      <c r="L3" s="4">
        <v>12.56</v>
      </c>
      <c r="M3" s="4">
        <v>12.56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47</v>
      </c>
      <c r="D4" s="5">
        <v>0</v>
      </c>
      <c r="E4" s="5">
        <v>0</v>
      </c>
      <c r="F4" s="5">
        <v>4</v>
      </c>
      <c r="G4" s="5">
        <v>9</v>
      </c>
      <c r="H4" s="5">
        <v>0</v>
      </c>
      <c r="I4" s="5">
        <v>24</v>
      </c>
      <c r="J4" s="5">
        <v>0</v>
      </c>
      <c r="K4" s="5">
        <v>6</v>
      </c>
      <c r="L4" s="4">
        <v>8.48</v>
      </c>
      <c r="M4" s="4">
        <v>8.48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48</v>
      </c>
      <c r="D5" s="5">
        <v>0</v>
      </c>
      <c r="E5" s="5">
        <v>0</v>
      </c>
      <c r="F5" s="5">
        <v>10</v>
      </c>
      <c r="G5" s="5">
        <v>12</v>
      </c>
      <c r="H5" s="5">
        <v>0</v>
      </c>
      <c r="I5" s="5">
        <v>24</v>
      </c>
      <c r="J5" s="5">
        <v>0</v>
      </c>
      <c r="K5" s="5">
        <v>6</v>
      </c>
      <c r="L5" s="4">
        <v>12.56</v>
      </c>
      <c r="M5" s="4">
        <v>12.56</v>
      </c>
      <c r="N5" s="1" t="s">
        <v>19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0.070949</v>
      </c>
      <c r="M6" s="4">
        <v>0.070949</v>
      </c>
      <c r="N6" s="1" t="s">
        <v>26</v>
      </c>
      <c r="O6" s="1"/>
    </row>
    <row x14ac:dyDescent="0.25" r="7" customHeight="1" ht="17.25">
      <c r="A7" s="1" t="s">
        <v>34</v>
      </c>
      <c r="B7" s="1" t="s">
        <v>14</v>
      </c>
      <c r="C7" s="1"/>
      <c r="D7" s="2"/>
      <c r="E7" s="2"/>
      <c r="F7" s="2"/>
      <c r="G7" s="2"/>
      <c r="H7" s="2"/>
      <c r="I7" s="2"/>
      <c r="J7" s="2"/>
      <c r="K7" s="2"/>
      <c r="L7" s="4">
        <v>33.84</v>
      </c>
      <c r="M7" s="4">
        <v>33.84</v>
      </c>
      <c r="N7" s="1" t="s">
        <v>15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v>0.91728</v>
      </c>
      <c r="M8" s="14">
        <f>L8/2.83168</f>
      </c>
      <c r="N8" s="1" t="s">
        <v>36</v>
      </c>
      <c r="O8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1655.26+350</f>
      </c>
      <c r="M2" s="4">
        <f>1655.26+350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4</v>
      </c>
      <c r="J3" s="5">
        <v>0</v>
      </c>
      <c r="K3" s="5">
        <v>4</v>
      </c>
      <c r="L3" s="4">
        <f>0.04639+0.01679</f>
      </c>
      <c r="M3" s="4">
        <f>0.04639+0.01679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4</v>
      </c>
      <c r="I4" s="5">
        <v>10</v>
      </c>
      <c r="J4" s="5">
        <v>0</v>
      </c>
      <c r="K4" s="5">
        <v>4</v>
      </c>
      <c r="L4" s="4">
        <f>0.07332+0.01679</f>
      </c>
      <c r="M4" s="4">
        <f>0.07332+0.01679</f>
      </c>
      <c r="N4" s="1" t="s">
        <v>26</v>
      </c>
      <c r="O4" s="1" t="s">
        <v>94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10</v>
      </c>
      <c r="I5" s="5">
        <v>24</v>
      </c>
      <c r="J5" s="5">
        <v>0</v>
      </c>
      <c r="K5" s="5">
        <v>4</v>
      </c>
      <c r="L5" s="4">
        <f>0.04639+0.01679</f>
      </c>
      <c r="M5" s="4">
        <f>0.04639+0.01679</f>
      </c>
      <c r="N5" s="1" t="s">
        <v>26</v>
      </c>
      <c r="O5" s="1" t="s">
        <v>94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4</v>
      </c>
      <c r="J6" s="5">
        <v>0</v>
      </c>
      <c r="K6" s="5">
        <v>4</v>
      </c>
      <c r="L6" s="4">
        <f>0.04639+0.0159</f>
      </c>
      <c r="M6" s="4">
        <f>0.04639+0.0159</f>
      </c>
      <c r="N6" s="1" t="s">
        <v>26</v>
      </c>
      <c r="O6" s="1" t="s">
        <v>94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4</v>
      </c>
      <c r="I7" s="5">
        <v>10</v>
      </c>
      <c r="J7" s="5">
        <v>0</v>
      </c>
      <c r="K7" s="5">
        <v>4</v>
      </c>
      <c r="L7" s="4">
        <f>0.07332+0.0159</f>
      </c>
      <c r="M7" s="4">
        <f>0.07332+0.0159</f>
      </c>
      <c r="N7" s="1" t="s">
        <v>26</v>
      </c>
      <c r="O7" s="1" t="s">
        <v>94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2</v>
      </c>
      <c r="H8" s="5">
        <v>10</v>
      </c>
      <c r="I8" s="5">
        <v>24</v>
      </c>
      <c r="J8" s="5">
        <v>0</v>
      </c>
      <c r="K8" s="5">
        <v>4</v>
      </c>
      <c r="L8" s="4">
        <f>0.04639+0.0159</f>
      </c>
      <c r="M8" s="4">
        <f>0.04639+0.0159</f>
      </c>
      <c r="N8" s="1" t="s">
        <v>26</v>
      </c>
      <c r="O8" s="1" t="s">
        <v>94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3</v>
      </c>
      <c r="G9" s="5">
        <v>3</v>
      </c>
      <c r="H9" s="5">
        <v>0</v>
      </c>
      <c r="I9" s="5">
        <v>4</v>
      </c>
      <c r="J9" s="5">
        <v>0</v>
      </c>
      <c r="K9" s="5">
        <v>4</v>
      </c>
      <c r="L9" s="4">
        <f>0.04639+0.01664</f>
      </c>
      <c r="M9" s="4">
        <f>0.04639+0.01664</f>
      </c>
      <c r="N9" s="1" t="s">
        <v>26</v>
      </c>
      <c r="O9" s="1" t="s">
        <v>94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3</v>
      </c>
      <c r="G10" s="5">
        <v>3</v>
      </c>
      <c r="H10" s="5">
        <v>4</v>
      </c>
      <c r="I10" s="5">
        <v>10</v>
      </c>
      <c r="J10" s="5">
        <v>0</v>
      </c>
      <c r="K10" s="5">
        <v>4</v>
      </c>
      <c r="L10" s="4">
        <f>0.07332+0.01664</f>
      </c>
      <c r="M10" s="4">
        <f>0.07332+0.01664</f>
      </c>
      <c r="N10" s="1" t="s">
        <v>26</v>
      </c>
      <c r="O10" s="1" t="s">
        <v>94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10</v>
      </c>
      <c r="I11" s="5">
        <v>24</v>
      </c>
      <c r="J11" s="5">
        <v>0</v>
      </c>
      <c r="K11" s="5">
        <v>4</v>
      </c>
      <c r="L11" s="4">
        <f>0.04639+0.01664</f>
      </c>
      <c r="M11" s="4">
        <f>0.04639+0.01664</f>
      </c>
      <c r="N11" s="1" t="s">
        <v>26</v>
      </c>
      <c r="O11" s="1" t="s">
        <v>94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4</v>
      </c>
      <c r="G12" s="5">
        <v>4</v>
      </c>
      <c r="H12" s="5">
        <v>0</v>
      </c>
      <c r="I12" s="5">
        <v>13</v>
      </c>
      <c r="J12" s="5">
        <v>0</v>
      </c>
      <c r="K12" s="5">
        <v>4</v>
      </c>
      <c r="L12" s="4">
        <f>0.04639+0.02167</f>
      </c>
      <c r="M12" s="4">
        <f>0.04639+0.02167</f>
      </c>
      <c r="N12" s="1" t="s">
        <v>26</v>
      </c>
      <c r="O12" s="1" t="s">
        <v>94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4</v>
      </c>
      <c r="G13" s="5">
        <v>4</v>
      </c>
      <c r="H13" s="5">
        <v>13</v>
      </c>
      <c r="I13" s="5">
        <v>19</v>
      </c>
      <c r="J13" s="5">
        <v>0</v>
      </c>
      <c r="K13" s="5">
        <v>4</v>
      </c>
      <c r="L13" s="4">
        <f>0.07332+0.02167</f>
      </c>
      <c r="M13" s="4">
        <f>0.07332+0.02167</f>
      </c>
      <c r="N13" s="1" t="s">
        <v>26</v>
      </c>
      <c r="O13" s="1" t="s">
        <v>94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4</v>
      </c>
      <c r="G14" s="5">
        <v>4</v>
      </c>
      <c r="H14" s="5">
        <v>20</v>
      </c>
      <c r="I14" s="5">
        <v>24</v>
      </c>
      <c r="J14" s="5">
        <v>0</v>
      </c>
      <c r="K14" s="5">
        <v>4</v>
      </c>
      <c r="L14" s="4">
        <f>0.04639+0.02167</f>
      </c>
      <c r="M14" s="4">
        <f>0.04639+0.02167</f>
      </c>
      <c r="N14" s="1" t="s">
        <v>26</v>
      </c>
      <c r="O14" s="1" t="s">
        <v>94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5</v>
      </c>
      <c r="G15" s="5">
        <v>5</v>
      </c>
      <c r="H15" s="5">
        <v>0</v>
      </c>
      <c r="I15" s="5">
        <v>13</v>
      </c>
      <c r="J15" s="5">
        <v>0</v>
      </c>
      <c r="K15" s="5">
        <v>4</v>
      </c>
      <c r="L15" s="4">
        <f>0.04639+0.01837</f>
      </c>
      <c r="M15" s="4">
        <f>0.04639+0.01837</f>
      </c>
      <c r="N15" s="1" t="s">
        <v>26</v>
      </c>
      <c r="O15" s="1" t="s">
        <v>94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5</v>
      </c>
      <c r="G16" s="5">
        <v>5</v>
      </c>
      <c r="H16" s="5">
        <v>13</v>
      </c>
      <c r="I16" s="5">
        <v>19</v>
      </c>
      <c r="J16" s="5">
        <v>0</v>
      </c>
      <c r="K16" s="5">
        <v>4</v>
      </c>
      <c r="L16" s="4">
        <f>0.07332+0.01837</f>
      </c>
      <c r="M16" s="4">
        <f>0.07332+0.01837</f>
      </c>
      <c r="N16" s="1" t="s">
        <v>26</v>
      </c>
      <c r="O16" s="1" t="s">
        <v>94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5</v>
      </c>
      <c r="G17" s="5">
        <v>5</v>
      </c>
      <c r="H17" s="5">
        <v>20</v>
      </c>
      <c r="I17" s="5">
        <v>24</v>
      </c>
      <c r="J17" s="5">
        <v>0</v>
      </c>
      <c r="K17" s="5">
        <v>4</v>
      </c>
      <c r="L17" s="4">
        <f>0.04639+0.01837</f>
      </c>
      <c r="M17" s="4">
        <f>0.04639+0.01837</f>
      </c>
      <c r="N17" s="1" t="s">
        <v>26</v>
      </c>
      <c r="O17" s="1" t="s">
        <v>94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6</v>
      </c>
      <c r="G18" s="5">
        <v>6</v>
      </c>
      <c r="H18" s="5">
        <v>0</v>
      </c>
      <c r="I18" s="5">
        <v>13</v>
      </c>
      <c r="J18" s="5">
        <v>0</v>
      </c>
      <c r="K18" s="5">
        <v>4</v>
      </c>
      <c r="L18" s="4">
        <f>0.04639+0.01845</f>
      </c>
      <c r="M18" s="4">
        <f>0.04639+0.01845</f>
      </c>
      <c r="N18" s="1" t="s">
        <v>26</v>
      </c>
      <c r="O18" s="1" t="s">
        <v>94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6</v>
      </c>
      <c r="G19" s="5">
        <v>6</v>
      </c>
      <c r="H19" s="5">
        <v>13</v>
      </c>
      <c r="I19" s="5">
        <v>19</v>
      </c>
      <c r="J19" s="5">
        <v>0</v>
      </c>
      <c r="K19" s="5">
        <v>4</v>
      </c>
      <c r="L19" s="4">
        <f>0.07332+0.01845</f>
      </c>
      <c r="M19" s="4">
        <f>0.07332+0.01845</f>
      </c>
      <c r="N19" s="1" t="s">
        <v>26</v>
      </c>
      <c r="O19" s="1" t="s">
        <v>94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6</v>
      </c>
      <c r="H20" s="5">
        <v>20</v>
      </c>
      <c r="I20" s="5">
        <v>24</v>
      </c>
      <c r="J20" s="5">
        <v>0</v>
      </c>
      <c r="K20" s="5">
        <v>4</v>
      </c>
      <c r="L20" s="4">
        <f>0.04639+0.01845</f>
      </c>
      <c r="M20" s="4">
        <f>0.04639+0.01845</f>
      </c>
      <c r="N20" s="1" t="s">
        <v>26</v>
      </c>
      <c r="O20" s="1" t="s">
        <v>94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0</v>
      </c>
      <c r="I21" s="5">
        <v>13</v>
      </c>
      <c r="J21" s="5">
        <v>0</v>
      </c>
      <c r="K21" s="5">
        <v>4</v>
      </c>
      <c r="L21" s="4">
        <f>0.04639+0.02024</f>
      </c>
      <c r="M21" s="4">
        <f>0.04639+0.02024</f>
      </c>
      <c r="N21" s="1" t="s">
        <v>26</v>
      </c>
      <c r="O21" s="1" t="s">
        <v>94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13</v>
      </c>
      <c r="I22" s="5">
        <v>19</v>
      </c>
      <c r="J22" s="5">
        <v>0</v>
      </c>
      <c r="K22" s="5">
        <v>4</v>
      </c>
      <c r="L22" s="4">
        <f>0.07332+0.02024</f>
      </c>
      <c r="M22" s="4">
        <f>0.07332+0.02024</f>
      </c>
      <c r="N22" s="1" t="s">
        <v>26</v>
      </c>
      <c r="O22" s="1" t="s">
        <v>94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7</v>
      </c>
      <c r="H23" s="5">
        <v>20</v>
      </c>
      <c r="I23" s="5">
        <v>24</v>
      </c>
      <c r="J23" s="5">
        <v>0</v>
      </c>
      <c r="K23" s="5">
        <v>4</v>
      </c>
      <c r="L23" s="4">
        <f>0.04639+0.02024</f>
      </c>
      <c r="M23" s="4">
        <f>0.04639+0.02024</f>
      </c>
      <c r="N23" s="1" t="s">
        <v>26</v>
      </c>
      <c r="O23" s="1" t="s">
        <v>94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8</v>
      </c>
      <c r="G24" s="5">
        <v>8</v>
      </c>
      <c r="H24" s="5">
        <v>0</v>
      </c>
      <c r="I24" s="5">
        <v>13</v>
      </c>
      <c r="J24" s="5">
        <v>0</v>
      </c>
      <c r="K24" s="5">
        <v>4</v>
      </c>
      <c r="L24" s="4">
        <f>0.04639+0.01995</f>
      </c>
      <c r="M24" s="4">
        <f>0.04639+0.01995</f>
      </c>
      <c r="N24" s="1" t="s">
        <v>26</v>
      </c>
      <c r="O24" s="1" t="s">
        <v>94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13</v>
      </c>
      <c r="I25" s="5">
        <v>19</v>
      </c>
      <c r="J25" s="5">
        <v>0</v>
      </c>
      <c r="K25" s="5">
        <v>4</v>
      </c>
      <c r="L25" s="4">
        <f>0.07332+0.01995</f>
      </c>
      <c r="M25" s="4">
        <f>0.07332+0.01995</f>
      </c>
      <c r="N25" s="1" t="s">
        <v>26</v>
      </c>
      <c r="O25" s="1" t="s">
        <v>94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20</v>
      </c>
      <c r="I26" s="5">
        <v>24</v>
      </c>
      <c r="J26" s="5">
        <v>0</v>
      </c>
      <c r="K26" s="5">
        <v>4</v>
      </c>
      <c r="L26" s="4">
        <f>0.04639+0.01995</f>
      </c>
      <c r="M26" s="4">
        <f>0.04639+0.01995</f>
      </c>
      <c r="N26" s="1" t="s">
        <v>26</v>
      </c>
      <c r="O26" s="1" t="s">
        <v>94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9</v>
      </c>
      <c r="G27" s="5">
        <v>9</v>
      </c>
      <c r="H27" s="5">
        <v>0</v>
      </c>
      <c r="I27" s="5">
        <v>13</v>
      </c>
      <c r="J27" s="5">
        <v>0</v>
      </c>
      <c r="K27" s="5">
        <v>4</v>
      </c>
      <c r="L27" s="4">
        <f>0.04639+0.01918</f>
      </c>
      <c r="M27" s="4">
        <f>0.04639+0.01918</f>
      </c>
      <c r="N27" s="1" t="s">
        <v>26</v>
      </c>
      <c r="O27" s="1" t="s">
        <v>94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9</v>
      </c>
      <c r="H28" s="5">
        <v>13</v>
      </c>
      <c r="I28" s="5">
        <v>19</v>
      </c>
      <c r="J28" s="5">
        <v>0</v>
      </c>
      <c r="K28" s="5">
        <v>4</v>
      </c>
      <c r="L28" s="4">
        <f>0.07332+0.01918</f>
      </c>
      <c r="M28" s="4">
        <f>0.07332+0.01918</f>
      </c>
      <c r="N28" s="1" t="s">
        <v>26</v>
      </c>
      <c r="O28" s="1" t="s">
        <v>94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20</v>
      </c>
      <c r="I29" s="5">
        <v>24</v>
      </c>
      <c r="J29" s="5">
        <v>0</v>
      </c>
      <c r="K29" s="5">
        <v>4</v>
      </c>
      <c r="L29" s="4">
        <f>0.04639+0.01918</f>
      </c>
      <c r="M29" s="4">
        <f>0.04639+0.01918</f>
      </c>
      <c r="N29" s="1" t="s">
        <v>26</v>
      </c>
      <c r="O29" s="1" t="s">
        <v>94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10</v>
      </c>
      <c r="G30" s="5">
        <v>10</v>
      </c>
      <c r="H30" s="5">
        <v>0</v>
      </c>
      <c r="I30" s="5">
        <v>13</v>
      </c>
      <c r="J30" s="5">
        <v>0</v>
      </c>
      <c r="K30" s="5">
        <v>4</v>
      </c>
      <c r="L30" s="4">
        <f>0.04639+0.0002126</f>
      </c>
      <c r="M30" s="4">
        <f>0.04639+0.0002126</f>
      </c>
      <c r="N30" s="1" t="s">
        <v>26</v>
      </c>
      <c r="O30" s="1" t="s">
        <v>94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10</v>
      </c>
      <c r="G31" s="5">
        <v>10</v>
      </c>
      <c r="H31" s="5">
        <v>13</v>
      </c>
      <c r="I31" s="5">
        <v>19</v>
      </c>
      <c r="J31" s="5">
        <v>0</v>
      </c>
      <c r="K31" s="5">
        <v>4</v>
      </c>
      <c r="L31" s="4">
        <f>0.07332+0.0002126</f>
      </c>
      <c r="M31" s="4">
        <f>0.07332+0.0002126</f>
      </c>
      <c r="N31" s="1" t="s">
        <v>26</v>
      </c>
      <c r="O31" s="1" t="s">
        <v>94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10</v>
      </c>
      <c r="G32" s="5">
        <v>10</v>
      </c>
      <c r="H32" s="5">
        <v>20</v>
      </c>
      <c r="I32" s="5">
        <v>24</v>
      </c>
      <c r="J32" s="5">
        <v>0</v>
      </c>
      <c r="K32" s="5">
        <v>4</v>
      </c>
      <c r="L32" s="4">
        <f>0.04639+0.0002126</f>
      </c>
      <c r="M32" s="4">
        <f>0.04639+0.0002126</f>
      </c>
      <c r="N32" s="1" t="s">
        <v>26</v>
      </c>
      <c r="O32" s="1" t="s">
        <v>94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11</v>
      </c>
      <c r="G33" s="5">
        <v>11</v>
      </c>
      <c r="H33" s="5">
        <v>0</v>
      </c>
      <c r="I33" s="5">
        <v>4</v>
      </c>
      <c r="J33" s="5">
        <v>0</v>
      </c>
      <c r="K33" s="5">
        <v>4</v>
      </c>
      <c r="L33" s="4">
        <f>0.04639+0.02334</f>
      </c>
      <c r="M33" s="4">
        <f>0.04639+0.02334</f>
      </c>
      <c r="N33" s="1" t="s">
        <v>26</v>
      </c>
      <c r="O33" s="1" t="s">
        <v>94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11</v>
      </c>
      <c r="G34" s="5">
        <v>11</v>
      </c>
      <c r="H34" s="5">
        <v>4</v>
      </c>
      <c r="I34" s="5">
        <v>10</v>
      </c>
      <c r="J34" s="5">
        <v>0</v>
      </c>
      <c r="K34" s="5">
        <v>4</v>
      </c>
      <c r="L34" s="4">
        <f>0.07332+0.02334</f>
      </c>
      <c r="M34" s="4">
        <f>0.07332+0.02334</f>
      </c>
      <c r="N34" s="1" t="s">
        <v>26</v>
      </c>
      <c r="O34" s="1" t="s">
        <v>94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11</v>
      </c>
      <c r="H35" s="5">
        <v>10</v>
      </c>
      <c r="I35" s="5">
        <v>24</v>
      </c>
      <c r="J35" s="5">
        <v>0</v>
      </c>
      <c r="K35" s="5">
        <v>4</v>
      </c>
      <c r="L35" s="4">
        <f>0.04639+0.02334</f>
      </c>
      <c r="M35" s="4">
        <f>0.04639+0.02334</f>
      </c>
      <c r="N35" s="1" t="s">
        <v>26</v>
      </c>
      <c r="O35" s="1" t="s">
        <v>94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12</v>
      </c>
      <c r="G36" s="5">
        <v>12</v>
      </c>
      <c r="H36" s="5">
        <v>0</v>
      </c>
      <c r="I36" s="5">
        <v>4</v>
      </c>
      <c r="J36" s="5">
        <v>0</v>
      </c>
      <c r="K36" s="5">
        <v>4</v>
      </c>
      <c r="L36" s="4">
        <f>0.04639+0.02511</f>
      </c>
      <c r="M36" s="4">
        <f>0.04639+0.02511</f>
      </c>
      <c r="N36" s="1" t="s">
        <v>26</v>
      </c>
      <c r="O36" s="1" t="s">
        <v>94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4</v>
      </c>
      <c r="I37" s="5">
        <v>10</v>
      </c>
      <c r="J37" s="5">
        <v>0</v>
      </c>
      <c r="K37" s="5">
        <v>4</v>
      </c>
      <c r="L37" s="4">
        <f>0.07332+0.02511</f>
      </c>
      <c r="M37" s="4">
        <f>0.07332+0.02511</f>
      </c>
      <c r="N37" s="1" t="s">
        <v>26</v>
      </c>
      <c r="O37" s="1" t="s">
        <v>94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10</v>
      </c>
      <c r="I38" s="5">
        <v>24</v>
      </c>
      <c r="J38" s="5">
        <v>0</v>
      </c>
      <c r="K38" s="5">
        <v>4</v>
      </c>
      <c r="L38" s="4">
        <f>0.04639+0.02511</f>
      </c>
      <c r="M38" s="4">
        <f>0.04639+0.02511</f>
      </c>
      <c r="N38" s="1" t="s">
        <v>26</v>
      </c>
      <c r="O38" s="1" t="s">
        <v>94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1</v>
      </c>
      <c r="G39" s="5">
        <v>1</v>
      </c>
      <c r="H39" s="5">
        <v>0</v>
      </c>
      <c r="I39" s="5">
        <v>24</v>
      </c>
      <c r="J39" s="5">
        <v>5</v>
      </c>
      <c r="K39" s="5">
        <v>6</v>
      </c>
      <c r="L39" s="4">
        <f>0.04639+0.01679</f>
      </c>
      <c r="M39" s="4">
        <f>0.04639+0.01679</f>
      </c>
      <c r="N39" s="1" t="s">
        <v>26</v>
      </c>
      <c r="O39" s="1" t="s">
        <v>94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24</v>
      </c>
      <c r="J40" s="5">
        <v>5</v>
      </c>
      <c r="K40" s="5">
        <v>6</v>
      </c>
      <c r="L40" s="4">
        <f>0.04639+0.0159</f>
      </c>
      <c r="M40" s="4">
        <f>0.04639+0.0159</f>
      </c>
      <c r="N40" s="1" t="s">
        <v>26</v>
      </c>
      <c r="O40" s="1" t="s">
        <v>94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3</v>
      </c>
      <c r="G41" s="5">
        <v>3</v>
      </c>
      <c r="H41" s="5">
        <v>0</v>
      </c>
      <c r="I41" s="5">
        <v>24</v>
      </c>
      <c r="J41" s="5">
        <v>5</v>
      </c>
      <c r="K41" s="5">
        <v>6</v>
      </c>
      <c r="L41" s="4">
        <f>0.04639+0.01664</f>
      </c>
      <c r="M41" s="4">
        <f>0.04639+0.01664</f>
      </c>
      <c r="N41" s="1" t="s">
        <v>26</v>
      </c>
      <c r="O41" s="1" t="s">
        <v>94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4</v>
      </c>
      <c r="G42" s="5">
        <v>4</v>
      </c>
      <c r="H42" s="5">
        <v>0</v>
      </c>
      <c r="I42" s="5">
        <v>24</v>
      </c>
      <c r="J42" s="5">
        <v>5</v>
      </c>
      <c r="K42" s="5">
        <v>6</v>
      </c>
      <c r="L42" s="4">
        <f>0.04639+0.02167</f>
      </c>
      <c r="M42" s="4">
        <f>0.04639+0.02167</f>
      </c>
      <c r="N42" s="1" t="s">
        <v>26</v>
      </c>
      <c r="O42" s="1" t="s">
        <v>94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5</v>
      </c>
      <c r="G43" s="5">
        <v>5</v>
      </c>
      <c r="H43" s="5">
        <v>0</v>
      </c>
      <c r="I43" s="5">
        <v>24</v>
      </c>
      <c r="J43" s="5">
        <v>5</v>
      </c>
      <c r="K43" s="5">
        <v>6</v>
      </c>
      <c r="L43" s="4">
        <f>0.04639+0.01837</f>
      </c>
      <c r="M43" s="4">
        <f>0.04639+0.01837</f>
      </c>
      <c r="N43" s="1" t="s">
        <v>26</v>
      </c>
      <c r="O43" s="1" t="s">
        <v>94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6</v>
      </c>
      <c r="G44" s="5">
        <v>6</v>
      </c>
      <c r="H44" s="5">
        <v>0</v>
      </c>
      <c r="I44" s="5">
        <v>24</v>
      </c>
      <c r="J44" s="5">
        <v>5</v>
      </c>
      <c r="K44" s="5">
        <v>6</v>
      </c>
      <c r="L44" s="4">
        <f>0.04639+0.01845</f>
      </c>
      <c r="M44" s="4">
        <f>0.04639+0.01845</f>
      </c>
      <c r="N44" s="1" t="s">
        <v>26</v>
      </c>
      <c r="O44" s="1" t="s">
        <v>94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7</v>
      </c>
      <c r="G45" s="5">
        <v>7</v>
      </c>
      <c r="H45" s="5">
        <v>0</v>
      </c>
      <c r="I45" s="5">
        <v>24</v>
      </c>
      <c r="J45" s="5">
        <v>5</v>
      </c>
      <c r="K45" s="5">
        <v>6</v>
      </c>
      <c r="L45" s="4">
        <f>0.04639+0.02024</f>
      </c>
      <c r="M45" s="4">
        <f>0.04639+0.02024</f>
      </c>
      <c r="N45" s="1" t="s">
        <v>26</v>
      </c>
      <c r="O45" s="1" t="s">
        <v>94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5</v>
      </c>
      <c r="K46" s="5">
        <v>6</v>
      </c>
      <c r="L46" s="4">
        <f>0.04639+0.01995</f>
      </c>
      <c r="M46" s="4">
        <f>0.04639+0.01995</f>
      </c>
      <c r="N46" s="1" t="s">
        <v>26</v>
      </c>
      <c r="O46" s="1" t="s">
        <v>94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9</v>
      </c>
      <c r="G47" s="5">
        <v>9</v>
      </c>
      <c r="H47" s="5">
        <v>0</v>
      </c>
      <c r="I47" s="5">
        <v>24</v>
      </c>
      <c r="J47" s="5">
        <v>5</v>
      </c>
      <c r="K47" s="5">
        <v>6</v>
      </c>
      <c r="L47" s="4">
        <f>0.04639+0.01918</f>
      </c>
      <c r="M47" s="4">
        <f>0.04639+0.01918</f>
      </c>
      <c r="N47" s="1" t="s">
        <v>26</v>
      </c>
      <c r="O47" s="1" t="s">
        <v>94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0</v>
      </c>
      <c r="I48" s="5">
        <v>24</v>
      </c>
      <c r="J48" s="5">
        <v>5</v>
      </c>
      <c r="K48" s="5">
        <v>6</v>
      </c>
      <c r="L48" s="4">
        <f>0.04639+0.0002126</f>
      </c>
      <c r="M48" s="4">
        <f>0.04639+0.0002126</f>
      </c>
      <c r="N48" s="1" t="s">
        <v>26</v>
      </c>
      <c r="O48" s="1" t="s">
        <v>94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11</v>
      </c>
      <c r="G49" s="5">
        <v>11</v>
      </c>
      <c r="H49" s="5">
        <v>0</v>
      </c>
      <c r="I49" s="5">
        <v>24</v>
      </c>
      <c r="J49" s="5">
        <v>5</v>
      </c>
      <c r="K49" s="5">
        <v>6</v>
      </c>
      <c r="L49" s="4">
        <f>0.04639+0.02334</f>
      </c>
      <c r="M49" s="4">
        <f>0.04639+0.02334</f>
      </c>
      <c r="N49" s="1" t="s">
        <v>26</v>
      </c>
      <c r="O49" s="1" t="s">
        <v>94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24</v>
      </c>
      <c r="J50" s="5">
        <v>5</v>
      </c>
      <c r="K50" s="5">
        <v>6</v>
      </c>
      <c r="L50" s="4">
        <f>0.04639+0.02511</f>
      </c>
      <c r="M50" s="4">
        <f>0.04639+0.02511</f>
      </c>
      <c r="N50" s="1" t="s">
        <v>26</v>
      </c>
      <c r="O50" s="1" t="s">
        <v>94</v>
      </c>
    </row>
    <row x14ac:dyDescent="0.25" r="51" customHeight="1" ht="17.25">
      <c r="A51" s="1" t="s">
        <v>13</v>
      </c>
      <c r="B51" s="1" t="s">
        <v>17</v>
      </c>
      <c r="C51" s="1" t="s">
        <v>51</v>
      </c>
      <c r="D51" s="5">
        <v>0</v>
      </c>
      <c r="E51" s="5">
        <v>0</v>
      </c>
      <c r="F51" s="5">
        <v>1</v>
      </c>
      <c r="G51" s="5">
        <v>3</v>
      </c>
      <c r="H51" s="5">
        <v>4</v>
      </c>
      <c r="I51" s="5">
        <v>10</v>
      </c>
      <c r="J51" s="5">
        <v>0</v>
      </c>
      <c r="K51" s="5">
        <v>4</v>
      </c>
      <c r="L51" s="4">
        <v>11.74</v>
      </c>
      <c r="M51" s="4">
        <v>11.74</v>
      </c>
      <c r="N51" s="1" t="s">
        <v>19</v>
      </c>
      <c r="O51" s="1"/>
    </row>
    <row x14ac:dyDescent="0.25" r="52" customHeight="1" ht="17.25">
      <c r="A52" s="1" t="s">
        <v>13</v>
      </c>
      <c r="B52" s="1" t="s">
        <v>17</v>
      </c>
      <c r="C52" s="1" t="s">
        <v>53</v>
      </c>
      <c r="D52" s="5">
        <v>0</v>
      </c>
      <c r="E52" s="5">
        <v>0</v>
      </c>
      <c r="F52" s="5">
        <v>4</v>
      </c>
      <c r="G52" s="5">
        <v>10</v>
      </c>
      <c r="H52" s="5">
        <v>13</v>
      </c>
      <c r="I52" s="5">
        <v>19</v>
      </c>
      <c r="J52" s="5">
        <v>0</v>
      </c>
      <c r="K52" s="5">
        <v>4</v>
      </c>
      <c r="L52" s="4">
        <v>11.74</v>
      </c>
      <c r="M52" s="4">
        <v>11.74</v>
      </c>
      <c r="N52" s="1" t="s">
        <v>19</v>
      </c>
      <c r="O52" s="1"/>
    </row>
    <row x14ac:dyDescent="0.25" r="53" customHeight="1" ht="17.25">
      <c r="A53" s="1" t="s">
        <v>13</v>
      </c>
      <c r="B53" s="1" t="s">
        <v>17</v>
      </c>
      <c r="C53" s="1" t="s">
        <v>56</v>
      </c>
      <c r="D53" s="5">
        <v>0</v>
      </c>
      <c r="E53" s="5">
        <v>0</v>
      </c>
      <c r="F53" s="5">
        <v>11</v>
      </c>
      <c r="G53" s="5">
        <v>12</v>
      </c>
      <c r="H53" s="5">
        <v>4</v>
      </c>
      <c r="I53" s="5">
        <v>10</v>
      </c>
      <c r="J53" s="5">
        <v>0</v>
      </c>
      <c r="K53" s="5">
        <v>4</v>
      </c>
      <c r="L53" s="4">
        <v>11.74</v>
      </c>
      <c r="M53" s="4">
        <v>11.74</v>
      </c>
      <c r="N53" s="1" t="s">
        <v>19</v>
      </c>
      <c r="O53" s="1"/>
    </row>
    <row x14ac:dyDescent="0.25" r="54" customHeight="1" ht="17.25">
      <c r="A54" s="1" t="s">
        <v>13</v>
      </c>
      <c r="B54" s="1" t="s">
        <v>17</v>
      </c>
      <c r="C54" s="1" t="s">
        <v>24</v>
      </c>
      <c r="D54" s="5">
        <v>0</v>
      </c>
      <c r="E54" s="5">
        <v>0</v>
      </c>
      <c r="F54" s="5">
        <v>1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v>5.6</v>
      </c>
      <c r="M54" s="4">
        <v>5.6</v>
      </c>
      <c r="N54" s="1" t="s">
        <v>19</v>
      </c>
      <c r="O54" s="1"/>
    </row>
    <row x14ac:dyDescent="0.25" r="55" customHeight="1" ht="17.25">
      <c r="A55" s="1" t="s">
        <v>34</v>
      </c>
      <c r="B55" s="1" t="s">
        <v>17</v>
      </c>
      <c r="C55" s="1" t="s">
        <v>24</v>
      </c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24</v>
      </c>
      <c r="J55" s="5">
        <v>0</v>
      </c>
      <c r="K55" s="5">
        <v>6</v>
      </c>
      <c r="L55" s="4">
        <f>(0.256 + 0.514)*24</f>
      </c>
      <c r="M55" s="11">
        <f>L55/2.83168</f>
      </c>
      <c r="N55" s="1" t="s">
        <v>35</v>
      </c>
      <c r="O55" s="1"/>
    </row>
    <row x14ac:dyDescent="0.25" r="56" customHeight="1" ht="17.25">
      <c r="A56" s="1" t="s">
        <v>34</v>
      </c>
      <c r="B56" s="1" t="s">
        <v>17</v>
      </c>
      <c r="C56" s="1" t="s">
        <v>24</v>
      </c>
      <c r="D56" s="5">
        <v>0</v>
      </c>
      <c r="E56" s="5">
        <v>0</v>
      </c>
      <c r="F56" s="5">
        <v>2</v>
      </c>
      <c r="G56" s="5">
        <v>2</v>
      </c>
      <c r="H56" s="5">
        <v>0</v>
      </c>
      <c r="I56" s="5">
        <v>24</v>
      </c>
      <c r="J56" s="5">
        <v>0</v>
      </c>
      <c r="K56" s="5">
        <v>6</v>
      </c>
      <c r="L56" s="4">
        <f>(0.256 + 0.561)*24</f>
      </c>
      <c r="M56" s="11">
        <f>L56/2.83168</f>
      </c>
      <c r="N56" s="1" t="s">
        <v>35</v>
      </c>
      <c r="O56" s="1"/>
    </row>
    <row x14ac:dyDescent="0.25" r="57" customHeight="1" ht="17.25">
      <c r="A57" s="1" t="s">
        <v>34</v>
      </c>
      <c r="B57" s="1" t="s">
        <v>17</v>
      </c>
      <c r="C57" s="1" t="s">
        <v>24</v>
      </c>
      <c r="D57" s="5">
        <v>0</v>
      </c>
      <c r="E57" s="5">
        <v>0</v>
      </c>
      <c r="F57" s="5">
        <v>3</v>
      </c>
      <c r="G57" s="5">
        <v>3</v>
      </c>
      <c r="H57" s="5">
        <v>0</v>
      </c>
      <c r="I57" s="5">
        <v>24</v>
      </c>
      <c r="J57" s="5">
        <v>0</v>
      </c>
      <c r="K57" s="5">
        <v>6</v>
      </c>
      <c r="L57" s="4">
        <f>(0.256 + 0.441)*24</f>
      </c>
      <c r="M57" s="11">
        <f>L57/2.83168</f>
      </c>
      <c r="N57" s="1" t="s">
        <v>35</v>
      </c>
      <c r="O57" s="1"/>
    </row>
    <row x14ac:dyDescent="0.25" r="58" customHeight="1" ht="17.25">
      <c r="A58" s="1" t="s">
        <v>34</v>
      </c>
      <c r="B58" s="1" t="s">
        <v>17</v>
      </c>
      <c r="C58" s="1" t="s">
        <v>24</v>
      </c>
      <c r="D58" s="5">
        <v>0</v>
      </c>
      <c r="E58" s="5">
        <v>0</v>
      </c>
      <c r="F58" s="5">
        <v>4</v>
      </c>
      <c r="G58" s="5">
        <v>4</v>
      </c>
      <c r="H58" s="5">
        <v>0</v>
      </c>
      <c r="I58" s="5">
        <v>24</v>
      </c>
      <c r="J58" s="5">
        <v>0</v>
      </c>
      <c r="K58" s="5">
        <v>6</v>
      </c>
      <c r="L58" s="4">
        <f>(0.256 + 0.37)*24</f>
      </c>
      <c r="M58" s="11">
        <f>L58/2.83168</f>
      </c>
      <c r="N58" s="1" t="s">
        <v>35</v>
      </c>
      <c r="O58" s="1"/>
    </row>
    <row x14ac:dyDescent="0.25" r="59" customHeight="1" ht="17.25">
      <c r="A59" s="1" t="s">
        <v>34</v>
      </c>
      <c r="B59" s="1" t="s">
        <v>17</v>
      </c>
      <c r="C59" s="1" t="s">
        <v>24</v>
      </c>
      <c r="D59" s="5">
        <v>0</v>
      </c>
      <c r="E59" s="5">
        <v>0</v>
      </c>
      <c r="F59" s="5">
        <v>5</v>
      </c>
      <c r="G59" s="5">
        <v>5</v>
      </c>
      <c r="H59" s="5">
        <v>0</v>
      </c>
      <c r="I59" s="5">
        <v>24</v>
      </c>
      <c r="J59" s="5">
        <v>0</v>
      </c>
      <c r="K59" s="5">
        <v>6</v>
      </c>
      <c r="L59" s="4">
        <f>(0.256 + 0.174)*24</f>
      </c>
      <c r="M59" s="11">
        <f>L59/2.83168</f>
      </c>
      <c r="N59" s="1" t="s">
        <v>35</v>
      </c>
      <c r="O59" s="1"/>
    </row>
    <row x14ac:dyDescent="0.25" r="60" customHeight="1" ht="17.25">
      <c r="A60" s="1" t="s">
        <v>34</v>
      </c>
      <c r="B60" s="1" t="s">
        <v>17</v>
      </c>
      <c r="C60" s="1" t="s">
        <v>24</v>
      </c>
      <c r="D60" s="5">
        <v>0</v>
      </c>
      <c r="E60" s="5">
        <v>0</v>
      </c>
      <c r="F60" s="5">
        <v>6</v>
      </c>
      <c r="G60" s="5">
        <v>6</v>
      </c>
      <c r="H60" s="5">
        <v>0</v>
      </c>
      <c r="I60" s="5">
        <v>24</v>
      </c>
      <c r="J60" s="5">
        <v>0</v>
      </c>
      <c r="K60" s="5">
        <v>6</v>
      </c>
      <c r="L60" s="4">
        <f>(0.256 + 0.057)*24</f>
      </c>
      <c r="M60" s="11">
        <f>L60/2.83168</f>
      </c>
      <c r="N60" s="1" t="s">
        <v>35</v>
      </c>
      <c r="O60" s="1"/>
    </row>
    <row x14ac:dyDescent="0.25" r="61" customHeight="1" ht="17.25">
      <c r="A61" s="1" t="s">
        <v>34</v>
      </c>
      <c r="B61" s="1" t="s">
        <v>17</v>
      </c>
      <c r="C61" s="1" t="s">
        <v>24</v>
      </c>
      <c r="D61" s="5">
        <v>0</v>
      </c>
      <c r="E61" s="5">
        <v>0</v>
      </c>
      <c r="F61" s="5">
        <v>7</v>
      </c>
      <c r="G61" s="5">
        <v>7</v>
      </c>
      <c r="H61" s="5">
        <v>0</v>
      </c>
      <c r="I61" s="5">
        <v>24</v>
      </c>
      <c r="J61" s="5">
        <v>0</v>
      </c>
      <c r="K61" s="5">
        <v>6</v>
      </c>
      <c r="L61" s="4">
        <f>(0.256 + 0.082)*24</f>
      </c>
      <c r="M61" s="11">
        <f>L61/2.83168</f>
      </c>
      <c r="N61" s="1" t="s">
        <v>35</v>
      </c>
      <c r="O61" s="1"/>
    </row>
    <row x14ac:dyDescent="0.25" r="62" customHeight="1" ht="17.25">
      <c r="A62" s="1" t="s">
        <v>34</v>
      </c>
      <c r="B62" s="1" t="s">
        <v>17</v>
      </c>
      <c r="C62" s="1" t="s">
        <v>24</v>
      </c>
      <c r="D62" s="5">
        <v>0</v>
      </c>
      <c r="E62" s="5">
        <v>0</v>
      </c>
      <c r="F62" s="5">
        <v>8</v>
      </c>
      <c r="G62" s="5">
        <v>8</v>
      </c>
      <c r="H62" s="5">
        <v>0</v>
      </c>
      <c r="I62" s="5">
        <v>24</v>
      </c>
      <c r="J62" s="5">
        <v>0</v>
      </c>
      <c r="K62" s="5">
        <v>6</v>
      </c>
      <c r="L62" s="4">
        <f>(0.256 + 0.071)*24</f>
      </c>
      <c r="M62" s="11">
        <f>L62/2.83168</f>
      </c>
      <c r="N62" s="1" t="s">
        <v>35</v>
      </c>
      <c r="O62" s="1"/>
    </row>
    <row x14ac:dyDescent="0.25" r="63" customHeight="1" ht="17.25">
      <c r="A63" s="1" t="s">
        <v>34</v>
      </c>
      <c r="B63" s="1" t="s">
        <v>17</v>
      </c>
      <c r="C63" s="1" t="s">
        <v>24</v>
      </c>
      <c r="D63" s="5">
        <v>0</v>
      </c>
      <c r="E63" s="5">
        <v>0</v>
      </c>
      <c r="F63" s="5">
        <v>9</v>
      </c>
      <c r="G63" s="5">
        <v>9</v>
      </c>
      <c r="H63" s="5">
        <v>0</v>
      </c>
      <c r="I63" s="5">
        <v>24</v>
      </c>
      <c r="J63" s="5">
        <v>0</v>
      </c>
      <c r="K63" s="5">
        <v>6</v>
      </c>
      <c r="L63" s="4">
        <f>(0.256 + 0.079)*24</f>
      </c>
      <c r="M63" s="11">
        <f>L63/2.83168</f>
      </c>
      <c r="N63" s="1" t="s">
        <v>35</v>
      </c>
      <c r="O63" s="1"/>
    </row>
    <row x14ac:dyDescent="0.25" r="64" customHeight="1" ht="17.25">
      <c r="A64" s="1" t="s">
        <v>34</v>
      </c>
      <c r="B64" s="1" t="s">
        <v>17</v>
      </c>
      <c r="C64" s="1" t="s">
        <v>24</v>
      </c>
      <c r="D64" s="5">
        <v>0</v>
      </c>
      <c r="E64" s="5">
        <v>0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(0.256 + 0.075)*24</f>
      </c>
      <c r="M64" s="11">
        <f>L64/2.83168</f>
      </c>
      <c r="N64" s="1" t="s">
        <v>35</v>
      </c>
      <c r="O64" s="1"/>
    </row>
    <row x14ac:dyDescent="0.25" r="65" customHeight="1" ht="17.25">
      <c r="A65" s="1" t="s">
        <v>34</v>
      </c>
      <c r="B65" s="1" t="s">
        <v>17</v>
      </c>
      <c r="C65" s="1" t="s">
        <v>24</v>
      </c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(0.256 + 0.253)*24</f>
      </c>
      <c r="M65" s="11">
        <f>L65/2.83168</f>
      </c>
      <c r="N65" s="1" t="s">
        <v>35</v>
      </c>
      <c r="O65" s="1"/>
    </row>
    <row x14ac:dyDescent="0.25" r="66" customHeight="1" ht="17.25">
      <c r="A66" s="1" t="s">
        <v>34</v>
      </c>
      <c r="B66" s="1" t="s">
        <v>17</v>
      </c>
      <c r="C66" s="1" t="s">
        <v>24</v>
      </c>
      <c r="D66" s="5">
        <v>0</v>
      </c>
      <c r="E66" s="5">
        <v>0</v>
      </c>
      <c r="F66" s="5">
        <v>12</v>
      </c>
      <c r="G66" s="5">
        <v>12</v>
      </c>
      <c r="H66" s="5">
        <v>0</v>
      </c>
      <c r="I66" s="5">
        <v>24</v>
      </c>
      <c r="J66" s="5">
        <v>0</v>
      </c>
      <c r="K66" s="5">
        <v>6</v>
      </c>
      <c r="L66" s="4">
        <f>(0.256 + 0.465)*24</f>
      </c>
      <c r="M66" s="11">
        <f>L66/2.83168</f>
      </c>
      <c r="N66" s="1" t="s">
        <v>35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</v>
      </c>
      <c r="G67" s="5">
        <v>1</v>
      </c>
      <c r="H67" s="5">
        <v>0</v>
      </c>
      <c r="I67" s="5">
        <v>24</v>
      </c>
      <c r="J67" s="5">
        <v>0</v>
      </c>
      <c r="K67" s="5">
        <v>6</v>
      </c>
      <c r="L67" s="4">
        <f>0.499-0.114</f>
      </c>
      <c r="M67" s="11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200000</v>
      </c>
      <c r="E68" s="5">
        <f>D68*2.83168</f>
      </c>
      <c r="F68" s="5">
        <v>1</v>
      </c>
      <c r="G68" s="5">
        <v>1</v>
      </c>
      <c r="H68" s="5">
        <v>0</v>
      </c>
      <c r="I68" s="5">
        <v>24</v>
      </c>
      <c r="J68" s="5">
        <v>0</v>
      </c>
      <c r="K68" s="5">
        <v>6</v>
      </c>
      <c r="L68" s="4">
        <f>0.403-0.114</f>
      </c>
      <c r="M68" s="11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0</v>
      </c>
      <c r="E69" s="5">
        <v>0</v>
      </c>
      <c r="F69" s="5">
        <v>2</v>
      </c>
      <c r="G69" s="5">
        <v>2</v>
      </c>
      <c r="H69" s="5">
        <v>0</v>
      </c>
      <c r="I69" s="5">
        <v>24</v>
      </c>
      <c r="J69" s="5">
        <v>0</v>
      </c>
      <c r="K69" s="5">
        <v>6</v>
      </c>
      <c r="L69" s="4">
        <f>0.499-0.134</f>
      </c>
      <c r="M69" s="11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200000</v>
      </c>
      <c r="E70" s="5">
        <f>D70*2.83168</f>
      </c>
      <c r="F70" s="5">
        <v>2</v>
      </c>
      <c r="G70" s="5">
        <v>2</v>
      </c>
      <c r="H70" s="5">
        <v>0</v>
      </c>
      <c r="I70" s="5">
        <v>24</v>
      </c>
      <c r="J70" s="5">
        <v>0</v>
      </c>
      <c r="K70" s="5">
        <v>6</v>
      </c>
      <c r="L70" s="4">
        <f>0.403-0.134</f>
      </c>
      <c r="M70" s="11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0</v>
      </c>
      <c r="E71" s="5">
        <v>0</v>
      </c>
      <c r="F71" s="5">
        <v>3</v>
      </c>
      <c r="G71" s="5">
        <v>3</v>
      </c>
      <c r="H71" s="5">
        <v>0</v>
      </c>
      <c r="I71" s="5">
        <v>24</v>
      </c>
      <c r="J71" s="5">
        <v>0</v>
      </c>
      <c r="K71" s="5">
        <v>6</v>
      </c>
      <c r="L71" s="4">
        <f>0.499+0.436</f>
      </c>
      <c r="M71" s="11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200000</v>
      </c>
      <c r="E72" s="5">
        <f>D72*2.83168</f>
      </c>
      <c r="F72" s="5">
        <v>3</v>
      </c>
      <c r="G72" s="5">
        <v>3</v>
      </c>
      <c r="H72" s="5">
        <v>0</v>
      </c>
      <c r="I72" s="5">
        <v>24</v>
      </c>
      <c r="J72" s="5">
        <v>0</v>
      </c>
      <c r="K72" s="5">
        <v>6</v>
      </c>
      <c r="L72" s="4">
        <f>0.403+0.436</f>
      </c>
      <c r="M72" s="11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0</v>
      </c>
      <c r="E73" s="5">
        <v>0</v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0.499-0.045</f>
      </c>
      <c r="M73" s="11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200000</v>
      </c>
      <c r="E74" s="5">
        <f>D74*2.83168</f>
      </c>
      <c r="F74" s="5">
        <v>4</v>
      </c>
      <c r="G74" s="5">
        <v>4</v>
      </c>
      <c r="H74" s="5">
        <v>0</v>
      </c>
      <c r="I74" s="5">
        <v>24</v>
      </c>
      <c r="J74" s="5">
        <v>0</v>
      </c>
      <c r="K74" s="5">
        <v>6</v>
      </c>
      <c r="L74" s="4">
        <f>0.403-0.045</f>
      </c>
      <c r="M74" s="11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0</v>
      </c>
      <c r="E75" s="5">
        <v>0</v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0.499-0.142</f>
      </c>
      <c r="M75" s="11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200000</v>
      </c>
      <c r="E76" s="5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0.403-0.142</f>
      </c>
      <c r="M76" s="11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0</v>
      </c>
      <c r="E77" s="5">
        <v>0</v>
      </c>
      <c r="F77" s="5">
        <v>6</v>
      </c>
      <c r="G77" s="5">
        <v>6</v>
      </c>
      <c r="H77" s="5">
        <v>0</v>
      </c>
      <c r="I77" s="5">
        <v>24</v>
      </c>
      <c r="J77" s="5">
        <v>0</v>
      </c>
      <c r="K77" s="5">
        <v>6</v>
      </c>
      <c r="L77" s="4">
        <f>0.499-0.15</f>
      </c>
      <c r="M77" s="11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200000</v>
      </c>
      <c r="E78" s="5">
        <f>D78*2.83168</f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0.403-0.15</f>
      </c>
      <c r="M78" s="11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0</v>
      </c>
      <c r="E79" s="5">
        <v>0</v>
      </c>
      <c r="F79" s="5">
        <v>7</v>
      </c>
      <c r="G79" s="5">
        <v>7</v>
      </c>
      <c r="H79" s="5">
        <v>0</v>
      </c>
      <c r="I79" s="5">
        <v>24</v>
      </c>
      <c r="J79" s="5">
        <v>0</v>
      </c>
      <c r="K79" s="5">
        <v>6</v>
      </c>
      <c r="L79" s="4">
        <f>0.499-0.097</f>
      </c>
      <c r="M79" s="11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200000</v>
      </c>
      <c r="E80" s="5">
        <f>D80*2.83168</f>
      </c>
      <c r="F80" s="5">
        <v>7</v>
      </c>
      <c r="G80" s="5">
        <v>7</v>
      </c>
      <c r="H80" s="5">
        <v>0</v>
      </c>
      <c r="I80" s="5">
        <v>24</v>
      </c>
      <c r="J80" s="5">
        <v>0</v>
      </c>
      <c r="K80" s="5">
        <v>6</v>
      </c>
      <c r="L80" s="4">
        <f>0.403-0.097</f>
      </c>
      <c r="M80" s="11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0</v>
      </c>
      <c r="E81" s="5">
        <v>0</v>
      </c>
      <c r="F81" s="5">
        <v>8</v>
      </c>
      <c r="G81" s="5">
        <v>8</v>
      </c>
      <c r="H81" s="5">
        <v>0</v>
      </c>
      <c r="I81" s="5">
        <v>24</v>
      </c>
      <c r="J81" s="5">
        <v>0</v>
      </c>
      <c r="K81" s="5">
        <v>6</v>
      </c>
      <c r="L81" s="4">
        <f>0.499+0.004</f>
      </c>
      <c r="M81" s="11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200000</v>
      </c>
      <c r="E82" s="5">
        <f>D82*2.83168</f>
      </c>
      <c r="F82" s="5">
        <v>8</v>
      </c>
      <c r="G82" s="5">
        <v>8</v>
      </c>
      <c r="H82" s="5">
        <v>0</v>
      </c>
      <c r="I82" s="5">
        <v>24</v>
      </c>
      <c r="J82" s="5">
        <v>0</v>
      </c>
      <c r="K82" s="5">
        <v>6</v>
      </c>
      <c r="L82" s="4">
        <f>0.403+0.004</f>
      </c>
      <c r="M82" s="11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0</v>
      </c>
      <c r="E83" s="5">
        <v>0</v>
      </c>
      <c r="F83" s="5">
        <v>9</v>
      </c>
      <c r="G83" s="5">
        <v>9</v>
      </c>
      <c r="H83" s="5">
        <v>0</v>
      </c>
      <c r="I83" s="5">
        <v>24</v>
      </c>
      <c r="J83" s="5">
        <v>0</v>
      </c>
      <c r="K83" s="5">
        <v>6</v>
      </c>
      <c r="L83" s="4">
        <f>0.499+0.016</f>
      </c>
      <c r="M83" s="11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200000</v>
      </c>
      <c r="E84" s="5">
        <f>D84*2.83168</f>
      </c>
      <c r="F84" s="5">
        <v>9</v>
      </c>
      <c r="G84" s="5">
        <v>9</v>
      </c>
      <c r="H84" s="5">
        <v>0</v>
      </c>
      <c r="I84" s="5">
        <v>24</v>
      </c>
      <c r="J84" s="5">
        <v>0</v>
      </c>
      <c r="K84" s="5">
        <v>6</v>
      </c>
      <c r="L84" s="4">
        <f>0.403+0.016</f>
      </c>
      <c r="M84" s="11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0</v>
      </c>
      <c r="E85" s="5">
        <v>0</v>
      </c>
      <c r="F85" s="5">
        <v>10</v>
      </c>
      <c r="G85" s="5">
        <v>10</v>
      </c>
      <c r="H85" s="5">
        <v>0</v>
      </c>
      <c r="I85" s="5">
        <v>24</v>
      </c>
      <c r="J85" s="5">
        <v>0</v>
      </c>
      <c r="K85" s="5">
        <v>6</v>
      </c>
      <c r="L85" s="4">
        <f>0.499+0.052</f>
      </c>
      <c r="M85" s="11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200000</v>
      </c>
      <c r="E86" s="5">
        <f>D86*2.83168</f>
      </c>
      <c r="F86" s="5">
        <v>10</v>
      </c>
      <c r="G86" s="5">
        <v>10</v>
      </c>
      <c r="H86" s="5">
        <v>0</v>
      </c>
      <c r="I86" s="5">
        <v>24</v>
      </c>
      <c r="J86" s="5">
        <v>0</v>
      </c>
      <c r="K86" s="5">
        <v>6</v>
      </c>
      <c r="L86" s="4">
        <f>0.403+0.052</f>
      </c>
      <c r="M86" s="11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0</v>
      </c>
      <c r="E87" s="5">
        <v>0</v>
      </c>
      <c r="F87" s="5">
        <v>11</v>
      </c>
      <c r="G87" s="5">
        <v>11</v>
      </c>
      <c r="H87" s="5">
        <v>0</v>
      </c>
      <c r="I87" s="5">
        <v>24</v>
      </c>
      <c r="J87" s="5">
        <v>0</v>
      </c>
      <c r="K87" s="5">
        <v>6</v>
      </c>
      <c r="L87" s="4">
        <f>0.499+0.071</f>
      </c>
      <c r="M87" s="11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200000</v>
      </c>
      <c r="E88" s="5">
        <f>D88*2.83168</f>
      </c>
      <c r="F88" s="5">
        <v>11</v>
      </c>
      <c r="G88" s="5">
        <v>11</v>
      </c>
      <c r="H88" s="5">
        <v>0</v>
      </c>
      <c r="I88" s="5">
        <v>24</v>
      </c>
      <c r="J88" s="5">
        <v>0</v>
      </c>
      <c r="K88" s="5">
        <v>6</v>
      </c>
      <c r="L88" s="4">
        <f>0.403+0.071</f>
      </c>
      <c r="M88" s="11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0</v>
      </c>
      <c r="E89" s="5">
        <v>0</v>
      </c>
      <c r="F89" s="5">
        <v>12</v>
      </c>
      <c r="G89" s="5">
        <v>12</v>
      </c>
      <c r="H89" s="5">
        <v>0</v>
      </c>
      <c r="I89" s="5">
        <v>24</v>
      </c>
      <c r="J89" s="5">
        <v>0</v>
      </c>
      <c r="K89" s="5">
        <v>6</v>
      </c>
      <c r="L89" s="4">
        <f>0.499+0.16</f>
      </c>
      <c r="M89" s="11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200000</v>
      </c>
      <c r="E90" s="5">
        <f>D90*2.83168</f>
      </c>
      <c r="F90" s="5">
        <v>12</v>
      </c>
      <c r="G90" s="5">
        <v>12</v>
      </c>
      <c r="H90" s="5">
        <v>0</v>
      </c>
      <c r="I90" s="5">
        <v>24</v>
      </c>
      <c r="J90" s="5">
        <v>0</v>
      </c>
      <c r="K90" s="5">
        <v>6</v>
      </c>
      <c r="L90" s="4">
        <f>0.403+0.16</f>
      </c>
      <c r="M90" s="11">
        <f>L90/2.83168</f>
      </c>
      <c r="N90" s="1" t="s">
        <v>36</v>
      </c>
      <c r="O90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290714285714287" customWidth="1" bestFit="1"/>
    <col min="13" max="13" style="7" width="13.71928571428571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2000</v>
      </c>
      <c r="M2" s="5">
        <v>2000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10.77</v>
      </c>
      <c r="M3" s="4">
        <v>10.77</v>
      </c>
      <c r="N3" s="1" t="s">
        <v>19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24</v>
      </c>
      <c r="J4" s="5">
        <v>0</v>
      </c>
      <c r="K4" s="5">
        <v>6</v>
      </c>
      <c r="L4" s="11">
        <v>0.0274983064516129</v>
      </c>
      <c r="M4" s="11">
        <v>0.0274983064516129</v>
      </c>
      <c r="N4" s="1" t="s">
        <v>26</v>
      </c>
      <c r="O4" s="1" t="s">
        <v>120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24</v>
      </c>
      <c r="J5" s="5">
        <v>0</v>
      </c>
      <c r="K5" s="5">
        <v>6</v>
      </c>
      <c r="L5" s="11">
        <v>0.0427982886904761</v>
      </c>
      <c r="M5" s="11">
        <v>0.0427982886904761</v>
      </c>
      <c r="N5" s="1" t="s">
        <v>26</v>
      </c>
      <c r="O5" s="1" t="s">
        <v>120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3</v>
      </c>
      <c r="G6" s="5">
        <v>3</v>
      </c>
      <c r="H6" s="5">
        <v>0</v>
      </c>
      <c r="I6" s="5">
        <v>24</v>
      </c>
      <c r="J6" s="5">
        <v>0</v>
      </c>
      <c r="K6" s="5">
        <v>6</v>
      </c>
      <c r="L6" s="11">
        <v>0.0177984811827957</v>
      </c>
      <c r="M6" s="11">
        <v>0.0177984811827957</v>
      </c>
      <c r="N6" s="1" t="s">
        <v>26</v>
      </c>
      <c r="O6" s="1" t="s">
        <v>120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4</v>
      </c>
      <c r="G7" s="5">
        <v>4</v>
      </c>
      <c r="H7" s="5">
        <v>0</v>
      </c>
      <c r="I7" s="5">
        <v>24</v>
      </c>
      <c r="J7" s="5">
        <v>0</v>
      </c>
      <c r="K7" s="5">
        <v>6</v>
      </c>
      <c r="L7" s="11">
        <v>0.0136776805555555</v>
      </c>
      <c r="M7" s="11">
        <v>0.0136776805555555</v>
      </c>
      <c r="N7" s="1" t="s">
        <v>26</v>
      </c>
      <c r="O7" s="1" t="s">
        <v>120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5</v>
      </c>
      <c r="G8" s="5">
        <v>5</v>
      </c>
      <c r="H8" s="5">
        <v>0</v>
      </c>
      <c r="I8" s="5">
        <v>24</v>
      </c>
      <c r="J8" s="5">
        <v>0</v>
      </c>
      <c r="K8" s="5">
        <v>6</v>
      </c>
      <c r="L8" s="11">
        <v>0.0204495833333333</v>
      </c>
      <c r="M8" s="11">
        <v>0.0204495833333333</v>
      </c>
      <c r="N8" s="1" t="s">
        <v>26</v>
      </c>
      <c r="O8" s="1" t="s">
        <v>120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6</v>
      </c>
      <c r="H9" s="5">
        <v>0</v>
      </c>
      <c r="I9" s="5">
        <v>24</v>
      </c>
      <c r="J9" s="5">
        <v>0</v>
      </c>
      <c r="K9" s="5">
        <v>6</v>
      </c>
      <c r="L9" s="11">
        <v>0.0330144583333333</v>
      </c>
      <c r="M9" s="11">
        <v>0.0330144583333333</v>
      </c>
      <c r="N9" s="1" t="s">
        <v>26</v>
      </c>
      <c r="O9" s="1" t="s">
        <v>120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7</v>
      </c>
      <c r="G10" s="5">
        <v>7</v>
      </c>
      <c r="H10" s="5">
        <v>0</v>
      </c>
      <c r="I10" s="5">
        <v>24</v>
      </c>
      <c r="J10" s="5">
        <v>0</v>
      </c>
      <c r="K10" s="5">
        <v>6</v>
      </c>
      <c r="L10" s="11">
        <v>0.0373644086021505</v>
      </c>
      <c r="M10" s="11">
        <v>0.0373644086021505</v>
      </c>
      <c r="N10" s="1" t="s">
        <v>26</v>
      </c>
      <c r="O10" s="1" t="s">
        <v>120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8</v>
      </c>
      <c r="G11" s="5">
        <v>8</v>
      </c>
      <c r="H11" s="5">
        <v>0</v>
      </c>
      <c r="I11" s="5">
        <v>24</v>
      </c>
      <c r="J11" s="5">
        <v>0</v>
      </c>
      <c r="K11" s="5">
        <v>6</v>
      </c>
      <c r="L11" s="11">
        <v>0.0459884139784946</v>
      </c>
      <c r="M11" s="11">
        <v>0.0459884139784946</v>
      </c>
      <c r="N11" s="1" t="s">
        <v>26</v>
      </c>
      <c r="O11" s="1" t="s">
        <v>120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9</v>
      </c>
      <c r="G12" s="5">
        <v>9</v>
      </c>
      <c r="H12" s="5">
        <v>0</v>
      </c>
      <c r="I12" s="5">
        <v>24</v>
      </c>
      <c r="J12" s="5">
        <v>0</v>
      </c>
      <c r="K12" s="5">
        <v>6</v>
      </c>
      <c r="L12" s="11">
        <v>0.0399468888888888</v>
      </c>
      <c r="M12" s="11">
        <v>0.0399468888888888</v>
      </c>
      <c r="N12" s="1" t="s">
        <v>26</v>
      </c>
      <c r="O12" s="1" t="s">
        <v>120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11">
        <v>0.0490627150537634</v>
      </c>
      <c r="M13" s="11">
        <v>0.0490627150537634</v>
      </c>
      <c r="N13" s="1" t="s">
        <v>26</v>
      </c>
      <c r="O13" s="1" t="s">
        <v>120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11</v>
      </c>
      <c r="H14" s="5">
        <v>0</v>
      </c>
      <c r="I14" s="5">
        <v>24</v>
      </c>
      <c r="J14" s="5">
        <v>0</v>
      </c>
      <c r="K14" s="5">
        <v>6</v>
      </c>
      <c r="L14" s="11">
        <v>0.0470899583333333</v>
      </c>
      <c r="M14" s="11">
        <v>0.0470899583333333</v>
      </c>
      <c r="N14" s="1" t="s">
        <v>26</v>
      </c>
      <c r="O14" s="1" t="s">
        <v>120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12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11">
        <v>0.0393530913978494</v>
      </c>
      <c r="M15" s="11">
        <v>0.0393530913978494</v>
      </c>
      <c r="N15" s="1" t="s">
        <v>26</v>
      </c>
      <c r="O15" s="1" t="s">
        <v>120</v>
      </c>
    </row>
    <row x14ac:dyDescent="0.25" r="16" customHeight="1" ht="17.25">
      <c r="A16" s="1" t="s">
        <v>34</v>
      </c>
      <c r="B16" s="1" t="s">
        <v>14</v>
      </c>
      <c r="C16" s="1"/>
      <c r="D16" s="2"/>
      <c r="E16" s="3"/>
      <c r="F16" s="2"/>
      <c r="G16" s="2"/>
      <c r="H16" s="2"/>
      <c r="I16" s="2"/>
      <c r="J16" s="2"/>
      <c r="K16" s="2"/>
      <c r="L16" s="5">
        <v>781</v>
      </c>
      <c r="M16" s="5">
        <v>781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100</v>
      </c>
      <c r="E17" s="4">
        <f>D17*2.83168</f>
      </c>
      <c r="F17" s="5">
        <v>1</v>
      </c>
      <c r="G17" s="5">
        <v>1</v>
      </c>
      <c r="H17" s="5">
        <v>0</v>
      </c>
      <c r="I17" s="5">
        <v>24</v>
      </c>
      <c r="J17" s="5">
        <v>0</v>
      </c>
      <c r="K17" s="5">
        <v>6</v>
      </c>
      <c r="L17" s="4">
        <f>0.11265+0.25963</f>
      </c>
      <c r="M17" s="14">
        <f>L17/2.83168</f>
      </c>
      <c r="N17" s="1" t="s">
        <v>36</v>
      </c>
      <c r="O17" s="1" t="s">
        <v>37</v>
      </c>
    </row>
    <row x14ac:dyDescent="0.25" r="18" customHeight="1" ht="17.25">
      <c r="A18" s="1" t="s">
        <v>34</v>
      </c>
      <c r="B18" s="1" t="s">
        <v>25</v>
      </c>
      <c r="C18" s="1"/>
      <c r="D18" s="5">
        <v>100</v>
      </c>
      <c r="E18" s="4">
        <f>D18*2.83168</f>
      </c>
      <c r="F18" s="5">
        <v>2</v>
      </c>
      <c r="G18" s="5">
        <v>2</v>
      </c>
      <c r="H18" s="5">
        <v>0</v>
      </c>
      <c r="I18" s="5">
        <v>24</v>
      </c>
      <c r="J18" s="5">
        <v>0</v>
      </c>
      <c r="K18" s="5">
        <v>6</v>
      </c>
      <c r="L18" s="4">
        <f>0.11265+0.34446</f>
      </c>
      <c r="M18" s="14">
        <f>L18/2.83168</f>
      </c>
      <c r="N18" s="1" t="s">
        <v>36</v>
      </c>
      <c r="O18" s="1" t="s">
        <v>37</v>
      </c>
    </row>
    <row x14ac:dyDescent="0.25" r="19" customHeight="1" ht="17.25">
      <c r="A19" s="1" t="s">
        <v>34</v>
      </c>
      <c r="B19" s="1" t="s">
        <v>25</v>
      </c>
      <c r="C19" s="1"/>
      <c r="D19" s="5">
        <v>100</v>
      </c>
      <c r="E19" s="4">
        <f>D19*2.83168</f>
      </c>
      <c r="F19" s="5">
        <v>3</v>
      </c>
      <c r="G19" s="5">
        <v>3</v>
      </c>
      <c r="H19" s="5">
        <v>0</v>
      </c>
      <c r="I19" s="5">
        <v>24</v>
      </c>
      <c r="J19" s="5">
        <v>0</v>
      </c>
      <c r="K19" s="5">
        <v>6</v>
      </c>
      <c r="L19" s="4">
        <f>0.11265+0.33725</f>
      </c>
      <c r="M19" s="14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100</v>
      </c>
      <c r="E20" s="4">
        <f>D20*2.83168</f>
      </c>
      <c r="F20" s="5">
        <v>4</v>
      </c>
      <c r="G20" s="5">
        <v>4</v>
      </c>
      <c r="H20" s="5">
        <v>0</v>
      </c>
      <c r="I20" s="5">
        <v>24</v>
      </c>
      <c r="J20" s="5">
        <v>0</v>
      </c>
      <c r="K20" s="5">
        <v>6</v>
      </c>
      <c r="L20" s="4">
        <f>0.11265+0.32633</f>
      </c>
      <c r="M20" s="14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100</v>
      </c>
      <c r="E21" s="4">
        <f>D21*2.83168</f>
      </c>
      <c r="F21" s="5">
        <v>5</v>
      </c>
      <c r="G21" s="5">
        <v>5</v>
      </c>
      <c r="H21" s="5">
        <v>0</v>
      </c>
      <c r="I21" s="5">
        <v>24</v>
      </c>
      <c r="J21" s="5">
        <v>0</v>
      </c>
      <c r="K21" s="5">
        <v>6</v>
      </c>
      <c r="L21" s="4">
        <f>0.11265+0.3532</f>
      </c>
      <c r="M21" s="14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100</v>
      </c>
      <c r="E22" s="4">
        <f>D22*2.83168</f>
      </c>
      <c r="F22" s="5">
        <v>6</v>
      </c>
      <c r="G22" s="5">
        <v>6</v>
      </c>
      <c r="H22" s="5">
        <v>0</v>
      </c>
      <c r="I22" s="5">
        <v>24</v>
      </c>
      <c r="J22" s="5">
        <v>0</v>
      </c>
      <c r="K22" s="5">
        <v>6</v>
      </c>
      <c r="L22" s="4">
        <f>0.11265+0.37028</f>
      </c>
      <c r="M22" s="14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100</v>
      </c>
      <c r="E23" s="4">
        <f>D23*2.83168</f>
      </c>
      <c r="F23" s="5">
        <v>7</v>
      </c>
      <c r="G23" s="5">
        <v>7</v>
      </c>
      <c r="H23" s="5">
        <v>0</v>
      </c>
      <c r="I23" s="5">
        <v>24</v>
      </c>
      <c r="J23" s="5">
        <v>0</v>
      </c>
      <c r="K23" s="5">
        <v>6</v>
      </c>
      <c r="L23" s="4">
        <f>0.11265+0.41565</f>
      </c>
      <c r="M23" s="14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100</v>
      </c>
      <c r="E24" s="4">
        <f>D24*2.83168</f>
      </c>
      <c r="F24" s="5">
        <v>8</v>
      </c>
      <c r="G24" s="5">
        <v>8</v>
      </c>
      <c r="H24" s="5">
        <v>0</v>
      </c>
      <c r="I24" s="5">
        <v>24</v>
      </c>
      <c r="J24" s="5">
        <v>0</v>
      </c>
      <c r="K24" s="5">
        <v>6</v>
      </c>
      <c r="L24" s="4">
        <f>0.11265+0.38839</f>
      </c>
      <c r="M24" s="14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100</v>
      </c>
      <c r="E25" s="4">
        <f>D25*2.83168</f>
      </c>
      <c r="F25" s="5">
        <v>9</v>
      </c>
      <c r="G25" s="5">
        <v>9</v>
      </c>
      <c r="H25" s="5">
        <v>0</v>
      </c>
      <c r="I25" s="5">
        <v>24</v>
      </c>
      <c r="J25" s="5">
        <v>0</v>
      </c>
      <c r="K25" s="5">
        <v>6</v>
      </c>
      <c r="L25" s="4">
        <f>0.11265+0.44301</f>
      </c>
      <c r="M25" s="14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100</v>
      </c>
      <c r="E26" s="4">
        <f>D26*2.83168</f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f>0.11265+0.55893</f>
      </c>
      <c r="M26" s="14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100</v>
      </c>
      <c r="E27" s="4">
        <f>D27*2.83168</f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4">
        <f>0.11265+0.57933</f>
      </c>
      <c r="M27" s="14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100</v>
      </c>
      <c r="E28" s="4">
        <f>D28*2.83168</f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4">
        <f>0.11265+0.55188</f>
      </c>
      <c r="M28" s="14">
        <f>L28/2.83168</f>
      </c>
      <c r="N28" s="1" t="s">
        <v>36</v>
      </c>
      <c r="O28" s="1" t="s">
        <v>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242.12</v>
      </c>
      <c r="M2" s="4">
        <v>242.12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0.0468153</v>
      </c>
      <c r="M3" s="4">
        <v>0.0468153</v>
      </c>
      <c r="N3" s="1" t="s">
        <v>26</v>
      </c>
      <c r="O3" s="1" t="s">
        <v>117</v>
      </c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8</v>
      </c>
      <c r="J4" s="5">
        <v>0</v>
      </c>
      <c r="K4" s="5">
        <v>4</v>
      </c>
      <c r="L4" s="4">
        <f>2.03251*0.75</f>
      </c>
      <c r="M4" s="4">
        <f>2.03251*0.75</f>
      </c>
      <c r="N4" s="1" t="s">
        <v>19</v>
      </c>
      <c r="O4" s="1" t="s">
        <v>118</v>
      </c>
    </row>
    <row x14ac:dyDescent="0.25" r="5" customHeight="1" ht="17.25">
      <c r="A5" s="1" t="s">
        <v>13</v>
      </c>
      <c r="B5" s="1" t="s">
        <v>17</v>
      </c>
      <c r="C5" s="1" t="s">
        <v>24</v>
      </c>
      <c r="D5" s="5">
        <v>0</v>
      </c>
      <c r="E5" s="5">
        <v>0</v>
      </c>
      <c r="F5" s="5">
        <v>1</v>
      </c>
      <c r="G5" s="5">
        <v>12</v>
      </c>
      <c r="H5" s="5">
        <v>8</v>
      </c>
      <c r="I5" s="5">
        <v>20</v>
      </c>
      <c r="J5" s="5">
        <v>0</v>
      </c>
      <c r="K5" s="5">
        <v>4</v>
      </c>
      <c r="L5" s="4">
        <v>2.03251</v>
      </c>
      <c r="M5" s="4">
        <v>2.03251</v>
      </c>
      <c r="N5" s="1" t="s">
        <v>19</v>
      </c>
      <c r="O5" s="1" t="s">
        <v>119</v>
      </c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20</v>
      </c>
      <c r="I6" s="5">
        <v>24</v>
      </c>
      <c r="J6" s="5">
        <v>0</v>
      </c>
      <c r="K6" s="5">
        <v>4</v>
      </c>
      <c r="L6" s="4">
        <f>2.03251*0.75</f>
      </c>
      <c r="M6" s="4">
        <f>2.03251*0.75</f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24</v>
      </c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f>2.03251*0.75</f>
      </c>
      <c r="M7" s="4">
        <f>2.03251*0.75</f>
      </c>
      <c r="N7" s="1" t="s">
        <v>19</v>
      </c>
      <c r="O7" s="1"/>
    </row>
    <row x14ac:dyDescent="0.25" r="8" customHeight="1" ht="17.25">
      <c r="A8" s="1" t="s">
        <v>34</v>
      </c>
      <c r="B8" s="1" t="s">
        <v>14</v>
      </c>
      <c r="C8" s="1"/>
      <c r="D8" s="2"/>
      <c r="E8" s="2"/>
      <c r="F8" s="2"/>
      <c r="G8" s="2"/>
      <c r="H8" s="2"/>
      <c r="I8" s="2"/>
      <c r="J8" s="2"/>
      <c r="K8" s="2"/>
      <c r="L8" s="4">
        <v>92.13</v>
      </c>
      <c r="M8" s="4">
        <v>92.13</v>
      </c>
      <c r="N8" s="1" t="s">
        <v>15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24</v>
      </c>
      <c r="J9" s="5">
        <v>0</v>
      </c>
      <c r="K9" s="5">
        <v>6</v>
      </c>
      <c r="L9" s="4">
        <f>0.18204+0.33897</f>
      </c>
      <c r="M9" s="14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0</v>
      </c>
      <c r="K10" s="5">
        <v>6</v>
      </c>
      <c r="L10" s="4">
        <f>0.18204+0.37032</f>
      </c>
      <c r="M10" s="14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0</v>
      </c>
      <c r="I11" s="5">
        <v>24</v>
      </c>
      <c r="J11" s="5">
        <v>0</v>
      </c>
      <c r="K11" s="5">
        <v>6</v>
      </c>
      <c r="L11" s="4">
        <f>0.18204+0.38038</f>
      </c>
      <c r="M11" s="14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4</v>
      </c>
      <c r="G12" s="5">
        <v>4</v>
      </c>
      <c r="H12" s="5">
        <v>0</v>
      </c>
      <c r="I12" s="5">
        <v>24</v>
      </c>
      <c r="J12" s="5">
        <v>0</v>
      </c>
      <c r="K12" s="5">
        <v>6</v>
      </c>
      <c r="L12" s="4">
        <f>0.18204+0.3927</f>
      </c>
      <c r="M12" s="14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5</v>
      </c>
      <c r="G13" s="5">
        <v>5</v>
      </c>
      <c r="H13" s="5">
        <v>0</v>
      </c>
      <c r="I13" s="5">
        <v>24</v>
      </c>
      <c r="J13" s="5">
        <v>0</v>
      </c>
      <c r="K13" s="5">
        <v>6</v>
      </c>
      <c r="L13" s="4">
        <f>0.18204+0.42898</f>
      </c>
      <c r="M13" s="14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6</v>
      </c>
      <c r="H14" s="5">
        <v>0</v>
      </c>
      <c r="I14" s="5">
        <v>24</v>
      </c>
      <c r="J14" s="5">
        <v>0</v>
      </c>
      <c r="K14" s="5">
        <v>6</v>
      </c>
      <c r="L14" s="4">
        <f>0.18204+0.43529</f>
      </c>
      <c r="M14" s="14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0</v>
      </c>
      <c r="I15" s="5">
        <v>24</v>
      </c>
      <c r="J15" s="5">
        <v>0</v>
      </c>
      <c r="K15" s="5">
        <v>6</v>
      </c>
      <c r="L15" s="4">
        <f>0.18204+0.50302</f>
      </c>
      <c r="M15" s="14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0</v>
      </c>
      <c r="E16" s="5">
        <v>0</v>
      </c>
      <c r="F16" s="5">
        <v>8</v>
      </c>
      <c r="G16" s="5">
        <v>8</v>
      </c>
      <c r="H16" s="5">
        <v>0</v>
      </c>
      <c r="I16" s="5">
        <v>24</v>
      </c>
      <c r="J16" s="5">
        <v>0</v>
      </c>
      <c r="K16" s="5">
        <v>6</v>
      </c>
      <c r="L16" s="4">
        <f>0.18204+0.54871</f>
      </c>
      <c r="M16" s="14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9</v>
      </c>
      <c r="G17" s="5">
        <v>9</v>
      </c>
      <c r="H17" s="5">
        <v>0</v>
      </c>
      <c r="I17" s="5">
        <v>24</v>
      </c>
      <c r="J17" s="5">
        <v>0</v>
      </c>
      <c r="K17" s="5">
        <v>6</v>
      </c>
      <c r="L17" s="4">
        <f>0.18204+0.58359</f>
      </c>
      <c r="M17" s="14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10</v>
      </c>
      <c r="H18" s="5">
        <v>0</v>
      </c>
      <c r="I18" s="5">
        <v>24</v>
      </c>
      <c r="J18" s="5">
        <v>0</v>
      </c>
      <c r="K18" s="5">
        <v>6</v>
      </c>
      <c r="L18" s="4">
        <f>0.18204+0.74099</f>
      </c>
      <c r="M18" s="14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11</v>
      </c>
      <c r="G19" s="5">
        <v>11</v>
      </c>
      <c r="H19" s="5">
        <v>0</v>
      </c>
      <c r="I19" s="5">
        <v>24</v>
      </c>
      <c r="J19" s="5">
        <v>0</v>
      </c>
      <c r="K19" s="5">
        <v>6</v>
      </c>
      <c r="L19" s="4">
        <f>0.18204+0.77961</f>
      </c>
      <c r="M19" s="14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12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0.18204+0.69883</f>
      </c>
      <c r="M20" s="14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283.03</v>
      </c>
      <c r="M2" s="4">
        <v>283.03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6</v>
      </c>
      <c r="J3" s="5">
        <v>0</v>
      </c>
      <c r="K3" s="5">
        <v>4</v>
      </c>
      <c r="L3" s="4">
        <f>0.00999+0.00114+0.02635</f>
      </c>
      <c r="M3" s="4">
        <f>0.00999+0.00114+0.02635</f>
      </c>
      <c r="N3" s="1" t="s">
        <v>26</v>
      </c>
      <c r="O3" s="1" t="s">
        <v>83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10</v>
      </c>
      <c r="J4" s="5">
        <v>0</v>
      </c>
      <c r="K4" s="5">
        <v>4</v>
      </c>
      <c r="L4" s="4">
        <f>0.01007+0.00114+0.03229</f>
      </c>
      <c r="M4" s="4">
        <f>0.01007+0.00114+0.03229</f>
      </c>
      <c r="N4" s="1" t="s">
        <v>26</v>
      </c>
      <c r="O4" s="1" t="s">
        <v>83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10</v>
      </c>
      <c r="I5" s="5">
        <v>18</v>
      </c>
      <c r="J5" s="5">
        <v>0</v>
      </c>
      <c r="K5" s="5">
        <v>4</v>
      </c>
      <c r="L5" s="4">
        <f>0.00999+0.00114+0.02635</f>
      </c>
      <c r="M5" s="4">
        <f>0.00999+0.00114+0.02635</f>
      </c>
      <c r="N5" s="1" t="s">
        <v>26</v>
      </c>
      <c r="O5" s="1" t="s">
        <v>83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18</v>
      </c>
      <c r="I6" s="5">
        <v>22</v>
      </c>
      <c r="J6" s="5">
        <v>0</v>
      </c>
      <c r="K6" s="5">
        <v>4</v>
      </c>
      <c r="L6" s="4">
        <f>0.01007+0.00114+0.03229</f>
      </c>
      <c r="M6" s="4">
        <f>0.01007+0.00114+0.03229</f>
      </c>
      <c r="N6" s="1" t="s">
        <v>26</v>
      </c>
      <c r="O6" s="1" t="s">
        <v>83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22</v>
      </c>
      <c r="I7" s="5">
        <v>24</v>
      </c>
      <c r="J7" s="5">
        <v>0</v>
      </c>
      <c r="K7" s="5">
        <v>4</v>
      </c>
      <c r="L7" s="4">
        <f>0.00999+0.00114+0.02635</f>
      </c>
      <c r="M7" s="4">
        <f>0.00999+0.00114+0.02635</f>
      </c>
      <c r="N7" s="1" t="s">
        <v>26</v>
      </c>
      <c r="O7" s="1" t="s">
        <v>83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10</v>
      </c>
      <c r="H8" s="5">
        <v>0</v>
      </c>
      <c r="I8" s="5">
        <v>12</v>
      </c>
      <c r="J8" s="5">
        <v>0</v>
      </c>
      <c r="K8" s="5">
        <v>4</v>
      </c>
      <c r="L8" s="4">
        <f>0.00999+0.00114+0.02635</f>
      </c>
      <c r="M8" s="4">
        <f>0.00999+0.00114+0.02635</f>
      </c>
      <c r="N8" s="1" t="s">
        <v>26</v>
      </c>
      <c r="O8" s="1" t="s">
        <v>83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10</v>
      </c>
      <c r="H9" s="5">
        <v>12</v>
      </c>
      <c r="I9" s="5">
        <v>21</v>
      </c>
      <c r="J9" s="5">
        <v>0</v>
      </c>
      <c r="K9" s="5">
        <v>4</v>
      </c>
      <c r="L9" s="4">
        <f>0.01007+0.00114+0.03229</f>
      </c>
      <c r="M9" s="4">
        <f>0.01007+0.00114+0.03229</f>
      </c>
      <c r="N9" s="1" t="s">
        <v>26</v>
      </c>
      <c r="O9" s="1" t="s">
        <v>83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10</v>
      </c>
      <c r="H10" s="5">
        <v>21</v>
      </c>
      <c r="I10" s="5">
        <v>24</v>
      </c>
      <c r="J10" s="5">
        <v>0</v>
      </c>
      <c r="K10" s="5">
        <v>4</v>
      </c>
      <c r="L10" s="4">
        <f>0.00999+0.00114+0.02635</f>
      </c>
      <c r="M10" s="4">
        <f>0.00999+0.00114+0.02635</f>
      </c>
      <c r="N10" s="1" t="s">
        <v>26</v>
      </c>
      <c r="O10" s="1" t="s">
        <v>83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11</v>
      </c>
      <c r="G11" s="5">
        <v>12</v>
      </c>
      <c r="H11" s="5">
        <v>0</v>
      </c>
      <c r="I11" s="5">
        <v>6</v>
      </c>
      <c r="J11" s="5">
        <v>0</v>
      </c>
      <c r="K11" s="5">
        <v>4</v>
      </c>
      <c r="L11" s="4">
        <f>0.00999+0.00114+0.02635</f>
      </c>
      <c r="M11" s="4">
        <f>0.00999+0.00114+0.02635</f>
      </c>
      <c r="N11" s="1" t="s">
        <v>26</v>
      </c>
      <c r="O11" s="1" t="s">
        <v>83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11</v>
      </c>
      <c r="G12" s="5">
        <v>12</v>
      </c>
      <c r="H12" s="5">
        <v>6</v>
      </c>
      <c r="I12" s="5">
        <v>10</v>
      </c>
      <c r="J12" s="5">
        <v>0</v>
      </c>
      <c r="K12" s="5">
        <v>4</v>
      </c>
      <c r="L12" s="4">
        <f>0.01007+0.00114+0.03229</f>
      </c>
      <c r="M12" s="4">
        <f>0.01007+0.00114+0.03229</f>
      </c>
      <c r="N12" s="1" t="s">
        <v>26</v>
      </c>
      <c r="O12" s="1" t="s">
        <v>83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10</v>
      </c>
      <c r="I13" s="5">
        <v>18</v>
      </c>
      <c r="J13" s="5">
        <v>0</v>
      </c>
      <c r="K13" s="5">
        <v>4</v>
      </c>
      <c r="L13" s="4">
        <f>0.00999+0.00114+0.02635</f>
      </c>
      <c r="M13" s="4">
        <f>0.00999+0.00114+0.02635</f>
      </c>
      <c r="N13" s="1" t="s">
        <v>26</v>
      </c>
      <c r="O13" s="1" t="s">
        <v>83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12</v>
      </c>
      <c r="H14" s="5">
        <v>18</v>
      </c>
      <c r="I14" s="5">
        <v>22</v>
      </c>
      <c r="J14" s="5">
        <v>0</v>
      </c>
      <c r="K14" s="5">
        <v>4</v>
      </c>
      <c r="L14" s="4">
        <f>0.01007+0.00114+0.03229</f>
      </c>
      <c r="M14" s="4">
        <f>0.01007+0.00114+0.03229</f>
      </c>
      <c r="N14" s="1" t="s">
        <v>26</v>
      </c>
      <c r="O14" s="1" t="s">
        <v>83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22</v>
      </c>
      <c r="I15" s="5">
        <v>24</v>
      </c>
      <c r="J15" s="5">
        <v>0</v>
      </c>
      <c r="K15" s="5">
        <v>4</v>
      </c>
      <c r="L15" s="4">
        <f>0.00999+0.00114+0.02635</f>
      </c>
      <c r="M15" s="4">
        <f>0.00999+0.00114+0.02635</f>
      </c>
      <c r="N15" s="1" t="s">
        <v>26</v>
      </c>
      <c r="O15" s="1" t="s">
        <v>83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12</v>
      </c>
      <c r="H16" s="5">
        <v>0</v>
      </c>
      <c r="I16" s="5">
        <v>24</v>
      </c>
      <c r="J16" s="5">
        <v>5</v>
      </c>
      <c r="K16" s="5">
        <v>6</v>
      </c>
      <c r="L16" s="4">
        <f>0.00999+0.00114+0.02635</f>
      </c>
      <c r="M16" s="4">
        <f>0.00999+0.00114+0.02635</f>
      </c>
      <c r="N16" s="1" t="s">
        <v>26</v>
      </c>
      <c r="O16" s="1" t="s">
        <v>83</v>
      </c>
    </row>
    <row x14ac:dyDescent="0.25" r="17" customHeight="1" ht="17.25">
      <c r="A17" s="1" t="s">
        <v>13</v>
      </c>
      <c r="B17" s="1" t="s">
        <v>17</v>
      </c>
      <c r="C17" s="1" t="s">
        <v>51</v>
      </c>
      <c r="D17" s="5">
        <v>0</v>
      </c>
      <c r="E17" s="5">
        <v>0</v>
      </c>
      <c r="F17" s="5">
        <v>1</v>
      </c>
      <c r="G17" s="5">
        <v>3</v>
      </c>
      <c r="H17" s="5">
        <v>6</v>
      </c>
      <c r="I17" s="5">
        <v>10</v>
      </c>
      <c r="J17" s="5">
        <v>0</v>
      </c>
      <c r="K17" s="5">
        <v>4</v>
      </c>
      <c r="L17" s="4">
        <f>12.89+0.57+0.73+0.15</f>
      </c>
      <c r="M17" s="4">
        <f>12.89+0.57+0.73+0.15</f>
      </c>
      <c r="N17" s="1" t="s">
        <v>19</v>
      </c>
      <c r="O17" s="1" t="s">
        <v>84</v>
      </c>
    </row>
    <row x14ac:dyDescent="0.25" r="18" customHeight="1" ht="17.25">
      <c r="A18" s="1" t="s">
        <v>13</v>
      </c>
      <c r="B18" s="1" t="s">
        <v>17</v>
      </c>
      <c r="C18" s="1" t="s">
        <v>51</v>
      </c>
      <c r="D18" s="5">
        <v>0</v>
      </c>
      <c r="E18" s="5">
        <v>0</v>
      </c>
      <c r="F18" s="5">
        <v>1</v>
      </c>
      <c r="G18" s="5">
        <v>3</v>
      </c>
      <c r="H18" s="5">
        <v>18</v>
      </c>
      <c r="I18" s="5">
        <v>22</v>
      </c>
      <c r="J18" s="5">
        <v>0</v>
      </c>
      <c r="K18" s="5">
        <v>4</v>
      </c>
      <c r="L18" s="4">
        <f>12.89+0.57+0.73+0.15</f>
      </c>
      <c r="M18" s="4">
        <f>12.89+0.57+0.73+0.15</f>
      </c>
      <c r="N18" s="1" t="s">
        <v>19</v>
      </c>
      <c r="O18" s="1" t="s">
        <v>84</v>
      </c>
    </row>
    <row x14ac:dyDescent="0.25" r="19" customHeight="1" ht="17.25">
      <c r="A19" s="1" t="s">
        <v>13</v>
      </c>
      <c r="B19" s="1" t="s">
        <v>17</v>
      </c>
      <c r="C19" s="1" t="s">
        <v>53</v>
      </c>
      <c r="D19" s="5">
        <v>0</v>
      </c>
      <c r="E19" s="5">
        <v>0</v>
      </c>
      <c r="F19" s="5">
        <v>4</v>
      </c>
      <c r="G19" s="5">
        <v>10</v>
      </c>
      <c r="H19" s="5">
        <v>12</v>
      </c>
      <c r="I19" s="5">
        <v>21</v>
      </c>
      <c r="J19" s="5">
        <v>0</v>
      </c>
      <c r="K19" s="5">
        <v>4</v>
      </c>
      <c r="L19" s="4">
        <f>12.89+0.57+0.73+0.15</f>
      </c>
      <c r="M19" s="4">
        <f>12.89+0.57+0.73+0.15</f>
      </c>
      <c r="N19" s="1" t="s">
        <v>19</v>
      </c>
      <c r="O19" s="1" t="s">
        <v>84</v>
      </c>
    </row>
    <row x14ac:dyDescent="0.25" r="20" customHeight="1" ht="17.25">
      <c r="A20" s="1" t="s">
        <v>13</v>
      </c>
      <c r="B20" s="1" t="s">
        <v>17</v>
      </c>
      <c r="C20" s="1" t="s">
        <v>56</v>
      </c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10</v>
      </c>
      <c r="J20" s="5">
        <v>0</v>
      </c>
      <c r="K20" s="5">
        <v>4</v>
      </c>
      <c r="L20" s="4">
        <f>12.89+0.57+0.73+0.15</f>
      </c>
      <c r="M20" s="4">
        <f>12.89+0.57+0.73+0.15</f>
      </c>
      <c r="N20" s="1" t="s">
        <v>19</v>
      </c>
      <c r="O20" s="1" t="s">
        <v>84</v>
      </c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11</v>
      </c>
      <c r="G21" s="5">
        <v>12</v>
      </c>
      <c r="H21" s="5">
        <v>18</v>
      </c>
      <c r="I21" s="5">
        <v>22</v>
      </c>
      <c r="J21" s="5">
        <v>0</v>
      </c>
      <c r="K21" s="5">
        <v>4</v>
      </c>
      <c r="L21" s="4">
        <f>12.89+0.57+0.73+0.15</f>
      </c>
      <c r="M21" s="4">
        <f>12.89+0.57+0.73+0.15</f>
      </c>
      <c r="N21" s="1" t="s">
        <v>19</v>
      </c>
      <c r="O21" s="1" t="s">
        <v>84</v>
      </c>
    </row>
    <row x14ac:dyDescent="0.25" r="22" customHeight="1" ht="17.25">
      <c r="A22" s="1" t="s">
        <v>13</v>
      </c>
      <c r="B22" s="1" t="s">
        <v>17</v>
      </c>
      <c r="C22" s="1" t="s">
        <v>24</v>
      </c>
      <c r="D22" s="5">
        <v>0</v>
      </c>
      <c r="E22" s="5">
        <v>0</v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2.74</v>
      </c>
      <c r="M22" s="4">
        <v>2.74</v>
      </c>
      <c r="N22" s="1" t="s">
        <v>19</v>
      </c>
      <c r="O22" s="1" t="s">
        <v>84</v>
      </c>
    </row>
    <row x14ac:dyDescent="0.25" r="23" customHeight="1" ht="17.25">
      <c r="A23" s="1" t="s">
        <v>34</v>
      </c>
      <c r="B23" s="1" t="s">
        <v>14</v>
      </c>
      <c r="C23" s="1"/>
      <c r="D23" s="2"/>
      <c r="E23" s="2"/>
      <c r="F23" s="2"/>
      <c r="G23" s="2"/>
      <c r="H23" s="2"/>
      <c r="I23" s="2"/>
      <c r="J23" s="2"/>
      <c r="K23" s="2"/>
      <c r="L23" s="5">
        <v>33</v>
      </c>
      <c r="M23" s="5">
        <v>33</v>
      </c>
      <c r="N23" s="1" t="s">
        <v>15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0.39136+0.99587</f>
      </c>
      <c r="M24" s="14">
        <f>L24/2.83168</f>
      </c>
      <c r="N24" s="1" t="s">
        <v>36</v>
      </c>
      <c r="O24" s="1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658.15</v>
      </c>
      <c r="M2" s="4">
        <v>658.15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10</v>
      </c>
      <c r="J3" s="5">
        <v>0</v>
      </c>
      <c r="K3" s="5">
        <v>4</v>
      </c>
      <c r="L3" s="4">
        <f>0.006693+0.020717</f>
      </c>
      <c r="M3" s="4">
        <f>0.006693+0.020717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10</v>
      </c>
      <c r="I4" s="5">
        <v>22</v>
      </c>
      <c r="J4" s="5">
        <v>0</v>
      </c>
      <c r="K4" s="5">
        <v>4</v>
      </c>
      <c r="L4" s="4">
        <f>0.006693+0.028172</f>
      </c>
      <c r="M4" s="4">
        <f>0.006693+0.028172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22</v>
      </c>
      <c r="I5" s="5">
        <v>24</v>
      </c>
      <c r="J5" s="5">
        <v>0</v>
      </c>
      <c r="K5" s="5">
        <v>4</v>
      </c>
      <c r="L5" s="4">
        <f>0.006693+0.020717</f>
      </c>
      <c r="M5" s="4">
        <f>0.006693+0.020717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0</v>
      </c>
      <c r="I6" s="5">
        <v>24</v>
      </c>
      <c r="J6" s="5">
        <v>0</v>
      </c>
      <c r="K6" s="5">
        <v>6</v>
      </c>
      <c r="L6" s="4">
        <f>0.006693+0.020717</f>
      </c>
      <c r="M6" s="4">
        <f>0.006693+0.020717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4</v>
      </c>
      <c r="G7" s="5">
        <v>5</v>
      </c>
      <c r="H7" s="5">
        <v>0</v>
      </c>
      <c r="I7" s="5">
        <v>6</v>
      </c>
      <c r="J7" s="5">
        <v>0</v>
      </c>
      <c r="K7" s="5">
        <v>4</v>
      </c>
      <c r="L7" s="4">
        <f>0.006693+0.020717</f>
      </c>
      <c r="M7" s="4">
        <f>0.006693+0.020717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5</v>
      </c>
      <c r="H8" s="5">
        <v>6</v>
      </c>
      <c r="I8" s="5">
        <v>22</v>
      </c>
      <c r="J8" s="5">
        <v>0</v>
      </c>
      <c r="K8" s="5">
        <v>4</v>
      </c>
      <c r="L8" s="4">
        <f>0.006693+0.028172</f>
      </c>
      <c r="M8" s="4">
        <f>0.006693+0.028172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5</v>
      </c>
      <c r="H9" s="5">
        <v>22</v>
      </c>
      <c r="I9" s="5">
        <v>24</v>
      </c>
      <c r="J9" s="5">
        <v>0</v>
      </c>
      <c r="K9" s="5">
        <v>4</v>
      </c>
      <c r="L9" s="4">
        <f>0.006693+0.020717</f>
      </c>
      <c r="M9" s="4">
        <f>0.006693+0.020717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5</v>
      </c>
      <c r="H10" s="5">
        <v>0</v>
      </c>
      <c r="I10" s="5">
        <v>24</v>
      </c>
      <c r="J10" s="5">
        <v>0</v>
      </c>
      <c r="K10" s="5">
        <v>6</v>
      </c>
      <c r="L10" s="4">
        <f>0.006693+0.020717</f>
      </c>
      <c r="M10" s="4">
        <f>0.006693+0.020717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0</v>
      </c>
      <c r="I11" s="5">
        <v>6</v>
      </c>
      <c r="J11" s="5">
        <v>0</v>
      </c>
      <c r="K11" s="5">
        <v>4</v>
      </c>
      <c r="L11" s="4">
        <f>0.006693+0.015836</f>
      </c>
      <c r="M11" s="4">
        <f>0.006693+0.015836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6</v>
      </c>
      <c r="I12" s="5">
        <v>22</v>
      </c>
      <c r="J12" s="5">
        <v>0</v>
      </c>
      <c r="K12" s="5">
        <v>4</v>
      </c>
      <c r="L12" s="4">
        <f>0.006693+0.022032</f>
      </c>
      <c r="M12" s="4">
        <f>0.006693+0.022032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22</v>
      </c>
      <c r="I13" s="5">
        <v>24</v>
      </c>
      <c r="J13" s="5">
        <v>0</v>
      </c>
      <c r="K13" s="5">
        <v>4</v>
      </c>
      <c r="L13" s="4">
        <f>0.006693+0.015836</f>
      </c>
      <c r="M13" s="4">
        <f>0.006693+0.015836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9</v>
      </c>
      <c r="H14" s="5">
        <v>0</v>
      </c>
      <c r="I14" s="5">
        <v>24</v>
      </c>
      <c r="J14" s="5">
        <v>0</v>
      </c>
      <c r="K14" s="5">
        <v>6</v>
      </c>
      <c r="L14" s="4">
        <f>0.006693+0.015836</f>
      </c>
      <c r="M14" s="4">
        <f>0.006693+0.015836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10</v>
      </c>
      <c r="H15" s="5">
        <v>0</v>
      </c>
      <c r="I15" s="5">
        <v>6</v>
      </c>
      <c r="J15" s="5">
        <v>0</v>
      </c>
      <c r="K15" s="5">
        <v>4</v>
      </c>
      <c r="L15" s="4">
        <f>0.006693+0.020717</f>
      </c>
      <c r="M15" s="4">
        <f>0.006693+0.020717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10</v>
      </c>
      <c r="H16" s="5">
        <v>6</v>
      </c>
      <c r="I16" s="5">
        <v>22</v>
      </c>
      <c r="J16" s="5">
        <v>0</v>
      </c>
      <c r="K16" s="5">
        <v>4</v>
      </c>
      <c r="L16" s="4">
        <f>0.006693+0.028172</f>
      </c>
      <c r="M16" s="4">
        <f>0.006693+0.028172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10</v>
      </c>
      <c r="H17" s="5">
        <v>22</v>
      </c>
      <c r="I17" s="5">
        <v>24</v>
      </c>
      <c r="J17" s="5">
        <v>0</v>
      </c>
      <c r="K17" s="5">
        <v>4</v>
      </c>
      <c r="L17" s="4">
        <f>0.006693+0.020717</f>
      </c>
      <c r="M17" s="4">
        <f>0.006693+0.020717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10</v>
      </c>
      <c r="H18" s="5">
        <v>0</v>
      </c>
      <c r="I18" s="5">
        <v>24</v>
      </c>
      <c r="J18" s="5">
        <v>0</v>
      </c>
      <c r="K18" s="5">
        <v>6</v>
      </c>
      <c r="L18" s="4">
        <f>0.006693+0.020717</f>
      </c>
      <c r="M18" s="4">
        <f>0.006693+0.020717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11</v>
      </c>
      <c r="G19" s="5">
        <v>12</v>
      </c>
      <c r="H19" s="5">
        <v>0</v>
      </c>
      <c r="I19" s="5">
        <v>10</v>
      </c>
      <c r="J19" s="5">
        <v>0</v>
      </c>
      <c r="K19" s="5">
        <v>4</v>
      </c>
      <c r="L19" s="4">
        <f>0.006693+0.020717</f>
      </c>
      <c r="M19" s="4">
        <f>0.006693+0.020717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11</v>
      </c>
      <c r="G20" s="5">
        <v>12</v>
      </c>
      <c r="H20" s="5">
        <v>10</v>
      </c>
      <c r="I20" s="5">
        <v>22</v>
      </c>
      <c r="J20" s="5">
        <v>0</v>
      </c>
      <c r="K20" s="5">
        <v>4</v>
      </c>
      <c r="L20" s="4">
        <f>0.006693+0.028172</f>
      </c>
      <c r="M20" s="4">
        <f>0.006693+0.028172</f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11</v>
      </c>
      <c r="G21" s="5">
        <v>12</v>
      </c>
      <c r="H21" s="5">
        <v>22</v>
      </c>
      <c r="I21" s="5">
        <v>24</v>
      </c>
      <c r="J21" s="5">
        <v>0</v>
      </c>
      <c r="K21" s="5">
        <v>4</v>
      </c>
      <c r="L21" s="4">
        <f>0.006693+0.020717</f>
      </c>
      <c r="M21" s="4">
        <f>0.006693+0.020717</f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0.006693+0.020717</f>
      </c>
      <c r="M22" s="4">
        <f>0.006693+0.020717</f>
      </c>
      <c r="N22" s="1" t="s">
        <v>26</v>
      </c>
      <c r="O22" s="1"/>
    </row>
    <row x14ac:dyDescent="0.25" r="23" customHeight="1" ht="17.25">
      <c r="A23" s="1" t="s">
        <v>13</v>
      </c>
      <c r="B23" s="1" t="s">
        <v>17</v>
      </c>
      <c r="C23" s="1" t="s">
        <v>51</v>
      </c>
      <c r="D23" s="5">
        <v>0</v>
      </c>
      <c r="E23" s="5">
        <v>0</v>
      </c>
      <c r="F23" s="5">
        <v>1</v>
      </c>
      <c r="G23" s="5">
        <v>3</v>
      </c>
      <c r="H23" s="5">
        <v>10</v>
      </c>
      <c r="I23" s="5">
        <v>22</v>
      </c>
      <c r="J23" s="5">
        <v>0</v>
      </c>
      <c r="K23" s="5">
        <v>4</v>
      </c>
      <c r="L23" s="4">
        <f>5.2243+5.392192</f>
      </c>
      <c r="M23" s="4">
        <f>5.2243+5.392192</f>
      </c>
      <c r="N23" s="1" t="s">
        <v>19</v>
      </c>
      <c r="O23" s="1"/>
    </row>
    <row x14ac:dyDescent="0.25" r="24" customHeight="1" ht="17.25">
      <c r="A24" s="1" t="s">
        <v>13</v>
      </c>
      <c r="B24" s="1" t="s">
        <v>17</v>
      </c>
      <c r="C24" s="1" t="s">
        <v>56</v>
      </c>
      <c r="D24" s="5">
        <v>0</v>
      </c>
      <c r="E24" s="5">
        <v>0</v>
      </c>
      <c r="F24" s="5">
        <v>4</v>
      </c>
      <c r="G24" s="5">
        <v>5</v>
      </c>
      <c r="H24" s="5">
        <v>6</v>
      </c>
      <c r="I24" s="5">
        <v>22</v>
      </c>
      <c r="J24" s="5">
        <v>0</v>
      </c>
      <c r="K24" s="5">
        <v>4</v>
      </c>
      <c r="L24" s="4">
        <f>5.2243+5.392192</f>
      </c>
      <c r="M24" s="4">
        <f>5.2243+5.392192</f>
      </c>
      <c r="N24" s="1" t="s">
        <v>19</v>
      </c>
      <c r="O24" s="1"/>
    </row>
    <row x14ac:dyDescent="0.25" r="25" customHeight="1" ht="17.25">
      <c r="A25" s="1" t="s">
        <v>13</v>
      </c>
      <c r="B25" s="1" t="s">
        <v>17</v>
      </c>
      <c r="C25" s="1" t="s">
        <v>53</v>
      </c>
      <c r="D25" s="5">
        <v>0</v>
      </c>
      <c r="E25" s="5">
        <v>0</v>
      </c>
      <c r="F25" s="5">
        <v>6</v>
      </c>
      <c r="G25" s="5">
        <v>9</v>
      </c>
      <c r="H25" s="5">
        <v>6</v>
      </c>
      <c r="I25" s="5">
        <v>22</v>
      </c>
      <c r="J25" s="5">
        <v>0</v>
      </c>
      <c r="K25" s="5">
        <v>4</v>
      </c>
      <c r="L25" s="4">
        <f>5.2243+7.392075</f>
      </c>
      <c r="M25" s="4">
        <f>5.2243+7.392075</f>
      </c>
      <c r="N25" s="1" t="s">
        <v>19</v>
      </c>
      <c r="O25" s="1"/>
    </row>
    <row x14ac:dyDescent="0.25" r="26" customHeight="1" ht="17.25">
      <c r="A26" s="1" t="s">
        <v>13</v>
      </c>
      <c r="B26" s="1" t="s">
        <v>17</v>
      </c>
      <c r="C26" s="1" t="s">
        <v>114</v>
      </c>
      <c r="D26" s="5">
        <v>0</v>
      </c>
      <c r="E26" s="5">
        <v>0</v>
      </c>
      <c r="F26" s="5">
        <v>10</v>
      </c>
      <c r="G26" s="5">
        <v>10</v>
      </c>
      <c r="H26" s="5">
        <v>6</v>
      </c>
      <c r="I26" s="5">
        <v>22</v>
      </c>
      <c r="J26" s="5">
        <v>0</v>
      </c>
      <c r="K26" s="5">
        <v>4</v>
      </c>
      <c r="L26" s="4">
        <f>5.2243+5.392192</f>
      </c>
      <c r="M26" s="4">
        <f>5.2243+5.392192</f>
      </c>
      <c r="N26" s="1" t="s">
        <v>19</v>
      </c>
      <c r="O26" s="1"/>
    </row>
    <row x14ac:dyDescent="0.25" r="27" customHeight="1" ht="17.25">
      <c r="A27" s="1" t="s">
        <v>13</v>
      </c>
      <c r="B27" s="1" t="s">
        <v>17</v>
      </c>
      <c r="C27" s="1" t="s">
        <v>115</v>
      </c>
      <c r="D27" s="5">
        <v>0</v>
      </c>
      <c r="E27" s="5">
        <v>0</v>
      </c>
      <c r="F27" s="5">
        <v>11</v>
      </c>
      <c r="G27" s="5">
        <v>12</v>
      </c>
      <c r="H27" s="5">
        <v>10</v>
      </c>
      <c r="I27" s="5">
        <v>22</v>
      </c>
      <c r="J27" s="5">
        <v>0</v>
      </c>
      <c r="K27" s="5">
        <v>4</v>
      </c>
      <c r="L27" s="4">
        <f>5.2243+5.392192</f>
      </c>
      <c r="M27" s="4">
        <f>5.2243+5.392192</f>
      </c>
      <c r="N27" s="1" t="s">
        <v>19</v>
      </c>
      <c r="O27" s="1"/>
    </row>
    <row x14ac:dyDescent="0.25" r="28" customHeight="1" ht="17.25">
      <c r="A28" s="1" t="s">
        <v>34</v>
      </c>
      <c r="B28" s="1" t="s">
        <v>14</v>
      </c>
      <c r="C28" s="1"/>
      <c r="D28" s="2"/>
      <c r="E28" s="2"/>
      <c r="F28" s="2"/>
      <c r="G28" s="2"/>
      <c r="H28" s="2"/>
      <c r="I28" s="2"/>
      <c r="J28" s="2"/>
      <c r="K28" s="2"/>
      <c r="L28" s="4">
        <v>55.59</v>
      </c>
      <c r="M28" s="4">
        <v>55.59</v>
      </c>
      <c r="N28" s="1" t="s">
        <v>15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4">
        <f>(0.38042+0.45665)/1.037</f>
      </c>
      <c r="M29" s="14">
        <f>L29/2.83168</f>
      </c>
      <c r="N29" s="1" t="s">
        <v>36</v>
      </c>
      <c r="O29" s="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9.576428571428572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115.31</v>
      </c>
      <c r="M2" s="4">
        <v>115.31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f>0.0412+0.00186</f>
      </c>
      <c r="M3" s="4">
        <f>0.0412+0.00186</f>
      </c>
      <c r="N3" s="1" t="s">
        <v>26</v>
      </c>
      <c r="O3" s="1" t="s">
        <v>137</v>
      </c>
    </row>
    <row x14ac:dyDescent="0.25" r="4" customHeight="1" ht="17.25">
      <c r="A4" s="1" t="s">
        <v>13</v>
      </c>
      <c r="B4" s="1" t="s">
        <v>25</v>
      </c>
      <c r="C4" s="1"/>
      <c r="D4" s="5">
        <v>300</v>
      </c>
      <c r="E4" s="5">
        <v>300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f>0.036+0.00186</f>
      </c>
      <c r="M4" s="4">
        <f>0.036+0.00186</f>
      </c>
      <c r="N4" s="1" t="s">
        <v>26</v>
      </c>
      <c r="O4" s="1" t="s">
        <v>137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9</v>
      </c>
      <c r="H5" s="5">
        <v>0</v>
      </c>
      <c r="I5" s="5">
        <v>24</v>
      </c>
      <c r="J5" s="5">
        <v>0</v>
      </c>
      <c r="K5" s="5">
        <v>6</v>
      </c>
      <c r="L5" s="4">
        <f>0.055+0.00186</f>
      </c>
      <c r="M5" s="4">
        <f>0.055+0.00186</f>
      </c>
      <c r="N5" s="1" t="s">
        <v>26</v>
      </c>
      <c r="O5" s="1" t="s">
        <v>137</v>
      </c>
    </row>
    <row x14ac:dyDescent="0.25" r="6" customHeight="1" ht="17.25">
      <c r="A6" s="1" t="s">
        <v>13</v>
      </c>
      <c r="B6" s="1" t="s">
        <v>25</v>
      </c>
      <c r="C6" s="1"/>
      <c r="D6" s="5">
        <v>300</v>
      </c>
      <c r="E6" s="5">
        <v>300</v>
      </c>
      <c r="F6" s="5">
        <v>6</v>
      </c>
      <c r="G6" s="5">
        <v>9</v>
      </c>
      <c r="H6" s="5">
        <v>0</v>
      </c>
      <c r="I6" s="5">
        <v>24</v>
      </c>
      <c r="J6" s="5">
        <v>0</v>
      </c>
      <c r="K6" s="5">
        <v>6</v>
      </c>
      <c r="L6" s="4">
        <f>0.0504+0.00186</f>
      </c>
      <c r="M6" s="4">
        <f>0.0504+0.00186</f>
      </c>
      <c r="N6" s="1" t="s">
        <v>26</v>
      </c>
      <c r="O6" s="1" t="s">
        <v>137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10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f>0.0412+0.00186</f>
      </c>
      <c r="M7" s="4">
        <f>0.0412+0.00186</f>
      </c>
      <c r="N7" s="1" t="s">
        <v>26</v>
      </c>
      <c r="O7" s="1" t="s">
        <v>137</v>
      </c>
    </row>
    <row x14ac:dyDescent="0.25" r="8" customHeight="1" ht="17.25">
      <c r="A8" s="1" t="s">
        <v>13</v>
      </c>
      <c r="B8" s="1" t="s">
        <v>25</v>
      </c>
      <c r="C8" s="1"/>
      <c r="D8" s="5">
        <v>300</v>
      </c>
      <c r="E8" s="5">
        <v>300</v>
      </c>
      <c r="F8" s="5">
        <v>10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f>0.036+0.00186</f>
      </c>
      <c r="M8" s="4">
        <f>0.036+0.00186</f>
      </c>
      <c r="N8" s="1" t="s">
        <v>26</v>
      </c>
      <c r="O8" s="1" t="s">
        <v>137</v>
      </c>
    </row>
    <row x14ac:dyDescent="0.25" r="9" customHeight="1" ht="17.25">
      <c r="A9" s="1" t="s">
        <v>13</v>
      </c>
      <c r="B9" s="1" t="s">
        <v>17</v>
      </c>
      <c r="C9" s="1" t="s">
        <v>24</v>
      </c>
      <c r="D9" s="5">
        <v>0</v>
      </c>
      <c r="E9" s="5">
        <v>0</v>
      </c>
      <c r="F9" s="5">
        <v>1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10.17</v>
      </c>
      <c r="M9" s="4">
        <v>10.17</v>
      </c>
      <c r="N9" s="1" t="s">
        <v>19</v>
      </c>
      <c r="O9" s="1"/>
    </row>
    <row x14ac:dyDescent="0.25" r="10" customHeight="1" ht="17.25">
      <c r="A10" s="1" t="s">
        <v>34</v>
      </c>
      <c r="B10" s="1" t="s">
        <v>14</v>
      </c>
      <c r="C10" s="1"/>
      <c r="D10" s="2"/>
      <c r="E10" s="3"/>
      <c r="F10" s="2"/>
      <c r="G10" s="2"/>
      <c r="H10" s="2"/>
      <c r="I10" s="2"/>
      <c r="J10" s="2"/>
      <c r="K10" s="2"/>
      <c r="L10" s="4">
        <f>300+18.62</f>
      </c>
      <c r="M10" s="4">
        <f>300+18.62</f>
      </c>
      <c r="N10" s="1" t="s">
        <v>15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0</v>
      </c>
      <c r="I11" s="5">
        <v>24</v>
      </c>
      <c r="J11" s="5">
        <v>0</v>
      </c>
      <c r="K11" s="5">
        <v>6</v>
      </c>
      <c r="L11" s="4">
        <v>0.4659</v>
      </c>
      <c r="M11" s="14">
        <f>L11/2.83168</f>
      </c>
      <c r="N11" s="1" t="s">
        <v>36</v>
      </c>
      <c r="O11" s="1" t="s">
        <v>133</v>
      </c>
    </row>
    <row x14ac:dyDescent="0.25" r="12" customHeight="1" ht="17.25">
      <c r="A12" s="1" t="s">
        <v>34</v>
      </c>
      <c r="B12" s="1" t="s">
        <v>25</v>
      </c>
      <c r="C12" s="1"/>
      <c r="D12" s="5">
        <v>2500</v>
      </c>
      <c r="E12" s="4">
        <f>D12*2.83168</f>
      </c>
      <c r="F12" s="5">
        <v>1</v>
      </c>
      <c r="G12" s="5">
        <v>1</v>
      </c>
      <c r="H12" s="5">
        <v>0</v>
      </c>
      <c r="I12" s="5">
        <v>24</v>
      </c>
      <c r="J12" s="5">
        <v>0</v>
      </c>
      <c r="K12" s="5">
        <v>6</v>
      </c>
      <c r="L12" s="4">
        <v>0.4506</v>
      </c>
      <c r="M12" s="14">
        <f>L12/2.83168</f>
      </c>
      <c r="N12" s="1" t="s">
        <v>36</v>
      </c>
      <c r="O12" s="1" t="s">
        <v>133</v>
      </c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2</v>
      </c>
      <c r="G13" s="5">
        <v>2</v>
      </c>
      <c r="H13" s="5">
        <v>0</v>
      </c>
      <c r="I13" s="5">
        <v>24</v>
      </c>
      <c r="J13" s="5">
        <v>0</v>
      </c>
      <c r="K13" s="5">
        <v>6</v>
      </c>
      <c r="L13" s="4">
        <v>0.4826</v>
      </c>
      <c r="M13" s="14">
        <f>L13/2.83168</f>
      </c>
      <c r="N13" s="1" t="s">
        <v>36</v>
      </c>
      <c r="O13" s="1" t="s">
        <v>133</v>
      </c>
    </row>
    <row x14ac:dyDescent="0.25" r="14" customHeight="1" ht="17.25">
      <c r="A14" s="1" t="s">
        <v>34</v>
      </c>
      <c r="B14" s="1" t="s">
        <v>25</v>
      </c>
      <c r="C14" s="1"/>
      <c r="D14" s="5">
        <v>2500</v>
      </c>
      <c r="E14" s="4">
        <f>D14*2.83168</f>
      </c>
      <c r="F14" s="5">
        <v>2</v>
      </c>
      <c r="G14" s="5">
        <v>2</v>
      </c>
      <c r="H14" s="5">
        <v>0</v>
      </c>
      <c r="I14" s="5">
        <v>24</v>
      </c>
      <c r="J14" s="5">
        <v>0</v>
      </c>
      <c r="K14" s="5">
        <v>6</v>
      </c>
      <c r="L14" s="4">
        <v>0.4673</v>
      </c>
      <c r="M14" s="14">
        <f>L14/2.83168</f>
      </c>
      <c r="N14" s="1" t="s">
        <v>36</v>
      </c>
      <c r="O14" s="1" t="s">
        <v>133</v>
      </c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3</v>
      </c>
      <c r="G15" s="5">
        <v>3</v>
      </c>
      <c r="H15" s="5">
        <v>0</v>
      </c>
      <c r="I15" s="5">
        <v>24</v>
      </c>
      <c r="J15" s="5">
        <v>0</v>
      </c>
      <c r="K15" s="5">
        <v>6</v>
      </c>
      <c r="L15" s="4">
        <v>0.4994</v>
      </c>
      <c r="M15" s="14">
        <f>L15/2.83168</f>
      </c>
      <c r="N15" s="1" t="s">
        <v>36</v>
      </c>
      <c r="O15" s="1" t="s">
        <v>133</v>
      </c>
    </row>
    <row x14ac:dyDescent="0.25" r="16" customHeight="1" ht="17.25">
      <c r="A16" s="1" t="s">
        <v>34</v>
      </c>
      <c r="B16" s="1" t="s">
        <v>25</v>
      </c>
      <c r="C16" s="1"/>
      <c r="D16" s="5">
        <v>2500</v>
      </c>
      <c r="E16" s="4">
        <f>D16*2.83168</f>
      </c>
      <c r="F16" s="5">
        <v>3</v>
      </c>
      <c r="G16" s="5">
        <v>3</v>
      </c>
      <c r="H16" s="5">
        <v>0</v>
      </c>
      <c r="I16" s="5">
        <v>24</v>
      </c>
      <c r="J16" s="5">
        <v>0</v>
      </c>
      <c r="K16" s="5">
        <v>6</v>
      </c>
      <c r="L16" s="4">
        <v>0.4841</v>
      </c>
      <c r="M16" s="14">
        <f>L16/2.83168</f>
      </c>
      <c r="N16" s="1" t="s">
        <v>36</v>
      </c>
      <c r="O16" s="1" t="s">
        <v>133</v>
      </c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4</v>
      </c>
      <c r="G17" s="5">
        <v>4</v>
      </c>
      <c r="H17" s="5">
        <v>0</v>
      </c>
      <c r="I17" s="5">
        <v>24</v>
      </c>
      <c r="J17" s="5">
        <v>0</v>
      </c>
      <c r="K17" s="5">
        <v>6</v>
      </c>
      <c r="L17" s="4">
        <v>0.3929</v>
      </c>
      <c r="M17" s="14">
        <f>L17/2.83168</f>
      </c>
      <c r="N17" s="1" t="s">
        <v>36</v>
      </c>
      <c r="O17" s="1" t="s">
        <v>133</v>
      </c>
    </row>
    <row x14ac:dyDescent="0.25" r="18" customHeight="1" ht="17.25">
      <c r="A18" s="1" t="s">
        <v>34</v>
      </c>
      <c r="B18" s="1" t="s">
        <v>25</v>
      </c>
      <c r="C18" s="1"/>
      <c r="D18" s="5">
        <v>2500</v>
      </c>
      <c r="E18" s="4">
        <f>D18*2.83168</f>
      </c>
      <c r="F18" s="5">
        <v>4</v>
      </c>
      <c r="G18" s="5">
        <v>4</v>
      </c>
      <c r="H18" s="5">
        <v>0</v>
      </c>
      <c r="I18" s="5">
        <v>24</v>
      </c>
      <c r="J18" s="5">
        <v>0</v>
      </c>
      <c r="K18" s="5">
        <v>6</v>
      </c>
      <c r="L18" s="4">
        <v>0.3778</v>
      </c>
      <c r="M18" s="14">
        <f>L18/2.83168</f>
      </c>
      <c r="N18" s="1" t="s">
        <v>36</v>
      </c>
      <c r="O18" s="1" t="s">
        <v>133</v>
      </c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5</v>
      </c>
      <c r="G19" s="5">
        <v>5</v>
      </c>
      <c r="H19" s="5">
        <v>0</v>
      </c>
      <c r="I19" s="5">
        <v>24</v>
      </c>
      <c r="J19" s="5">
        <v>0</v>
      </c>
      <c r="K19" s="5">
        <v>6</v>
      </c>
      <c r="L19" s="4">
        <v>0.4454</v>
      </c>
      <c r="M19" s="14">
        <f>L19/2.83168</f>
      </c>
      <c r="N19" s="1" t="s">
        <v>36</v>
      </c>
      <c r="O19" s="1" t="s">
        <v>133</v>
      </c>
    </row>
    <row x14ac:dyDescent="0.25" r="20" customHeight="1" ht="17.25">
      <c r="A20" s="1" t="s">
        <v>34</v>
      </c>
      <c r="B20" s="1" t="s">
        <v>25</v>
      </c>
      <c r="C20" s="1"/>
      <c r="D20" s="5">
        <v>2500</v>
      </c>
      <c r="E20" s="4">
        <f>D20*2.83168</f>
      </c>
      <c r="F20" s="5">
        <v>5</v>
      </c>
      <c r="G20" s="5">
        <v>5</v>
      </c>
      <c r="H20" s="5">
        <v>0</v>
      </c>
      <c r="I20" s="5">
        <v>24</v>
      </c>
      <c r="J20" s="5">
        <v>0</v>
      </c>
      <c r="K20" s="5">
        <v>6</v>
      </c>
      <c r="L20" s="4">
        <v>0.4303</v>
      </c>
      <c r="M20" s="14">
        <f>L20/2.83168</f>
      </c>
      <c r="N20" s="1" t="s">
        <v>36</v>
      </c>
      <c r="O20" s="1" t="s">
        <v>133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6</v>
      </c>
      <c r="G21" s="5">
        <v>6</v>
      </c>
      <c r="H21" s="5">
        <v>0</v>
      </c>
      <c r="I21" s="5">
        <v>24</v>
      </c>
      <c r="J21" s="5">
        <v>0</v>
      </c>
      <c r="K21" s="5">
        <v>6</v>
      </c>
      <c r="L21" s="4">
        <v>0.4588</v>
      </c>
      <c r="M21" s="14">
        <f>L21/2.83168</f>
      </c>
      <c r="N21" s="1" t="s">
        <v>36</v>
      </c>
      <c r="O21" s="1" t="s">
        <v>133</v>
      </c>
    </row>
    <row x14ac:dyDescent="0.25" r="22" customHeight="1" ht="17.25">
      <c r="A22" s="1" t="s">
        <v>34</v>
      </c>
      <c r="B22" s="1" t="s">
        <v>25</v>
      </c>
      <c r="C22" s="1"/>
      <c r="D22" s="5">
        <v>2500</v>
      </c>
      <c r="E22" s="4">
        <f>D22*2.83168</f>
      </c>
      <c r="F22" s="5">
        <v>6</v>
      </c>
      <c r="G22" s="5">
        <v>6</v>
      </c>
      <c r="H22" s="5">
        <v>0</v>
      </c>
      <c r="I22" s="5">
        <v>24</v>
      </c>
      <c r="J22" s="5">
        <v>0</v>
      </c>
      <c r="K22" s="5">
        <v>6</v>
      </c>
      <c r="L22" s="4">
        <v>0.4437</v>
      </c>
      <c r="M22" s="14">
        <f>L22/2.83168</f>
      </c>
      <c r="N22" s="1" t="s">
        <v>36</v>
      </c>
      <c r="O22" s="1" t="s">
        <v>133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7</v>
      </c>
      <c r="H23" s="5">
        <v>0</v>
      </c>
      <c r="I23" s="5">
        <v>24</v>
      </c>
      <c r="J23" s="5">
        <v>0</v>
      </c>
      <c r="K23" s="5">
        <v>6</v>
      </c>
      <c r="L23" s="4">
        <v>0.5312</v>
      </c>
      <c r="M23" s="14">
        <f>L23/2.83168</f>
      </c>
      <c r="N23" s="1" t="s">
        <v>36</v>
      </c>
      <c r="O23" s="1" t="s">
        <v>133</v>
      </c>
    </row>
    <row x14ac:dyDescent="0.25" r="24" customHeight="1" ht="17.25">
      <c r="A24" s="1" t="s">
        <v>34</v>
      </c>
      <c r="B24" s="1" t="s">
        <v>25</v>
      </c>
      <c r="C24" s="1"/>
      <c r="D24" s="5">
        <v>2500</v>
      </c>
      <c r="E24" s="4">
        <f>D24*2.83168</f>
      </c>
      <c r="F24" s="5">
        <v>7</v>
      </c>
      <c r="G24" s="5">
        <v>7</v>
      </c>
      <c r="H24" s="5">
        <v>0</v>
      </c>
      <c r="I24" s="5">
        <v>24</v>
      </c>
      <c r="J24" s="5">
        <v>0</v>
      </c>
      <c r="K24" s="5">
        <v>6</v>
      </c>
      <c r="L24" s="4">
        <v>0.5161</v>
      </c>
      <c r="M24" s="14">
        <f>L24/2.83168</f>
      </c>
      <c r="N24" s="1" t="s">
        <v>36</v>
      </c>
      <c r="O24" s="1" t="s">
        <v>133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24</v>
      </c>
      <c r="J25" s="5">
        <v>0</v>
      </c>
      <c r="K25" s="5">
        <v>6</v>
      </c>
      <c r="L25" s="4">
        <v>0.5739</v>
      </c>
      <c r="M25" s="14">
        <f>L25/2.83168</f>
      </c>
      <c r="N25" s="1" t="s">
        <v>36</v>
      </c>
      <c r="O25" s="1" t="s">
        <v>133</v>
      </c>
    </row>
    <row x14ac:dyDescent="0.25" r="26" customHeight="1" ht="17.25">
      <c r="A26" s="1" t="s">
        <v>34</v>
      </c>
      <c r="B26" s="1" t="s">
        <v>25</v>
      </c>
      <c r="C26" s="1"/>
      <c r="D26" s="5">
        <v>2500</v>
      </c>
      <c r="E26" s="4">
        <f>D26*2.83168</f>
      </c>
      <c r="F26" s="5">
        <v>8</v>
      </c>
      <c r="G26" s="5">
        <v>8</v>
      </c>
      <c r="H26" s="5">
        <v>0</v>
      </c>
      <c r="I26" s="5">
        <v>24</v>
      </c>
      <c r="J26" s="5">
        <v>0</v>
      </c>
      <c r="K26" s="5">
        <v>6</v>
      </c>
      <c r="L26" s="4">
        <v>0.5588</v>
      </c>
      <c r="M26" s="14">
        <f>L26/2.83168</f>
      </c>
      <c r="N26" s="1" t="s">
        <v>36</v>
      </c>
      <c r="O26" s="1" t="s">
        <v>133</v>
      </c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9</v>
      </c>
      <c r="G27" s="5">
        <v>9</v>
      </c>
      <c r="H27" s="5">
        <v>0</v>
      </c>
      <c r="I27" s="5">
        <v>24</v>
      </c>
      <c r="J27" s="5">
        <v>0</v>
      </c>
      <c r="K27" s="5">
        <v>6</v>
      </c>
      <c r="L27" s="4">
        <v>0.5943</v>
      </c>
      <c r="M27" s="14">
        <f>L27/2.83168</f>
      </c>
      <c r="N27" s="1" t="s">
        <v>36</v>
      </c>
      <c r="O27" s="1" t="s">
        <v>133</v>
      </c>
    </row>
    <row x14ac:dyDescent="0.25" r="28" customHeight="1" ht="17.25">
      <c r="A28" s="1" t="s">
        <v>34</v>
      </c>
      <c r="B28" s="1" t="s">
        <v>25</v>
      </c>
      <c r="C28" s="1"/>
      <c r="D28" s="5">
        <v>2500</v>
      </c>
      <c r="E28" s="4">
        <f>D28*2.83168</f>
      </c>
      <c r="F28" s="5">
        <v>9</v>
      </c>
      <c r="G28" s="5">
        <v>9</v>
      </c>
      <c r="H28" s="5">
        <v>0</v>
      </c>
      <c r="I28" s="5">
        <v>24</v>
      </c>
      <c r="J28" s="5">
        <v>0</v>
      </c>
      <c r="K28" s="5">
        <v>6</v>
      </c>
      <c r="L28" s="4">
        <v>0.5792</v>
      </c>
      <c r="M28" s="14">
        <f>L28/2.83168</f>
      </c>
      <c r="N28" s="1" t="s">
        <v>36</v>
      </c>
      <c r="O28" s="1" t="s">
        <v>133</v>
      </c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10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0.7397</v>
      </c>
      <c r="M29" s="14">
        <f>L29/2.83168</f>
      </c>
      <c r="N29" s="1" t="s">
        <v>36</v>
      </c>
      <c r="O29" s="1" t="s">
        <v>133</v>
      </c>
    </row>
    <row x14ac:dyDescent="0.25" r="30" customHeight="1" ht="17.25">
      <c r="A30" s="1" t="s">
        <v>34</v>
      </c>
      <c r="B30" s="1" t="s">
        <v>25</v>
      </c>
      <c r="C30" s="1"/>
      <c r="D30" s="5">
        <v>2500</v>
      </c>
      <c r="E30" s="4">
        <f>D30*2.83168</f>
      </c>
      <c r="F30" s="5">
        <v>10</v>
      </c>
      <c r="G30" s="5">
        <v>10</v>
      </c>
      <c r="H30" s="5">
        <v>0</v>
      </c>
      <c r="I30" s="5">
        <v>24</v>
      </c>
      <c r="J30" s="5">
        <v>0</v>
      </c>
      <c r="K30" s="5">
        <v>6</v>
      </c>
      <c r="L30" s="4">
        <v>0.7246</v>
      </c>
      <c r="M30" s="14">
        <f>L30/2.83168</f>
      </c>
      <c r="N30" s="1" t="s">
        <v>36</v>
      </c>
      <c r="O30" s="1" t="s">
        <v>133</v>
      </c>
    </row>
    <row x14ac:dyDescent="0.25" r="31" customHeight="1" ht="17.25">
      <c r="A31" s="1" t="s">
        <v>34</v>
      </c>
      <c r="B31" s="1" t="s">
        <v>25</v>
      </c>
      <c r="C31" s="1"/>
      <c r="D31" s="5">
        <v>0</v>
      </c>
      <c r="E31" s="5">
        <v>0</v>
      </c>
      <c r="F31" s="5">
        <v>11</v>
      </c>
      <c r="G31" s="5">
        <v>11</v>
      </c>
      <c r="H31" s="5">
        <v>0</v>
      </c>
      <c r="I31" s="5">
        <v>24</v>
      </c>
      <c r="J31" s="5">
        <v>0</v>
      </c>
      <c r="K31" s="5">
        <v>6</v>
      </c>
      <c r="L31" s="4">
        <v>0.8282</v>
      </c>
      <c r="M31" s="14">
        <f>L31/2.83168</f>
      </c>
      <c r="N31" s="1" t="s">
        <v>36</v>
      </c>
      <c r="O31" s="1" t="s">
        <v>133</v>
      </c>
    </row>
    <row x14ac:dyDescent="0.25" r="32" customHeight="1" ht="17.25">
      <c r="A32" s="1" t="s">
        <v>34</v>
      </c>
      <c r="B32" s="1" t="s">
        <v>25</v>
      </c>
      <c r="C32" s="1"/>
      <c r="D32" s="5">
        <v>2500</v>
      </c>
      <c r="E32" s="4">
        <f>D32*2.83168</f>
      </c>
      <c r="F32" s="5">
        <v>11</v>
      </c>
      <c r="G32" s="5">
        <v>11</v>
      </c>
      <c r="H32" s="5">
        <v>0</v>
      </c>
      <c r="I32" s="5">
        <v>24</v>
      </c>
      <c r="J32" s="5">
        <v>0</v>
      </c>
      <c r="K32" s="5">
        <v>6</v>
      </c>
      <c r="L32" s="4">
        <v>0.8129</v>
      </c>
      <c r="M32" s="14">
        <f>L32/2.83168</f>
      </c>
      <c r="N32" s="1" t="s">
        <v>36</v>
      </c>
      <c r="O32" s="1" t="s">
        <v>133</v>
      </c>
    </row>
    <row x14ac:dyDescent="0.25" r="33" customHeight="1" ht="17.25">
      <c r="A33" s="1" t="s">
        <v>34</v>
      </c>
      <c r="B33" s="1" t="s">
        <v>25</v>
      </c>
      <c r="C33" s="1"/>
      <c r="D33" s="5">
        <v>0</v>
      </c>
      <c r="E33" s="5">
        <v>0</v>
      </c>
      <c r="F33" s="5">
        <v>12</v>
      </c>
      <c r="G33" s="5">
        <v>12</v>
      </c>
      <c r="H33" s="5">
        <v>0</v>
      </c>
      <c r="I33" s="5">
        <v>24</v>
      </c>
      <c r="J33" s="5">
        <v>0</v>
      </c>
      <c r="K33" s="5">
        <v>6</v>
      </c>
      <c r="L33" s="4">
        <v>0.7721</v>
      </c>
      <c r="M33" s="14">
        <f>L33/2.83168</f>
      </c>
      <c r="N33" s="1" t="s">
        <v>36</v>
      </c>
      <c r="O33" s="1" t="s">
        <v>133</v>
      </c>
    </row>
    <row x14ac:dyDescent="0.25" r="34" customHeight="1" ht="17.25">
      <c r="A34" s="1" t="s">
        <v>34</v>
      </c>
      <c r="B34" s="1" t="s">
        <v>25</v>
      </c>
      <c r="C34" s="1"/>
      <c r="D34" s="5">
        <v>2500</v>
      </c>
      <c r="E34" s="4">
        <f>D34*2.83168</f>
      </c>
      <c r="F34" s="5">
        <v>12</v>
      </c>
      <c r="G34" s="5">
        <v>12</v>
      </c>
      <c r="H34" s="5">
        <v>0</v>
      </c>
      <c r="I34" s="5">
        <v>24</v>
      </c>
      <c r="J34" s="5">
        <v>0</v>
      </c>
      <c r="K34" s="5">
        <v>6</v>
      </c>
      <c r="L34" s="4">
        <v>0.7568</v>
      </c>
      <c r="M34" s="14">
        <f>L34/2.83168</f>
      </c>
      <c r="N34" s="1" t="s">
        <v>36</v>
      </c>
      <c r="O34" s="1" t="s">
        <v>133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119.61</v>
      </c>
      <c r="M2" s="4">
        <v>119.61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7</v>
      </c>
      <c r="J3" s="5">
        <v>0</v>
      </c>
      <c r="K3" s="5">
        <v>4</v>
      </c>
      <c r="L3" s="4">
        <f>0.002568+0.000055+0.020448</f>
      </c>
      <c r="M3" s="4">
        <f>0.002568+0.000055+0.020448</f>
      </c>
      <c r="N3" s="1" t="s">
        <v>26</v>
      </c>
      <c r="O3" s="1" t="s">
        <v>107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7</v>
      </c>
      <c r="I4" s="5">
        <v>22</v>
      </c>
      <c r="J4" s="5">
        <v>0</v>
      </c>
      <c r="K4" s="5">
        <v>4</v>
      </c>
      <c r="L4" s="4">
        <f>0.003814+0.000055+0.020448</f>
      </c>
      <c r="M4" s="4">
        <f>0.003814+0.000055+0.020448</f>
      </c>
      <c r="N4" s="1" t="s">
        <v>26</v>
      </c>
      <c r="O4" s="1" t="s">
        <v>107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22</v>
      </c>
      <c r="I5" s="5">
        <v>24</v>
      </c>
      <c r="J5" s="5">
        <v>0</v>
      </c>
      <c r="K5" s="5">
        <v>4</v>
      </c>
      <c r="L5" s="4">
        <f>0.002568+0.000055+0.020448</f>
      </c>
      <c r="M5" s="4">
        <f>0.002568+0.000055+0.020448</f>
      </c>
      <c r="N5" s="1" t="s">
        <v>26</v>
      </c>
      <c r="O5" s="1" t="s">
        <v>107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0</v>
      </c>
      <c r="I6" s="5">
        <v>24</v>
      </c>
      <c r="J6" s="5">
        <v>5</v>
      </c>
      <c r="K6" s="5">
        <v>6</v>
      </c>
      <c r="L6" s="4">
        <f>0.002568+0.000055+0.020448</f>
      </c>
      <c r="M6" s="4">
        <f>0.002568+0.000055+0.020448</f>
      </c>
      <c r="N6" s="1" t="s">
        <v>26</v>
      </c>
      <c r="O6" s="1" t="s">
        <v>107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10</v>
      </c>
      <c r="J7" s="5">
        <v>0</v>
      </c>
      <c r="K7" s="5">
        <v>4</v>
      </c>
      <c r="L7" s="4">
        <f>0.003814+0.000055+0.020448</f>
      </c>
      <c r="M7" s="4">
        <f>0.003814+0.000055+0.020448</f>
      </c>
      <c r="N7" s="1" t="s">
        <v>26</v>
      </c>
      <c r="O7" s="1" t="s">
        <v>107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10</v>
      </c>
      <c r="I8" s="5">
        <v>22</v>
      </c>
      <c r="J8" s="5">
        <v>0</v>
      </c>
      <c r="K8" s="5">
        <v>4</v>
      </c>
      <c r="L8" s="4">
        <f>0.002568+0.000055+0.020448</f>
      </c>
      <c r="M8" s="4">
        <f>0.002568+0.000055+0.020448</f>
      </c>
      <c r="N8" s="1" t="s">
        <v>26</v>
      </c>
      <c r="O8" s="1" t="s">
        <v>107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22</v>
      </c>
      <c r="I9" s="5">
        <v>24</v>
      </c>
      <c r="J9" s="5">
        <v>0</v>
      </c>
      <c r="K9" s="5">
        <v>4</v>
      </c>
      <c r="L9" s="4">
        <f>0.002568+0.000055+0.020448</f>
      </c>
      <c r="M9" s="4">
        <f>0.002568+0.000055+0.020448</f>
      </c>
      <c r="N9" s="1" t="s">
        <v>26</v>
      </c>
      <c r="O9" s="1" t="s">
        <v>107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0</v>
      </c>
      <c r="I10" s="5">
        <v>24</v>
      </c>
      <c r="J10" s="5">
        <v>5</v>
      </c>
      <c r="K10" s="5">
        <v>6</v>
      </c>
      <c r="L10" s="4">
        <f>0.002568+0.000055+0.020448</f>
      </c>
      <c r="M10" s="4">
        <f>0.002568+0.000055+0.020448</f>
      </c>
      <c r="N10" s="1" t="s">
        <v>26</v>
      </c>
      <c r="O10" s="1" t="s">
        <v>107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10</v>
      </c>
      <c r="G11" s="5">
        <v>12</v>
      </c>
      <c r="H11" s="5">
        <v>0</v>
      </c>
      <c r="I11" s="5">
        <v>7</v>
      </c>
      <c r="J11" s="5">
        <v>0</v>
      </c>
      <c r="K11" s="5">
        <v>4</v>
      </c>
      <c r="L11" s="4">
        <f>0.002568+0.000055+0.020448</f>
      </c>
      <c r="M11" s="4">
        <f>0.002568+0.000055+0.020448</f>
      </c>
      <c r="N11" s="1" t="s">
        <v>26</v>
      </c>
      <c r="O11" s="1" t="s">
        <v>107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12</v>
      </c>
      <c r="H12" s="5">
        <v>7</v>
      </c>
      <c r="I12" s="5">
        <v>22</v>
      </c>
      <c r="J12" s="5">
        <v>0</v>
      </c>
      <c r="K12" s="5">
        <v>4</v>
      </c>
      <c r="L12" s="4">
        <f>0.003814+0.000055+0.020448</f>
      </c>
      <c r="M12" s="4">
        <f>0.003814+0.000055+0.020448</f>
      </c>
      <c r="N12" s="1" t="s">
        <v>26</v>
      </c>
      <c r="O12" s="1" t="s">
        <v>107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10</v>
      </c>
      <c r="G13" s="5">
        <v>12</v>
      </c>
      <c r="H13" s="5">
        <v>22</v>
      </c>
      <c r="I13" s="5">
        <v>24</v>
      </c>
      <c r="J13" s="5">
        <v>0</v>
      </c>
      <c r="K13" s="5">
        <v>4</v>
      </c>
      <c r="L13" s="4">
        <f>0.002568+0.000055+0.020448</f>
      </c>
      <c r="M13" s="4">
        <f>0.002568+0.000055+0.020448</f>
      </c>
      <c r="N13" s="1" t="s">
        <v>26</v>
      </c>
      <c r="O13" s="1" t="s">
        <v>107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10</v>
      </c>
      <c r="G14" s="5">
        <v>12</v>
      </c>
      <c r="H14" s="5">
        <v>0</v>
      </c>
      <c r="I14" s="5">
        <v>24</v>
      </c>
      <c r="J14" s="5">
        <v>5</v>
      </c>
      <c r="K14" s="5">
        <v>6</v>
      </c>
      <c r="L14" s="4">
        <f>0.002568+0.000055+0.020448</f>
      </c>
      <c r="M14" s="4">
        <f>0.002568+0.000055+0.020448</f>
      </c>
      <c r="N14" s="1" t="s">
        <v>26</v>
      </c>
      <c r="O14" s="1" t="s">
        <v>107</v>
      </c>
    </row>
    <row x14ac:dyDescent="0.25" r="15" customHeight="1" ht="17.25">
      <c r="A15" s="1" t="s">
        <v>13</v>
      </c>
      <c r="B15" s="1" t="s">
        <v>17</v>
      </c>
      <c r="C15" s="1" t="s">
        <v>108</v>
      </c>
      <c r="D15" s="5">
        <v>0</v>
      </c>
      <c r="E15" s="5">
        <v>0</v>
      </c>
      <c r="F15" s="5">
        <v>1</v>
      </c>
      <c r="G15" s="5">
        <v>5</v>
      </c>
      <c r="H15" s="5">
        <v>0</v>
      </c>
      <c r="I15" s="5">
        <v>7</v>
      </c>
      <c r="J15" s="5">
        <v>0</v>
      </c>
      <c r="K15" s="5">
        <v>4</v>
      </c>
      <c r="L15" s="4">
        <f>0.597+0.94-0.397</f>
      </c>
      <c r="M15" s="4">
        <f>0.597+0.94-0.397</f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109</v>
      </c>
      <c r="D16" s="5">
        <v>0</v>
      </c>
      <c r="E16" s="5">
        <v>0</v>
      </c>
      <c r="F16" s="5">
        <v>1</v>
      </c>
      <c r="G16" s="5">
        <v>5</v>
      </c>
      <c r="H16" s="5">
        <v>7</v>
      </c>
      <c r="I16" s="5">
        <v>22</v>
      </c>
      <c r="J16" s="5">
        <v>0</v>
      </c>
      <c r="K16" s="5">
        <v>4</v>
      </c>
      <c r="L16" s="4">
        <f>10.537+2.371+0.94-0.397</f>
      </c>
      <c r="M16" s="4">
        <f>10.537+2.371+0.94-0.397</f>
      </c>
      <c r="N16" s="1" t="s">
        <v>19</v>
      </c>
      <c r="O16" s="1"/>
    </row>
    <row x14ac:dyDescent="0.25" r="17" customHeight="1" ht="17.25">
      <c r="A17" s="1" t="s">
        <v>13</v>
      </c>
      <c r="B17" s="1" t="s">
        <v>17</v>
      </c>
      <c r="C17" s="1" t="s">
        <v>108</v>
      </c>
      <c r="D17" s="5">
        <v>0</v>
      </c>
      <c r="E17" s="5">
        <v>0</v>
      </c>
      <c r="F17" s="5">
        <v>1</v>
      </c>
      <c r="G17" s="5">
        <v>5</v>
      </c>
      <c r="H17" s="5">
        <v>22</v>
      </c>
      <c r="I17" s="5">
        <v>24</v>
      </c>
      <c r="J17" s="5">
        <v>0</v>
      </c>
      <c r="K17" s="5">
        <v>4</v>
      </c>
      <c r="L17" s="4">
        <f>0.597+0.94-0.397</f>
      </c>
      <c r="M17" s="4">
        <f>0.597+0.94-0.397</f>
      </c>
      <c r="N17" s="1" t="s">
        <v>19</v>
      </c>
      <c r="O17" s="1"/>
    </row>
    <row x14ac:dyDescent="0.25" r="18" customHeight="1" ht="17.25">
      <c r="A18" s="1" t="s">
        <v>13</v>
      </c>
      <c r="B18" s="1" t="s">
        <v>17</v>
      </c>
      <c r="C18" s="1" t="s">
        <v>108</v>
      </c>
      <c r="D18" s="5">
        <v>0</v>
      </c>
      <c r="E18" s="5">
        <v>0</v>
      </c>
      <c r="F18" s="5">
        <v>1</v>
      </c>
      <c r="G18" s="5">
        <v>5</v>
      </c>
      <c r="H18" s="5">
        <v>0</v>
      </c>
      <c r="I18" s="5">
        <v>24</v>
      </c>
      <c r="J18" s="5">
        <v>5</v>
      </c>
      <c r="K18" s="5">
        <v>6</v>
      </c>
      <c r="L18" s="4">
        <f>0.597+0.94-0.397</f>
      </c>
      <c r="M18" s="4">
        <f>0.597+0.94-0.397</f>
      </c>
      <c r="N18" s="1" t="s">
        <v>19</v>
      </c>
      <c r="O18" s="1"/>
    </row>
    <row x14ac:dyDescent="0.25" r="19" customHeight="1" ht="17.25">
      <c r="A19" s="1" t="s">
        <v>13</v>
      </c>
      <c r="B19" s="1" t="s">
        <v>17</v>
      </c>
      <c r="C19" s="1" t="s">
        <v>110</v>
      </c>
      <c r="D19" s="5">
        <v>0</v>
      </c>
      <c r="E19" s="5">
        <v>0</v>
      </c>
      <c r="F19" s="5">
        <v>6</v>
      </c>
      <c r="G19" s="5">
        <v>9</v>
      </c>
      <c r="H19" s="5">
        <v>0</v>
      </c>
      <c r="I19" s="5">
        <v>10</v>
      </c>
      <c r="J19" s="5">
        <v>0</v>
      </c>
      <c r="K19" s="5">
        <v>4</v>
      </c>
      <c r="L19" s="4">
        <f>0.597+0.94-0.397</f>
      </c>
      <c r="M19" s="4">
        <f>0.597+0.94-0.397</f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111</v>
      </c>
      <c r="D20" s="5">
        <v>0</v>
      </c>
      <c r="E20" s="5">
        <v>0</v>
      </c>
      <c r="F20" s="5">
        <v>6</v>
      </c>
      <c r="G20" s="5">
        <v>9</v>
      </c>
      <c r="H20" s="5">
        <v>10</v>
      </c>
      <c r="I20" s="5">
        <v>22</v>
      </c>
      <c r="J20" s="5">
        <v>0</v>
      </c>
      <c r="K20" s="5">
        <v>4</v>
      </c>
      <c r="L20" s="4">
        <f>10.537+2.371+0.94-0.397</f>
      </c>
      <c r="M20" s="4">
        <f>10.537+2.371+0.94-0.397</f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110</v>
      </c>
      <c r="D21" s="5">
        <v>0</v>
      </c>
      <c r="E21" s="5">
        <v>0</v>
      </c>
      <c r="F21" s="5">
        <v>6</v>
      </c>
      <c r="G21" s="5">
        <v>9</v>
      </c>
      <c r="H21" s="5">
        <v>22</v>
      </c>
      <c r="I21" s="5">
        <v>24</v>
      </c>
      <c r="J21" s="5">
        <v>0</v>
      </c>
      <c r="K21" s="5">
        <v>4</v>
      </c>
      <c r="L21" s="4">
        <f>0.597+0.94-0.397</f>
      </c>
      <c r="M21" s="4">
        <f>0.597+0.94-0.397</f>
      </c>
      <c r="N21" s="1" t="s">
        <v>19</v>
      </c>
      <c r="O21" s="1"/>
    </row>
    <row x14ac:dyDescent="0.25" r="22" customHeight="1" ht="17.25">
      <c r="A22" s="1" t="s">
        <v>13</v>
      </c>
      <c r="B22" s="1" t="s">
        <v>17</v>
      </c>
      <c r="C22" s="1" t="s">
        <v>110</v>
      </c>
      <c r="D22" s="5">
        <v>0</v>
      </c>
      <c r="E22" s="5">
        <v>0</v>
      </c>
      <c r="F22" s="5">
        <v>6</v>
      </c>
      <c r="G22" s="5">
        <v>9</v>
      </c>
      <c r="H22" s="5">
        <v>0</v>
      </c>
      <c r="I22" s="5">
        <v>24</v>
      </c>
      <c r="J22" s="5">
        <v>5</v>
      </c>
      <c r="K22" s="5">
        <v>6</v>
      </c>
      <c r="L22" s="4">
        <f>0.597+0.94-0.397</f>
      </c>
      <c r="M22" s="4">
        <f>0.597+0.94-0.397</f>
      </c>
      <c r="N22" s="1" t="s">
        <v>19</v>
      </c>
      <c r="O22" s="1"/>
    </row>
    <row x14ac:dyDescent="0.25" r="23" customHeight="1" ht="17.25">
      <c r="A23" s="1" t="s">
        <v>13</v>
      </c>
      <c r="B23" s="1" t="s">
        <v>17</v>
      </c>
      <c r="C23" s="1" t="s">
        <v>112</v>
      </c>
      <c r="D23" s="5">
        <v>0</v>
      </c>
      <c r="E23" s="5">
        <v>0</v>
      </c>
      <c r="F23" s="5">
        <v>10</v>
      </c>
      <c r="G23" s="5">
        <v>12</v>
      </c>
      <c r="H23" s="5">
        <v>0</v>
      </c>
      <c r="I23" s="5">
        <v>7</v>
      </c>
      <c r="J23" s="5">
        <v>0</v>
      </c>
      <c r="K23" s="5">
        <v>4</v>
      </c>
      <c r="L23" s="4">
        <f>0.597+0.94-0.397</f>
      </c>
      <c r="M23" s="4">
        <f>0.597+0.94-0.397</f>
      </c>
      <c r="N23" s="1" t="s">
        <v>19</v>
      </c>
      <c r="O23" s="1"/>
    </row>
    <row x14ac:dyDescent="0.25" r="24" customHeight="1" ht="17.25">
      <c r="A24" s="1" t="s">
        <v>13</v>
      </c>
      <c r="B24" s="1" t="s">
        <v>17</v>
      </c>
      <c r="C24" s="1" t="s">
        <v>113</v>
      </c>
      <c r="D24" s="5">
        <v>0</v>
      </c>
      <c r="E24" s="5">
        <v>0</v>
      </c>
      <c r="F24" s="5">
        <v>10</v>
      </c>
      <c r="G24" s="5">
        <v>12</v>
      </c>
      <c r="H24" s="5">
        <v>7</v>
      </c>
      <c r="I24" s="5">
        <v>22</v>
      </c>
      <c r="J24" s="5">
        <v>0</v>
      </c>
      <c r="K24" s="5">
        <v>4</v>
      </c>
      <c r="L24" s="4">
        <f>10.537+2.371+0.94-0.397</f>
      </c>
      <c r="M24" s="4">
        <f>10.537+2.371+0.94-0.397</f>
      </c>
      <c r="N24" s="1" t="s">
        <v>19</v>
      </c>
      <c r="O24" s="1"/>
    </row>
    <row x14ac:dyDescent="0.25" r="25" customHeight="1" ht="17.25">
      <c r="A25" s="1" t="s">
        <v>13</v>
      </c>
      <c r="B25" s="1" t="s">
        <v>17</v>
      </c>
      <c r="C25" s="1" t="s">
        <v>112</v>
      </c>
      <c r="D25" s="5">
        <v>0</v>
      </c>
      <c r="E25" s="5">
        <v>0</v>
      </c>
      <c r="F25" s="5">
        <v>10</v>
      </c>
      <c r="G25" s="5">
        <v>12</v>
      </c>
      <c r="H25" s="5">
        <v>22</v>
      </c>
      <c r="I25" s="5">
        <v>24</v>
      </c>
      <c r="J25" s="5">
        <v>0</v>
      </c>
      <c r="K25" s="5">
        <v>4</v>
      </c>
      <c r="L25" s="4">
        <f>0.597+0.94-0.397</f>
      </c>
      <c r="M25" s="4">
        <f>0.597+0.94-0.397</f>
      </c>
      <c r="N25" s="1" t="s">
        <v>19</v>
      </c>
      <c r="O25" s="1"/>
    </row>
    <row x14ac:dyDescent="0.25" r="26" customHeight="1" ht="17.25">
      <c r="A26" s="1" t="s">
        <v>13</v>
      </c>
      <c r="B26" s="1" t="s">
        <v>17</v>
      </c>
      <c r="C26" s="1" t="s">
        <v>112</v>
      </c>
      <c r="D26" s="5">
        <v>0</v>
      </c>
      <c r="E26" s="5">
        <v>0</v>
      </c>
      <c r="F26" s="5">
        <v>10</v>
      </c>
      <c r="G26" s="5">
        <v>12</v>
      </c>
      <c r="H26" s="5">
        <v>0</v>
      </c>
      <c r="I26" s="5">
        <v>24</v>
      </c>
      <c r="J26" s="5">
        <v>5</v>
      </c>
      <c r="K26" s="5">
        <v>6</v>
      </c>
      <c r="L26" s="4">
        <f>0.597+0.94-0.397</f>
      </c>
      <c r="M26" s="4">
        <f>0.597+0.94-0.397</f>
      </c>
      <c r="N26" s="1" t="s">
        <v>19</v>
      </c>
      <c r="O26" s="1"/>
    </row>
    <row x14ac:dyDescent="0.25" r="27" customHeight="1" ht="17.25">
      <c r="A27" s="1" t="s">
        <v>13</v>
      </c>
      <c r="B27" s="1" t="s">
        <v>17</v>
      </c>
      <c r="C27" s="1" t="s">
        <v>108</v>
      </c>
      <c r="D27" s="5">
        <v>5000</v>
      </c>
      <c r="E27" s="5">
        <v>5000</v>
      </c>
      <c r="F27" s="5">
        <v>1</v>
      </c>
      <c r="G27" s="5">
        <v>5</v>
      </c>
      <c r="H27" s="5">
        <v>0</v>
      </c>
      <c r="I27" s="5">
        <v>7</v>
      </c>
      <c r="J27" s="5">
        <v>0</v>
      </c>
      <c r="K27" s="5">
        <v>4</v>
      </c>
      <c r="L27" s="4">
        <f>0.597 - 0.3+0.709</f>
      </c>
      <c r="M27" s="4">
        <f>0.597 - 0.3+0.709</f>
      </c>
      <c r="N27" s="1" t="s">
        <v>19</v>
      </c>
      <c r="O27" s="1"/>
    </row>
    <row x14ac:dyDescent="0.25" r="28" customHeight="1" ht="17.25">
      <c r="A28" s="1" t="s">
        <v>13</v>
      </c>
      <c r="B28" s="1" t="s">
        <v>17</v>
      </c>
      <c r="C28" s="1" t="s">
        <v>109</v>
      </c>
      <c r="D28" s="5">
        <v>5000</v>
      </c>
      <c r="E28" s="5">
        <v>5000</v>
      </c>
      <c r="F28" s="5">
        <v>1</v>
      </c>
      <c r="G28" s="5">
        <v>5</v>
      </c>
      <c r="H28" s="5">
        <v>7</v>
      </c>
      <c r="I28" s="5">
        <v>22</v>
      </c>
      <c r="J28" s="5">
        <v>0</v>
      </c>
      <c r="K28" s="5">
        <v>4</v>
      </c>
      <c r="L28" s="4">
        <f>10.537+2.371- 0.3+0.709</f>
      </c>
      <c r="M28" s="4">
        <f>10.537+2.371- 0.3+0.709</f>
      </c>
      <c r="N28" s="1" t="s">
        <v>19</v>
      </c>
      <c r="O28" s="1"/>
    </row>
    <row x14ac:dyDescent="0.25" r="29" customHeight="1" ht="17.25">
      <c r="A29" s="1" t="s">
        <v>13</v>
      </c>
      <c r="B29" s="1" t="s">
        <v>17</v>
      </c>
      <c r="C29" s="1" t="s">
        <v>108</v>
      </c>
      <c r="D29" s="5">
        <v>5000</v>
      </c>
      <c r="E29" s="5">
        <v>5000</v>
      </c>
      <c r="F29" s="5">
        <v>1</v>
      </c>
      <c r="G29" s="5">
        <v>5</v>
      </c>
      <c r="H29" s="5">
        <v>22</v>
      </c>
      <c r="I29" s="5">
        <v>24</v>
      </c>
      <c r="J29" s="5">
        <v>0</v>
      </c>
      <c r="K29" s="5">
        <v>4</v>
      </c>
      <c r="L29" s="4">
        <f>0.597 - 0.3+0.709</f>
      </c>
      <c r="M29" s="4">
        <f>0.597 - 0.3+0.709</f>
      </c>
      <c r="N29" s="1" t="s">
        <v>19</v>
      </c>
      <c r="O29" s="1"/>
    </row>
    <row x14ac:dyDescent="0.25" r="30" customHeight="1" ht="17.25">
      <c r="A30" s="1" t="s">
        <v>13</v>
      </c>
      <c r="B30" s="1" t="s">
        <v>17</v>
      </c>
      <c r="C30" s="1" t="s">
        <v>108</v>
      </c>
      <c r="D30" s="5">
        <v>5000</v>
      </c>
      <c r="E30" s="5">
        <v>5000</v>
      </c>
      <c r="F30" s="5">
        <v>1</v>
      </c>
      <c r="G30" s="5">
        <v>5</v>
      </c>
      <c r="H30" s="5">
        <v>0</v>
      </c>
      <c r="I30" s="5">
        <v>24</v>
      </c>
      <c r="J30" s="5">
        <v>5</v>
      </c>
      <c r="K30" s="5">
        <v>6</v>
      </c>
      <c r="L30" s="4">
        <f>0.597 - 0.3+0.709</f>
      </c>
      <c r="M30" s="4">
        <f>0.597 - 0.3+0.709</f>
      </c>
      <c r="N30" s="1" t="s">
        <v>19</v>
      </c>
      <c r="O30" s="1"/>
    </row>
    <row x14ac:dyDescent="0.25" r="31" customHeight="1" ht="17.25">
      <c r="A31" s="1" t="s">
        <v>13</v>
      </c>
      <c r="B31" s="1" t="s">
        <v>17</v>
      </c>
      <c r="C31" s="1" t="s">
        <v>110</v>
      </c>
      <c r="D31" s="5">
        <v>5000</v>
      </c>
      <c r="E31" s="5">
        <v>5000</v>
      </c>
      <c r="F31" s="5">
        <v>6</v>
      </c>
      <c r="G31" s="5">
        <v>9</v>
      </c>
      <c r="H31" s="5">
        <v>0</v>
      </c>
      <c r="I31" s="5">
        <v>10</v>
      </c>
      <c r="J31" s="5">
        <v>0</v>
      </c>
      <c r="K31" s="5">
        <v>4</v>
      </c>
      <c r="L31" s="4">
        <f>0.597 - 0.3+0.709</f>
      </c>
      <c r="M31" s="4">
        <f>0.597 - 0.3+0.709</f>
      </c>
      <c r="N31" s="1" t="s">
        <v>19</v>
      </c>
      <c r="O31" s="1"/>
    </row>
    <row x14ac:dyDescent="0.25" r="32" customHeight="1" ht="17.25">
      <c r="A32" s="1" t="s">
        <v>13</v>
      </c>
      <c r="B32" s="1" t="s">
        <v>17</v>
      </c>
      <c r="C32" s="1" t="s">
        <v>111</v>
      </c>
      <c r="D32" s="5">
        <v>5000</v>
      </c>
      <c r="E32" s="5">
        <v>5000</v>
      </c>
      <c r="F32" s="5">
        <v>6</v>
      </c>
      <c r="G32" s="5">
        <v>9</v>
      </c>
      <c r="H32" s="5">
        <v>10</v>
      </c>
      <c r="I32" s="5">
        <v>22</v>
      </c>
      <c r="J32" s="5">
        <v>0</v>
      </c>
      <c r="K32" s="5">
        <v>4</v>
      </c>
      <c r="L32" s="4">
        <f>10.537+2.371- 0.3+0.709</f>
      </c>
      <c r="M32" s="4">
        <f>10.537+2.371- 0.3+0.709</f>
      </c>
      <c r="N32" s="1" t="s">
        <v>19</v>
      </c>
      <c r="O32" s="1"/>
    </row>
    <row x14ac:dyDescent="0.25" r="33" customHeight="1" ht="17.25">
      <c r="A33" s="1" t="s">
        <v>13</v>
      </c>
      <c r="B33" s="1" t="s">
        <v>17</v>
      </c>
      <c r="C33" s="1" t="s">
        <v>110</v>
      </c>
      <c r="D33" s="5">
        <v>5000</v>
      </c>
      <c r="E33" s="5">
        <v>5000</v>
      </c>
      <c r="F33" s="5">
        <v>6</v>
      </c>
      <c r="G33" s="5">
        <v>9</v>
      </c>
      <c r="H33" s="5">
        <v>22</v>
      </c>
      <c r="I33" s="5">
        <v>24</v>
      </c>
      <c r="J33" s="5">
        <v>0</v>
      </c>
      <c r="K33" s="5">
        <v>4</v>
      </c>
      <c r="L33" s="4">
        <f>0.597 - 0.3+0.709</f>
      </c>
      <c r="M33" s="4">
        <f>0.597 - 0.3+0.709</f>
      </c>
      <c r="N33" s="1" t="s">
        <v>19</v>
      </c>
      <c r="O33" s="1"/>
    </row>
    <row x14ac:dyDescent="0.25" r="34" customHeight="1" ht="17.25">
      <c r="A34" s="1" t="s">
        <v>13</v>
      </c>
      <c r="B34" s="1" t="s">
        <v>17</v>
      </c>
      <c r="C34" s="1" t="s">
        <v>110</v>
      </c>
      <c r="D34" s="5">
        <v>5000</v>
      </c>
      <c r="E34" s="5">
        <v>5000</v>
      </c>
      <c r="F34" s="5">
        <v>6</v>
      </c>
      <c r="G34" s="5">
        <v>9</v>
      </c>
      <c r="H34" s="5">
        <v>0</v>
      </c>
      <c r="I34" s="5">
        <v>24</v>
      </c>
      <c r="J34" s="5">
        <v>5</v>
      </c>
      <c r="K34" s="5">
        <v>6</v>
      </c>
      <c r="L34" s="4">
        <f>0.597 - 0.3+0.709</f>
      </c>
      <c r="M34" s="4">
        <f>0.597 - 0.3+0.709</f>
      </c>
      <c r="N34" s="1" t="s">
        <v>19</v>
      </c>
      <c r="O34" s="1"/>
    </row>
    <row x14ac:dyDescent="0.25" r="35" customHeight="1" ht="17.25">
      <c r="A35" s="1" t="s">
        <v>13</v>
      </c>
      <c r="B35" s="1" t="s">
        <v>17</v>
      </c>
      <c r="C35" s="1" t="s">
        <v>112</v>
      </c>
      <c r="D35" s="5">
        <v>5000</v>
      </c>
      <c r="E35" s="5">
        <v>5000</v>
      </c>
      <c r="F35" s="5">
        <v>10</v>
      </c>
      <c r="G35" s="5">
        <v>12</v>
      </c>
      <c r="H35" s="5">
        <v>0</v>
      </c>
      <c r="I35" s="5">
        <v>7</v>
      </c>
      <c r="J35" s="5">
        <v>0</v>
      </c>
      <c r="K35" s="5">
        <v>4</v>
      </c>
      <c r="L35" s="4">
        <f>0.597 - 0.3+0.709</f>
      </c>
      <c r="M35" s="4">
        <f>0.597 - 0.3+0.709</f>
      </c>
      <c r="N35" s="1" t="s">
        <v>19</v>
      </c>
      <c r="O35" s="1"/>
    </row>
    <row x14ac:dyDescent="0.25" r="36" customHeight="1" ht="17.25">
      <c r="A36" s="1" t="s">
        <v>13</v>
      </c>
      <c r="B36" s="1" t="s">
        <v>17</v>
      </c>
      <c r="C36" s="1" t="s">
        <v>113</v>
      </c>
      <c r="D36" s="5">
        <v>5000</v>
      </c>
      <c r="E36" s="5">
        <v>5000</v>
      </c>
      <c r="F36" s="5">
        <v>10</v>
      </c>
      <c r="G36" s="5">
        <v>12</v>
      </c>
      <c r="H36" s="5">
        <v>7</v>
      </c>
      <c r="I36" s="5">
        <v>22</v>
      </c>
      <c r="J36" s="5">
        <v>0</v>
      </c>
      <c r="K36" s="5">
        <v>4</v>
      </c>
      <c r="L36" s="4">
        <f>10.537+2.371- 0.3+0.709</f>
      </c>
      <c r="M36" s="4">
        <f>10.537+2.371- 0.3+0.709</f>
      </c>
      <c r="N36" s="1" t="s">
        <v>19</v>
      </c>
      <c r="O36" s="1"/>
    </row>
    <row x14ac:dyDescent="0.25" r="37" customHeight="1" ht="17.25">
      <c r="A37" s="1" t="s">
        <v>13</v>
      </c>
      <c r="B37" s="1" t="s">
        <v>17</v>
      </c>
      <c r="C37" s="1" t="s">
        <v>112</v>
      </c>
      <c r="D37" s="5">
        <v>5000</v>
      </c>
      <c r="E37" s="5">
        <v>5000</v>
      </c>
      <c r="F37" s="5">
        <v>10</v>
      </c>
      <c r="G37" s="5">
        <v>12</v>
      </c>
      <c r="H37" s="5">
        <v>22</v>
      </c>
      <c r="I37" s="5">
        <v>24</v>
      </c>
      <c r="J37" s="5">
        <v>0</v>
      </c>
      <c r="K37" s="5">
        <v>4</v>
      </c>
      <c r="L37" s="4">
        <f>0.597 - 0.3+0.709</f>
      </c>
      <c r="M37" s="4">
        <f>0.597 - 0.3+0.709</f>
      </c>
      <c r="N37" s="1" t="s">
        <v>19</v>
      </c>
      <c r="O37" s="1"/>
    </row>
    <row x14ac:dyDescent="0.25" r="38" customHeight="1" ht="17.25">
      <c r="A38" s="1" t="s">
        <v>13</v>
      </c>
      <c r="B38" s="1" t="s">
        <v>17</v>
      </c>
      <c r="C38" s="1" t="s">
        <v>112</v>
      </c>
      <c r="D38" s="5">
        <v>5000</v>
      </c>
      <c r="E38" s="5">
        <v>5000</v>
      </c>
      <c r="F38" s="5">
        <v>10</v>
      </c>
      <c r="G38" s="5">
        <v>12</v>
      </c>
      <c r="H38" s="5">
        <v>0</v>
      </c>
      <c r="I38" s="5">
        <v>24</v>
      </c>
      <c r="J38" s="5">
        <v>5</v>
      </c>
      <c r="K38" s="5">
        <v>6</v>
      </c>
      <c r="L38" s="4">
        <f>0.597 - 0.3+0.709</f>
      </c>
      <c r="M38" s="4">
        <f>0.597 - 0.3+0.709</f>
      </c>
      <c r="N38" s="1" t="s">
        <v>19</v>
      </c>
      <c r="O38" s="1"/>
    </row>
    <row x14ac:dyDescent="0.25" r="39" customHeight="1" ht="17.25">
      <c r="A39" s="1" t="s">
        <v>34</v>
      </c>
      <c r="B39" s="1" t="s">
        <v>14</v>
      </c>
      <c r="C39" s="1"/>
      <c r="D39" s="2"/>
      <c r="E39" s="3"/>
      <c r="F39" s="2"/>
      <c r="G39" s="2"/>
      <c r="H39" s="2"/>
      <c r="I39" s="2"/>
      <c r="J39" s="2"/>
      <c r="K39" s="2"/>
      <c r="L39" s="4">
        <v>21.39</v>
      </c>
      <c r="M39" s="4">
        <v>21.39</v>
      </c>
      <c r="N39" s="1" t="s">
        <v>15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1</v>
      </c>
      <c r="G40" s="5">
        <v>12</v>
      </c>
      <c r="H40" s="5">
        <v>0</v>
      </c>
      <c r="I40" s="5">
        <v>24</v>
      </c>
      <c r="J40" s="5">
        <v>0</v>
      </c>
      <c r="K40" s="5">
        <v>6</v>
      </c>
      <c r="L40" s="4">
        <v>1.03999</v>
      </c>
      <c r="M40" s="11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v>500</v>
      </c>
      <c r="E41" s="4">
        <f>D41*2.83168</f>
      </c>
      <c r="F41" s="5">
        <v>1</v>
      </c>
      <c r="G41" s="5">
        <v>12</v>
      </c>
      <c r="H41" s="5">
        <v>0</v>
      </c>
      <c r="I41" s="5">
        <v>24</v>
      </c>
      <c r="J41" s="5">
        <v>0</v>
      </c>
      <c r="K41" s="5">
        <v>6</v>
      </c>
      <c r="L41" s="4">
        <v>0.9774</v>
      </c>
      <c r="M41" s="11">
        <f>L41/2.83168</f>
      </c>
      <c r="N41" s="1" t="s">
        <v>36</v>
      </c>
      <c r="O41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370.81+21.54</f>
      </c>
      <c r="M2" s="4">
        <f>370.81+21.54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1.7531</v>
      </c>
      <c r="M3" s="4">
        <v>1.7531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47</v>
      </c>
      <c r="D4" s="5">
        <v>0</v>
      </c>
      <c r="E4" s="5">
        <v>0</v>
      </c>
      <c r="F4" s="5">
        <v>6</v>
      </c>
      <c r="G4" s="5">
        <v>9</v>
      </c>
      <c r="H4" s="5">
        <v>7</v>
      </c>
      <c r="I4" s="5">
        <v>21</v>
      </c>
      <c r="J4" s="5">
        <v>0</v>
      </c>
      <c r="K4" s="5">
        <v>4</v>
      </c>
      <c r="L4" s="4">
        <v>9.7321</v>
      </c>
      <c r="M4" s="4">
        <v>9.7321</v>
      </c>
      <c r="N4" s="1" t="s">
        <v>19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24</v>
      </c>
      <c r="J5" s="5">
        <v>0</v>
      </c>
      <c r="K5" s="5">
        <v>6</v>
      </c>
      <c r="L5" s="11">
        <v>0.03026328046</v>
      </c>
      <c r="M5" s="11">
        <v>0.03026328046</v>
      </c>
      <c r="N5" s="1" t="s">
        <v>26</v>
      </c>
      <c r="O5" s="1" t="s">
        <v>49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24</v>
      </c>
      <c r="J6" s="5">
        <v>0</v>
      </c>
      <c r="K6" s="5">
        <v>6</v>
      </c>
      <c r="L6" s="11">
        <v>0.04197765785</v>
      </c>
      <c r="M6" s="11">
        <v>0.04197765785</v>
      </c>
      <c r="N6" s="1" t="s">
        <v>26</v>
      </c>
      <c r="O6" s="1" t="s">
        <v>49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24</v>
      </c>
      <c r="J7" s="5">
        <v>0</v>
      </c>
      <c r="K7" s="5">
        <v>6</v>
      </c>
      <c r="L7" s="11">
        <v>0.02246983126</v>
      </c>
      <c r="M7" s="11">
        <v>0.02246983126</v>
      </c>
      <c r="N7" s="1" t="s">
        <v>26</v>
      </c>
      <c r="O7" s="1" t="s">
        <v>49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4</v>
      </c>
      <c r="H8" s="5">
        <v>0</v>
      </c>
      <c r="I8" s="5">
        <v>24</v>
      </c>
      <c r="J8" s="5">
        <v>0</v>
      </c>
      <c r="K8" s="5">
        <v>6</v>
      </c>
      <c r="L8" s="11">
        <v>0.02029172656</v>
      </c>
      <c r="M8" s="11">
        <v>0.02029172656</v>
      </c>
      <c r="N8" s="1" t="s">
        <v>26</v>
      </c>
      <c r="O8" s="1" t="s">
        <v>49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5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11">
        <v>0.02401874148</v>
      </c>
      <c r="M9" s="11">
        <v>0.02401874148</v>
      </c>
      <c r="N9" s="1" t="s">
        <v>26</v>
      </c>
      <c r="O9" s="1" t="s">
        <v>49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6</v>
      </c>
      <c r="H10" s="5">
        <v>0</v>
      </c>
      <c r="I10" s="5">
        <v>7</v>
      </c>
      <c r="J10" s="5">
        <v>0</v>
      </c>
      <c r="K10" s="5">
        <v>4</v>
      </c>
      <c r="L10" s="11">
        <v>0.02185411019</v>
      </c>
      <c r="M10" s="11">
        <v>0.02185411019</v>
      </c>
      <c r="N10" s="1" t="s">
        <v>26</v>
      </c>
      <c r="O10" s="1" t="s">
        <v>49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6</v>
      </c>
      <c r="H11" s="5">
        <v>21</v>
      </c>
      <c r="I11" s="5">
        <v>24</v>
      </c>
      <c r="J11" s="5">
        <v>0</v>
      </c>
      <c r="K11" s="5">
        <v>4</v>
      </c>
      <c r="L11" s="11">
        <v>0.02185411019</v>
      </c>
      <c r="M11" s="11">
        <v>0.02185411019</v>
      </c>
      <c r="N11" s="1" t="s">
        <v>26</v>
      </c>
      <c r="O11" s="1" t="s">
        <v>49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6</v>
      </c>
      <c r="H12" s="5">
        <v>7</v>
      </c>
      <c r="I12" s="5">
        <v>21</v>
      </c>
      <c r="J12" s="5">
        <v>0</v>
      </c>
      <c r="K12" s="5">
        <v>4</v>
      </c>
      <c r="L12" s="11">
        <v>0.02827895213</v>
      </c>
      <c r="M12" s="11">
        <v>0.02827895213</v>
      </c>
      <c r="N12" s="1" t="s">
        <v>26</v>
      </c>
      <c r="O12" s="1" t="s">
        <v>49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24</v>
      </c>
      <c r="J13" s="5">
        <v>5</v>
      </c>
      <c r="K13" s="5">
        <v>6</v>
      </c>
      <c r="L13" s="11">
        <v>0.02185411019</v>
      </c>
      <c r="M13" s="11">
        <v>0.02185411019</v>
      </c>
      <c r="N13" s="1" t="s">
        <v>26</v>
      </c>
      <c r="O13" s="1" t="s">
        <v>49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7</v>
      </c>
      <c r="G14" s="5">
        <v>7</v>
      </c>
      <c r="H14" s="5">
        <v>0</v>
      </c>
      <c r="I14" s="5">
        <v>7</v>
      </c>
      <c r="J14" s="5">
        <v>0</v>
      </c>
      <c r="K14" s="5">
        <v>4</v>
      </c>
      <c r="L14" s="11">
        <v>0.02547955439</v>
      </c>
      <c r="M14" s="11">
        <v>0.02547955439</v>
      </c>
      <c r="N14" s="1" t="s">
        <v>26</v>
      </c>
      <c r="O14" s="1" t="s">
        <v>49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21</v>
      </c>
      <c r="I15" s="5">
        <v>24</v>
      </c>
      <c r="J15" s="5">
        <v>0</v>
      </c>
      <c r="K15" s="5">
        <v>4</v>
      </c>
      <c r="L15" s="11">
        <v>0.02547955439</v>
      </c>
      <c r="M15" s="11">
        <v>0.02547955439</v>
      </c>
      <c r="N15" s="1" t="s">
        <v>26</v>
      </c>
      <c r="O15" s="1" t="s">
        <v>49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7</v>
      </c>
      <c r="G16" s="5">
        <v>7</v>
      </c>
      <c r="H16" s="5">
        <v>7</v>
      </c>
      <c r="I16" s="5">
        <v>21</v>
      </c>
      <c r="J16" s="5">
        <v>0</v>
      </c>
      <c r="K16" s="5">
        <v>4</v>
      </c>
      <c r="L16" s="11">
        <v>0.03298182177</v>
      </c>
      <c r="M16" s="11">
        <v>0.03298182177</v>
      </c>
      <c r="N16" s="1" t="s">
        <v>26</v>
      </c>
      <c r="O16" s="1" t="s">
        <v>49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7</v>
      </c>
      <c r="G17" s="5">
        <v>7</v>
      </c>
      <c r="H17" s="5">
        <v>0</v>
      </c>
      <c r="I17" s="5">
        <v>24</v>
      </c>
      <c r="J17" s="5">
        <v>5</v>
      </c>
      <c r="K17" s="5">
        <v>6</v>
      </c>
      <c r="L17" s="11">
        <v>0.02547955439</v>
      </c>
      <c r="M17" s="11">
        <v>0.02547955439</v>
      </c>
      <c r="N17" s="1" t="s">
        <v>26</v>
      </c>
      <c r="O17" s="1" t="s">
        <v>49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8</v>
      </c>
      <c r="G18" s="5">
        <v>8</v>
      </c>
      <c r="H18" s="5">
        <v>0</v>
      </c>
      <c r="I18" s="5">
        <v>7</v>
      </c>
      <c r="J18" s="5">
        <v>0</v>
      </c>
      <c r="K18" s="5">
        <v>4</v>
      </c>
      <c r="L18" s="11">
        <v>0.03039418679</v>
      </c>
      <c r="M18" s="11">
        <v>0.03039418679</v>
      </c>
      <c r="N18" s="1" t="s">
        <v>26</v>
      </c>
      <c r="O18" s="1" t="s">
        <v>49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8</v>
      </c>
      <c r="G19" s="5">
        <v>8</v>
      </c>
      <c r="H19" s="5">
        <v>21</v>
      </c>
      <c r="I19" s="5">
        <v>24</v>
      </c>
      <c r="J19" s="5">
        <v>0</v>
      </c>
      <c r="K19" s="5">
        <v>4</v>
      </c>
      <c r="L19" s="11">
        <v>0.03039418679</v>
      </c>
      <c r="M19" s="11">
        <v>0.03039418679</v>
      </c>
      <c r="N19" s="1" t="s">
        <v>26</v>
      </c>
      <c r="O19" s="1" t="s">
        <v>49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8</v>
      </c>
      <c r="G20" s="5">
        <v>8</v>
      </c>
      <c r="H20" s="5">
        <v>7</v>
      </c>
      <c r="I20" s="5">
        <v>21</v>
      </c>
      <c r="J20" s="5">
        <v>0</v>
      </c>
      <c r="K20" s="5">
        <v>4</v>
      </c>
      <c r="L20" s="11">
        <v>0.04021782333</v>
      </c>
      <c r="M20" s="11">
        <v>0.04021782333</v>
      </c>
      <c r="N20" s="1" t="s">
        <v>26</v>
      </c>
      <c r="O20" s="1" t="s">
        <v>49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8</v>
      </c>
      <c r="G21" s="5">
        <v>8</v>
      </c>
      <c r="H21" s="5">
        <v>0</v>
      </c>
      <c r="I21" s="5">
        <v>24</v>
      </c>
      <c r="J21" s="5">
        <v>5</v>
      </c>
      <c r="K21" s="5">
        <v>6</v>
      </c>
      <c r="L21" s="11">
        <v>0.03039418679</v>
      </c>
      <c r="M21" s="11">
        <v>0.03039418679</v>
      </c>
      <c r="N21" s="1" t="s">
        <v>26</v>
      </c>
      <c r="O21" s="1" t="s">
        <v>49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9</v>
      </c>
      <c r="G22" s="5">
        <v>9</v>
      </c>
      <c r="H22" s="5">
        <v>0</v>
      </c>
      <c r="I22" s="5">
        <v>7</v>
      </c>
      <c r="J22" s="5">
        <v>0</v>
      </c>
      <c r="K22" s="5">
        <v>4</v>
      </c>
      <c r="L22" s="11">
        <v>0.03288250393</v>
      </c>
      <c r="M22" s="11">
        <v>0.03288250393</v>
      </c>
      <c r="N22" s="1" t="s">
        <v>26</v>
      </c>
      <c r="O22" s="1" t="s">
        <v>49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9</v>
      </c>
      <c r="G23" s="5">
        <v>9</v>
      </c>
      <c r="H23" s="5">
        <v>21</v>
      </c>
      <c r="I23" s="5">
        <v>24</v>
      </c>
      <c r="J23" s="5">
        <v>0</v>
      </c>
      <c r="K23" s="5">
        <v>4</v>
      </c>
      <c r="L23" s="11">
        <v>0.03288250393</v>
      </c>
      <c r="M23" s="11">
        <v>0.03288250393</v>
      </c>
      <c r="N23" s="1" t="s">
        <v>26</v>
      </c>
      <c r="O23" s="1" t="s">
        <v>49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9</v>
      </c>
      <c r="G24" s="5">
        <v>9</v>
      </c>
      <c r="H24" s="5">
        <v>7</v>
      </c>
      <c r="I24" s="5">
        <v>21</v>
      </c>
      <c r="J24" s="5">
        <v>0</v>
      </c>
      <c r="K24" s="5">
        <v>4</v>
      </c>
      <c r="L24" s="11">
        <v>0.04111021253</v>
      </c>
      <c r="M24" s="11">
        <v>0.04111021253</v>
      </c>
      <c r="N24" s="1" t="s">
        <v>26</v>
      </c>
      <c r="O24" s="1" t="s">
        <v>49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9</v>
      </c>
      <c r="G25" s="5">
        <v>9</v>
      </c>
      <c r="H25" s="5">
        <v>0</v>
      </c>
      <c r="I25" s="5">
        <v>24</v>
      </c>
      <c r="J25" s="5">
        <v>5</v>
      </c>
      <c r="K25" s="5">
        <v>6</v>
      </c>
      <c r="L25" s="11">
        <v>0.03288250393</v>
      </c>
      <c r="M25" s="11">
        <v>0.03288250393</v>
      </c>
      <c r="N25" s="1" t="s">
        <v>26</v>
      </c>
      <c r="O25" s="1" t="s">
        <v>49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11">
        <v>0.04695841244</v>
      </c>
      <c r="M26" s="11">
        <v>0.04695841244</v>
      </c>
      <c r="N26" s="1" t="s">
        <v>26</v>
      </c>
      <c r="O26" s="1" t="s">
        <v>49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11">
        <v>0.04758554855</v>
      </c>
      <c r="M27" s="11">
        <v>0.04758554855</v>
      </c>
      <c r="N27" s="1" t="s">
        <v>26</v>
      </c>
      <c r="O27" s="1" t="s">
        <v>49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11">
        <v>0.03343870927</v>
      </c>
      <c r="M28" s="11">
        <v>0.03343870927</v>
      </c>
      <c r="N28" s="1" t="s">
        <v>26</v>
      </c>
      <c r="O28" s="1" t="s">
        <v>49</v>
      </c>
    </row>
    <row x14ac:dyDescent="0.25" r="29" customHeight="1" ht="17.25">
      <c r="A29" s="1" t="s">
        <v>34</v>
      </c>
      <c r="B29" s="1" t="s">
        <v>14</v>
      </c>
      <c r="C29" s="1"/>
      <c r="D29" s="2"/>
      <c r="E29" s="3"/>
      <c r="F29" s="2"/>
      <c r="G29" s="2"/>
      <c r="H29" s="2"/>
      <c r="I29" s="2"/>
      <c r="J29" s="2"/>
      <c r="K29" s="2"/>
      <c r="L29" s="4">
        <v>17.75</v>
      </c>
      <c r="M29" s="4">
        <v>17.75</v>
      </c>
      <c r="N29" s="1" t="s">
        <v>15</v>
      </c>
      <c r="O29" s="1"/>
    </row>
    <row x14ac:dyDescent="0.25" r="30" customHeight="1" ht="17.25">
      <c r="A30" s="1" t="s">
        <v>34</v>
      </c>
      <c r="B30" s="1" t="s">
        <v>17</v>
      </c>
      <c r="C30" s="1" t="s">
        <v>50</v>
      </c>
      <c r="D30" s="5">
        <v>0</v>
      </c>
      <c r="E30" s="5">
        <v>0</v>
      </c>
      <c r="F30" s="5">
        <v>1</v>
      </c>
      <c r="G30" s="5">
        <v>4</v>
      </c>
      <c r="H30" s="5">
        <v>0</v>
      </c>
      <c r="I30" s="5">
        <v>24</v>
      </c>
      <c r="J30" s="5">
        <v>0</v>
      </c>
      <c r="K30" s="5">
        <v>6</v>
      </c>
      <c r="L30" s="4">
        <f>4.0632 *24</f>
      </c>
      <c r="M30" s="11">
        <f>L30/2.83168</f>
      </c>
      <c r="N30" s="1" t="s">
        <v>35</v>
      </c>
      <c r="O30" s="1"/>
    </row>
    <row x14ac:dyDescent="0.25" r="31" customHeight="1" ht="17.25">
      <c r="A31" s="1" t="s">
        <v>34</v>
      </c>
      <c r="B31" s="1" t="s">
        <v>17</v>
      </c>
      <c r="C31" s="1" t="s">
        <v>50</v>
      </c>
      <c r="D31" s="5">
        <v>0</v>
      </c>
      <c r="E31" s="5">
        <v>0</v>
      </c>
      <c r="F31" s="5">
        <v>11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4.0632 *24</f>
      </c>
      <c r="M31" s="11">
        <f>L31/2.83168</f>
      </c>
      <c r="N31" s="1" t="s">
        <v>35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24</v>
      </c>
      <c r="J32" s="5">
        <v>0</v>
      </c>
      <c r="K32" s="5">
        <v>6</v>
      </c>
      <c r="L32" s="4">
        <f>0.043725+0.472702</f>
      </c>
      <c r="M32" s="11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v>1000</v>
      </c>
      <c r="E33" s="4">
        <f>D33*2.83168</f>
      </c>
      <c r="F33" s="5">
        <v>1</v>
      </c>
      <c r="G33" s="5">
        <v>1</v>
      </c>
      <c r="H33" s="5">
        <v>0</v>
      </c>
      <c r="I33" s="5">
        <v>24</v>
      </c>
      <c r="J33" s="5">
        <v>0</v>
      </c>
      <c r="K33" s="5">
        <v>6</v>
      </c>
      <c r="L33" s="4">
        <f>0.043078+0.472702</f>
      </c>
      <c r="M33" s="11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2</v>
      </c>
      <c r="G34" s="5">
        <v>2</v>
      </c>
      <c r="H34" s="5">
        <v>0</v>
      </c>
      <c r="I34" s="5">
        <v>24</v>
      </c>
      <c r="J34" s="5">
        <v>0</v>
      </c>
      <c r="K34" s="5">
        <v>6</v>
      </c>
      <c r="L34" s="4">
        <f>0.043725+0.5016</f>
      </c>
      <c r="M34" s="11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v>1000</v>
      </c>
      <c r="E35" s="4">
        <f>D35*2.83168</f>
      </c>
      <c r="F35" s="5">
        <v>2</v>
      </c>
      <c r="G35" s="5">
        <v>2</v>
      </c>
      <c r="H35" s="5">
        <v>0</v>
      </c>
      <c r="I35" s="5">
        <v>24</v>
      </c>
      <c r="J35" s="5">
        <v>0</v>
      </c>
      <c r="K35" s="5">
        <v>6</v>
      </c>
      <c r="L35" s="4">
        <f>0.043078+0.5016</f>
      </c>
      <c r="M35" s="11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v>0</v>
      </c>
      <c r="E36" s="5">
        <v>0</v>
      </c>
      <c r="F36" s="5">
        <v>3</v>
      </c>
      <c r="G36" s="5">
        <v>3</v>
      </c>
      <c r="H36" s="5">
        <v>0</v>
      </c>
      <c r="I36" s="5">
        <v>24</v>
      </c>
      <c r="J36" s="5">
        <v>0</v>
      </c>
      <c r="K36" s="5">
        <v>6</v>
      </c>
      <c r="L36" s="4">
        <f>0.043725+0.509192</f>
      </c>
      <c r="M36" s="11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v>1000</v>
      </c>
      <c r="E37" s="4">
        <f>D37*2.83168</f>
      </c>
      <c r="F37" s="5">
        <v>3</v>
      </c>
      <c r="G37" s="5">
        <v>3</v>
      </c>
      <c r="H37" s="5">
        <v>0</v>
      </c>
      <c r="I37" s="5">
        <v>24</v>
      </c>
      <c r="J37" s="5">
        <v>0</v>
      </c>
      <c r="K37" s="5">
        <v>6</v>
      </c>
      <c r="L37" s="4">
        <f>0.043078+0.509192</f>
      </c>
      <c r="M37" s="11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4</v>
      </c>
      <c r="G38" s="5">
        <v>4</v>
      </c>
      <c r="H38" s="5">
        <v>0</v>
      </c>
      <c r="I38" s="5">
        <v>24</v>
      </c>
      <c r="J38" s="5">
        <v>0</v>
      </c>
      <c r="K38" s="5">
        <v>6</v>
      </c>
      <c r="L38" s="4">
        <f>0.043725+0.479845</f>
      </c>
      <c r="M38" s="11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v>1000</v>
      </c>
      <c r="E39" s="4">
        <f>D39*2.83168</f>
      </c>
      <c r="F39" s="5">
        <v>4</v>
      </c>
      <c r="G39" s="5">
        <v>4</v>
      </c>
      <c r="H39" s="5">
        <v>0</v>
      </c>
      <c r="I39" s="5">
        <v>24</v>
      </c>
      <c r="J39" s="5">
        <v>0</v>
      </c>
      <c r="K39" s="5">
        <v>6</v>
      </c>
      <c r="L39" s="4">
        <f>0.043078+0.479845</f>
      </c>
      <c r="M39" s="11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5</v>
      </c>
      <c r="G40" s="5">
        <v>5</v>
      </c>
      <c r="H40" s="5">
        <v>0</v>
      </c>
      <c r="I40" s="5">
        <v>24</v>
      </c>
      <c r="J40" s="5">
        <v>0</v>
      </c>
      <c r="K40" s="5">
        <v>6</v>
      </c>
      <c r="L40" s="4">
        <f>0.043725+0.514437</f>
      </c>
      <c r="M40" s="11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v>1000</v>
      </c>
      <c r="E41" s="4">
        <f>D41*2.83168</f>
      </c>
      <c r="F41" s="5">
        <v>5</v>
      </c>
      <c r="G41" s="5">
        <v>5</v>
      </c>
      <c r="H41" s="5">
        <v>0</v>
      </c>
      <c r="I41" s="5">
        <v>24</v>
      </c>
      <c r="J41" s="5">
        <v>0</v>
      </c>
      <c r="K41" s="5">
        <v>6</v>
      </c>
      <c r="L41" s="4">
        <f>0.043078+0.514437</f>
      </c>
      <c r="M41" s="11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6</v>
      </c>
      <c r="G42" s="5">
        <v>6</v>
      </c>
      <c r="H42" s="5">
        <v>0</v>
      </c>
      <c r="I42" s="5">
        <v>24</v>
      </c>
      <c r="J42" s="5">
        <v>0</v>
      </c>
      <c r="K42" s="5">
        <v>6</v>
      </c>
      <c r="L42" s="4">
        <f>0.043725+0.520431</f>
      </c>
      <c r="M42" s="11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v>1000</v>
      </c>
      <c r="E43" s="4">
        <f>D43*2.83168</f>
      </c>
      <c r="F43" s="5">
        <v>6</v>
      </c>
      <c r="G43" s="5">
        <v>6</v>
      </c>
      <c r="H43" s="5">
        <v>0</v>
      </c>
      <c r="I43" s="5">
        <v>24</v>
      </c>
      <c r="J43" s="5">
        <v>0</v>
      </c>
      <c r="K43" s="5">
        <v>6</v>
      </c>
      <c r="L43" s="4">
        <f>0.043078+0.520431</f>
      </c>
      <c r="M43" s="11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v>0</v>
      </c>
      <c r="E44" s="5">
        <v>0</v>
      </c>
      <c r="F44" s="5">
        <v>7</v>
      </c>
      <c r="G44" s="5">
        <v>7</v>
      </c>
      <c r="H44" s="5">
        <v>0</v>
      </c>
      <c r="I44" s="5">
        <v>24</v>
      </c>
      <c r="J44" s="5">
        <v>0</v>
      </c>
      <c r="K44" s="5">
        <v>6</v>
      </c>
      <c r="L44" s="4">
        <f>0.043725+0.580022</f>
      </c>
      <c r="M44" s="11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1000</v>
      </c>
      <c r="E45" s="4">
        <f>D45*2.83168</f>
      </c>
      <c r="F45" s="5">
        <v>7</v>
      </c>
      <c r="G45" s="5">
        <v>7</v>
      </c>
      <c r="H45" s="5">
        <v>0</v>
      </c>
      <c r="I45" s="5">
        <v>24</v>
      </c>
      <c r="J45" s="5">
        <v>0</v>
      </c>
      <c r="K45" s="5">
        <v>6</v>
      </c>
      <c r="L45" s="4">
        <f>0.043078+0.580022</f>
      </c>
      <c r="M45" s="11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0</v>
      </c>
      <c r="K46" s="5">
        <v>6</v>
      </c>
      <c r="L46" s="4">
        <f>0.043725+0.626594</f>
      </c>
      <c r="M46" s="11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1000</v>
      </c>
      <c r="E47" s="4">
        <f>D47*2.83168</f>
      </c>
      <c r="F47" s="5">
        <v>8</v>
      </c>
      <c r="G47" s="5">
        <v>8</v>
      </c>
      <c r="H47" s="5">
        <v>0</v>
      </c>
      <c r="I47" s="5">
        <v>24</v>
      </c>
      <c r="J47" s="5">
        <v>0</v>
      </c>
      <c r="K47" s="5">
        <v>6</v>
      </c>
      <c r="L47" s="4">
        <f>0.043078+0.626594</f>
      </c>
      <c r="M47" s="11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0</v>
      </c>
      <c r="E48" s="5">
        <v>0</v>
      </c>
      <c r="F48" s="5">
        <v>9</v>
      </c>
      <c r="G48" s="5">
        <v>9</v>
      </c>
      <c r="H48" s="5">
        <v>0</v>
      </c>
      <c r="I48" s="5">
        <v>24</v>
      </c>
      <c r="J48" s="5">
        <v>0</v>
      </c>
      <c r="K48" s="5">
        <v>6</v>
      </c>
      <c r="L48" s="4">
        <f>0.043725+0.658859</f>
      </c>
      <c r="M48" s="11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1000</v>
      </c>
      <c r="E49" s="4">
        <f>D49*2.83168</f>
      </c>
      <c r="F49" s="5">
        <v>9</v>
      </c>
      <c r="G49" s="5">
        <v>9</v>
      </c>
      <c r="H49" s="5">
        <v>0</v>
      </c>
      <c r="I49" s="5">
        <v>24</v>
      </c>
      <c r="J49" s="5">
        <v>0</v>
      </c>
      <c r="K49" s="5">
        <v>6</v>
      </c>
      <c r="L49" s="4">
        <f>0.043078+0.658859</f>
      </c>
      <c r="M49" s="11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10</v>
      </c>
      <c r="G50" s="5">
        <v>10</v>
      </c>
      <c r="H50" s="5">
        <v>0</v>
      </c>
      <c r="I50" s="5">
        <v>24</v>
      </c>
      <c r="J50" s="5">
        <v>0</v>
      </c>
      <c r="K50" s="5">
        <v>6</v>
      </c>
      <c r="L50" s="4">
        <f>0.043725+0.804461</f>
      </c>
      <c r="M50" s="11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1000</v>
      </c>
      <c r="E51" s="4">
        <f>D51*2.83168</f>
      </c>
      <c r="F51" s="5">
        <v>10</v>
      </c>
      <c r="G51" s="5">
        <v>10</v>
      </c>
      <c r="H51" s="5">
        <v>0</v>
      </c>
      <c r="I51" s="5">
        <v>24</v>
      </c>
      <c r="J51" s="5">
        <v>0</v>
      </c>
      <c r="K51" s="5">
        <v>6</v>
      </c>
      <c r="L51" s="4">
        <f>0.043078+0.804461</f>
      </c>
      <c r="M51" s="11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0</v>
      </c>
      <c r="I52" s="5">
        <v>24</v>
      </c>
      <c r="J52" s="5">
        <v>0</v>
      </c>
      <c r="K52" s="5">
        <v>6</v>
      </c>
      <c r="L52" s="4">
        <f>0.043725+0.853798</f>
      </c>
      <c r="M52" s="11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v>1000</v>
      </c>
      <c r="E53" s="4">
        <f>D53*2.83168</f>
      </c>
      <c r="F53" s="5">
        <v>11</v>
      </c>
      <c r="G53" s="5">
        <v>11</v>
      </c>
      <c r="H53" s="5">
        <v>0</v>
      </c>
      <c r="I53" s="5">
        <v>24</v>
      </c>
      <c r="J53" s="5">
        <v>0</v>
      </c>
      <c r="K53" s="5">
        <v>6</v>
      </c>
      <c r="L53" s="4">
        <f>0.043078+0.853798</f>
      </c>
      <c r="M53" s="11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f>0.043725+0.775689</f>
      </c>
      <c r="M54" s="11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1000</v>
      </c>
      <c r="E55" s="4">
        <f>D55*2.83168</f>
      </c>
      <c r="F55" s="5">
        <v>12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4">
        <f>0.043078+0.775689</f>
      </c>
      <c r="M55" s="11">
        <f>L55/2.83168</f>
      </c>
      <c r="N55" s="1" t="s">
        <v>36</v>
      </c>
      <c r="O5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34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500</v>
      </c>
      <c r="M2" s="5">
        <v>500</v>
      </c>
      <c r="N2" s="1" t="s">
        <v>15</v>
      </c>
      <c r="O2" s="1"/>
    </row>
    <row x14ac:dyDescent="0.25" r="3" customHeight="1" ht="17.25">
      <c r="A3" s="1" t="s">
        <v>34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2.78582</v>
      </c>
      <c r="M3" s="14">
        <f>L3/2.83168</f>
      </c>
      <c r="N3" s="1" t="s">
        <v>36</v>
      </c>
      <c r="O3" s="1"/>
    </row>
    <row x14ac:dyDescent="0.25" r="4" customHeight="1" ht="17.25">
      <c r="A4" s="1" t="s">
        <v>13</v>
      </c>
      <c r="B4" s="1" t="s">
        <v>14</v>
      </c>
      <c r="C4" s="1"/>
      <c r="D4" s="2"/>
      <c r="E4" s="2"/>
      <c r="F4" s="2"/>
      <c r="G4" s="2"/>
      <c r="H4" s="2"/>
      <c r="I4" s="2"/>
      <c r="J4" s="2"/>
      <c r="K4" s="2"/>
      <c r="L4" s="5">
        <v>375</v>
      </c>
      <c r="M4" s="5">
        <v>375</v>
      </c>
      <c r="N4" s="1" t="s">
        <v>15</v>
      </c>
      <c r="O4" s="1"/>
    </row>
    <row x14ac:dyDescent="0.25" r="5" customHeight="1" ht="17.25">
      <c r="A5" s="1" t="s">
        <v>13</v>
      </c>
      <c r="B5" s="1" t="s">
        <v>17</v>
      </c>
      <c r="C5" s="1" t="s">
        <v>24</v>
      </c>
      <c r="D5" s="5">
        <v>0</v>
      </c>
      <c r="E5" s="5">
        <v>0</v>
      </c>
      <c r="F5" s="5">
        <v>1</v>
      </c>
      <c r="G5" s="5">
        <v>12</v>
      </c>
      <c r="H5" s="5">
        <v>0</v>
      </c>
      <c r="I5" s="5">
        <v>24</v>
      </c>
      <c r="J5" s="5">
        <v>0</v>
      </c>
      <c r="K5" s="5">
        <v>6</v>
      </c>
      <c r="L5" s="4">
        <v>26.5</v>
      </c>
      <c r="M5" s="4">
        <v>26.5</v>
      </c>
      <c r="N5" s="1" t="s">
        <v>19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9</v>
      </c>
      <c r="J6" s="5">
        <v>0</v>
      </c>
      <c r="K6" s="5">
        <v>6</v>
      </c>
      <c r="L6" s="4">
        <f>0.13543+0.0492</f>
      </c>
      <c r="M6" s="4">
        <f>0.13543+0.0492</f>
      </c>
      <c r="N6" s="1" t="s">
        <v>26</v>
      </c>
      <c r="O6" s="1" t="s">
        <v>106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</v>
      </c>
      <c r="H7" s="5">
        <v>9</v>
      </c>
      <c r="I7" s="5">
        <v>17</v>
      </c>
      <c r="J7" s="5">
        <v>0</v>
      </c>
      <c r="K7" s="5">
        <v>6</v>
      </c>
      <c r="L7" s="4">
        <f>0.13543-0.0008</f>
      </c>
      <c r="M7" s="4">
        <f>0.13543-0.0008</f>
      </c>
      <c r="N7" s="1" t="s">
        <v>26</v>
      </c>
      <c r="O7" s="1" t="s">
        <v>106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1</v>
      </c>
      <c r="H8" s="5">
        <v>17</v>
      </c>
      <c r="I8" s="5">
        <v>22</v>
      </c>
      <c r="J8" s="5">
        <v>0</v>
      </c>
      <c r="K8" s="5">
        <v>6</v>
      </c>
      <c r="L8" s="4">
        <f>0.13543+0.0792</f>
      </c>
      <c r="M8" s="4">
        <f>0.13543+0.0792</f>
      </c>
      <c r="N8" s="1" t="s">
        <v>26</v>
      </c>
      <c r="O8" s="1" t="s">
        <v>106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</v>
      </c>
      <c r="H9" s="5">
        <v>22</v>
      </c>
      <c r="I9" s="5">
        <v>24</v>
      </c>
      <c r="J9" s="5">
        <v>0</v>
      </c>
      <c r="K9" s="5">
        <v>6</v>
      </c>
      <c r="L9" s="4">
        <f>0.13543+0.0492</f>
      </c>
      <c r="M9" s="4">
        <f>0.13543+0.0492</f>
      </c>
      <c r="N9" s="1" t="s">
        <v>26</v>
      </c>
      <c r="O9" s="1" t="s">
        <v>106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9</v>
      </c>
      <c r="J10" s="5">
        <v>0</v>
      </c>
      <c r="K10" s="5">
        <v>6</v>
      </c>
      <c r="L10" s="4">
        <f>0.14523+0.0492</f>
      </c>
      <c r="M10" s="4">
        <f>0.14523+0.0492</f>
      </c>
      <c r="N10" s="1" t="s">
        <v>26</v>
      </c>
      <c r="O10" s="1" t="s">
        <v>106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2</v>
      </c>
      <c r="G11" s="5">
        <v>2</v>
      </c>
      <c r="H11" s="5">
        <v>9</v>
      </c>
      <c r="I11" s="5">
        <v>17</v>
      </c>
      <c r="J11" s="5">
        <v>0</v>
      </c>
      <c r="K11" s="5">
        <v>6</v>
      </c>
      <c r="L11" s="4">
        <f>0.14523-0.0008</f>
      </c>
      <c r="M11" s="4">
        <f>0.14523-0.0008</f>
      </c>
      <c r="N11" s="1" t="s">
        <v>26</v>
      </c>
      <c r="O11" s="1" t="s">
        <v>106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2</v>
      </c>
      <c r="G12" s="5">
        <v>2</v>
      </c>
      <c r="H12" s="5">
        <v>17</v>
      </c>
      <c r="I12" s="5">
        <v>22</v>
      </c>
      <c r="J12" s="5">
        <v>0</v>
      </c>
      <c r="K12" s="5">
        <v>6</v>
      </c>
      <c r="L12" s="4">
        <f>0.14523+0.0792</f>
      </c>
      <c r="M12" s="4">
        <f>0.14523+0.0792</f>
      </c>
      <c r="N12" s="1" t="s">
        <v>26</v>
      </c>
      <c r="O12" s="1" t="s">
        <v>106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2</v>
      </c>
      <c r="G13" s="5">
        <v>2</v>
      </c>
      <c r="H13" s="5">
        <v>22</v>
      </c>
      <c r="I13" s="5">
        <v>24</v>
      </c>
      <c r="J13" s="5">
        <v>0</v>
      </c>
      <c r="K13" s="5">
        <v>6</v>
      </c>
      <c r="L13" s="4">
        <f>0.14523+0.0492</f>
      </c>
      <c r="M13" s="4">
        <f>0.14523+0.0492</f>
      </c>
      <c r="N13" s="1" t="s">
        <v>26</v>
      </c>
      <c r="O13" s="1" t="s">
        <v>106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9</v>
      </c>
      <c r="J14" s="5">
        <v>0</v>
      </c>
      <c r="K14" s="5">
        <v>6</v>
      </c>
      <c r="L14" s="4">
        <f>0.15091+0.0492</f>
      </c>
      <c r="M14" s="4">
        <f>0.15091+0.0492</f>
      </c>
      <c r="N14" s="1" t="s">
        <v>26</v>
      </c>
      <c r="O14" s="1" t="s">
        <v>106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3</v>
      </c>
      <c r="G15" s="5">
        <v>3</v>
      </c>
      <c r="H15" s="5">
        <v>9</v>
      </c>
      <c r="I15" s="5">
        <v>17</v>
      </c>
      <c r="J15" s="5">
        <v>0</v>
      </c>
      <c r="K15" s="5">
        <v>6</v>
      </c>
      <c r="L15" s="4">
        <f>0.15091-0.0008</f>
      </c>
      <c r="M15" s="4">
        <f>0.15091-0.0008</f>
      </c>
      <c r="N15" s="1" t="s">
        <v>26</v>
      </c>
      <c r="O15" s="1" t="s">
        <v>106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3</v>
      </c>
      <c r="G16" s="5">
        <v>3</v>
      </c>
      <c r="H16" s="5">
        <v>17</v>
      </c>
      <c r="I16" s="5">
        <v>22</v>
      </c>
      <c r="J16" s="5">
        <v>0</v>
      </c>
      <c r="K16" s="5">
        <v>6</v>
      </c>
      <c r="L16" s="4">
        <f>0.15091+0.0792</f>
      </c>
      <c r="M16" s="4">
        <f>0.15091+0.0792</f>
      </c>
      <c r="N16" s="1" t="s">
        <v>26</v>
      </c>
      <c r="O16" s="1" t="s">
        <v>106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3</v>
      </c>
      <c r="H17" s="5">
        <v>22</v>
      </c>
      <c r="I17" s="5">
        <v>24</v>
      </c>
      <c r="J17" s="5">
        <v>0</v>
      </c>
      <c r="K17" s="5">
        <v>6</v>
      </c>
      <c r="L17" s="4">
        <f>0.15091+0.0492</f>
      </c>
      <c r="M17" s="4">
        <f>0.15091+0.0492</f>
      </c>
      <c r="N17" s="1" t="s">
        <v>26</v>
      </c>
      <c r="O17" s="1" t="s">
        <v>106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4</v>
      </c>
      <c r="G18" s="5">
        <v>4</v>
      </c>
      <c r="H18" s="5">
        <v>0</v>
      </c>
      <c r="I18" s="5">
        <v>9</v>
      </c>
      <c r="J18" s="5">
        <v>0</v>
      </c>
      <c r="K18" s="5">
        <v>6</v>
      </c>
      <c r="L18" s="4">
        <f>0.15486+0.0492</f>
      </c>
      <c r="M18" s="4">
        <f>0.15486+0.0492</f>
      </c>
      <c r="N18" s="1" t="s">
        <v>26</v>
      </c>
      <c r="O18" s="1" t="s">
        <v>106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4</v>
      </c>
      <c r="G19" s="5">
        <v>4</v>
      </c>
      <c r="H19" s="5">
        <v>9</v>
      </c>
      <c r="I19" s="5">
        <v>17</v>
      </c>
      <c r="J19" s="5">
        <v>0</v>
      </c>
      <c r="K19" s="5">
        <v>6</v>
      </c>
      <c r="L19" s="4">
        <f>0.15486-0.0008</f>
      </c>
      <c r="M19" s="4">
        <f>0.15486-0.0008</f>
      </c>
      <c r="N19" s="1" t="s">
        <v>26</v>
      </c>
      <c r="O19" s="1" t="s">
        <v>106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4</v>
      </c>
      <c r="G20" s="5">
        <v>4</v>
      </c>
      <c r="H20" s="5">
        <v>17</v>
      </c>
      <c r="I20" s="5">
        <v>22</v>
      </c>
      <c r="J20" s="5">
        <v>0</v>
      </c>
      <c r="K20" s="5">
        <v>6</v>
      </c>
      <c r="L20" s="4">
        <f>0.15486+0.0792</f>
      </c>
      <c r="M20" s="4">
        <f>0.15486+0.0792</f>
      </c>
      <c r="N20" s="1" t="s">
        <v>26</v>
      </c>
      <c r="O20" s="1" t="s">
        <v>106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22</v>
      </c>
      <c r="I21" s="5">
        <v>24</v>
      </c>
      <c r="J21" s="5">
        <v>0</v>
      </c>
      <c r="K21" s="5">
        <v>6</v>
      </c>
      <c r="L21" s="4">
        <f>0.15486+0.0492</f>
      </c>
      <c r="M21" s="4">
        <f>0.15486+0.0492</f>
      </c>
      <c r="N21" s="1" t="s">
        <v>26</v>
      </c>
      <c r="O21" s="1" t="s">
        <v>106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9</v>
      </c>
      <c r="J22" s="5">
        <v>0</v>
      </c>
      <c r="K22" s="5">
        <v>6</v>
      </c>
      <c r="L22" s="4">
        <f>0.16982+0.0492</f>
      </c>
      <c r="M22" s="4">
        <f>0.16982+0.0492</f>
      </c>
      <c r="N22" s="1" t="s">
        <v>26</v>
      </c>
      <c r="O22" s="1" t="s">
        <v>106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5</v>
      </c>
      <c r="G23" s="5">
        <v>5</v>
      </c>
      <c r="H23" s="5">
        <v>9</v>
      </c>
      <c r="I23" s="5">
        <v>17</v>
      </c>
      <c r="J23" s="5">
        <v>0</v>
      </c>
      <c r="K23" s="5">
        <v>6</v>
      </c>
      <c r="L23" s="4">
        <f>0.16982-0.0008</f>
      </c>
      <c r="M23" s="4">
        <f>0.16982-0.0008</f>
      </c>
      <c r="N23" s="1" t="s">
        <v>26</v>
      </c>
      <c r="O23" s="1" t="s">
        <v>106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5</v>
      </c>
      <c r="G24" s="5">
        <v>5</v>
      </c>
      <c r="H24" s="5">
        <v>17</v>
      </c>
      <c r="I24" s="5">
        <v>22</v>
      </c>
      <c r="J24" s="5">
        <v>0</v>
      </c>
      <c r="K24" s="5">
        <v>6</v>
      </c>
      <c r="L24" s="4">
        <f>0.16982+0.0792</f>
      </c>
      <c r="M24" s="4">
        <f>0.16982+0.0792</f>
      </c>
      <c r="N24" s="1" t="s">
        <v>26</v>
      </c>
      <c r="O24" s="1" t="s">
        <v>106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5</v>
      </c>
      <c r="G25" s="5">
        <v>5</v>
      </c>
      <c r="H25" s="5">
        <v>22</v>
      </c>
      <c r="I25" s="5">
        <v>24</v>
      </c>
      <c r="J25" s="5">
        <v>0</v>
      </c>
      <c r="K25" s="5">
        <v>6</v>
      </c>
      <c r="L25" s="4">
        <f>0.16982+0.0492</f>
      </c>
      <c r="M25" s="4">
        <f>0.16982+0.0492</f>
      </c>
      <c r="N25" s="1" t="s">
        <v>26</v>
      </c>
      <c r="O25" s="1" t="s">
        <v>106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6</v>
      </c>
      <c r="G26" s="5">
        <v>6</v>
      </c>
      <c r="H26" s="5">
        <v>0</v>
      </c>
      <c r="I26" s="5">
        <v>9</v>
      </c>
      <c r="J26" s="5">
        <v>0</v>
      </c>
      <c r="K26" s="5">
        <v>6</v>
      </c>
      <c r="L26" s="4">
        <f>0.16726+0.0492</f>
      </c>
      <c r="M26" s="4">
        <f>0.16726+0.0492</f>
      </c>
      <c r="N26" s="1" t="s">
        <v>26</v>
      </c>
      <c r="O26" s="1" t="s">
        <v>106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6</v>
      </c>
      <c r="G27" s="5">
        <v>6</v>
      </c>
      <c r="H27" s="5">
        <v>9</v>
      </c>
      <c r="I27" s="5">
        <v>17</v>
      </c>
      <c r="J27" s="5">
        <v>0</v>
      </c>
      <c r="K27" s="5">
        <v>6</v>
      </c>
      <c r="L27" s="4">
        <f>0.16726-0.0008</f>
      </c>
      <c r="M27" s="4">
        <f>0.16726-0.0008</f>
      </c>
      <c r="N27" s="1" t="s">
        <v>26</v>
      </c>
      <c r="O27" s="1" t="s">
        <v>106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6</v>
      </c>
      <c r="G28" s="5">
        <v>6</v>
      </c>
      <c r="H28" s="5">
        <v>17</v>
      </c>
      <c r="I28" s="5">
        <v>22</v>
      </c>
      <c r="J28" s="5">
        <v>0</v>
      </c>
      <c r="K28" s="5">
        <v>6</v>
      </c>
      <c r="L28" s="4">
        <f>0.16726+0.0792</f>
      </c>
      <c r="M28" s="4">
        <f>0.16726+0.0792</f>
      </c>
      <c r="N28" s="1" t="s">
        <v>26</v>
      </c>
      <c r="O28" s="1" t="s">
        <v>106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6</v>
      </c>
      <c r="G29" s="5">
        <v>6</v>
      </c>
      <c r="H29" s="5">
        <v>22</v>
      </c>
      <c r="I29" s="5">
        <v>24</v>
      </c>
      <c r="J29" s="5">
        <v>0</v>
      </c>
      <c r="K29" s="5">
        <v>6</v>
      </c>
      <c r="L29" s="4">
        <f>0.16726+0.0492</f>
      </c>
      <c r="M29" s="4">
        <f>0.16726+0.0492</f>
      </c>
      <c r="N29" s="1" t="s">
        <v>26</v>
      </c>
      <c r="O29" s="1" t="s">
        <v>106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7</v>
      </c>
      <c r="G30" s="5">
        <v>7</v>
      </c>
      <c r="H30" s="5">
        <v>0</v>
      </c>
      <c r="I30" s="5">
        <v>9</v>
      </c>
      <c r="J30" s="5">
        <v>0</v>
      </c>
      <c r="K30" s="5">
        <v>6</v>
      </c>
      <c r="L30" s="4">
        <f>0.1704+0.0492</f>
      </c>
      <c r="M30" s="4">
        <f>0.1704+0.0492</f>
      </c>
      <c r="N30" s="1" t="s">
        <v>26</v>
      </c>
      <c r="O30" s="1" t="s">
        <v>106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7</v>
      </c>
      <c r="G31" s="5">
        <v>7</v>
      </c>
      <c r="H31" s="5">
        <v>9</v>
      </c>
      <c r="I31" s="5">
        <v>17</v>
      </c>
      <c r="J31" s="5">
        <v>0</v>
      </c>
      <c r="K31" s="5">
        <v>6</v>
      </c>
      <c r="L31" s="4">
        <f>0.1704-0.0008</f>
      </c>
      <c r="M31" s="4">
        <f>0.1704-0.0008</f>
      </c>
      <c r="N31" s="1" t="s">
        <v>26</v>
      </c>
      <c r="O31" s="1" t="s">
        <v>106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7</v>
      </c>
      <c r="G32" s="5">
        <v>7</v>
      </c>
      <c r="H32" s="5">
        <v>17</v>
      </c>
      <c r="I32" s="5">
        <v>22</v>
      </c>
      <c r="J32" s="5">
        <v>0</v>
      </c>
      <c r="K32" s="5">
        <v>6</v>
      </c>
      <c r="L32" s="4">
        <f>0.1704+0.0792</f>
      </c>
      <c r="M32" s="4">
        <f>0.1704+0.0792</f>
      </c>
      <c r="N32" s="1" t="s">
        <v>26</v>
      </c>
      <c r="O32" s="1" t="s">
        <v>106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7</v>
      </c>
      <c r="G33" s="5">
        <v>7</v>
      </c>
      <c r="H33" s="5">
        <v>22</v>
      </c>
      <c r="I33" s="5">
        <v>24</v>
      </c>
      <c r="J33" s="5">
        <v>0</v>
      </c>
      <c r="K33" s="5">
        <v>6</v>
      </c>
      <c r="L33" s="4">
        <f>0.1704+0.0492</f>
      </c>
      <c r="M33" s="4">
        <f>0.1704+0.0492</f>
      </c>
      <c r="N33" s="1" t="s">
        <v>26</v>
      </c>
      <c r="O33" s="1" t="s">
        <v>106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8</v>
      </c>
      <c r="G34" s="5">
        <v>8</v>
      </c>
      <c r="H34" s="5">
        <v>0</v>
      </c>
      <c r="I34" s="5">
        <v>9</v>
      </c>
      <c r="J34" s="5">
        <v>0</v>
      </c>
      <c r="K34" s="5">
        <v>6</v>
      </c>
      <c r="L34" s="4">
        <f>0.18134+0.0492</f>
      </c>
      <c r="M34" s="4">
        <f>0.18134+0.0492</f>
      </c>
      <c r="N34" s="1" t="s">
        <v>26</v>
      </c>
      <c r="O34" s="1" t="s">
        <v>106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8</v>
      </c>
      <c r="G35" s="5">
        <v>8</v>
      </c>
      <c r="H35" s="5">
        <v>9</v>
      </c>
      <c r="I35" s="5">
        <v>17</v>
      </c>
      <c r="J35" s="5">
        <v>0</v>
      </c>
      <c r="K35" s="5">
        <v>6</v>
      </c>
      <c r="L35" s="4">
        <f>0.18134-0.0008</f>
      </c>
      <c r="M35" s="4">
        <f>0.18134-0.0008</f>
      </c>
      <c r="N35" s="1" t="s">
        <v>26</v>
      </c>
      <c r="O35" s="1" t="s">
        <v>106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8</v>
      </c>
      <c r="G36" s="5">
        <v>8</v>
      </c>
      <c r="H36" s="5">
        <v>17</v>
      </c>
      <c r="I36" s="5">
        <v>22</v>
      </c>
      <c r="J36" s="5">
        <v>0</v>
      </c>
      <c r="K36" s="5">
        <v>6</v>
      </c>
      <c r="L36" s="4">
        <f>0.18134+0.0792</f>
      </c>
      <c r="M36" s="4">
        <f>0.18134+0.0792</f>
      </c>
      <c r="N36" s="1" t="s">
        <v>26</v>
      </c>
      <c r="O36" s="1" t="s">
        <v>106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8</v>
      </c>
      <c r="G37" s="5">
        <v>8</v>
      </c>
      <c r="H37" s="5">
        <v>22</v>
      </c>
      <c r="I37" s="5">
        <v>24</v>
      </c>
      <c r="J37" s="5">
        <v>0</v>
      </c>
      <c r="K37" s="5">
        <v>6</v>
      </c>
      <c r="L37" s="4">
        <f>0.18134+0.0492</f>
      </c>
      <c r="M37" s="4">
        <f>0.18134+0.0492</f>
      </c>
      <c r="N37" s="1" t="s">
        <v>26</v>
      </c>
      <c r="O37" s="1" t="s">
        <v>106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9</v>
      </c>
      <c r="G38" s="5">
        <v>9</v>
      </c>
      <c r="H38" s="5">
        <v>0</v>
      </c>
      <c r="I38" s="5">
        <v>9</v>
      </c>
      <c r="J38" s="5">
        <v>0</v>
      </c>
      <c r="K38" s="5">
        <v>6</v>
      </c>
      <c r="L38" s="4">
        <f>0.18588+0.0492</f>
      </c>
      <c r="M38" s="4">
        <f>0.18588+0.0492</f>
      </c>
      <c r="N38" s="1" t="s">
        <v>26</v>
      </c>
      <c r="O38" s="1" t="s">
        <v>106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9</v>
      </c>
      <c r="G39" s="5">
        <v>9</v>
      </c>
      <c r="H39" s="5">
        <v>9</v>
      </c>
      <c r="I39" s="5">
        <v>17</v>
      </c>
      <c r="J39" s="5">
        <v>0</v>
      </c>
      <c r="K39" s="5">
        <v>6</v>
      </c>
      <c r="L39" s="4">
        <f>0.18588-0.0008</f>
      </c>
      <c r="M39" s="4">
        <f>0.18588-0.0008</f>
      </c>
      <c r="N39" s="1" t="s">
        <v>26</v>
      </c>
      <c r="O39" s="1" t="s">
        <v>106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9</v>
      </c>
      <c r="G40" s="5">
        <v>9</v>
      </c>
      <c r="H40" s="5">
        <v>17</v>
      </c>
      <c r="I40" s="5">
        <v>22</v>
      </c>
      <c r="J40" s="5">
        <v>0</v>
      </c>
      <c r="K40" s="5">
        <v>6</v>
      </c>
      <c r="L40" s="4">
        <f>0.18588+0.0792</f>
      </c>
      <c r="M40" s="4">
        <f>0.18588+0.0792</f>
      </c>
      <c r="N40" s="1" t="s">
        <v>26</v>
      </c>
      <c r="O40" s="1" t="s">
        <v>106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9</v>
      </c>
      <c r="G41" s="5">
        <v>9</v>
      </c>
      <c r="H41" s="5">
        <v>22</v>
      </c>
      <c r="I41" s="5">
        <v>24</v>
      </c>
      <c r="J41" s="5">
        <v>0</v>
      </c>
      <c r="K41" s="5">
        <v>6</v>
      </c>
      <c r="L41" s="4">
        <f>0.18588+0.0492</f>
      </c>
      <c r="M41" s="4">
        <f>0.18588+0.0492</f>
      </c>
      <c r="N41" s="1" t="s">
        <v>26</v>
      </c>
      <c r="O41" s="1" t="s">
        <v>106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10</v>
      </c>
      <c r="G42" s="5">
        <v>10</v>
      </c>
      <c r="H42" s="5">
        <v>0</v>
      </c>
      <c r="I42" s="5">
        <v>9</v>
      </c>
      <c r="J42" s="5">
        <v>0</v>
      </c>
      <c r="K42" s="5">
        <v>6</v>
      </c>
      <c r="L42" s="4">
        <f>0.18447+0.0492</f>
      </c>
      <c r="M42" s="4">
        <f>0.18447+0.0492</f>
      </c>
      <c r="N42" s="1" t="s">
        <v>26</v>
      </c>
      <c r="O42" s="1" t="s">
        <v>106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10</v>
      </c>
      <c r="G43" s="5">
        <v>10</v>
      </c>
      <c r="H43" s="5">
        <v>9</v>
      </c>
      <c r="I43" s="5">
        <v>17</v>
      </c>
      <c r="J43" s="5">
        <v>0</v>
      </c>
      <c r="K43" s="5">
        <v>6</v>
      </c>
      <c r="L43" s="4">
        <f>0.18447-0.0008</f>
      </c>
      <c r="M43" s="4">
        <f>0.18447-0.0008</f>
      </c>
      <c r="N43" s="1" t="s">
        <v>26</v>
      </c>
      <c r="O43" s="1" t="s">
        <v>106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10</v>
      </c>
      <c r="G44" s="5">
        <v>10</v>
      </c>
      <c r="H44" s="5">
        <v>17</v>
      </c>
      <c r="I44" s="5">
        <v>22</v>
      </c>
      <c r="J44" s="5">
        <v>0</v>
      </c>
      <c r="K44" s="5">
        <v>6</v>
      </c>
      <c r="L44" s="4">
        <f>0.18447+0.0792</f>
      </c>
      <c r="M44" s="4">
        <f>0.18447+0.0792</f>
      </c>
      <c r="N44" s="1" t="s">
        <v>26</v>
      </c>
      <c r="O44" s="1" t="s">
        <v>106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10</v>
      </c>
      <c r="G45" s="5">
        <v>10</v>
      </c>
      <c r="H45" s="5">
        <v>22</v>
      </c>
      <c r="I45" s="5">
        <v>24</v>
      </c>
      <c r="J45" s="5">
        <v>0</v>
      </c>
      <c r="K45" s="5">
        <v>6</v>
      </c>
      <c r="L45" s="4">
        <f>0.18447+0.0492</f>
      </c>
      <c r="M45" s="4">
        <f>0.18447+0.0492</f>
      </c>
      <c r="N45" s="1" t="s">
        <v>26</v>
      </c>
      <c r="O45" s="1" t="s">
        <v>106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11</v>
      </c>
      <c r="G46" s="5">
        <v>11</v>
      </c>
      <c r="H46" s="5">
        <v>0</v>
      </c>
      <c r="I46" s="5">
        <v>9</v>
      </c>
      <c r="J46" s="5">
        <v>0</v>
      </c>
      <c r="K46" s="5">
        <v>6</v>
      </c>
      <c r="L46" s="4">
        <f>0.1947+0.0492</f>
      </c>
      <c r="M46" s="4">
        <f>0.1947+0.0492</f>
      </c>
      <c r="N46" s="1" t="s">
        <v>26</v>
      </c>
      <c r="O46" s="1" t="s">
        <v>106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11</v>
      </c>
      <c r="G47" s="5">
        <v>11</v>
      </c>
      <c r="H47" s="5">
        <v>9</v>
      </c>
      <c r="I47" s="5">
        <v>17</v>
      </c>
      <c r="J47" s="5">
        <v>0</v>
      </c>
      <c r="K47" s="5">
        <v>6</v>
      </c>
      <c r="L47" s="4">
        <f>0.1947-0.0008</f>
      </c>
      <c r="M47" s="4">
        <f>0.1947-0.0008</f>
      </c>
      <c r="N47" s="1" t="s">
        <v>26</v>
      </c>
      <c r="O47" s="1" t="s">
        <v>106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11</v>
      </c>
      <c r="G48" s="5">
        <v>11</v>
      </c>
      <c r="H48" s="5">
        <v>17</v>
      </c>
      <c r="I48" s="5">
        <v>22</v>
      </c>
      <c r="J48" s="5">
        <v>0</v>
      </c>
      <c r="K48" s="5">
        <v>6</v>
      </c>
      <c r="L48" s="4">
        <f>0.1947+0.0792</f>
      </c>
      <c r="M48" s="4">
        <f>0.1947+0.0792</f>
      </c>
      <c r="N48" s="1" t="s">
        <v>26</v>
      </c>
      <c r="O48" s="1" t="s">
        <v>106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11</v>
      </c>
      <c r="G49" s="5">
        <v>11</v>
      </c>
      <c r="H49" s="5">
        <v>22</v>
      </c>
      <c r="I49" s="5">
        <v>24</v>
      </c>
      <c r="J49" s="5">
        <v>0</v>
      </c>
      <c r="K49" s="5">
        <v>6</v>
      </c>
      <c r="L49" s="4">
        <f>0.1947+0.0492</f>
      </c>
      <c r="M49" s="4">
        <f>0.1947+0.0492</f>
      </c>
      <c r="N49" s="1" t="s">
        <v>26</v>
      </c>
      <c r="O49" s="1" t="s">
        <v>106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9</v>
      </c>
      <c r="J50" s="5">
        <v>0</v>
      </c>
      <c r="K50" s="5">
        <v>6</v>
      </c>
      <c r="L50" s="4">
        <f>0.20549+0.0492</f>
      </c>
      <c r="M50" s="4">
        <f>0.20549+0.0492</f>
      </c>
      <c r="N50" s="1" t="s">
        <v>26</v>
      </c>
      <c r="O50" s="1" t="s">
        <v>106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12</v>
      </c>
      <c r="G51" s="5">
        <v>12</v>
      </c>
      <c r="H51" s="5">
        <v>9</v>
      </c>
      <c r="I51" s="5">
        <v>17</v>
      </c>
      <c r="J51" s="5">
        <v>0</v>
      </c>
      <c r="K51" s="5">
        <v>6</v>
      </c>
      <c r="L51" s="4">
        <f>0.20549-0.0008</f>
      </c>
      <c r="M51" s="4">
        <f>0.20549-0.0008</f>
      </c>
      <c r="N51" s="1" t="s">
        <v>26</v>
      </c>
      <c r="O51" s="1" t="s">
        <v>106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12</v>
      </c>
      <c r="G52" s="5">
        <v>12</v>
      </c>
      <c r="H52" s="5">
        <v>17</v>
      </c>
      <c r="I52" s="5">
        <v>22</v>
      </c>
      <c r="J52" s="5">
        <v>0</v>
      </c>
      <c r="K52" s="5">
        <v>6</v>
      </c>
      <c r="L52" s="4">
        <f>0.20549+0.0792</f>
      </c>
      <c r="M52" s="4">
        <f>0.20549+0.0792</f>
      </c>
      <c r="N52" s="1" t="s">
        <v>26</v>
      </c>
      <c r="O52" s="1" t="s">
        <v>106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12</v>
      </c>
      <c r="G53" s="5">
        <v>12</v>
      </c>
      <c r="H53" s="5">
        <v>22</v>
      </c>
      <c r="I53" s="5">
        <v>24</v>
      </c>
      <c r="J53" s="5">
        <v>0</v>
      </c>
      <c r="K53" s="5">
        <v>6</v>
      </c>
      <c r="L53" s="4">
        <f>0.20549+0.0492</f>
      </c>
      <c r="M53" s="4">
        <f>0.20549+0.0492</f>
      </c>
      <c r="N53" s="1" t="s">
        <v>26</v>
      </c>
      <c r="O53" s="1" t="s">
        <v>106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3.71928571428571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15.57+36.15</f>
      </c>
      <c r="M2" s="4">
        <f>15.57+36.15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0.0708</v>
      </c>
      <c r="M3" s="4">
        <v>0.0708</v>
      </c>
      <c r="N3" s="1" t="s">
        <v>26</v>
      </c>
      <c r="O3" s="1"/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f>3.795846+1.779077</f>
      </c>
      <c r="M4" s="4">
        <f>3.795846+1.779077</f>
      </c>
      <c r="N4" s="1" t="s">
        <v>19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970.75</v>
      </c>
      <c r="M5" s="4">
        <v>970.75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8</v>
      </c>
      <c r="H6" s="5">
        <v>0</v>
      </c>
      <c r="I6" s="5">
        <v>24</v>
      </c>
      <c r="J6" s="5">
        <v>0</v>
      </c>
      <c r="K6" s="5">
        <v>6</v>
      </c>
      <c r="L6" s="4">
        <f>0.02846+0.6379</f>
      </c>
      <c r="M6" s="11">
        <f>L6/2.83168</f>
      </c>
      <c r="N6" s="1" t="s">
        <v>36</v>
      </c>
      <c r="O6" s="1" t="s">
        <v>82</v>
      </c>
    </row>
    <row x14ac:dyDescent="0.25" r="7" customHeight="1" ht="17.25">
      <c r="A7" s="1" t="s">
        <v>34</v>
      </c>
      <c r="B7" s="1" t="s">
        <v>25</v>
      </c>
      <c r="C7" s="1"/>
      <c r="D7" s="5">
        <v>15000</v>
      </c>
      <c r="E7" s="4">
        <f>D7*2.83168</f>
      </c>
      <c r="F7" s="5">
        <v>1</v>
      </c>
      <c r="G7" s="5">
        <v>8</v>
      </c>
      <c r="H7" s="5">
        <v>0</v>
      </c>
      <c r="I7" s="5">
        <v>24</v>
      </c>
      <c r="J7" s="5">
        <v>0</v>
      </c>
      <c r="K7" s="5">
        <v>6</v>
      </c>
      <c r="L7" s="4">
        <f>0.02075+0.6379</f>
      </c>
      <c r="M7" s="11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50000</v>
      </c>
      <c r="E8" s="5">
        <f>D8*2.83168</f>
      </c>
      <c r="F8" s="5">
        <v>1</v>
      </c>
      <c r="G8" s="5">
        <v>8</v>
      </c>
      <c r="H8" s="5">
        <v>0</v>
      </c>
      <c r="I8" s="5">
        <v>24</v>
      </c>
      <c r="J8" s="5">
        <v>0</v>
      </c>
      <c r="K8" s="5">
        <v>6</v>
      </c>
      <c r="L8" s="4">
        <f>0.00327+0.6379</f>
      </c>
      <c r="M8" s="11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9</v>
      </c>
      <c r="G9" s="5">
        <v>9</v>
      </c>
      <c r="H9" s="5">
        <v>0</v>
      </c>
      <c r="I9" s="5">
        <v>24</v>
      </c>
      <c r="J9" s="5">
        <v>0</v>
      </c>
      <c r="K9" s="5">
        <v>6</v>
      </c>
      <c r="L9" s="4">
        <f>0.02846+0.6378</f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15000</v>
      </c>
      <c r="E10" s="4">
        <f>D10*2.83168</f>
      </c>
      <c r="F10" s="5">
        <v>9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f>0.02075+0.6378</f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50000</v>
      </c>
      <c r="E11" s="5">
        <f>D11*2.83168</f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0.00327+0.6378</f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f>0.02846+0.7816</f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15000</v>
      </c>
      <c r="E13" s="4">
        <f>D13*2.83168</f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4">
        <f>0.02075+0.7816</f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50000</v>
      </c>
      <c r="E14" s="5">
        <f>D14*2.83168</f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f>0.00327+0.7816</f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11</v>
      </c>
      <c r="H15" s="5">
        <v>0</v>
      </c>
      <c r="I15" s="5">
        <v>24</v>
      </c>
      <c r="J15" s="5">
        <v>0</v>
      </c>
      <c r="K15" s="5">
        <v>6</v>
      </c>
      <c r="L15" s="4">
        <f>0.02846+0.7825</f>
      </c>
      <c r="M15" s="11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15000</v>
      </c>
      <c r="E16" s="4">
        <f>D16*2.83168</f>
      </c>
      <c r="F16" s="5">
        <v>11</v>
      </c>
      <c r="G16" s="5">
        <v>11</v>
      </c>
      <c r="H16" s="5">
        <v>0</v>
      </c>
      <c r="I16" s="5">
        <v>24</v>
      </c>
      <c r="J16" s="5">
        <v>0</v>
      </c>
      <c r="K16" s="5">
        <v>6</v>
      </c>
      <c r="L16" s="4">
        <f>0.02075+0.7825</f>
      </c>
      <c r="M16" s="11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50000</v>
      </c>
      <c r="E17" s="5">
        <f>D17*2.83168</f>
      </c>
      <c r="F17" s="5">
        <v>11</v>
      </c>
      <c r="G17" s="5">
        <v>11</v>
      </c>
      <c r="H17" s="5">
        <v>0</v>
      </c>
      <c r="I17" s="5">
        <v>24</v>
      </c>
      <c r="J17" s="5">
        <v>0</v>
      </c>
      <c r="K17" s="5">
        <v>6</v>
      </c>
      <c r="L17" s="4">
        <f>0.00327+0.7825</f>
      </c>
      <c r="M17" s="11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12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0.02846+0.7751</f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15000</v>
      </c>
      <c r="E19" s="4">
        <f>D19*2.83168</f>
      </c>
      <c r="F19" s="5">
        <v>12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0.02075+0.7751</f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50000</v>
      </c>
      <c r="E20" s="5">
        <f>D20*2.83168</f>
      </c>
      <c r="F20" s="5">
        <v>12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0.00327+0.7751</f>
      </c>
      <c r="M20" s="11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150+238.878</f>
      </c>
      <c r="M2" s="4">
        <f>150+238.878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6</v>
      </c>
      <c r="J3" s="5">
        <v>0</v>
      </c>
      <c r="K3" s="5">
        <v>4</v>
      </c>
      <c r="L3" s="4">
        <f>0.003154+0.000447+0.001623+0.013815+0.024284</f>
      </c>
      <c r="M3" s="4">
        <f>0.003154+0.000447+0.001623+0.013815+0.024284</f>
      </c>
      <c r="N3" s="1" t="s">
        <v>26</v>
      </c>
      <c r="O3" s="1" t="s">
        <v>103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6</v>
      </c>
      <c r="I4" s="5">
        <v>12</v>
      </c>
      <c r="J4" s="5">
        <v>0</v>
      </c>
      <c r="K4" s="5">
        <v>4</v>
      </c>
      <c r="L4" s="4">
        <f>0.003154+0.000447+0.001623+0.013815+0.037215</f>
      </c>
      <c r="M4" s="4">
        <f>0.003154+0.000447+0.001623+0.013815+0.037215</f>
      </c>
      <c r="N4" s="1" t="s">
        <v>26</v>
      </c>
      <c r="O4" s="1" t="s">
        <v>70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12</v>
      </c>
      <c r="I5" s="5">
        <v>18</v>
      </c>
      <c r="J5" s="5">
        <v>0</v>
      </c>
      <c r="K5" s="5">
        <v>4</v>
      </c>
      <c r="L5" s="4">
        <f>0.003154+0.000447+0.001623+0.013815+0.048567</f>
      </c>
      <c r="M5" s="4">
        <f>0.003154+0.000447+0.001623+0.013815+0.048567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18</v>
      </c>
      <c r="I6" s="5">
        <v>22</v>
      </c>
      <c r="J6" s="5">
        <v>0</v>
      </c>
      <c r="K6" s="5">
        <v>4</v>
      </c>
      <c r="L6" s="4">
        <f>0.003154+0.000447+0.001623+0.013815+0.037215</f>
      </c>
      <c r="M6" s="4">
        <f>0.003154+0.000447+0.001623+0.013815+0.037215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22</v>
      </c>
      <c r="I7" s="5">
        <v>24</v>
      </c>
      <c r="J7" s="5">
        <v>0</v>
      </c>
      <c r="K7" s="5">
        <v>4</v>
      </c>
      <c r="L7" s="4">
        <f>0.003154+0.000447+0.001623+0.013815+0.024284</f>
      </c>
      <c r="M7" s="4">
        <f>0.003154+0.000447+0.001623+0.013815+0.024284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8</v>
      </c>
      <c r="H8" s="5">
        <v>0</v>
      </c>
      <c r="I8" s="5">
        <v>6</v>
      </c>
      <c r="J8" s="5">
        <v>0</v>
      </c>
      <c r="K8" s="5">
        <v>4</v>
      </c>
      <c r="L8" s="4">
        <f>0.003154+0.000447+0.001623+0.013815+0.031373</f>
      </c>
      <c r="M8" s="4">
        <f>0.003154+0.000447+0.001623+0.013815+0.031373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8</v>
      </c>
      <c r="H9" s="5">
        <v>6</v>
      </c>
      <c r="I9" s="5">
        <v>12</v>
      </c>
      <c r="J9" s="5">
        <v>0</v>
      </c>
      <c r="K9" s="5">
        <v>4</v>
      </c>
      <c r="L9" s="4">
        <f>0.003154+0.000447+0.001623+0.013815+0.040864</f>
      </c>
      <c r="M9" s="4">
        <f>0.003154+0.000447+0.001623+0.013815+0.040864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8</v>
      </c>
      <c r="H10" s="5">
        <v>12</v>
      </c>
      <c r="I10" s="5">
        <v>18</v>
      </c>
      <c r="J10" s="5">
        <v>0</v>
      </c>
      <c r="K10" s="5">
        <v>4</v>
      </c>
      <c r="L10" s="4">
        <f>0.003154+0.000447+0.001623+0.013815+0.062747</f>
      </c>
      <c r="M10" s="4">
        <f>0.003154+0.000447+0.001623+0.013815+0.062747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8</v>
      </c>
      <c r="H11" s="5">
        <v>18</v>
      </c>
      <c r="I11" s="5">
        <v>22</v>
      </c>
      <c r="J11" s="5">
        <v>0</v>
      </c>
      <c r="K11" s="5">
        <v>4</v>
      </c>
      <c r="L11" s="4">
        <f>0.003154+0.000447+0.001623+0.013815+0.040864</f>
      </c>
      <c r="M11" s="4">
        <f>0.003154+0.000447+0.001623+0.013815+0.040864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8</v>
      </c>
      <c r="H12" s="5">
        <v>22</v>
      </c>
      <c r="I12" s="5">
        <v>24</v>
      </c>
      <c r="J12" s="5">
        <v>0</v>
      </c>
      <c r="K12" s="5">
        <v>4</v>
      </c>
      <c r="L12" s="4">
        <f>0.003154+0.000447+0.001623+0.013815+0.031373</f>
      </c>
      <c r="M12" s="4">
        <f>0.003154+0.000447+0.001623+0.013815+0.031373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9</v>
      </c>
      <c r="G13" s="5">
        <v>12</v>
      </c>
      <c r="H13" s="5">
        <v>0</v>
      </c>
      <c r="I13" s="5">
        <v>6</v>
      </c>
      <c r="J13" s="5">
        <v>0</v>
      </c>
      <c r="K13" s="5">
        <v>4</v>
      </c>
      <c r="L13" s="4">
        <f>0.003154+0.000447+0.001623+0.013815+0.024284</f>
      </c>
      <c r="M13" s="4">
        <f>0.003154+0.000447+0.001623+0.013815+0.024284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9</v>
      </c>
      <c r="G14" s="5">
        <v>12</v>
      </c>
      <c r="H14" s="5">
        <v>6</v>
      </c>
      <c r="I14" s="5">
        <v>12</v>
      </c>
      <c r="J14" s="5">
        <v>0</v>
      </c>
      <c r="K14" s="5">
        <v>4</v>
      </c>
      <c r="L14" s="4">
        <f>0.003154+0.000447+0.001623+0.013815+0.037215</f>
      </c>
      <c r="M14" s="4">
        <f>0.003154+0.000447+0.001623+0.013815+0.037215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9</v>
      </c>
      <c r="G15" s="5">
        <v>12</v>
      </c>
      <c r="H15" s="5">
        <v>12</v>
      </c>
      <c r="I15" s="5">
        <v>18</v>
      </c>
      <c r="J15" s="5">
        <v>0</v>
      </c>
      <c r="K15" s="5">
        <v>4</v>
      </c>
      <c r="L15" s="4">
        <f>0.003154+0.000447+0.001623+0.013815+0.048567</f>
      </c>
      <c r="M15" s="4">
        <f>0.003154+0.000447+0.001623+0.013815+0.048567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9</v>
      </c>
      <c r="G16" s="5">
        <v>12</v>
      </c>
      <c r="H16" s="5">
        <v>18</v>
      </c>
      <c r="I16" s="5">
        <v>22</v>
      </c>
      <c r="J16" s="5">
        <v>0</v>
      </c>
      <c r="K16" s="5">
        <v>4</v>
      </c>
      <c r="L16" s="4">
        <f>0.003154+0.000447+0.001623+0.013815+0.037215</f>
      </c>
      <c r="M16" s="4">
        <f>0.003154+0.000447+0.001623+0.013815+0.037215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9</v>
      </c>
      <c r="G17" s="5">
        <v>12</v>
      </c>
      <c r="H17" s="5">
        <v>22</v>
      </c>
      <c r="I17" s="5">
        <v>24</v>
      </c>
      <c r="J17" s="5">
        <v>0</v>
      </c>
      <c r="K17" s="5">
        <v>4</v>
      </c>
      <c r="L17" s="4">
        <f>0.003154+0.000447+0.001623+0.013815+0.024284</f>
      </c>
      <c r="M17" s="4">
        <f>0.003154+0.000447+0.001623+0.013815+0.024284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5</v>
      </c>
      <c r="H18" s="5">
        <v>0</v>
      </c>
      <c r="I18" s="5">
        <v>24</v>
      </c>
      <c r="J18" s="5">
        <v>5</v>
      </c>
      <c r="K18" s="5">
        <v>6</v>
      </c>
      <c r="L18" s="4">
        <f>0.003154+0.000447+0.001623+0.013815+0.024284</f>
      </c>
      <c r="M18" s="4">
        <f>0.003154+0.000447+0.001623+0.013815+0.024284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6</v>
      </c>
      <c r="G19" s="5">
        <v>8</v>
      </c>
      <c r="H19" s="5">
        <v>0</v>
      </c>
      <c r="I19" s="5">
        <v>24</v>
      </c>
      <c r="J19" s="5">
        <v>5</v>
      </c>
      <c r="K19" s="5">
        <v>6</v>
      </c>
      <c r="L19" s="4">
        <f>0.003154+0.000447+0.001623+0.013815+0.031373</f>
      </c>
      <c r="M19" s="4">
        <f>0.003154+0.000447+0.001623+0.013815+0.031373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9</v>
      </c>
      <c r="G20" s="5">
        <v>12</v>
      </c>
      <c r="H20" s="5">
        <v>0</v>
      </c>
      <c r="I20" s="5">
        <v>24</v>
      </c>
      <c r="J20" s="5">
        <v>5</v>
      </c>
      <c r="K20" s="5">
        <v>6</v>
      </c>
      <c r="L20" s="4">
        <f>0.003154+0.000447+0.001623+0.013815+0.024284</f>
      </c>
      <c r="M20" s="4">
        <f>0.003154+0.000447+0.001623+0.013815+0.024284</f>
      </c>
      <c r="N20" s="1" t="s">
        <v>26</v>
      </c>
      <c r="O20" s="1"/>
    </row>
    <row x14ac:dyDescent="0.25" r="21" customHeight="1" ht="17.25">
      <c r="A21" s="1" t="s">
        <v>13</v>
      </c>
      <c r="B21" s="1" t="s">
        <v>17</v>
      </c>
      <c r="C21" s="1" t="s">
        <v>24</v>
      </c>
      <c r="D21" s="5">
        <v>0</v>
      </c>
      <c r="E21" s="5">
        <v>0</v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2.255+1.1102</f>
      </c>
      <c r="M21" s="4">
        <f>2.255+1.1102</f>
      </c>
      <c r="N21" s="1" t="s">
        <v>19</v>
      </c>
      <c r="O21" s="1" t="s">
        <v>68</v>
      </c>
    </row>
    <row x14ac:dyDescent="0.25" r="22" customHeight="1" ht="17.25">
      <c r="A22" s="1" t="s">
        <v>34</v>
      </c>
      <c r="B22" s="1" t="s">
        <v>14</v>
      </c>
      <c r="C22" s="1"/>
      <c r="D22" s="2"/>
      <c r="E22" s="3"/>
      <c r="F22" s="2"/>
      <c r="G22" s="2"/>
      <c r="H22" s="2"/>
      <c r="I22" s="2"/>
      <c r="J22" s="2"/>
      <c r="K22" s="2"/>
      <c r="L22" s="5">
        <v>60</v>
      </c>
      <c r="M22" s="5">
        <v>60</v>
      </c>
      <c r="N22" s="1" t="s">
        <v>15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(1.25+5.597)/10.37</f>
      </c>
      <c r="M23" s="11">
        <f>L23/2.83168</f>
      </c>
      <c r="N23" s="1" t="s">
        <v>36</v>
      </c>
      <c r="O23" s="1" t="s">
        <v>105</v>
      </c>
    </row>
    <row x14ac:dyDescent="0.25" r="24" customHeight="1" ht="17.25">
      <c r="A24" s="1" t="s">
        <v>34</v>
      </c>
      <c r="B24" s="1" t="s">
        <v>25</v>
      </c>
      <c r="C24" s="1"/>
      <c r="D24" s="5">
        <f>100*10.37</f>
      </c>
      <c r="E24" s="4">
        <f>D24*2.83168</f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(0.97+5.597)/10.37</f>
      </c>
      <c r="M24" s="11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f>500*10.37</f>
      </c>
      <c r="E25" s="4">
        <f>D25*2.83168</f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(0.82+5.597)/10.37</f>
      </c>
      <c r="M25" s="11">
        <f>L25/2.83168</f>
      </c>
      <c r="N25" s="1" t="s">
        <v>36</v>
      </c>
      <c r="O25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3.71928571428571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4">
        <f>32.9+0.551098</f>
      </c>
      <c r="M58" s="15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3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0.9223+0.551098</f>
      </c>
      <c r="M59" s="15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90</v>
      </c>
      <c r="E60" s="4">
        <f>D60*2.83168</f>
      </c>
      <c r="F60" s="5">
        <v>1</v>
      </c>
      <c r="G60" s="5">
        <v>1</v>
      </c>
      <c r="H60" s="5">
        <v>0</v>
      </c>
      <c r="I60" s="5">
        <v>24</v>
      </c>
      <c r="J60" s="5">
        <v>0</v>
      </c>
      <c r="K60" s="5">
        <v>6</v>
      </c>
      <c r="L60" s="4">
        <f>0.484+0.551098</f>
      </c>
      <c r="M60" s="15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3000</v>
      </c>
      <c r="E61" s="4">
        <f>D61*2.83168</f>
      </c>
      <c r="F61" s="5">
        <v>1</v>
      </c>
      <c r="G61" s="5">
        <v>1</v>
      </c>
      <c r="H61" s="5">
        <v>0</v>
      </c>
      <c r="I61" s="5">
        <v>24</v>
      </c>
      <c r="J61" s="5">
        <v>0</v>
      </c>
      <c r="K61" s="5">
        <v>6</v>
      </c>
      <c r="L61" s="4">
        <f>0.3335+0.551098</f>
      </c>
      <c r="M61" s="15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2</v>
      </c>
      <c r="G62" s="5">
        <v>2</v>
      </c>
      <c r="H62" s="5">
        <v>0</v>
      </c>
      <c r="I62" s="5">
        <v>24</v>
      </c>
      <c r="J62" s="5">
        <v>0</v>
      </c>
      <c r="K62" s="5">
        <v>6</v>
      </c>
      <c r="L62" s="4">
        <f>32.9+0.536697</f>
      </c>
      <c r="M62" s="15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3</v>
      </c>
      <c r="E63" s="4">
        <f>D63*2.83168</f>
      </c>
      <c r="F63" s="5">
        <v>2</v>
      </c>
      <c r="G63" s="5">
        <v>2</v>
      </c>
      <c r="H63" s="5">
        <v>0</v>
      </c>
      <c r="I63" s="5">
        <v>24</v>
      </c>
      <c r="J63" s="5">
        <v>0</v>
      </c>
      <c r="K63" s="5">
        <v>6</v>
      </c>
      <c r="L63" s="4">
        <f>0.9223+0.536697</f>
      </c>
      <c r="M63" s="15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90</v>
      </c>
      <c r="E64" s="4">
        <f>D64*2.83168</f>
      </c>
      <c r="F64" s="5">
        <v>2</v>
      </c>
      <c r="G64" s="5">
        <v>2</v>
      </c>
      <c r="H64" s="5">
        <v>0</v>
      </c>
      <c r="I64" s="5">
        <v>24</v>
      </c>
      <c r="J64" s="5">
        <v>0</v>
      </c>
      <c r="K64" s="5">
        <v>6</v>
      </c>
      <c r="L64" s="4">
        <f>0.484+0.536697</f>
      </c>
      <c r="M64" s="15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3000</v>
      </c>
      <c r="E65" s="4">
        <f>D65*2.83168</f>
      </c>
      <c r="F65" s="5">
        <v>2</v>
      </c>
      <c r="G65" s="5">
        <v>2</v>
      </c>
      <c r="H65" s="5">
        <v>0</v>
      </c>
      <c r="I65" s="5">
        <v>24</v>
      </c>
      <c r="J65" s="5">
        <v>0</v>
      </c>
      <c r="K65" s="5">
        <v>6</v>
      </c>
      <c r="L65" s="4">
        <f>0.3335+0.536697</f>
      </c>
      <c r="M65" s="15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3</v>
      </c>
      <c r="G66" s="5">
        <v>3</v>
      </c>
      <c r="H66" s="5">
        <v>0</v>
      </c>
      <c r="I66" s="5">
        <v>24</v>
      </c>
      <c r="J66" s="5">
        <v>0</v>
      </c>
      <c r="K66" s="5">
        <v>6</v>
      </c>
      <c r="L66" s="4">
        <f>32.9+0.518574</f>
      </c>
      <c r="M66" s="15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3</v>
      </c>
      <c r="E67" s="4">
        <f>D67*2.83168</f>
      </c>
      <c r="F67" s="5">
        <v>3</v>
      </c>
      <c r="G67" s="5">
        <v>3</v>
      </c>
      <c r="H67" s="5">
        <v>0</v>
      </c>
      <c r="I67" s="5">
        <v>24</v>
      </c>
      <c r="J67" s="5">
        <v>0</v>
      </c>
      <c r="K67" s="5">
        <v>6</v>
      </c>
      <c r="L67" s="4">
        <f>0.9223+0.518574</f>
      </c>
      <c r="M67" s="15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90</v>
      </c>
      <c r="E68" s="4">
        <f>D68*2.83168</f>
      </c>
      <c r="F68" s="5">
        <v>3</v>
      </c>
      <c r="G68" s="5">
        <v>3</v>
      </c>
      <c r="H68" s="5">
        <v>0</v>
      </c>
      <c r="I68" s="5">
        <v>24</v>
      </c>
      <c r="J68" s="5">
        <v>0</v>
      </c>
      <c r="K68" s="5">
        <v>6</v>
      </c>
      <c r="L68" s="4">
        <f>0.484+0.518574</f>
      </c>
      <c r="M68" s="15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3000</v>
      </c>
      <c r="E69" s="4">
        <f>D69*2.83168</f>
      </c>
      <c r="F69" s="5">
        <v>3</v>
      </c>
      <c r="G69" s="5">
        <v>3</v>
      </c>
      <c r="H69" s="5">
        <v>0</v>
      </c>
      <c r="I69" s="5">
        <v>24</v>
      </c>
      <c r="J69" s="5">
        <v>0</v>
      </c>
      <c r="K69" s="5">
        <v>6</v>
      </c>
      <c r="L69" s="4">
        <f>0.3335+0.518574</f>
      </c>
      <c r="M69" s="15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4</v>
      </c>
      <c r="G70" s="5">
        <v>4</v>
      </c>
      <c r="H70" s="5">
        <v>0</v>
      </c>
      <c r="I70" s="5">
        <v>24</v>
      </c>
      <c r="J70" s="5">
        <v>0</v>
      </c>
      <c r="K70" s="5">
        <v>6</v>
      </c>
      <c r="L70" s="4">
        <f>32.9+0.479056</f>
      </c>
      <c r="M70" s="15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3</v>
      </c>
      <c r="E71" s="4">
        <f>D71*2.83168</f>
      </c>
      <c r="F71" s="5">
        <v>4</v>
      </c>
      <c r="G71" s="5">
        <v>4</v>
      </c>
      <c r="H71" s="5">
        <v>0</v>
      </c>
      <c r="I71" s="5">
        <v>24</v>
      </c>
      <c r="J71" s="5">
        <v>0</v>
      </c>
      <c r="K71" s="5">
        <v>6</v>
      </c>
      <c r="L71" s="4">
        <f>0.9223+0.479056</f>
      </c>
      <c r="M71" s="15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90</v>
      </c>
      <c r="E72" s="4">
        <f>D72*2.83168</f>
      </c>
      <c r="F72" s="5">
        <v>4</v>
      </c>
      <c r="G72" s="5">
        <v>4</v>
      </c>
      <c r="H72" s="5">
        <v>0</v>
      </c>
      <c r="I72" s="5">
        <v>24</v>
      </c>
      <c r="J72" s="5">
        <v>0</v>
      </c>
      <c r="K72" s="5">
        <v>6</v>
      </c>
      <c r="L72" s="4">
        <f>0.484+0.479056</f>
      </c>
      <c r="M72" s="15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3000</v>
      </c>
      <c r="E73" s="4">
        <f>D73*2.83168</f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0.3335+0.479056</f>
      </c>
      <c r="M73" s="15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5</v>
      </c>
      <c r="G74" s="5">
        <v>5</v>
      </c>
      <c r="H74" s="5">
        <v>0</v>
      </c>
      <c r="I74" s="5">
        <v>24</v>
      </c>
      <c r="J74" s="5">
        <v>0</v>
      </c>
      <c r="K74" s="5">
        <v>6</v>
      </c>
      <c r="L74" s="4">
        <f>32.9+0.421929</f>
      </c>
      <c r="M74" s="15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3</v>
      </c>
      <c r="E75" s="4">
        <f>D75*2.83168</f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0.9223+0.421929</f>
      </c>
      <c r="M75" s="15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90</v>
      </c>
      <c r="E76" s="4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0.484+0.421929</f>
      </c>
      <c r="M76" s="15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3000</v>
      </c>
      <c r="E77" s="4">
        <f>D77*2.83168</f>
      </c>
      <c r="F77" s="5">
        <v>5</v>
      </c>
      <c r="G77" s="5">
        <v>5</v>
      </c>
      <c r="H77" s="5">
        <v>0</v>
      </c>
      <c r="I77" s="5">
        <v>24</v>
      </c>
      <c r="J77" s="5">
        <v>0</v>
      </c>
      <c r="K77" s="5">
        <v>6</v>
      </c>
      <c r="L77" s="4">
        <f>0.3335+0.421929</f>
      </c>
      <c r="M77" s="15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32.9+0.490438</f>
      </c>
      <c r="M78" s="15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3</v>
      </c>
      <c r="E79" s="4">
        <f>D79*2.83168</f>
      </c>
      <c r="F79" s="5">
        <v>6</v>
      </c>
      <c r="G79" s="5">
        <v>6</v>
      </c>
      <c r="H79" s="5">
        <v>0</v>
      </c>
      <c r="I79" s="5">
        <v>24</v>
      </c>
      <c r="J79" s="5">
        <v>0</v>
      </c>
      <c r="K79" s="5">
        <v>6</v>
      </c>
      <c r="L79" s="4">
        <f>0.9223+0.490438</f>
      </c>
      <c r="M79" s="15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90</v>
      </c>
      <c r="E80" s="4">
        <f>D80*2.83168</f>
      </c>
      <c r="F80" s="5">
        <v>6</v>
      </c>
      <c r="G80" s="5">
        <v>6</v>
      </c>
      <c r="H80" s="5">
        <v>0</v>
      </c>
      <c r="I80" s="5">
        <v>24</v>
      </c>
      <c r="J80" s="5">
        <v>0</v>
      </c>
      <c r="K80" s="5">
        <v>6</v>
      </c>
      <c r="L80" s="4">
        <f>0.484+0.490438</f>
      </c>
      <c r="M80" s="15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3000</v>
      </c>
      <c r="E81" s="4">
        <f>D81*2.83168</f>
      </c>
      <c r="F81" s="5">
        <v>6</v>
      </c>
      <c r="G81" s="5">
        <v>6</v>
      </c>
      <c r="H81" s="5">
        <v>0</v>
      </c>
      <c r="I81" s="5">
        <v>24</v>
      </c>
      <c r="J81" s="5">
        <v>0</v>
      </c>
      <c r="K81" s="5">
        <v>6</v>
      </c>
      <c r="L81" s="4">
        <f>0.3335+0.490438</f>
      </c>
      <c r="M81" s="15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0</v>
      </c>
      <c r="E82" s="5">
        <v>0</v>
      </c>
      <c r="F82" s="5">
        <v>7</v>
      </c>
      <c r="G82" s="5">
        <v>7</v>
      </c>
      <c r="H82" s="5">
        <v>0</v>
      </c>
      <c r="I82" s="5">
        <v>24</v>
      </c>
      <c r="J82" s="5">
        <v>0</v>
      </c>
      <c r="K82" s="5">
        <v>6</v>
      </c>
      <c r="L82" s="4">
        <f>32.9+0.510338</f>
      </c>
      <c r="M82" s="15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3</v>
      </c>
      <c r="E83" s="4">
        <f>D83*2.83168</f>
      </c>
      <c r="F83" s="5">
        <v>7</v>
      </c>
      <c r="G83" s="5">
        <v>7</v>
      </c>
      <c r="H83" s="5">
        <v>0</v>
      </c>
      <c r="I83" s="5">
        <v>24</v>
      </c>
      <c r="J83" s="5">
        <v>0</v>
      </c>
      <c r="K83" s="5">
        <v>6</v>
      </c>
      <c r="L83" s="4">
        <f>0.9223+0.510338</f>
      </c>
      <c r="M83" s="15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90</v>
      </c>
      <c r="E84" s="4">
        <f>D84*2.83168</f>
      </c>
      <c r="F84" s="5">
        <v>7</v>
      </c>
      <c r="G84" s="5">
        <v>7</v>
      </c>
      <c r="H84" s="5">
        <v>0</v>
      </c>
      <c r="I84" s="5">
        <v>24</v>
      </c>
      <c r="J84" s="5">
        <v>0</v>
      </c>
      <c r="K84" s="5">
        <v>6</v>
      </c>
      <c r="L84" s="4">
        <f>0.484+0.510338</f>
      </c>
      <c r="M84" s="15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3000</v>
      </c>
      <c r="E85" s="4">
        <f>D85*2.83168</f>
      </c>
      <c r="F85" s="5">
        <v>7</v>
      </c>
      <c r="G85" s="5">
        <v>7</v>
      </c>
      <c r="H85" s="5">
        <v>0</v>
      </c>
      <c r="I85" s="5">
        <v>24</v>
      </c>
      <c r="J85" s="5">
        <v>0</v>
      </c>
      <c r="K85" s="5">
        <v>6</v>
      </c>
      <c r="L85" s="4">
        <f>0.3335+0.510338</f>
      </c>
      <c r="M85" s="15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0</v>
      </c>
      <c r="E86" s="5">
        <v>0</v>
      </c>
      <c r="F86" s="5">
        <v>8</v>
      </c>
      <c r="G86" s="5">
        <v>8</v>
      </c>
      <c r="H86" s="5">
        <v>0</v>
      </c>
      <c r="I86" s="5">
        <v>24</v>
      </c>
      <c r="J86" s="5">
        <v>0</v>
      </c>
      <c r="K86" s="5">
        <v>6</v>
      </c>
      <c r="L86" s="4">
        <f>32.9+0.595963</f>
      </c>
      <c r="M86" s="15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3</v>
      </c>
      <c r="E87" s="4">
        <f>D87*2.83168</f>
      </c>
      <c r="F87" s="5">
        <v>8</v>
      </c>
      <c r="G87" s="5">
        <v>8</v>
      </c>
      <c r="H87" s="5">
        <v>0</v>
      </c>
      <c r="I87" s="5">
        <v>24</v>
      </c>
      <c r="J87" s="5">
        <v>0</v>
      </c>
      <c r="K87" s="5">
        <v>6</v>
      </c>
      <c r="L87" s="4">
        <f>0.9223+0.595963</f>
      </c>
      <c r="M87" s="15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90</v>
      </c>
      <c r="E88" s="4">
        <f>D88*2.83168</f>
      </c>
      <c r="F88" s="5">
        <v>8</v>
      </c>
      <c r="G88" s="5">
        <v>8</v>
      </c>
      <c r="H88" s="5">
        <v>0</v>
      </c>
      <c r="I88" s="5">
        <v>24</v>
      </c>
      <c r="J88" s="5">
        <v>0</v>
      </c>
      <c r="K88" s="5">
        <v>6</v>
      </c>
      <c r="L88" s="4">
        <f>0.484+0.595963</f>
      </c>
      <c r="M88" s="15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3000</v>
      </c>
      <c r="E89" s="4">
        <f>D89*2.83168</f>
      </c>
      <c r="F89" s="5">
        <v>8</v>
      </c>
      <c r="G89" s="5">
        <v>8</v>
      </c>
      <c r="H89" s="5">
        <v>0</v>
      </c>
      <c r="I89" s="5">
        <v>24</v>
      </c>
      <c r="J89" s="5">
        <v>0</v>
      </c>
      <c r="K89" s="5">
        <v>6</v>
      </c>
      <c r="L89" s="4">
        <f>0.3335+0.595963</f>
      </c>
      <c r="M89" s="15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0</v>
      </c>
      <c r="E90" s="5">
        <v>0</v>
      </c>
      <c r="F90" s="5">
        <v>9</v>
      </c>
      <c r="G90" s="5">
        <v>9</v>
      </c>
      <c r="H90" s="5">
        <v>0</v>
      </c>
      <c r="I90" s="5">
        <v>24</v>
      </c>
      <c r="J90" s="5">
        <v>0</v>
      </c>
      <c r="K90" s="5">
        <v>6</v>
      </c>
      <c r="L90" s="4">
        <f>32.9+0.574746</f>
      </c>
      <c r="M90" s="15">
        <f>L90/2.83168</f>
      </c>
      <c r="N90" s="1" t="s">
        <v>36</v>
      </c>
      <c r="O90" s="1"/>
    </row>
    <row x14ac:dyDescent="0.25" r="91" customHeight="1" ht="17.25">
      <c r="A91" s="1" t="s">
        <v>34</v>
      </c>
      <c r="B91" s="1" t="s">
        <v>25</v>
      </c>
      <c r="C91" s="1"/>
      <c r="D91" s="5">
        <v>3</v>
      </c>
      <c r="E91" s="4">
        <f>D91*2.83168</f>
      </c>
      <c r="F91" s="5">
        <v>9</v>
      </c>
      <c r="G91" s="5">
        <v>9</v>
      </c>
      <c r="H91" s="5">
        <v>0</v>
      </c>
      <c r="I91" s="5">
        <v>24</v>
      </c>
      <c r="J91" s="5">
        <v>0</v>
      </c>
      <c r="K91" s="5">
        <v>6</v>
      </c>
      <c r="L91" s="4">
        <f>0.9223+0.574746</f>
      </c>
      <c r="M91" s="15">
        <f>L91/2.83168</f>
      </c>
      <c r="N91" s="1" t="s">
        <v>36</v>
      </c>
      <c r="O91" s="1"/>
    </row>
    <row x14ac:dyDescent="0.25" r="92" customHeight="1" ht="17.25">
      <c r="A92" s="1" t="s">
        <v>34</v>
      </c>
      <c r="B92" s="1" t="s">
        <v>25</v>
      </c>
      <c r="C92" s="1"/>
      <c r="D92" s="5">
        <v>90</v>
      </c>
      <c r="E92" s="4">
        <f>D92*2.83168</f>
      </c>
      <c r="F92" s="5">
        <v>9</v>
      </c>
      <c r="G92" s="5">
        <v>9</v>
      </c>
      <c r="H92" s="5">
        <v>0</v>
      </c>
      <c r="I92" s="5">
        <v>24</v>
      </c>
      <c r="J92" s="5">
        <v>0</v>
      </c>
      <c r="K92" s="5">
        <v>6</v>
      </c>
      <c r="L92" s="4">
        <f>0.484+0.574746</f>
      </c>
      <c r="M92" s="15">
        <f>L92/2.83168</f>
      </c>
      <c r="N92" s="1" t="s">
        <v>36</v>
      </c>
      <c r="O92" s="1"/>
    </row>
    <row x14ac:dyDescent="0.25" r="93" customHeight="1" ht="17.25">
      <c r="A93" s="1" t="s">
        <v>34</v>
      </c>
      <c r="B93" s="1" t="s">
        <v>25</v>
      </c>
      <c r="C93" s="1"/>
      <c r="D93" s="5">
        <v>3000</v>
      </c>
      <c r="E93" s="4">
        <f>D93*2.83168</f>
      </c>
      <c r="F93" s="5">
        <v>9</v>
      </c>
      <c r="G93" s="5">
        <v>9</v>
      </c>
      <c r="H93" s="5">
        <v>0</v>
      </c>
      <c r="I93" s="5">
        <v>24</v>
      </c>
      <c r="J93" s="5">
        <v>0</v>
      </c>
      <c r="K93" s="5">
        <v>6</v>
      </c>
      <c r="L93" s="4">
        <f>0.3335+0.574746</f>
      </c>
      <c r="M93" s="15">
        <f>L93/2.83168</f>
      </c>
      <c r="N93" s="1" t="s">
        <v>36</v>
      </c>
      <c r="O93" s="1"/>
    </row>
    <row x14ac:dyDescent="0.25" r="94" customHeight="1" ht="17.25">
      <c r="A94" s="1" t="s">
        <v>34</v>
      </c>
      <c r="B94" s="1" t="s">
        <v>25</v>
      </c>
      <c r="C94" s="1"/>
      <c r="D94" s="5">
        <v>0</v>
      </c>
      <c r="E94" s="5">
        <v>0</v>
      </c>
      <c r="F94" s="5">
        <v>10</v>
      </c>
      <c r="G94" s="5">
        <v>10</v>
      </c>
      <c r="H94" s="5">
        <v>0</v>
      </c>
      <c r="I94" s="5">
        <v>24</v>
      </c>
      <c r="J94" s="5">
        <v>0</v>
      </c>
      <c r="K94" s="5">
        <v>6</v>
      </c>
      <c r="L94" s="4">
        <f>32.9+0.658035</f>
      </c>
      <c r="M94" s="15">
        <f>L94/2.83168</f>
      </c>
      <c r="N94" s="1" t="s">
        <v>36</v>
      </c>
      <c r="O94" s="1"/>
    </row>
    <row x14ac:dyDescent="0.25" r="95" customHeight="1" ht="17.25">
      <c r="A95" s="1" t="s">
        <v>34</v>
      </c>
      <c r="B95" s="1" t="s">
        <v>25</v>
      </c>
      <c r="C95" s="1"/>
      <c r="D95" s="5">
        <v>3</v>
      </c>
      <c r="E95" s="4">
        <f>D95*2.83168</f>
      </c>
      <c r="F95" s="5">
        <v>10</v>
      </c>
      <c r="G95" s="5">
        <v>10</v>
      </c>
      <c r="H95" s="5">
        <v>0</v>
      </c>
      <c r="I95" s="5">
        <v>24</v>
      </c>
      <c r="J95" s="5">
        <v>0</v>
      </c>
      <c r="K95" s="5">
        <v>6</v>
      </c>
      <c r="L95" s="4">
        <f>0.9223+0.658035</f>
      </c>
      <c r="M95" s="15">
        <f>L95/2.83168</f>
      </c>
      <c r="N95" s="1" t="s">
        <v>36</v>
      </c>
      <c r="O95" s="1"/>
    </row>
    <row x14ac:dyDescent="0.25" r="96" customHeight="1" ht="17.25">
      <c r="A96" s="1" t="s">
        <v>34</v>
      </c>
      <c r="B96" s="1" t="s">
        <v>25</v>
      </c>
      <c r="C96" s="1"/>
      <c r="D96" s="5">
        <v>90</v>
      </c>
      <c r="E96" s="4">
        <f>D96*2.83168</f>
      </c>
      <c r="F96" s="5">
        <v>10</v>
      </c>
      <c r="G96" s="5">
        <v>10</v>
      </c>
      <c r="H96" s="5">
        <v>0</v>
      </c>
      <c r="I96" s="5">
        <v>24</v>
      </c>
      <c r="J96" s="5">
        <v>0</v>
      </c>
      <c r="K96" s="5">
        <v>6</v>
      </c>
      <c r="L96" s="4">
        <f>0.484+0.658035</f>
      </c>
      <c r="M96" s="15">
        <f>L96/2.83168</f>
      </c>
      <c r="N96" s="1" t="s">
        <v>36</v>
      </c>
      <c r="O96" s="1"/>
    </row>
    <row x14ac:dyDescent="0.25" r="97" customHeight="1" ht="17.25">
      <c r="A97" s="1" t="s">
        <v>34</v>
      </c>
      <c r="B97" s="1" t="s">
        <v>25</v>
      </c>
      <c r="C97" s="1"/>
      <c r="D97" s="5">
        <v>3000</v>
      </c>
      <c r="E97" s="4">
        <f>D97*2.83168</f>
      </c>
      <c r="F97" s="5">
        <v>10</v>
      </c>
      <c r="G97" s="5">
        <v>10</v>
      </c>
      <c r="H97" s="5">
        <v>0</v>
      </c>
      <c r="I97" s="5">
        <v>24</v>
      </c>
      <c r="J97" s="5">
        <v>0</v>
      </c>
      <c r="K97" s="5">
        <v>6</v>
      </c>
      <c r="L97" s="4">
        <f>0.3335+0.658035</f>
      </c>
      <c r="M97" s="15">
        <f>L97/2.83168</f>
      </c>
      <c r="N97" s="1" t="s">
        <v>36</v>
      </c>
      <c r="O97" s="1"/>
    </row>
    <row x14ac:dyDescent="0.25" r="98" customHeight="1" ht="17.25">
      <c r="A98" s="1" t="s">
        <v>34</v>
      </c>
      <c r="B98" s="1" t="s">
        <v>25</v>
      </c>
      <c r="C98" s="1"/>
      <c r="D98" s="5">
        <v>0</v>
      </c>
      <c r="E98" s="5">
        <v>0</v>
      </c>
      <c r="F98" s="5">
        <v>11</v>
      </c>
      <c r="G98" s="5">
        <v>11</v>
      </c>
      <c r="H98" s="5">
        <v>0</v>
      </c>
      <c r="I98" s="5">
        <v>24</v>
      </c>
      <c r="J98" s="5">
        <v>0</v>
      </c>
      <c r="K98" s="5">
        <v>6</v>
      </c>
      <c r="L98" s="4">
        <f>32.9+0.659757</f>
      </c>
      <c r="M98" s="15">
        <f>L98/2.83168</f>
      </c>
      <c r="N98" s="1" t="s">
        <v>36</v>
      </c>
      <c r="O98" s="1"/>
    </row>
    <row x14ac:dyDescent="0.25" r="99" customHeight="1" ht="17.25">
      <c r="A99" s="1" t="s">
        <v>34</v>
      </c>
      <c r="B99" s="1" t="s">
        <v>25</v>
      </c>
      <c r="C99" s="1"/>
      <c r="D99" s="5">
        <v>3</v>
      </c>
      <c r="E99" s="4">
        <f>D99*2.83168</f>
      </c>
      <c r="F99" s="5">
        <v>11</v>
      </c>
      <c r="G99" s="5">
        <v>11</v>
      </c>
      <c r="H99" s="5">
        <v>0</v>
      </c>
      <c r="I99" s="5">
        <v>24</v>
      </c>
      <c r="J99" s="5">
        <v>0</v>
      </c>
      <c r="K99" s="5">
        <v>6</v>
      </c>
      <c r="L99" s="4">
        <f>0.9223+0.659757</f>
      </c>
      <c r="M99" s="15">
        <f>L99/2.83168</f>
      </c>
      <c r="N99" s="1" t="s">
        <v>36</v>
      </c>
      <c r="O99" s="1"/>
    </row>
    <row x14ac:dyDescent="0.25" r="100" customHeight="1" ht="17.25">
      <c r="A100" s="1" t="s">
        <v>34</v>
      </c>
      <c r="B100" s="1" t="s">
        <v>25</v>
      </c>
      <c r="C100" s="1"/>
      <c r="D100" s="5">
        <v>90</v>
      </c>
      <c r="E100" s="4">
        <f>D100*2.83168</f>
      </c>
      <c r="F100" s="5">
        <v>11</v>
      </c>
      <c r="G100" s="5">
        <v>11</v>
      </c>
      <c r="H100" s="5">
        <v>0</v>
      </c>
      <c r="I100" s="5">
        <v>24</v>
      </c>
      <c r="J100" s="5">
        <v>0</v>
      </c>
      <c r="K100" s="5">
        <v>6</v>
      </c>
      <c r="L100" s="4">
        <f>0.484+0.659757</f>
      </c>
      <c r="M100" s="15">
        <f>L100/2.83168</f>
      </c>
      <c r="N100" s="1" t="s">
        <v>36</v>
      </c>
      <c r="O100" s="1"/>
    </row>
    <row x14ac:dyDescent="0.25" r="101" customHeight="1" ht="17.25">
      <c r="A101" s="1" t="s">
        <v>34</v>
      </c>
      <c r="B101" s="1" t="s">
        <v>25</v>
      </c>
      <c r="C101" s="1"/>
      <c r="D101" s="5">
        <v>3000</v>
      </c>
      <c r="E101" s="4">
        <f>D101*2.83168</f>
      </c>
      <c r="F101" s="5">
        <v>11</v>
      </c>
      <c r="G101" s="5">
        <v>11</v>
      </c>
      <c r="H101" s="5">
        <v>0</v>
      </c>
      <c r="I101" s="5">
        <v>24</v>
      </c>
      <c r="J101" s="5">
        <v>0</v>
      </c>
      <c r="K101" s="5">
        <v>6</v>
      </c>
      <c r="L101" s="4">
        <f>0.3335+0.659757</f>
      </c>
      <c r="M101" s="15">
        <f>L101/2.83168</f>
      </c>
      <c r="N101" s="1" t="s">
        <v>36</v>
      </c>
      <c r="O101" s="1"/>
    </row>
    <row x14ac:dyDescent="0.25" r="102" customHeight="1" ht="17.25">
      <c r="A102" s="1" t="s">
        <v>34</v>
      </c>
      <c r="B102" s="1" t="s">
        <v>25</v>
      </c>
      <c r="C102" s="1"/>
      <c r="D102" s="5">
        <v>0</v>
      </c>
      <c r="E102" s="5">
        <v>0</v>
      </c>
      <c r="F102" s="5">
        <v>12</v>
      </c>
      <c r="G102" s="5">
        <v>12</v>
      </c>
      <c r="H102" s="5">
        <v>0</v>
      </c>
      <c r="I102" s="5">
        <v>24</v>
      </c>
      <c r="J102" s="5">
        <v>0</v>
      </c>
      <c r="K102" s="5">
        <v>6</v>
      </c>
      <c r="L102" s="4">
        <f>32.9+0.690801</f>
      </c>
      <c r="M102" s="15">
        <f>L102/2.83168</f>
      </c>
      <c r="N102" s="1" t="s">
        <v>36</v>
      </c>
      <c r="O102" s="1"/>
    </row>
    <row x14ac:dyDescent="0.25" r="103" customHeight="1" ht="17.25">
      <c r="A103" s="1" t="s">
        <v>34</v>
      </c>
      <c r="B103" s="1" t="s">
        <v>25</v>
      </c>
      <c r="C103" s="1"/>
      <c r="D103" s="5">
        <v>3</v>
      </c>
      <c r="E103" s="4">
        <f>D103*2.83168</f>
      </c>
      <c r="F103" s="5">
        <v>12</v>
      </c>
      <c r="G103" s="5">
        <v>12</v>
      </c>
      <c r="H103" s="5">
        <v>0</v>
      </c>
      <c r="I103" s="5">
        <v>24</v>
      </c>
      <c r="J103" s="5">
        <v>0</v>
      </c>
      <c r="K103" s="5">
        <v>6</v>
      </c>
      <c r="L103" s="4">
        <f>0.9223+0.690801</f>
      </c>
      <c r="M103" s="15">
        <f>L103/2.83168</f>
      </c>
      <c r="N103" s="1" t="s">
        <v>36</v>
      </c>
      <c r="O103" s="1"/>
    </row>
    <row x14ac:dyDescent="0.25" r="104" customHeight="1" ht="17.25">
      <c r="A104" s="1" t="s">
        <v>34</v>
      </c>
      <c r="B104" s="1" t="s">
        <v>25</v>
      </c>
      <c r="C104" s="1"/>
      <c r="D104" s="5">
        <v>90</v>
      </c>
      <c r="E104" s="4">
        <f>D104*2.83168</f>
      </c>
      <c r="F104" s="5">
        <v>12</v>
      </c>
      <c r="G104" s="5">
        <v>12</v>
      </c>
      <c r="H104" s="5">
        <v>0</v>
      </c>
      <c r="I104" s="5">
        <v>24</v>
      </c>
      <c r="J104" s="5">
        <v>0</v>
      </c>
      <c r="K104" s="5">
        <v>6</v>
      </c>
      <c r="L104" s="4">
        <f>0.484+0.690801</f>
      </c>
      <c r="M104" s="15">
        <f>L104/2.83168</f>
      </c>
      <c r="N104" s="1" t="s">
        <v>36</v>
      </c>
      <c r="O104" s="1"/>
    </row>
    <row x14ac:dyDescent="0.25" r="105" customHeight="1" ht="17.25">
      <c r="A105" s="1" t="s">
        <v>34</v>
      </c>
      <c r="B105" s="1" t="s">
        <v>25</v>
      </c>
      <c r="C105" s="1"/>
      <c r="D105" s="5">
        <v>3000</v>
      </c>
      <c r="E105" s="4">
        <f>D105*2.83168</f>
      </c>
      <c r="F105" s="5">
        <v>12</v>
      </c>
      <c r="G105" s="5">
        <v>12</v>
      </c>
      <c r="H105" s="5">
        <v>0</v>
      </c>
      <c r="I105" s="5">
        <v>24</v>
      </c>
      <c r="J105" s="5">
        <v>0</v>
      </c>
      <c r="K105" s="5">
        <v>6</v>
      </c>
      <c r="L105" s="4">
        <f>0.3335+0.690801</f>
      </c>
      <c r="M105" s="15">
        <f>L105/2.83168</f>
      </c>
      <c r="N105" s="1" t="s">
        <v>36</v>
      </c>
      <c r="O105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138.5</v>
      </c>
      <c r="M2" s="4">
        <v>138.5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0.0303+0.00995</f>
      </c>
      <c r="M3" s="4">
        <f>0.0303+0.00995</f>
      </c>
      <c r="N3" s="1" t="s">
        <v>26</v>
      </c>
      <c r="O3" s="1" t="s">
        <v>92</v>
      </c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6.72</v>
      </c>
      <c r="M4" s="4">
        <v>6.72</v>
      </c>
      <c r="N4" s="1" t="s">
        <v>19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3"/>
      <c r="F5" s="2"/>
      <c r="G5" s="2"/>
      <c r="H5" s="2"/>
      <c r="I5" s="2"/>
      <c r="J5" s="2"/>
      <c r="K5" s="2"/>
      <c r="L5" s="4">
        <v>559.53</v>
      </c>
      <c r="M5" s="4">
        <v>559.53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0</v>
      </c>
      <c r="K6" s="5">
        <v>6</v>
      </c>
      <c r="L6" s="14">
        <f>0.3865/10.87 + 0.3537</f>
      </c>
      <c r="M6" s="14">
        <f>L6/2.83168</f>
      </c>
      <c r="N6" s="1" t="s">
        <v>36</v>
      </c>
      <c r="O6" s="1"/>
    </row>
    <row x14ac:dyDescent="0.25" r="7" customHeight="1" ht="17.25">
      <c r="A7" s="1" t="s">
        <v>34</v>
      </c>
      <c r="B7" s="1" t="s">
        <v>25</v>
      </c>
      <c r="C7" s="1"/>
      <c r="D7" s="5">
        <f>2000*10.87</f>
      </c>
      <c r="E7" s="4">
        <f>D7*2.83168</f>
      </c>
      <c r="F7" s="5">
        <v>1</v>
      </c>
      <c r="G7" s="5">
        <v>1</v>
      </c>
      <c r="H7" s="5">
        <v>0</v>
      </c>
      <c r="I7" s="5">
        <v>24</v>
      </c>
      <c r="J7" s="5">
        <v>0</v>
      </c>
      <c r="K7" s="5">
        <v>6</v>
      </c>
      <c r="L7" s="14">
        <f>0.237/10.87+0.3537</f>
      </c>
      <c r="M7" s="14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f>13000*10.87+D7</f>
      </c>
      <c r="E8" s="4">
        <f>D8*2.83168</f>
      </c>
      <c r="F8" s="5">
        <v>1</v>
      </c>
      <c r="G8" s="5">
        <v>1</v>
      </c>
      <c r="H8" s="5">
        <v>0</v>
      </c>
      <c r="I8" s="5">
        <v>24</v>
      </c>
      <c r="J8" s="5">
        <v>0</v>
      </c>
      <c r="K8" s="5">
        <v>6</v>
      </c>
      <c r="L8" s="14">
        <f>0.2068/10.87 + 0.3537</f>
      </c>
      <c r="M8" s="14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f>85000*10.87+D8</f>
      </c>
      <c r="E9" s="4">
        <f>D9*2.83168</f>
      </c>
      <c r="F9" s="5">
        <v>1</v>
      </c>
      <c r="G9" s="5">
        <v>1</v>
      </c>
      <c r="H9" s="5">
        <v>0</v>
      </c>
      <c r="I9" s="5">
        <v>24</v>
      </c>
      <c r="J9" s="5">
        <v>0</v>
      </c>
      <c r="K9" s="5">
        <v>6</v>
      </c>
      <c r="L9" s="14">
        <f>0.1635/10.87 + 0.3537</f>
      </c>
      <c r="M9" s="14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0</v>
      </c>
      <c r="K10" s="5">
        <v>6</v>
      </c>
      <c r="L10" s="14">
        <f>0.3865/10.87 + 0.383</f>
      </c>
      <c r="M10" s="14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f>2000*10.87</f>
      </c>
      <c r="E11" s="4">
        <f>D11*2.83168</f>
      </c>
      <c r="F11" s="5">
        <v>2</v>
      </c>
      <c r="G11" s="5">
        <v>2</v>
      </c>
      <c r="H11" s="5">
        <v>0</v>
      </c>
      <c r="I11" s="5">
        <v>24</v>
      </c>
      <c r="J11" s="5">
        <v>0</v>
      </c>
      <c r="K11" s="5">
        <v>6</v>
      </c>
      <c r="L11" s="14">
        <f>0.237/10.87 + 0.383</f>
      </c>
      <c r="M11" s="14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f>13000*10.87+D11</f>
      </c>
      <c r="E12" s="4">
        <f>D12*2.83168</f>
      </c>
      <c r="F12" s="5">
        <v>2</v>
      </c>
      <c r="G12" s="5">
        <v>2</v>
      </c>
      <c r="H12" s="5">
        <v>0</v>
      </c>
      <c r="I12" s="5">
        <v>24</v>
      </c>
      <c r="J12" s="5">
        <v>0</v>
      </c>
      <c r="K12" s="5">
        <v>6</v>
      </c>
      <c r="L12" s="14">
        <f>0.2068/10.87 + 0.383</f>
      </c>
      <c r="M12" s="14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f>85000*10.87+D12</f>
      </c>
      <c r="E13" s="4">
        <f>D13*2.83168</f>
      </c>
      <c r="F13" s="5">
        <v>2</v>
      </c>
      <c r="G13" s="5">
        <v>2</v>
      </c>
      <c r="H13" s="5">
        <v>0</v>
      </c>
      <c r="I13" s="5">
        <v>24</v>
      </c>
      <c r="J13" s="5">
        <v>0</v>
      </c>
      <c r="K13" s="5">
        <v>6</v>
      </c>
      <c r="L13" s="14">
        <f>0.1635/10.87 + 0.383</f>
      </c>
      <c r="M13" s="14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24</v>
      </c>
      <c r="J14" s="5">
        <v>0</v>
      </c>
      <c r="K14" s="5">
        <v>6</v>
      </c>
      <c r="L14" s="14">
        <f>0.3865/10.87 + 0.3924</f>
      </c>
      <c r="M14" s="14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f>2000*10.87</f>
      </c>
      <c r="E15" s="4">
        <f>D15*2.83168</f>
      </c>
      <c r="F15" s="5">
        <v>3</v>
      </c>
      <c r="G15" s="5">
        <v>3</v>
      </c>
      <c r="H15" s="5">
        <v>0</v>
      </c>
      <c r="I15" s="5">
        <v>24</v>
      </c>
      <c r="J15" s="5">
        <v>0</v>
      </c>
      <c r="K15" s="5">
        <v>6</v>
      </c>
      <c r="L15" s="14">
        <f>0.237/10.87 + 0.3924</f>
      </c>
      <c r="M15" s="14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f>13000*10.87+D15</f>
      </c>
      <c r="E16" s="4">
        <f>D16*2.83168</f>
      </c>
      <c r="F16" s="5">
        <v>3</v>
      </c>
      <c r="G16" s="5">
        <v>3</v>
      </c>
      <c r="H16" s="5">
        <v>0</v>
      </c>
      <c r="I16" s="5">
        <v>24</v>
      </c>
      <c r="J16" s="5">
        <v>0</v>
      </c>
      <c r="K16" s="5">
        <v>6</v>
      </c>
      <c r="L16" s="14">
        <f>0.2068/10.87 + 0.3924</f>
      </c>
      <c r="M16" s="14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f>85000*10.87+D16</f>
      </c>
      <c r="E17" s="4">
        <f>D17*2.83168</f>
      </c>
      <c r="F17" s="5">
        <v>3</v>
      </c>
      <c r="G17" s="5">
        <v>3</v>
      </c>
      <c r="H17" s="5">
        <v>0</v>
      </c>
      <c r="I17" s="5">
        <v>24</v>
      </c>
      <c r="J17" s="5">
        <v>0</v>
      </c>
      <c r="K17" s="5">
        <v>6</v>
      </c>
      <c r="L17" s="14">
        <f>0.1635/10.87 + 0.3924</f>
      </c>
      <c r="M17" s="14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4</v>
      </c>
      <c r="G18" s="5">
        <v>4</v>
      </c>
      <c r="H18" s="5">
        <v>0</v>
      </c>
      <c r="I18" s="5">
        <v>24</v>
      </c>
      <c r="J18" s="5">
        <v>0</v>
      </c>
      <c r="K18" s="5">
        <v>6</v>
      </c>
      <c r="L18" s="14">
        <f>0.3865/10.87 + 0.4286</f>
      </c>
      <c r="M18" s="14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f>2000*10.87</f>
      </c>
      <c r="E19" s="4">
        <f>D19*2.83168</f>
      </c>
      <c r="F19" s="5">
        <v>4</v>
      </c>
      <c r="G19" s="5">
        <v>4</v>
      </c>
      <c r="H19" s="5">
        <v>0</v>
      </c>
      <c r="I19" s="5">
        <v>24</v>
      </c>
      <c r="J19" s="5">
        <v>0</v>
      </c>
      <c r="K19" s="5">
        <v>6</v>
      </c>
      <c r="L19" s="14">
        <f>0.237/10.87 + 0.4286</f>
      </c>
      <c r="M19" s="14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f>13000*10.87+D19</f>
      </c>
      <c r="E20" s="4">
        <f>D20*2.83168</f>
      </c>
      <c r="F20" s="5">
        <v>4</v>
      </c>
      <c r="G20" s="5">
        <v>4</v>
      </c>
      <c r="H20" s="5">
        <v>0</v>
      </c>
      <c r="I20" s="5">
        <v>24</v>
      </c>
      <c r="J20" s="5">
        <v>0</v>
      </c>
      <c r="K20" s="5">
        <v>6</v>
      </c>
      <c r="L20" s="14">
        <f>0.2068/10.87 +0.4286</f>
      </c>
      <c r="M20" s="14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1"/>
      <c r="D21" s="5">
        <f>85000*10.87+D20</f>
      </c>
      <c r="E21" s="4">
        <f>D21*2.83168</f>
      </c>
      <c r="F21" s="5">
        <v>4</v>
      </c>
      <c r="G21" s="5">
        <v>4</v>
      </c>
      <c r="H21" s="5">
        <v>0</v>
      </c>
      <c r="I21" s="5">
        <v>24</v>
      </c>
      <c r="J21" s="5">
        <v>0</v>
      </c>
      <c r="K21" s="5">
        <v>6</v>
      </c>
      <c r="L21" s="14">
        <f>0.1635/10.87 + 0.4286</f>
      </c>
      <c r="M21" s="14">
        <f>L21/2.83168</f>
      </c>
      <c r="N21" s="1" t="s">
        <v>36</v>
      </c>
      <c r="O21" s="1"/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14">
        <f>0.3865/10.87 +0.4625</f>
      </c>
      <c r="M22" s="14">
        <f>L22/2.83168</f>
      </c>
      <c r="N22" s="1" t="s">
        <v>36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f>2000*10.87</f>
      </c>
      <c r="E23" s="4">
        <f>D23*2.83168</f>
      </c>
      <c r="F23" s="5">
        <v>5</v>
      </c>
      <c r="G23" s="5">
        <v>5</v>
      </c>
      <c r="H23" s="5">
        <v>0</v>
      </c>
      <c r="I23" s="5">
        <v>24</v>
      </c>
      <c r="J23" s="5">
        <v>0</v>
      </c>
      <c r="K23" s="5">
        <v>6</v>
      </c>
      <c r="L23" s="14">
        <f>0.237/10.87 +0.4625</f>
      </c>
      <c r="M23" s="14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f>13000*10.87+D23</f>
      </c>
      <c r="E24" s="4">
        <f>D24*2.83168</f>
      </c>
      <c r="F24" s="5">
        <v>5</v>
      </c>
      <c r="G24" s="5">
        <v>5</v>
      </c>
      <c r="H24" s="5">
        <v>0</v>
      </c>
      <c r="I24" s="5">
        <v>24</v>
      </c>
      <c r="J24" s="5">
        <v>0</v>
      </c>
      <c r="K24" s="5">
        <v>6</v>
      </c>
      <c r="L24" s="14">
        <f>0.2068/10.87 + 0.4625</f>
      </c>
      <c r="M24" s="14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f>85000*10.87+D24</f>
      </c>
      <c r="E25" s="4">
        <f>D25*2.83168</f>
      </c>
      <c r="F25" s="5">
        <v>5</v>
      </c>
      <c r="G25" s="5">
        <v>5</v>
      </c>
      <c r="H25" s="5">
        <v>0</v>
      </c>
      <c r="I25" s="5">
        <v>24</v>
      </c>
      <c r="J25" s="5">
        <v>0</v>
      </c>
      <c r="K25" s="5">
        <v>6</v>
      </c>
      <c r="L25" s="14">
        <f>0.1635/10.87 + 0.4625</f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6</v>
      </c>
      <c r="G26" s="5">
        <v>6</v>
      </c>
      <c r="H26" s="5">
        <v>0</v>
      </c>
      <c r="I26" s="5">
        <v>24</v>
      </c>
      <c r="J26" s="5">
        <v>0</v>
      </c>
      <c r="K26" s="5">
        <v>6</v>
      </c>
      <c r="L26" s="14">
        <f>0.3865/10.87 + 0.4684</f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f>2000*10.87</f>
      </c>
      <c r="E27" s="4">
        <f>D27*2.83168</f>
      </c>
      <c r="F27" s="5">
        <v>6</v>
      </c>
      <c r="G27" s="5">
        <v>6</v>
      </c>
      <c r="H27" s="5">
        <v>0</v>
      </c>
      <c r="I27" s="5">
        <v>24</v>
      </c>
      <c r="J27" s="5">
        <v>0</v>
      </c>
      <c r="K27" s="5">
        <v>6</v>
      </c>
      <c r="L27" s="14">
        <f>0.237/10.87 + 0.4684</f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f>13000*10.87+D27</f>
      </c>
      <c r="E28" s="4">
        <f>D28*2.83168</f>
      </c>
      <c r="F28" s="5">
        <v>6</v>
      </c>
      <c r="G28" s="5">
        <v>6</v>
      </c>
      <c r="H28" s="5">
        <v>0</v>
      </c>
      <c r="I28" s="5">
        <v>24</v>
      </c>
      <c r="J28" s="5">
        <v>0</v>
      </c>
      <c r="K28" s="5">
        <v>6</v>
      </c>
      <c r="L28" s="14">
        <f>0.2068/10.87 + 0.4684</f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f>85000*10.87+D28</f>
      </c>
      <c r="E29" s="4">
        <f>D29*2.83168</f>
      </c>
      <c r="F29" s="5">
        <v>6</v>
      </c>
      <c r="G29" s="5">
        <v>6</v>
      </c>
      <c r="H29" s="5">
        <v>0</v>
      </c>
      <c r="I29" s="5">
        <v>24</v>
      </c>
      <c r="J29" s="5">
        <v>0</v>
      </c>
      <c r="K29" s="5">
        <v>6</v>
      </c>
      <c r="L29" s="14">
        <f>0.1635/10.87 + 0.4684</f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0</v>
      </c>
      <c r="E30" s="5">
        <v>0</v>
      </c>
      <c r="F30" s="5">
        <v>7</v>
      </c>
      <c r="G30" s="5">
        <v>7</v>
      </c>
      <c r="H30" s="5">
        <v>0</v>
      </c>
      <c r="I30" s="5">
        <v>24</v>
      </c>
      <c r="J30" s="5">
        <v>0</v>
      </c>
      <c r="K30" s="5">
        <v>6</v>
      </c>
      <c r="L30" s="14">
        <f>0.3865/10.87 + 0.5377</f>
      </c>
      <c r="M30" s="14">
        <f>L30/2.83168</f>
      </c>
      <c r="N30" s="1" t="s">
        <v>36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f>2000*10.87</f>
      </c>
      <c r="E31" s="4">
        <f>D31*2.83168</f>
      </c>
      <c r="F31" s="5">
        <v>7</v>
      </c>
      <c r="G31" s="5">
        <v>7</v>
      </c>
      <c r="H31" s="5">
        <v>0</v>
      </c>
      <c r="I31" s="5">
        <v>24</v>
      </c>
      <c r="J31" s="5">
        <v>0</v>
      </c>
      <c r="K31" s="5">
        <v>6</v>
      </c>
      <c r="L31" s="14">
        <f>0.237/10.87 + 0.5377</f>
      </c>
      <c r="M31" s="14">
        <f>L31/2.83168</f>
      </c>
      <c r="N31" s="1" t="s">
        <v>36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f>13000*10.87+D31</f>
      </c>
      <c r="E32" s="4">
        <f>D32*2.83168</f>
      </c>
      <c r="F32" s="5">
        <v>7</v>
      </c>
      <c r="G32" s="5">
        <v>7</v>
      </c>
      <c r="H32" s="5">
        <v>0</v>
      </c>
      <c r="I32" s="5">
        <v>24</v>
      </c>
      <c r="J32" s="5">
        <v>0</v>
      </c>
      <c r="K32" s="5">
        <v>6</v>
      </c>
      <c r="L32" s="14">
        <f>0.2068/10.87 + 0.5377</f>
      </c>
      <c r="M32" s="14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f>85000*10.87+D32</f>
      </c>
      <c r="E33" s="4">
        <f>D33*2.83168</f>
      </c>
      <c r="F33" s="5">
        <v>7</v>
      </c>
      <c r="G33" s="5">
        <v>7</v>
      </c>
      <c r="H33" s="5">
        <v>0</v>
      </c>
      <c r="I33" s="5">
        <v>24</v>
      </c>
      <c r="J33" s="5">
        <v>0</v>
      </c>
      <c r="K33" s="5">
        <v>6</v>
      </c>
      <c r="L33" s="14">
        <f>0.1635/10.87 + 0.5377</f>
      </c>
      <c r="M33" s="14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8</v>
      </c>
      <c r="G34" s="5">
        <v>8</v>
      </c>
      <c r="H34" s="5">
        <v>0</v>
      </c>
      <c r="I34" s="5">
        <v>24</v>
      </c>
      <c r="J34" s="5">
        <v>0</v>
      </c>
      <c r="K34" s="5">
        <v>6</v>
      </c>
      <c r="L34" s="14">
        <f>0.3865/10.87 + 0.54871</f>
      </c>
      <c r="M34" s="14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f>2000*10.87</f>
      </c>
      <c r="E35" s="4">
        <f>D35*2.83168</f>
      </c>
      <c r="F35" s="5">
        <v>8</v>
      </c>
      <c r="G35" s="5">
        <v>8</v>
      </c>
      <c r="H35" s="5">
        <v>0</v>
      </c>
      <c r="I35" s="5">
        <v>24</v>
      </c>
      <c r="J35" s="5">
        <v>0</v>
      </c>
      <c r="K35" s="5">
        <v>6</v>
      </c>
      <c r="L35" s="14">
        <f>0.237/10.87 + 0.54871</f>
      </c>
      <c r="M35" s="14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f>13000*10.87+D35</f>
      </c>
      <c r="E36" s="4">
        <f>D36*2.83168</f>
      </c>
      <c r="F36" s="5">
        <v>8</v>
      </c>
      <c r="G36" s="5">
        <v>8</v>
      </c>
      <c r="H36" s="5">
        <v>0</v>
      </c>
      <c r="I36" s="5">
        <v>24</v>
      </c>
      <c r="J36" s="5">
        <v>0</v>
      </c>
      <c r="K36" s="5">
        <v>6</v>
      </c>
      <c r="L36" s="14">
        <f>0.2068/10.87+0.54871</f>
      </c>
      <c r="M36" s="14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f>85000*10.87+D36</f>
      </c>
      <c r="E37" s="4">
        <f>D37*2.83168</f>
      </c>
      <c r="F37" s="5">
        <v>8</v>
      </c>
      <c r="G37" s="5">
        <v>8</v>
      </c>
      <c r="H37" s="5">
        <v>0</v>
      </c>
      <c r="I37" s="5">
        <v>24</v>
      </c>
      <c r="J37" s="5">
        <v>0</v>
      </c>
      <c r="K37" s="5">
        <v>6</v>
      </c>
      <c r="L37" s="14">
        <f>0.1635/10.87 + 0.54871</f>
      </c>
      <c r="M37" s="14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9</v>
      </c>
      <c r="G38" s="5">
        <v>9</v>
      </c>
      <c r="H38" s="5">
        <v>0</v>
      </c>
      <c r="I38" s="5">
        <v>24</v>
      </c>
      <c r="J38" s="5">
        <v>0</v>
      </c>
      <c r="K38" s="5">
        <v>6</v>
      </c>
      <c r="L38" s="14">
        <f>0.3865/10.87+ 0.607</f>
      </c>
      <c r="M38" s="14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f>2000*10.87</f>
      </c>
      <c r="E39" s="4">
        <f>D39*2.83168</f>
      </c>
      <c r="F39" s="5">
        <v>9</v>
      </c>
      <c r="G39" s="5">
        <v>9</v>
      </c>
      <c r="H39" s="5">
        <v>0</v>
      </c>
      <c r="I39" s="5">
        <v>24</v>
      </c>
      <c r="J39" s="5">
        <v>0</v>
      </c>
      <c r="K39" s="5">
        <v>6</v>
      </c>
      <c r="L39" s="14">
        <f>0.237/10.87 + 0.607</f>
      </c>
      <c r="M39" s="14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f>13000*10.87+D39</f>
      </c>
      <c r="E40" s="4">
        <f>D40*2.83168</f>
      </c>
      <c r="F40" s="5">
        <v>9</v>
      </c>
      <c r="G40" s="5">
        <v>9</v>
      </c>
      <c r="H40" s="5">
        <v>0</v>
      </c>
      <c r="I40" s="5">
        <v>24</v>
      </c>
      <c r="J40" s="5">
        <v>0</v>
      </c>
      <c r="K40" s="5">
        <v>6</v>
      </c>
      <c r="L40" s="14">
        <f>0.2068/10.87 + 0.607</f>
      </c>
      <c r="M40" s="14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f>85000*10.87+D40</f>
      </c>
      <c r="E41" s="4">
        <f>D41*2.83168</f>
      </c>
      <c r="F41" s="5">
        <v>9</v>
      </c>
      <c r="G41" s="5">
        <v>9</v>
      </c>
      <c r="H41" s="5">
        <v>0</v>
      </c>
      <c r="I41" s="5">
        <v>24</v>
      </c>
      <c r="J41" s="5">
        <v>0</v>
      </c>
      <c r="K41" s="5">
        <v>6</v>
      </c>
      <c r="L41" s="14">
        <f>0.1635/10.87 + 0.607</f>
      </c>
      <c r="M41" s="14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10</v>
      </c>
      <c r="G42" s="5">
        <v>10</v>
      </c>
      <c r="H42" s="5">
        <v>0</v>
      </c>
      <c r="I42" s="5">
        <v>24</v>
      </c>
      <c r="J42" s="5">
        <v>0</v>
      </c>
      <c r="K42" s="5">
        <v>6</v>
      </c>
      <c r="L42" s="14">
        <f>0.3865/10.87 + 0.7541</f>
      </c>
      <c r="M42" s="14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f>2000*10.87</f>
      </c>
      <c r="E43" s="4">
        <f>D43*2.83168</f>
      </c>
      <c r="F43" s="5">
        <v>10</v>
      </c>
      <c r="G43" s="5">
        <v>10</v>
      </c>
      <c r="H43" s="5">
        <v>0</v>
      </c>
      <c r="I43" s="5">
        <v>24</v>
      </c>
      <c r="J43" s="5">
        <v>0</v>
      </c>
      <c r="K43" s="5">
        <v>6</v>
      </c>
      <c r="L43" s="14">
        <f>0.237/10.87 + 0.7541</f>
      </c>
      <c r="M43" s="14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f>13000*10.87+D43</f>
      </c>
      <c r="E44" s="4">
        <f>D44*2.83168</f>
      </c>
      <c r="F44" s="5">
        <v>10</v>
      </c>
      <c r="G44" s="5">
        <v>10</v>
      </c>
      <c r="H44" s="5">
        <v>0</v>
      </c>
      <c r="I44" s="5">
        <v>24</v>
      </c>
      <c r="J44" s="5">
        <v>0</v>
      </c>
      <c r="K44" s="5">
        <v>6</v>
      </c>
      <c r="L44" s="14">
        <f>0.2068/10.87+ 0.7541</f>
      </c>
      <c r="M44" s="14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f>85000*10.87+D44</f>
      </c>
      <c r="E45" s="4">
        <f>D45*2.83168</f>
      </c>
      <c r="F45" s="5">
        <v>10</v>
      </c>
      <c r="G45" s="5">
        <v>10</v>
      </c>
      <c r="H45" s="5">
        <v>0</v>
      </c>
      <c r="I45" s="5">
        <v>24</v>
      </c>
      <c r="J45" s="5">
        <v>0</v>
      </c>
      <c r="K45" s="5">
        <v>6</v>
      </c>
      <c r="L45" s="14">
        <f>0.1635/10.87 + 0.7541</f>
      </c>
      <c r="M45" s="14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11</v>
      </c>
      <c r="G46" s="5">
        <v>11</v>
      </c>
      <c r="H46" s="5">
        <v>0</v>
      </c>
      <c r="I46" s="5">
        <v>24</v>
      </c>
      <c r="J46" s="5">
        <v>0</v>
      </c>
      <c r="K46" s="5">
        <v>6</v>
      </c>
      <c r="L46" s="14">
        <f>0.3865/10.87 + 0.7902</f>
      </c>
      <c r="M46" s="14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f>2000*10.87</f>
      </c>
      <c r="E47" s="4">
        <f>D47*2.83168</f>
      </c>
      <c r="F47" s="5">
        <v>11</v>
      </c>
      <c r="G47" s="5">
        <v>11</v>
      </c>
      <c r="H47" s="5">
        <v>0</v>
      </c>
      <c r="I47" s="5">
        <v>24</v>
      </c>
      <c r="J47" s="5">
        <v>0</v>
      </c>
      <c r="K47" s="5">
        <v>6</v>
      </c>
      <c r="L47" s="14">
        <f>0.237/10.87 + 0.7902</f>
      </c>
      <c r="M47" s="14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f>13000*10.87+D47</f>
      </c>
      <c r="E48" s="4">
        <f>D48*2.83168</f>
      </c>
      <c r="F48" s="5">
        <v>11</v>
      </c>
      <c r="G48" s="5">
        <v>11</v>
      </c>
      <c r="H48" s="5">
        <v>0</v>
      </c>
      <c r="I48" s="5">
        <v>24</v>
      </c>
      <c r="J48" s="5">
        <v>0</v>
      </c>
      <c r="K48" s="5">
        <v>6</v>
      </c>
      <c r="L48" s="14">
        <f>0.2068/10.87 + 0.7902</f>
      </c>
      <c r="M48" s="14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f>85000*10.87+D48</f>
      </c>
      <c r="E49" s="4">
        <f>D49*2.83168</f>
      </c>
      <c r="F49" s="5">
        <v>11</v>
      </c>
      <c r="G49" s="5">
        <v>11</v>
      </c>
      <c r="H49" s="5">
        <v>0</v>
      </c>
      <c r="I49" s="5">
        <v>24</v>
      </c>
      <c r="J49" s="5">
        <v>0</v>
      </c>
      <c r="K49" s="5">
        <v>6</v>
      </c>
      <c r="L49" s="14">
        <f>0.1635/10.87 + 0.7902</f>
      </c>
      <c r="M49" s="14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24</v>
      </c>
      <c r="J50" s="5">
        <v>0</v>
      </c>
      <c r="K50" s="5">
        <v>6</v>
      </c>
      <c r="L50" s="14">
        <f>0.3865/10.87 + 0.7147</f>
      </c>
      <c r="M50" s="14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f>2000*10.87</f>
      </c>
      <c r="E51" s="4">
        <f>D51*2.83168</f>
      </c>
      <c r="F51" s="5">
        <v>12</v>
      </c>
      <c r="G51" s="5">
        <v>12</v>
      </c>
      <c r="H51" s="5">
        <v>0</v>
      </c>
      <c r="I51" s="5">
        <v>24</v>
      </c>
      <c r="J51" s="5">
        <v>0</v>
      </c>
      <c r="K51" s="5">
        <v>6</v>
      </c>
      <c r="L51" s="14">
        <f>0.237/10.87  + 0.7147</f>
      </c>
      <c r="M51" s="14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f>13000*10.87+D51</f>
      </c>
      <c r="E52" s="4">
        <f>D52*2.83168</f>
      </c>
      <c r="F52" s="5">
        <v>12</v>
      </c>
      <c r="G52" s="5">
        <v>12</v>
      </c>
      <c r="H52" s="5">
        <v>0</v>
      </c>
      <c r="I52" s="5">
        <v>24</v>
      </c>
      <c r="J52" s="5">
        <v>0</v>
      </c>
      <c r="K52" s="5">
        <v>6</v>
      </c>
      <c r="L52" s="14">
        <f>0.2068/10.87  + 0.7147</f>
      </c>
      <c r="M52" s="14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f>85000*10.87+D52</f>
      </c>
      <c r="E53" s="4">
        <f>D53*2.83168</f>
      </c>
      <c r="F53" s="5">
        <v>12</v>
      </c>
      <c r="G53" s="5">
        <v>12</v>
      </c>
      <c r="H53" s="5">
        <v>0</v>
      </c>
      <c r="I53" s="5">
        <v>24</v>
      </c>
      <c r="J53" s="5">
        <v>0</v>
      </c>
      <c r="K53" s="5">
        <v>6</v>
      </c>
      <c r="L53" s="14">
        <f>0.1635/10.87  + 0.7147</f>
      </c>
      <c r="M53" s="14">
        <f>L53/2.83168</f>
      </c>
      <c r="N53" s="1" t="s">
        <v>36</v>
      </c>
      <c r="O5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14.576428571428572" customWidth="1" bestFit="1"/>
    <col min="10" max="10" style="7" width="13.719285714285713" customWidth="1" bestFit="1"/>
    <col min="11" max="11" style="7" width="14.147857142857141" customWidth="1" bestFit="1"/>
    <col min="12" max="12" style="8" width="12.862142857142858" customWidth="1" bestFit="1"/>
    <col min="13" max="13" style="8" width="12.4335714285714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8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(10.97+7.95)*30</f>
      </c>
      <c r="M2" s="4">
        <f>(10.97+7.95)*30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7</v>
      </c>
      <c r="J3" s="5">
        <v>0</v>
      </c>
      <c r="K3" s="5">
        <v>6</v>
      </c>
      <c r="L3" s="4">
        <f>0.090217 + 0.0036</f>
      </c>
      <c r="M3" s="4">
        <f>0.090217 + 0.0036</f>
      </c>
      <c r="N3" s="1" t="s">
        <v>26</v>
      </c>
      <c r="O3" s="1" t="s">
        <v>128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7</v>
      </c>
      <c r="I4" s="5">
        <v>24</v>
      </c>
      <c r="J4" s="5">
        <v>0</v>
      </c>
      <c r="K4" s="5">
        <v>6</v>
      </c>
      <c r="L4" s="4">
        <f>0.0221+0.090217</f>
      </c>
      <c r="M4" s="4">
        <f>0.0221+0.090217</f>
      </c>
      <c r="N4" s="1" t="s">
        <v>26</v>
      </c>
      <c r="O4" s="1" t="s">
        <v>128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7</v>
      </c>
      <c r="J5" s="5">
        <v>0</v>
      </c>
      <c r="K5" s="5">
        <v>6</v>
      </c>
      <c r="L5" s="4">
        <f>0.095051 + 0.0036</f>
      </c>
      <c r="M5" s="4">
        <f>0.095051 + 0.0036</f>
      </c>
      <c r="N5" s="1" t="s">
        <v>26</v>
      </c>
      <c r="O5" s="1" t="s">
        <v>128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7</v>
      </c>
      <c r="I6" s="5">
        <v>24</v>
      </c>
      <c r="J6" s="5">
        <v>0</v>
      </c>
      <c r="K6" s="5">
        <v>6</v>
      </c>
      <c r="L6" s="4">
        <f>0.0221+0.095051</f>
      </c>
      <c r="M6" s="4">
        <f>0.0221+0.095051</f>
      </c>
      <c r="N6" s="1" t="s">
        <v>26</v>
      </c>
      <c r="O6" s="1" t="s">
        <v>128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7</v>
      </c>
      <c r="J7" s="5">
        <v>0</v>
      </c>
      <c r="K7" s="5">
        <v>6</v>
      </c>
      <c r="L7" s="4">
        <f>0.106337 + 0.0036</f>
      </c>
      <c r="M7" s="4">
        <f>0.106337 + 0.0036</f>
      </c>
      <c r="N7" s="1" t="s">
        <v>26</v>
      </c>
      <c r="O7" s="1" t="s">
        <v>128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3</v>
      </c>
      <c r="G8" s="5">
        <v>3</v>
      </c>
      <c r="H8" s="5">
        <v>7</v>
      </c>
      <c r="I8" s="5">
        <v>24</v>
      </c>
      <c r="J8" s="5">
        <v>0</v>
      </c>
      <c r="K8" s="5">
        <v>6</v>
      </c>
      <c r="L8" s="4">
        <f>0.0221+0.106337</f>
      </c>
      <c r="M8" s="4">
        <f>0.0221+0.106337</f>
      </c>
      <c r="N8" s="1" t="s">
        <v>26</v>
      </c>
      <c r="O8" s="1" t="s">
        <v>128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4</v>
      </c>
      <c r="H9" s="5">
        <v>0</v>
      </c>
      <c r="I9" s="5">
        <v>7</v>
      </c>
      <c r="J9" s="5">
        <v>0</v>
      </c>
      <c r="K9" s="5">
        <v>6</v>
      </c>
      <c r="L9" s="4">
        <f>0.113402  + 0.0036</f>
      </c>
      <c r="M9" s="4">
        <f>0.113402  + 0.0036</f>
      </c>
      <c r="N9" s="1" t="s">
        <v>26</v>
      </c>
      <c r="O9" s="1" t="s">
        <v>128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4</v>
      </c>
      <c r="H10" s="5">
        <v>7</v>
      </c>
      <c r="I10" s="5">
        <v>24</v>
      </c>
      <c r="J10" s="5">
        <v>0</v>
      </c>
      <c r="K10" s="5">
        <v>6</v>
      </c>
      <c r="L10" s="4">
        <f>0.0221+0.113402</f>
      </c>
      <c r="M10" s="4">
        <f>0.0221+0.113402</f>
      </c>
      <c r="N10" s="1" t="s">
        <v>26</v>
      </c>
      <c r="O10" s="1" t="s">
        <v>128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5</v>
      </c>
      <c r="H11" s="5">
        <v>0</v>
      </c>
      <c r="I11" s="5">
        <v>7</v>
      </c>
      <c r="J11" s="5">
        <v>0</v>
      </c>
      <c r="K11" s="5">
        <v>6</v>
      </c>
      <c r="L11" s="4">
        <f>0.11078  + 0.0036</f>
      </c>
      <c r="M11" s="4">
        <f>0.11078  + 0.0036</f>
      </c>
      <c r="N11" s="1" t="s">
        <v>26</v>
      </c>
      <c r="O11" s="1" t="s">
        <v>128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5</v>
      </c>
      <c r="G12" s="5">
        <v>5</v>
      </c>
      <c r="H12" s="5">
        <v>7</v>
      </c>
      <c r="I12" s="5">
        <v>24</v>
      </c>
      <c r="J12" s="5">
        <v>0</v>
      </c>
      <c r="K12" s="5">
        <v>6</v>
      </c>
      <c r="L12" s="4">
        <f>0.0221+0.11078</f>
      </c>
      <c r="M12" s="4">
        <f>0.0221+0.11078</f>
      </c>
      <c r="N12" s="1" t="s">
        <v>26</v>
      </c>
      <c r="O12" s="1" t="s">
        <v>128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7</v>
      </c>
      <c r="J13" s="5">
        <v>0</v>
      </c>
      <c r="K13" s="5">
        <v>6</v>
      </c>
      <c r="L13" s="4">
        <f>0.0036+0.109676</f>
      </c>
      <c r="M13" s="4">
        <f>0.0036+0.109676</f>
      </c>
      <c r="N13" s="1" t="s">
        <v>26</v>
      </c>
      <c r="O13" s="1" t="s">
        <v>128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6</v>
      </c>
      <c r="H14" s="5">
        <v>7</v>
      </c>
      <c r="I14" s="5">
        <v>10</v>
      </c>
      <c r="J14" s="5">
        <v>0</v>
      </c>
      <c r="K14" s="5">
        <v>5</v>
      </c>
      <c r="L14" s="4">
        <f>0.0221+0.109676</f>
      </c>
      <c r="M14" s="4">
        <f>0.0221+0.109676</f>
      </c>
      <c r="N14" s="1" t="s">
        <v>26</v>
      </c>
      <c r="O14" s="1" t="s">
        <v>128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6</v>
      </c>
      <c r="G15" s="5">
        <v>6</v>
      </c>
      <c r="H15" s="5">
        <v>10</v>
      </c>
      <c r="I15" s="5">
        <v>22</v>
      </c>
      <c r="J15" s="5">
        <v>0</v>
      </c>
      <c r="K15" s="5">
        <v>5</v>
      </c>
      <c r="L15" s="4">
        <f>0.0344+0.109676</f>
      </c>
      <c r="M15" s="4">
        <f>0.0344+0.109676</f>
      </c>
      <c r="N15" s="1" t="s">
        <v>26</v>
      </c>
      <c r="O15" s="1" t="s">
        <v>128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6</v>
      </c>
      <c r="H16" s="5">
        <v>22</v>
      </c>
      <c r="I16" s="5">
        <v>24</v>
      </c>
      <c r="J16" s="5">
        <v>0</v>
      </c>
      <c r="K16" s="5">
        <v>5</v>
      </c>
      <c r="L16" s="4">
        <f>0.0221+0.109676</f>
      </c>
      <c r="M16" s="4">
        <f>0.0221+0.109676</f>
      </c>
      <c r="N16" s="1" t="s">
        <v>26</v>
      </c>
      <c r="O16" s="1" t="s">
        <v>128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7</v>
      </c>
      <c r="I17" s="5">
        <v>24</v>
      </c>
      <c r="J17" s="5">
        <v>6</v>
      </c>
      <c r="K17" s="5">
        <v>6</v>
      </c>
      <c r="L17" s="4">
        <f>0.0221+0.109676</f>
      </c>
      <c r="M17" s="4">
        <f>0.0221+0.109676</f>
      </c>
      <c r="N17" s="1" t="s">
        <v>26</v>
      </c>
      <c r="O17" s="1" t="s">
        <v>128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7</v>
      </c>
      <c r="G18" s="5">
        <v>7</v>
      </c>
      <c r="H18" s="5">
        <v>0</v>
      </c>
      <c r="I18" s="5">
        <v>7</v>
      </c>
      <c r="J18" s="5">
        <v>0</v>
      </c>
      <c r="K18" s="5">
        <v>6</v>
      </c>
      <c r="L18" s="4">
        <f>0.0036+0.104179</f>
      </c>
      <c r="M18" s="4">
        <f>0.0036+0.104179</f>
      </c>
      <c r="N18" s="1" t="s">
        <v>26</v>
      </c>
      <c r="O18" s="1" t="s">
        <v>128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7</v>
      </c>
      <c r="G19" s="5">
        <v>7</v>
      </c>
      <c r="H19" s="5">
        <v>7</v>
      </c>
      <c r="I19" s="5">
        <v>10</v>
      </c>
      <c r="J19" s="5">
        <v>0</v>
      </c>
      <c r="K19" s="5">
        <v>5</v>
      </c>
      <c r="L19" s="4">
        <f>0.0221+0.104179</f>
      </c>
      <c r="M19" s="4">
        <f>0.0221+0.104179</f>
      </c>
      <c r="N19" s="1" t="s">
        <v>26</v>
      </c>
      <c r="O19" s="1" t="s">
        <v>128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7</v>
      </c>
      <c r="H20" s="5">
        <v>10</v>
      </c>
      <c r="I20" s="5">
        <v>22</v>
      </c>
      <c r="J20" s="5">
        <v>0</v>
      </c>
      <c r="K20" s="5">
        <v>5</v>
      </c>
      <c r="L20" s="4">
        <f>0.0344+0.104179</f>
      </c>
      <c r="M20" s="4">
        <f>0.0344+0.104179</f>
      </c>
      <c r="N20" s="1" t="s">
        <v>26</v>
      </c>
      <c r="O20" s="1" t="s">
        <v>128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22</v>
      </c>
      <c r="I21" s="5">
        <v>24</v>
      </c>
      <c r="J21" s="5">
        <v>0</v>
      </c>
      <c r="K21" s="5">
        <v>5</v>
      </c>
      <c r="L21" s="4">
        <f>0.0221+0.104179</f>
      </c>
      <c r="M21" s="4">
        <f>0.0221+0.104179</f>
      </c>
      <c r="N21" s="1" t="s">
        <v>26</v>
      </c>
      <c r="O21" s="1" t="s">
        <v>128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7</v>
      </c>
      <c r="I22" s="5">
        <v>24</v>
      </c>
      <c r="J22" s="5">
        <v>6</v>
      </c>
      <c r="K22" s="5">
        <v>6</v>
      </c>
      <c r="L22" s="4">
        <f>0.0221+0.104179</f>
      </c>
      <c r="M22" s="4">
        <f>0.0221+0.104179</f>
      </c>
      <c r="N22" s="1" t="s">
        <v>26</v>
      </c>
      <c r="O22" s="1" t="s">
        <v>128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8</v>
      </c>
      <c r="G23" s="5">
        <v>8</v>
      </c>
      <c r="H23" s="5">
        <v>0</v>
      </c>
      <c r="I23" s="5">
        <v>7</v>
      </c>
      <c r="J23" s="5">
        <v>0</v>
      </c>
      <c r="K23" s="5">
        <v>6</v>
      </c>
      <c r="L23" s="4">
        <f>0.0036+0.111505</f>
      </c>
      <c r="M23" s="4">
        <f>0.0036+0.111505</f>
      </c>
      <c r="N23" s="1" t="s">
        <v>26</v>
      </c>
      <c r="O23" s="1" t="s">
        <v>128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8</v>
      </c>
      <c r="G24" s="5">
        <v>8</v>
      </c>
      <c r="H24" s="5">
        <v>7</v>
      </c>
      <c r="I24" s="5">
        <v>10</v>
      </c>
      <c r="J24" s="5">
        <v>0</v>
      </c>
      <c r="K24" s="5">
        <v>5</v>
      </c>
      <c r="L24" s="4">
        <f>0.0221+0.111505</f>
      </c>
      <c r="M24" s="4">
        <f>0.0221+0.111505</f>
      </c>
      <c r="N24" s="1" t="s">
        <v>26</v>
      </c>
      <c r="O24" s="1" t="s">
        <v>128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10</v>
      </c>
      <c r="I25" s="5">
        <v>22</v>
      </c>
      <c r="J25" s="5">
        <v>0</v>
      </c>
      <c r="K25" s="5">
        <v>5</v>
      </c>
      <c r="L25" s="4">
        <f>0.0344+0.111505</f>
      </c>
      <c r="M25" s="4">
        <f>0.0344+0.111505</f>
      </c>
      <c r="N25" s="1" t="s">
        <v>26</v>
      </c>
      <c r="O25" s="1" t="s">
        <v>128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22</v>
      </c>
      <c r="I26" s="5">
        <v>24</v>
      </c>
      <c r="J26" s="5">
        <v>0</v>
      </c>
      <c r="K26" s="5">
        <v>5</v>
      </c>
      <c r="L26" s="4">
        <f>0.0221+0.111505</f>
      </c>
      <c r="M26" s="4">
        <f>0.0221+0.111505</f>
      </c>
      <c r="N26" s="1" t="s">
        <v>26</v>
      </c>
      <c r="O26" s="1" t="s">
        <v>128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8</v>
      </c>
      <c r="G27" s="5">
        <v>8</v>
      </c>
      <c r="H27" s="5">
        <v>7</v>
      </c>
      <c r="I27" s="5">
        <v>24</v>
      </c>
      <c r="J27" s="5">
        <v>6</v>
      </c>
      <c r="K27" s="5">
        <v>6</v>
      </c>
      <c r="L27" s="4">
        <f>0.0221+0.111505</f>
      </c>
      <c r="M27" s="4">
        <f>0.0221+0.111505</f>
      </c>
      <c r="N27" s="1" t="s">
        <v>26</v>
      </c>
      <c r="O27" s="1" t="s">
        <v>128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9</v>
      </c>
      <c r="H28" s="5">
        <v>0</v>
      </c>
      <c r="I28" s="5">
        <v>7</v>
      </c>
      <c r="J28" s="5">
        <v>0</v>
      </c>
      <c r="K28" s="5">
        <v>6</v>
      </c>
      <c r="L28" s="4">
        <f>0.0036+0.116613</f>
      </c>
      <c r="M28" s="4">
        <f>0.0036+0.116613</f>
      </c>
      <c r="N28" s="1" t="s">
        <v>26</v>
      </c>
      <c r="O28" s="1" t="s">
        <v>128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7</v>
      </c>
      <c r="I29" s="5">
        <v>10</v>
      </c>
      <c r="J29" s="5">
        <v>0</v>
      </c>
      <c r="K29" s="5">
        <v>5</v>
      </c>
      <c r="L29" s="4">
        <f>0.0221+0.116613</f>
      </c>
      <c r="M29" s="4">
        <f>0.0221+0.116613</f>
      </c>
      <c r="N29" s="1" t="s">
        <v>26</v>
      </c>
      <c r="O29" s="1" t="s">
        <v>128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9</v>
      </c>
      <c r="G30" s="5">
        <v>9</v>
      </c>
      <c r="H30" s="5">
        <v>10</v>
      </c>
      <c r="I30" s="5">
        <v>22</v>
      </c>
      <c r="J30" s="5">
        <v>0</v>
      </c>
      <c r="K30" s="5">
        <v>5</v>
      </c>
      <c r="L30" s="4">
        <f>0.0344+0.116613</f>
      </c>
      <c r="M30" s="4">
        <f>0.0344+0.116613</f>
      </c>
      <c r="N30" s="1" t="s">
        <v>26</v>
      </c>
      <c r="O30" s="1" t="s">
        <v>128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9</v>
      </c>
      <c r="G31" s="5">
        <v>9</v>
      </c>
      <c r="H31" s="5">
        <v>22</v>
      </c>
      <c r="I31" s="5">
        <v>24</v>
      </c>
      <c r="J31" s="5">
        <v>0</v>
      </c>
      <c r="K31" s="5">
        <v>5</v>
      </c>
      <c r="L31" s="4">
        <f>0.0221+0.116613</f>
      </c>
      <c r="M31" s="4">
        <f>0.0221+0.116613</f>
      </c>
      <c r="N31" s="1" t="s">
        <v>26</v>
      </c>
      <c r="O31" s="1" t="s">
        <v>128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9</v>
      </c>
      <c r="G32" s="5">
        <v>9</v>
      </c>
      <c r="H32" s="5">
        <v>7</v>
      </c>
      <c r="I32" s="5">
        <v>24</v>
      </c>
      <c r="J32" s="5">
        <v>6</v>
      </c>
      <c r="K32" s="5">
        <v>6</v>
      </c>
      <c r="L32" s="4">
        <f>0.0221+0.116613</f>
      </c>
      <c r="M32" s="4">
        <f>0.0221+0.116613</f>
      </c>
      <c r="N32" s="1" t="s">
        <v>26</v>
      </c>
      <c r="O32" s="1" t="s">
        <v>128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10</v>
      </c>
      <c r="G33" s="5">
        <v>10</v>
      </c>
      <c r="H33" s="5">
        <v>0</v>
      </c>
      <c r="I33" s="5">
        <v>7</v>
      </c>
      <c r="J33" s="5">
        <v>0</v>
      </c>
      <c r="K33" s="5">
        <v>6</v>
      </c>
      <c r="L33" s="4">
        <f>0.113535 + 0.0036</f>
      </c>
      <c r="M33" s="4">
        <f>0.113535 + 0.0036</f>
      </c>
      <c r="N33" s="1" t="s">
        <v>26</v>
      </c>
      <c r="O33" s="1" t="s">
        <v>128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10</v>
      </c>
      <c r="G34" s="5">
        <v>10</v>
      </c>
      <c r="H34" s="5">
        <v>7</v>
      </c>
      <c r="I34" s="5">
        <v>24</v>
      </c>
      <c r="J34" s="5">
        <v>0</v>
      </c>
      <c r="K34" s="5">
        <v>6</v>
      </c>
      <c r="L34" s="4">
        <f>0.0221+0.113535</f>
      </c>
      <c r="M34" s="4">
        <f>0.0221+0.113535</f>
      </c>
      <c r="N34" s="1" t="s">
        <v>26</v>
      </c>
      <c r="O34" s="1" t="s">
        <v>128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11</v>
      </c>
      <c r="H35" s="5">
        <v>0</v>
      </c>
      <c r="I35" s="5">
        <v>7</v>
      </c>
      <c r="J35" s="5">
        <v>0</v>
      </c>
      <c r="K35" s="5">
        <v>6</v>
      </c>
      <c r="L35" s="4">
        <f>0.114378  + 0.0036</f>
      </c>
      <c r="M35" s="4">
        <f>0.114378  + 0.0036</f>
      </c>
      <c r="N35" s="1" t="s">
        <v>26</v>
      </c>
      <c r="O35" s="1" t="s">
        <v>128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11</v>
      </c>
      <c r="G36" s="5">
        <v>11</v>
      </c>
      <c r="H36" s="5">
        <v>7</v>
      </c>
      <c r="I36" s="5">
        <v>24</v>
      </c>
      <c r="J36" s="5">
        <v>0</v>
      </c>
      <c r="K36" s="5">
        <v>6</v>
      </c>
      <c r="L36" s="4">
        <f>0.0221+0.114378</f>
      </c>
      <c r="M36" s="4">
        <f>0.0221+0.114378</f>
      </c>
      <c r="N36" s="1" t="s">
        <v>26</v>
      </c>
      <c r="O36" s="1" t="s">
        <v>128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0</v>
      </c>
      <c r="I37" s="5">
        <v>7</v>
      </c>
      <c r="J37" s="5">
        <v>0</v>
      </c>
      <c r="K37" s="5">
        <v>6</v>
      </c>
      <c r="L37" s="4">
        <f>0.118608+0.0036</f>
      </c>
      <c r="M37" s="4">
        <f>0.118608+0.0036</f>
      </c>
      <c r="N37" s="1" t="s">
        <v>26</v>
      </c>
      <c r="O37" s="1" t="s">
        <v>128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7</v>
      </c>
      <c r="I38" s="5">
        <v>24</v>
      </c>
      <c r="J38" s="5">
        <v>0</v>
      </c>
      <c r="K38" s="5">
        <v>6</v>
      </c>
      <c r="L38" s="4">
        <f>0.0221+0.118608</f>
      </c>
      <c r="M38" s="4">
        <f>0.0221+0.118608</f>
      </c>
      <c r="N38" s="1" t="s">
        <v>26</v>
      </c>
      <c r="O38" s="1" t="s">
        <v>128</v>
      </c>
    </row>
    <row x14ac:dyDescent="0.25" r="39" customHeight="1" ht="17.25">
      <c r="A39" s="1" t="s">
        <v>13</v>
      </c>
      <c r="B39" s="1" t="s">
        <v>17</v>
      </c>
      <c r="C39" s="1" t="s">
        <v>39</v>
      </c>
      <c r="D39" s="5">
        <v>0</v>
      </c>
      <c r="E39" s="5">
        <v>0</v>
      </c>
      <c r="F39" s="5">
        <v>1</v>
      </c>
      <c r="G39" s="5">
        <v>12</v>
      </c>
      <c r="H39" s="5">
        <v>0</v>
      </c>
      <c r="I39" s="5">
        <v>7</v>
      </c>
      <c r="J39" s="5">
        <v>0</v>
      </c>
      <c r="K39" s="5">
        <v>6</v>
      </c>
      <c r="L39" s="5">
        <v>0</v>
      </c>
      <c r="M39" s="5">
        <v>0</v>
      </c>
      <c r="N39" s="1" t="s">
        <v>19</v>
      </c>
      <c r="O39" s="1"/>
    </row>
    <row x14ac:dyDescent="0.25" r="40" customHeight="1" ht="17.25">
      <c r="A40" s="1" t="s">
        <v>13</v>
      </c>
      <c r="B40" s="1" t="s">
        <v>17</v>
      </c>
      <c r="C40" s="1" t="s">
        <v>129</v>
      </c>
      <c r="D40" s="5">
        <v>0</v>
      </c>
      <c r="E40" s="5">
        <v>0</v>
      </c>
      <c r="F40" s="5">
        <v>1</v>
      </c>
      <c r="G40" s="5">
        <v>5</v>
      </c>
      <c r="H40" s="5">
        <v>7</v>
      </c>
      <c r="I40" s="5">
        <v>24</v>
      </c>
      <c r="J40" s="5">
        <v>0</v>
      </c>
      <c r="K40" s="5">
        <v>6</v>
      </c>
      <c r="L40" s="4">
        <v>6.28</v>
      </c>
      <c r="M40" s="4">
        <v>6.28</v>
      </c>
      <c r="N40" s="1" t="s">
        <v>19</v>
      </c>
      <c r="O40" s="1"/>
    </row>
    <row x14ac:dyDescent="0.25" r="41" customHeight="1" ht="17.25">
      <c r="A41" s="1" t="s">
        <v>13</v>
      </c>
      <c r="B41" s="1" t="s">
        <v>17</v>
      </c>
      <c r="C41" s="1" t="s">
        <v>97</v>
      </c>
      <c r="D41" s="5">
        <v>0</v>
      </c>
      <c r="E41" s="5">
        <v>0</v>
      </c>
      <c r="F41" s="5">
        <v>6</v>
      </c>
      <c r="G41" s="5">
        <v>9</v>
      </c>
      <c r="H41" s="5">
        <v>7</v>
      </c>
      <c r="I41" s="5">
        <v>10</v>
      </c>
      <c r="J41" s="5">
        <v>0</v>
      </c>
      <c r="K41" s="5">
        <v>5</v>
      </c>
      <c r="L41" s="4">
        <v>6.28</v>
      </c>
      <c r="M41" s="4">
        <v>6.28</v>
      </c>
      <c r="N41" s="1" t="s">
        <v>19</v>
      </c>
      <c r="O41" s="1"/>
    </row>
    <row x14ac:dyDescent="0.25" r="42" customHeight="1" ht="17.25">
      <c r="A42" s="1" t="s">
        <v>13</v>
      </c>
      <c r="B42" s="1" t="s">
        <v>17</v>
      </c>
      <c r="C42" s="1" t="s">
        <v>130</v>
      </c>
      <c r="D42" s="5">
        <v>0</v>
      </c>
      <c r="E42" s="5">
        <v>0</v>
      </c>
      <c r="F42" s="5">
        <v>6</v>
      </c>
      <c r="G42" s="5">
        <v>9</v>
      </c>
      <c r="H42" s="5">
        <v>10</v>
      </c>
      <c r="I42" s="5">
        <v>22</v>
      </c>
      <c r="J42" s="5">
        <v>0</v>
      </c>
      <c r="K42" s="5">
        <v>5</v>
      </c>
      <c r="L42" s="4">
        <v>25.63</v>
      </c>
      <c r="M42" s="4">
        <v>25.63</v>
      </c>
      <c r="N42" s="1" t="s">
        <v>19</v>
      </c>
      <c r="O42" s="1"/>
    </row>
    <row x14ac:dyDescent="0.25" r="43" customHeight="1" ht="17.25">
      <c r="A43" s="1" t="s">
        <v>13</v>
      </c>
      <c r="B43" s="1" t="s">
        <v>17</v>
      </c>
      <c r="C43" s="1" t="s">
        <v>97</v>
      </c>
      <c r="D43" s="5">
        <v>0</v>
      </c>
      <c r="E43" s="5">
        <v>0</v>
      </c>
      <c r="F43" s="5">
        <v>6</v>
      </c>
      <c r="G43" s="5">
        <v>9</v>
      </c>
      <c r="H43" s="5">
        <v>22</v>
      </c>
      <c r="I43" s="5">
        <v>24</v>
      </c>
      <c r="J43" s="5">
        <v>0</v>
      </c>
      <c r="K43" s="5">
        <v>5</v>
      </c>
      <c r="L43" s="4">
        <v>6.28</v>
      </c>
      <c r="M43" s="4">
        <v>6.28</v>
      </c>
      <c r="N43" s="1" t="s">
        <v>19</v>
      </c>
      <c r="O43" s="1"/>
    </row>
    <row x14ac:dyDescent="0.25" r="44" customHeight="1" ht="17.25">
      <c r="A44" s="1" t="s">
        <v>13</v>
      </c>
      <c r="B44" s="1" t="s">
        <v>17</v>
      </c>
      <c r="C44" s="1" t="s">
        <v>131</v>
      </c>
      <c r="D44" s="5">
        <v>0</v>
      </c>
      <c r="E44" s="5">
        <v>0</v>
      </c>
      <c r="F44" s="5">
        <v>1</v>
      </c>
      <c r="G44" s="5">
        <v>5</v>
      </c>
      <c r="H44" s="5">
        <v>7</v>
      </c>
      <c r="I44" s="5">
        <v>24</v>
      </c>
      <c r="J44" s="5">
        <v>0</v>
      </c>
      <c r="K44" s="5">
        <v>6</v>
      </c>
      <c r="L44" s="4">
        <v>6.28</v>
      </c>
      <c r="M44" s="4">
        <v>6.28</v>
      </c>
      <c r="N44" s="1" t="s">
        <v>19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0</v>
      </c>
      <c r="E45" s="5">
        <v>0</v>
      </c>
      <c r="F45" s="5">
        <v>1</v>
      </c>
      <c r="G45" s="5">
        <v>1</v>
      </c>
      <c r="H45" s="5">
        <v>0</v>
      </c>
      <c r="I45" s="5">
        <v>24</v>
      </c>
      <c r="J45" s="5">
        <v>0</v>
      </c>
      <c r="K45" s="5">
        <v>6</v>
      </c>
      <c r="L45" s="4">
        <f>153.35+0.25805</f>
      </c>
      <c r="M45" s="14">
        <f>L45/2.83168</f>
      </c>
      <c r="N45" s="1" t="s">
        <v>36</v>
      </c>
      <c r="O45" s="1" t="s">
        <v>37</v>
      </c>
    </row>
    <row x14ac:dyDescent="0.25" r="46" customHeight="1" ht="17.25">
      <c r="A46" s="1" t="s">
        <v>34</v>
      </c>
      <c r="B46" s="1" t="s">
        <v>25</v>
      </c>
      <c r="C46" s="1"/>
      <c r="D46" s="5">
        <v>10</v>
      </c>
      <c r="E46" s="4">
        <f>D46*2.83168</f>
      </c>
      <c r="F46" s="5">
        <v>1</v>
      </c>
      <c r="G46" s="5">
        <v>1</v>
      </c>
      <c r="H46" s="5">
        <v>0</v>
      </c>
      <c r="I46" s="5">
        <v>24</v>
      </c>
      <c r="J46" s="5">
        <v>0</v>
      </c>
      <c r="K46" s="5">
        <v>6</v>
      </c>
      <c r="L46" s="4">
        <f>0.2247+0.25805</f>
      </c>
      <c r="M46" s="14">
        <f>L46/2.83168</f>
      </c>
      <c r="N46" s="1" t="s">
        <v>36</v>
      </c>
      <c r="O46" s="1" t="s">
        <v>37</v>
      </c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2</v>
      </c>
      <c r="G47" s="5">
        <v>2</v>
      </c>
      <c r="H47" s="5">
        <v>0</v>
      </c>
      <c r="I47" s="5">
        <v>24</v>
      </c>
      <c r="J47" s="5">
        <v>0</v>
      </c>
      <c r="K47" s="5">
        <v>6</v>
      </c>
      <c r="L47" s="4">
        <f>153.35+0.331761</f>
      </c>
      <c r="M47" s="14">
        <f>L47/2.83168</f>
      </c>
      <c r="N47" s="1" t="s">
        <v>36</v>
      </c>
      <c r="O47" s="1" t="s">
        <v>37</v>
      </c>
    </row>
    <row x14ac:dyDescent="0.25" r="48" customHeight="1" ht="17.25">
      <c r="A48" s="1" t="s">
        <v>34</v>
      </c>
      <c r="B48" s="1" t="s">
        <v>25</v>
      </c>
      <c r="C48" s="1"/>
      <c r="D48" s="5">
        <v>10</v>
      </c>
      <c r="E48" s="4">
        <f>D48*2.83168</f>
      </c>
      <c r="F48" s="5">
        <v>2</v>
      </c>
      <c r="G48" s="5">
        <v>2</v>
      </c>
      <c r="H48" s="5">
        <v>0</v>
      </c>
      <c r="I48" s="5">
        <v>24</v>
      </c>
      <c r="J48" s="5">
        <v>0</v>
      </c>
      <c r="K48" s="5">
        <v>6</v>
      </c>
      <c r="L48" s="4">
        <f>0.2247+0.331761</f>
      </c>
      <c r="M48" s="14">
        <f>L48/2.83168</f>
      </c>
      <c r="N48" s="1" t="s">
        <v>36</v>
      </c>
      <c r="O48" s="1" t="s">
        <v>37</v>
      </c>
    </row>
    <row x14ac:dyDescent="0.25" r="49" customHeight="1" ht="17.25">
      <c r="A49" s="1" t="s">
        <v>34</v>
      </c>
      <c r="B49" s="1" t="s">
        <v>25</v>
      </c>
      <c r="C49" s="1"/>
      <c r="D49" s="5">
        <v>0</v>
      </c>
      <c r="E49" s="5">
        <v>0</v>
      </c>
      <c r="F49" s="5">
        <v>3</v>
      </c>
      <c r="G49" s="5">
        <v>3</v>
      </c>
      <c r="H49" s="5">
        <v>0</v>
      </c>
      <c r="I49" s="5">
        <v>24</v>
      </c>
      <c r="J49" s="5">
        <v>0</v>
      </c>
      <c r="K49" s="5">
        <v>6</v>
      </c>
      <c r="L49" s="4">
        <f>153.35+0.293576</f>
      </c>
      <c r="M49" s="14">
        <f>L49/2.83168</f>
      </c>
      <c r="N49" s="1" t="s">
        <v>36</v>
      </c>
      <c r="O49" s="1" t="s">
        <v>37</v>
      </c>
    </row>
    <row x14ac:dyDescent="0.25" r="50" customHeight="1" ht="17.25">
      <c r="A50" s="1" t="s">
        <v>34</v>
      </c>
      <c r="B50" s="1" t="s">
        <v>25</v>
      </c>
      <c r="C50" s="1"/>
      <c r="D50" s="5">
        <v>10</v>
      </c>
      <c r="E50" s="4">
        <f>D50*2.83168</f>
      </c>
      <c r="F50" s="5">
        <v>3</v>
      </c>
      <c r="G50" s="5">
        <v>3</v>
      </c>
      <c r="H50" s="5">
        <v>0</v>
      </c>
      <c r="I50" s="5">
        <v>24</v>
      </c>
      <c r="J50" s="5">
        <v>0</v>
      </c>
      <c r="K50" s="5">
        <v>6</v>
      </c>
      <c r="L50" s="4">
        <f>0.2247+0.293576</f>
      </c>
      <c r="M50" s="14">
        <f>L50/2.83168</f>
      </c>
      <c r="N50" s="1" t="s">
        <v>36</v>
      </c>
      <c r="O50" s="1" t="s">
        <v>37</v>
      </c>
    </row>
    <row x14ac:dyDescent="0.25" r="51" customHeight="1" ht="17.25">
      <c r="A51" s="1" t="s">
        <v>34</v>
      </c>
      <c r="B51" s="1" t="s">
        <v>25</v>
      </c>
      <c r="C51" s="1"/>
      <c r="D51" s="5">
        <v>0</v>
      </c>
      <c r="E51" s="5">
        <v>0</v>
      </c>
      <c r="F51" s="5">
        <v>4</v>
      </c>
      <c r="G51" s="5">
        <v>4</v>
      </c>
      <c r="H51" s="5">
        <v>0</v>
      </c>
      <c r="I51" s="5">
        <v>24</v>
      </c>
      <c r="J51" s="5">
        <v>0</v>
      </c>
      <c r="K51" s="5">
        <v>6</v>
      </c>
      <c r="L51" s="4">
        <f>153.35+0.302202</f>
      </c>
      <c r="M51" s="14">
        <f>L51/2.83168</f>
      </c>
      <c r="N51" s="1" t="s">
        <v>36</v>
      </c>
      <c r="O51" s="1" t="s">
        <v>37</v>
      </c>
    </row>
    <row x14ac:dyDescent="0.25" r="52" customHeight="1" ht="17.25">
      <c r="A52" s="1" t="s">
        <v>34</v>
      </c>
      <c r="B52" s="1" t="s">
        <v>25</v>
      </c>
      <c r="C52" s="1"/>
      <c r="D52" s="5">
        <v>10</v>
      </c>
      <c r="E52" s="4">
        <f>D52*2.83168</f>
      </c>
      <c r="F52" s="5">
        <v>4</v>
      </c>
      <c r="G52" s="5">
        <v>4</v>
      </c>
      <c r="H52" s="5">
        <v>0</v>
      </c>
      <c r="I52" s="5">
        <v>24</v>
      </c>
      <c r="J52" s="5">
        <v>0</v>
      </c>
      <c r="K52" s="5">
        <v>6</v>
      </c>
      <c r="L52" s="4">
        <f>0.2247+0.302202</f>
      </c>
      <c r="M52" s="14">
        <f>L52/2.83168</f>
      </c>
      <c r="N52" s="1" t="s">
        <v>36</v>
      </c>
      <c r="O52" s="1" t="s">
        <v>37</v>
      </c>
    </row>
    <row x14ac:dyDescent="0.25" r="53" customHeight="1" ht="17.25">
      <c r="A53" s="1" t="s">
        <v>34</v>
      </c>
      <c r="B53" s="1" t="s">
        <v>25</v>
      </c>
      <c r="C53" s="1"/>
      <c r="D53" s="5">
        <v>0</v>
      </c>
      <c r="E53" s="5">
        <v>0</v>
      </c>
      <c r="F53" s="5">
        <v>5</v>
      </c>
      <c r="G53" s="5">
        <v>5</v>
      </c>
      <c r="H53" s="5">
        <v>0</v>
      </c>
      <c r="I53" s="5">
        <v>24</v>
      </c>
      <c r="J53" s="5">
        <v>0</v>
      </c>
      <c r="K53" s="5">
        <v>6</v>
      </c>
      <c r="L53" s="4">
        <f>153.35+0.252852</f>
      </c>
      <c r="M53" s="14">
        <f>L53/2.83168</f>
      </c>
      <c r="N53" s="1" t="s">
        <v>36</v>
      </c>
      <c r="O53" s="1" t="s">
        <v>37</v>
      </c>
    </row>
    <row x14ac:dyDescent="0.25" r="54" customHeight="1" ht="17.25">
      <c r="A54" s="1" t="s">
        <v>34</v>
      </c>
      <c r="B54" s="1" t="s">
        <v>25</v>
      </c>
      <c r="C54" s="1"/>
      <c r="D54" s="5">
        <v>10</v>
      </c>
      <c r="E54" s="4">
        <f>D54*2.83168</f>
      </c>
      <c r="F54" s="5">
        <v>5</v>
      </c>
      <c r="G54" s="5">
        <v>5</v>
      </c>
      <c r="H54" s="5">
        <v>0</v>
      </c>
      <c r="I54" s="5">
        <v>24</v>
      </c>
      <c r="J54" s="5">
        <v>0</v>
      </c>
      <c r="K54" s="5">
        <v>6</v>
      </c>
      <c r="L54" s="4">
        <f>0.2247+0.252852</f>
      </c>
      <c r="M54" s="14">
        <f>L54/2.83168</f>
      </c>
      <c r="N54" s="1" t="s">
        <v>36</v>
      </c>
      <c r="O54" s="1" t="s">
        <v>37</v>
      </c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6</v>
      </c>
      <c r="G55" s="5">
        <v>6</v>
      </c>
      <c r="H55" s="5">
        <v>0</v>
      </c>
      <c r="I55" s="5">
        <v>24</v>
      </c>
      <c r="J55" s="5">
        <v>0</v>
      </c>
      <c r="K55" s="5">
        <v>6</v>
      </c>
      <c r="L55" s="4">
        <f>153.35+0.324212</f>
      </c>
      <c r="M55" s="14">
        <f>L55/2.83168</f>
      </c>
      <c r="N55" s="1" t="s">
        <v>36</v>
      </c>
      <c r="O55" s="1" t="s">
        <v>37</v>
      </c>
    </row>
    <row x14ac:dyDescent="0.25" r="56" customHeight="1" ht="17.25">
      <c r="A56" s="1" t="s">
        <v>34</v>
      </c>
      <c r="B56" s="1" t="s">
        <v>25</v>
      </c>
      <c r="C56" s="1"/>
      <c r="D56" s="5">
        <v>10</v>
      </c>
      <c r="E56" s="4">
        <v>28.3168</v>
      </c>
      <c r="F56" s="5">
        <v>6</v>
      </c>
      <c r="G56" s="5">
        <v>6</v>
      </c>
      <c r="H56" s="5">
        <v>0</v>
      </c>
      <c r="I56" s="5">
        <v>24</v>
      </c>
      <c r="J56" s="5">
        <v>0</v>
      </c>
      <c r="K56" s="5">
        <v>6</v>
      </c>
      <c r="L56" s="4">
        <f>0.2247+0.324212</f>
      </c>
      <c r="M56" s="14">
        <f>L56/2.83168</f>
      </c>
      <c r="N56" s="1" t="s">
        <v>36</v>
      </c>
      <c r="O56" s="1" t="s">
        <v>37</v>
      </c>
    </row>
    <row x14ac:dyDescent="0.25" r="57" customHeight="1" ht="17.25">
      <c r="A57" s="1" t="s">
        <v>34</v>
      </c>
      <c r="B57" s="1" t="s">
        <v>25</v>
      </c>
      <c r="C57" s="1"/>
      <c r="D57" s="5">
        <v>0</v>
      </c>
      <c r="E57" s="5">
        <v>0</v>
      </c>
      <c r="F57" s="5">
        <v>7</v>
      </c>
      <c r="G57" s="5">
        <v>7</v>
      </c>
      <c r="H57" s="5">
        <v>0</v>
      </c>
      <c r="I57" s="5">
        <v>24</v>
      </c>
      <c r="J57" s="5">
        <v>0</v>
      </c>
      <c r="K57" s="5">
        <v>6</v>
      </c>
      <c r="L57" s="4">
        <f>153.35+0.370327</f>
      </c>
      <c r="M57" s="14">
        <f>L57/2.83168</f>
      </c>
      <c r="N57" s="1" t="s">
        <v>36</v>
      </c>
      <c r="O57" s="1" t="s">
        <v>37</v>
      </c>
    </row>
    <row x14ac:dyDescent="0.25" r="58" customHeight="1" ht="17.25">
      <c r="A58" s="1" t="s">
        <v>34</v>
      </c>
      <c r="B58" s="1" t="s">
        <v>25</v>
      </c>
      <c r="C58" s="1"/>
      <c r="D58" s="5">
        <v>10</v>
      </c>
      <c r="E58" s="4">
        <v>28.3168</v>
      </c>
      <c r="F58" s="5">
        <v>7</v>
      </c>
      <c r="G58" s="5">
        <v>7</v>
      </c>
      <c r="H58" s="5">
        <v>0</v>
      </c>
      <c r="I58" s="5">
        <v>24</v>
      </c>
      <c r="J58" s="5">
        <v>0</v>
      </c>
      <c r="K58" s="5">
        <v>6</v>
      </c>
      <c r="L58" s="4">
        <f>0.2247+0.370327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8</v>
      </c>
      <c r="G59" s="5">
        <v>8</v>
      </c>
      <c r="H59" s="5">
        <v>0</v>
      </c>
      <c r="I59" s="5">
        <v>24</v>
      </c>
      <c r="J59" s="5">
        <v>0</v>
      </c>
      <c r="K59" s="5">
        <v>6</v>
      </c>
      <c r="L59" s="4">
        <f>153.35+0.35029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10</v>
      </c>
      <c r="E60" s="4">
        <v>28.3168</v>
      </c>
      <c r="F60" s="5">
        <v>8</v>
      </c>
      <c r="G60" s="5">
        <v>8</v>
      </c>
      <c r="H60" s="5">
        <v>0</v>
      </c>
      <c r="I60" s="5">
        <v>24</v>
      </c>
      <c r="J60" s="5">
        <v>0</v>
      </c>
      <c r="K60" s="5">
        <v>6</v>
      </c>
      <c r="L60" s="4">
        <f>0.2247+0.35029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0</v>
      </c>
      <c r="E61" s="5">
        <v>0</v>
      </c>
      <c r="F61" s="5">
        <v>9</v>
      </c>
      <c r="G61" s="5">
        <v>9</v>
      </c>
      <c r="H61" s="5">
        <v>0</v>
      </c>
      <c r="I61" s="5">
        <v>24</v>
      </c>
      <c r="J61" s="5">
        <v>0</v>
      </c>
      <c r="K61" s="5">
        <v>6</v>
      </c>
      <c r="L61" s="4">
        <f>153.35+0.416127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10</v>
      </c>
      <c r="E62" s="4">
        <v>28.3168</v>
      </c>
      <c r="F62" s="5">
        <v>9</v>
      </c>
      <c r="G62" s="5">
        <v>9</v>
      </c>
      <c r="H62" s="5">
        <v>0</v>
      </c>
      <c r="I62" s="5">
        <v>24</v>
      </c>
      <c r="J62" s="5">
        <v>0</v>
      </c>
      <c r="K62" s="5">
        <v>6</v>
      </c>
      <c r="L62" s="4">
        <f>0.2247+0.416127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10</v>
      </c>
      <c r="G63" s="5">
        <v>10</v>
      </c>
      <c r="H63" s="5">
        <v>0</v>
      </c>
      <c r="I63" s="5">
        <v>24</v>
      </c>
      <c r="J63" s="5">
        <v>0</v>
      </c>
      <c r="K63" s="5">
        <v>6</v>
      </c>
      <c r="L63" s="4">
        <f>153.35+0.556773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10</v>
      </c>
      <c r="E64" s="4">
        <v>28.3168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0.2247+0.556773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153.35+0.576949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10</v>
      </c>
      <c r="E66" s="4">
        <v>28.3168</v>
      </c>
      <c r="F66" s="5">
        <v>11</v>
      </c>
      <c r="G66" s="5">
        <v>11</v>
      </c>
      <c r="H66" s="5">
        <v>0</v>
      </c>
      <c r="I66" s="5">
        <v>24</v>
      </c>
      <c r="J66" s="5">
        <v>0</v>
      </c>
      <c r="K66" s="5">
        <v>6</v>
      </c>
      <c r="L66" s="4">
        <f>0.2247+0.576949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12</v>
      </c>
      <c r="G67" s="5">
        <v>12</v>
      </c>
      <c r="H67" s="5">
        <v>0</v>
      </c>
      <c r="I67" s="5">
        <v>24</v>
      </c>
      <c r="J67" s="5">
        <v>0</v>
      </c>
      <c r="K67" s="5">
        <v>6</v>
      </c>
      <c r="L67" s="4">
        <f>153.35+0.545748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10</v>
      </c>
      <c r="E68" s="4">
        <v>28.3168</v>
      </c>
      <c r="F68" s="5">
        <v>12</v>
      </c>
      <c r="G68" s="5">
        <v>12</v>
      </c>
      <c r="H68" s="5">
        <v>0</v>
      </c>
      <c r="I68" s="5">
        <v>24</v>
      </c>
      <c r="J68" s="5">
        <v>0</v>
      </c>
      <c r="K68" s="5">
        <v>6</v>
      </c>
      <c r="L68" s="4">
        <f>0.2247+0.545748</f>
      </c>
      <c r="M68" s="14">
        <f>L68/2.83168</f>
      </c>
      <c r="N68" s="1" t="s">
        <v>36</v>
      </c>
      <c r="O68" s="1" t="s">
        <v>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13.67</v>
      </c>
      <c r="M2" s="4">
        <v>13.67</v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39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11</v>
      </c>
      <c r="J3" s="5">
        <v>0</v>
      </c>
      <c r="K3" s="5">
        <v>4</v>
      </c>
      <c r="L3" s="14">
        <f>(14.07+17.1+2.92)/4.5</f>
      </c>
      <c r="M3" s="14">
        <f>(14.07+17.1+2.92)/4.5</f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40</v>
      </c>
      <c r="D4" s="5">
        <v>0</v>
      </c>
      <c r="E4" s="5">
        <v>0</v>
      </c>
      <c r="F4" s="5">
        <v>1</v>
      </c>
      <c r="G4" s="5">
        <v>12</v>
      </c>
      <c r="H4" s="5">
        <v>11</v>
      </c>
      <c r="I4" s="5">
        <v>19</v>
      </c>
      <c r="J4" s="5">
        <v>0</v>
      </c>
      <c r="K4" s="5">
        <v>4</v>
      </c>
      <c r="L4" s="4">
        <f>14.07+17.1+2.92</f>
      </c>
      <c r="M4" s="4">
        <f>14.07+17.1+2.92</f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39</v>
      </c>
      <c r="D5" s="5">
        <v>0</v>
      </c>
      <c r="E5" s="5">
        <v>0</v>
      </c>
      <c r="F5" s="5">
        <v>1</v>
      </c>
      <c r="G5" s="5">
        <v>12</v>
      </c>
      <c r="H5" s="5">
        <v>19</v>
      </c>
      <c r="I5" s="5">
        <v>24</v>
      </c>
      <c r="J5" s="5">
        <v>0</v>
      </c>
      <c r="K5" s="5">
        <v>4</v>
      </c>
      <c r="L5" s="14">
        <f>(14.07+17.1+2.92)/4.5</f>
      </c>
      <c r="M5" s="14">
        <f>(14.07+17.1+2.92)/4.5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39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5</v>
      </c>
      <c r="K6" s="5">
        <v>6</v>
      </c>
      <c r="L6" s="14">
        <f>(14.07+17.1+2.92)/4.5</f>
      </c>
      <c r="M6" s="14">
        <f>(14.07+17.1+2.92)/4.5</f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v>0.04171</v>
      </c>
      <c r="M7" s="4">
        <v>0.04171</v>
      </c>
      <c r="N7" s="1" t="s">
        <v>26</v>
      </c>
      <c r="O7" s="1"/>
    </row>
    <row x14ac:dyDescent="0.25" r="8" customHeight="1" ht="17.25">
      <c r="A8" s="1" t="s">
        <v>34</v>
      </c>
      <c r="B8" s="1" t="s">
        <v>14</v>
      </c>
      <c r="C8" s="1"/>
      <c r="D8" s="2"/>
      <c r="E8" s="2"/>
      <c r="F8" s="2"/>
      <c r="G8" s="2"/>
      <c r="H8" s="2"/>
      <c r="I8" s="2"/>
      <c r="J8" s="2"/>
      <c r="K8" s="2"/>
      <c r="L8" s="5">
        <v>700</v>
      </c>
      <c r="M8" s="5">
        <v>700</v>
      </c>
      <c r="N8" s="1" t="s">
        <v>15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24</v>
      </c>
      <c r="J9" s="5">
        <v>0</v>
      </c>
      <c r="K9" s="5">
        <v>6</v>
      </c>
      <c r="L9" s="4">
        <v>0.59395</v>
      </c>
      <c r="M9" s="11">
        <f>L9/2.83168</f>
      </c>
      <c r="N9" s="1" t="s">
        <v>36</v>
      </c>
      <c r="O9" s="1" t="s">
        <v>37</v>
      </c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4</v>
      </c>
      <c r="H10" s="5">
        <v>0</v>
      </c>
      <c r="I10" s="5">
        <v>24</v>
      </c>
      <c r="J10" s="5">
        <v>0</v>
      </c>
      <c r="K10" s="5">
        <v>6</v>
      </c>
      <c r="L10" s="4">
        <v>0.58395</v>
      </c>
      <c r="M10" s="11">
        <f>L10/2.83168</f>
      </c>
      <c r="N10" s="1" t="s">
        <v>36</v>
      </c>
      <c r="O10" s="1" t="s">
        <v>37</v>
      </c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7</v>
      </c>
      <c r="H11" s="5">
        <v>0</v>
      </c>
      <c r="I11" s="5">
        <v>24</v>
      </c>
      <c r="J11" s="5">
        <v>0</v>
      </c>
      <c r="K11" s="5">
        <v>6</v>
      </c>
      <c r="L11" s="4">
        <v>0.61195</v>
      </c>
      <c r="M11" s="11">
        <f>L11/2.83168</f>
      </c>
      <c r="N11" s="1" t="s">
        <v>36</v>
      </c>
      <c r="O11" s="1" t="s">
        <v>37</v>
      </c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8</v>
      </c>
      <c r="G12" s="5">
        <v>8</v>
      </c>
      <c r="H12" s="5">
        <v>0</v>
      </c>
      <c r="I12" s="5">
        <v>24</v>
      </c>
      <c r="J12" s="5">
        <v>0</v>
      </c>
      <c r="K12" s="5">
        <v>6</v>
      </c>
      <c r="L12" s="4">
        <v>0.62595</v>
      </c>
      <c r="M12" s="11">
        <f>L12/2.83168</f>
      </c>
      <c r="N12" s="1" t="s">
        <v>36</v>
      </c>
      <c r="O12" s="1" t="s">
        <v>37</v>
      </c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9</v>
      </c>
      <c r="G13" s="5">
        <v>9</v>
      </c>
      <c r="H13" s="5">
        <v>0</v>
      </c>
      <c r="I13" s="5">
        <v>24</v>
      </c>
      <c r="J13" s="5">
        <v>0</v>
      </c>
      <c r="K13" s="5">
        <v>6</v>
      </c>
      <c r="L13" s="4">
        <v>0.63395</v>
      </c>
      <c r="M13" s="11">
        <f>L13/2.83168</f>
      </c>
      <c r="N13" s="1" t="s">
        <v>36</v>
      </c>
      <c r="O13" s="1" t="s">
        <v>37</v>
      </c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v>0.63895</v>
      </c>
      <c r="M14" s="11">
        <f>L14/2.83168</f>
      </c>
      <c r="N14" s="1" t="s">
        <v>36</v>
      </c>
      <c r="O14" s="1" t="s">
        <v>37</v>
      </c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v>0.64995</v>
      </c>
      <c r="M15" s="11">
        <f>L15/2.83168</f>
      </c>
      <c r="N15" s="1" t="s">
        <v>36</v>
      </c>
      <c r="O15" s="1" t="s">
        <v>37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0"/>
      <c r="F2" s="2"/>
      <c r="G2" s="2"/>
      <c r="H2" s="2"/>
      <c r="I2" s="2"/>
      <c r="J2" s="2"/>
      <c r="K2" s="2"/>
      <c r="L2" s="4">
        <v>1149.23</v>
      </c>
      <c r="M2" s="4">
        <v>1149.23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v>0.07412</v>
      </c>
      <c r="M3" s="4">
        <v>0.07412</v>
      </c>
      <c r="N3" s="1" t="s">
        <v>26</v>
      </c>
      <c r="O3" s="1" t="s">
        <v>104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6</v>
      </c>
      <c r="G4" s="5">
        <v>9</v>
      </c>
      <c r="H4" s="5">
        <v>0</v>
      </c>
      <c r="I4" s="5">
        <v>24</v>
      </c>
      <c r="J4" s="5">
        <v>0</v>
      </c>
      <c r="K4" s="5">
        <v>6</v>
      </c>
      <c r="L4" s="4">
        <v>0.08744</v>
      </c>
      <c r="M4" s="4">
        <v>0.08744</v>
      </c>
      <c r="N4" s="1" t="s">
        <v>26</v>
      </c>
      <c r="O4" s="1" t="s">
        <v>104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10</v>
      </c>
      <c r="G5" s="5">
        <v>12</v>
      </c>
      <c r="H5" s="5">
        <v>0</v>
      </c>
      <c r="I5" s="5">
        <v>24</v>
      </c>
      <c r="J5" s="5">
        <v>0</v>
      </c>
      <c r="K5" s="5">
        <v>6</v>
      </c>
      <c r="L5" s="4">
        <v>0.07412</v>
      </c>
      <c r="M5" s="4">
        <v>0.07412</v>
      </c>
      <c r="N5" s="1" t="s">
        <v>26</v>
      </c>
      <c r="O5" s="1" t="s">
        <v>104</v>
      </c>
    </row>
    <row x14ac:dyDescent="0.25" r="6" customHeight="1" ht="17.25">
      <c r="A6" s="1" t="s">
        <v>13</v>
      </c>
      <c r="B6" s="1" t="s">
        <v>17</v>
      </c>
      <c r="C6" s="1" t="s">
        <v>46</v>
      </c>
      <c r="D6" s="5">
        <v>0</v>
      </c>
      <c r="E6" s="5">
        <v>0</v>
      </c>
      <c r="F6" s="5">
        <v>1</v>
      </c>
      <c r="G6" s="5">
        <v>5</v>
      </c>
      <c r="H6" s="5">
        <v>0</v>
      </c>
      <c r="I6" s="5">
        <v>24</v>
      </c>
      <c r="J6" s="5">
        <v>0</v>
      </c>
      <c r="K6" s="5">
        <v>6</v>
      </c>
      <c r="L6" s="4">
        <v>9.915</v>
      </c>
      <c r="M6" s="4">
        <v>9.915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47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14.589</v>
      </c>
      <c r="M7" s="4">
        <v>14.589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48</v>
      </c>
      <c r="D8" s="5">
        <v>0</v>
      </c>
      <c r="E8" s="5">
        <v>0</v>
      </c>
      <c r="F8" s="5">
        <v>10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v>9.915</v>
      </c>
      <c r="M8" s="4">
        <v>9.915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46</v>
      </c>
      <c r="D9" s="5">
        <v>2500</v>
      </c>
      <c r="E9" s="5">
        <v>2500</v>
      </c>
      <c r="F9" s="5">
        <v>1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4">
        <v>7.74</v>
      </c>
      <c r="M9" s="4">
        <v>7.74</v>
      </c>
      <c r="N9" s="1" t="s">
        <v>19</v>
      </c>
      <c r="O9" s="1"/>
    </row>
    <row x14ac:dyDescent="0.25" r="10" customHeight="1" ht="17.25">
      <c r="A10" s="1" t="s">
        <v>13</v>
      </c>
      <c r="B10" s="1" t="s">
        <v>17</v>
      </c>
      <c r="C10" s="1" t="s">
        <v>47</v>
      </c>
      <c r="D10" s="5">
        <v>2500</v>
      </c>
      <c r="E10" s="5">
        <v>2500</v>
      </c>
      <c r="F10" s="5">
        <v>6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v>11.672</v>
      </c>
      <c r="M10" s="4">
        <v>11.672</v>
      </c>
      <c r="N10" s="1" t="s">
        <v>19</v>
      </c>
      <c r="O10" s="1"/>
    </row>
    <row x14ac:dyDescent="0.25" r="11" customHeight="1" ht="17.25">
      <c r="A11" s="1" t="s">
        <v>13</v>
      </c>
      <c r="B11" s="1" t="s">
        <v>17</v>
      </c>
      <c r="C11" s="1" t="s">
        <v>48</v>
      </c>
      <c r="D11" s="5">
        <v>2500</v>
      </c>
      <c r="E11" s="5">
        <v>2500</v>
      </c>
      <c r="F11" s="5">
        <v>10</v>
      </c>
      <c r="G11" s="5">
        <v>12</v>
      </c>
      <c r="H11" s="5">
        <v>0</v>
      </c>
      <c r="I11" s="5">
        <v>24</v>
      </c>
      <c r="J11" s="5">
        <v>0</v>
      </c>
      <c r="K11" s="5">
        <v>6</v>
      </c>
      <c r="L11" s="4">
        <v>7.74</v>
      </c>
      <c r="M11" s="4">
        <v>7.74</v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46</v>
      </c>
      <c r="D12" s="5">
        <v>5000</v>
      </c>
      <c r="E12" s="5">
        <v>5000</v>
      </c>
      <c r="F12" s="5">
        <v>1</v>
      </c>
      <c r="G12" s="5">
        <v>5</v>
      </c>
      <c r="H12" s="5">
        <v>0</v>
      </c>
      <c r="I12" s="5">
        <v>24</v>
      </c>
      <c r="J12" s="5">
        <v>0</v>
      </c>
      <c r="K12" s="5">
        <v>6</v>
      </c>
      <c r="L12" s="4">
        <v>6.827</v>
      </c>
      <c r="M12" s="4">
        <v>6.827</v>
      </c>
      <c r="N12" s="1" t="s">
        <v>19</v>
      </c>
      <c r="O12" s="1"/>
    </row>
    <row x14ac:dyDescent="0.25" r="13" customHeight="1" ht="17.25">
      <c r="A13" s="1" t="s">
        <v>13</v>
      </c>
      <c r="B13" s="1" t="s">
        <v>17</v>
      </c>
      <c r="C13" s="1" t="s">
        <v>47</v>
      </c>
      <c r="D13" s="5">
        <v>5000</v>
      </c>
      <c r="E13" s="5">
        <v>5000</v>
      </c>
      <c r="F13" s="5">
        <v>6</v>
      </c>
      <c r="G13" s="5">
        <v>9</v>
      </c>
      <c r="H13" s="5">
        <v>0</v>
      </c>
      <c r="I13" s="5">
        <v>24</v>
      </c>
      <c r="J13" s="5">
        <v>0</v>
      </c>
      <c r="K13" s="5">
        <v>6</v>
      </c>
      <c r="L13" s="4">
        <v>9.776</v>
      </c>
      <c r="M13" s="4">
        <v>9.776</v>
      </c>
      <c r="N13" s="1" t="s">
        <v>19</v>
      </c>
      <c r="O13" s="1"/>
    </row>
    <row x14ac:dyDescent="0.25" r="14" customHeight="1" ht="17.25">
      <c r="A14" s="1" t="s">
        <v>13</v>
      </c>
      <c r="B14" s="1" t="s">
        <v>17</v>
      </c>
      <c r="C14" s="1" t="s">
        <v>48</v>
      </c>
      <c r="D14" s="5">
        <v>5000</v>
      </c>
      <c r="E14" s="5">
        <v>5000</v>
      </c>
      <c r="F14" s="5">
        <v>10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4">
        <v>6.827</v>
      </c>
      <c r="M14" s="4">
        <v>6.827</v>
      </c>
      <c r="N14" s="1" t="s">
        <v>19</v>
      </c>
      <c r="O14" s="1"/>
    </row>
    <row x14ac:dyDescent="0.25" r="15" customHeight="1" ht="17.25">
      <c r="A15" s="1" t="s">
        <v>13</v>
      </c>
      <c r="B15" s="1" t="s">
        <v>17</v>
      </c>
      <c r="C15" s="1" t="s">
        <v>46</v>
      </c>
      <c r="D15" s="5">
        <v>7500</v>
      </c>
      <c r="E15" s="5">
        <v>7500</v>
      </c>
      <c r="F15" s="5">
        <v>1</v>
      </c>
      <c r="G15" s="5">
        <v>5</v>
      </c>
      <c r="H15" s="5">
        <v>0</v>
      </c>
      <c r="I15" s="5">
        <v>24</v>
      </c>
      <c r="J15" s="5">
        <v>0</v>
      </c>
      <c r="K15" s="5">
        <v>6</v>
      </c>
      <c r="L15" s="4">
        <v>5.257</v>
      </c>
      <c r="M15" s="4">
        <v>5.257</v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47</v>
      </c>
      <c r="D16" s="5">
        <v>7500</v>
      </c>
      <c r="E16" s="5">
        <v>7500</v>
      </c>
      <c r="F16" s="5">
        <v>6</v>
      </c>
      <c r="G16" s="5">
        <v>9</v>
      </c>
      <c r="H16" s="5">
        <v>0</v>
      </c>
      <c r="I16" s="5">
        <v>24</v>
      </c>
      <c r="J16" s="5">
        <v>0</v>
      </c>
      <c r="K16" s="5">
        <v>6</v>
      </c>
      <c r="L16" s="4">
        <v>7.138</v>
      </c>
      <c r="M16" s="4">
        <v>7.138</v>
      </c>
      <c r="N16" s="1" t="s">
        <v>19</v>
      </c>
      <c r="O16" s="1"/>
    </row>
    <row x14ac:dyDescent="0.25" r="17" customHeight="1" ht="17.25">
      <c r="A17" s="1" t="s">
        <v>13</v>
      </c>
      <c r="B17" s="1" t="s">
        <v>17</v>
      </c>
      <c r="C17" s="1" t="s">
        <v>48</v>
      </c>
      <c r="D17" s="5">
        <v>7500</v>
      </c>
      <c r="E17" s="5">
        <v>7500</v>
      </c>
      <c r="F17" s="5">
        <v>10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v>5.257</v>
      </c>
      <c r="M17" s="4">
        <v>5.257</v>
      </c>
      <c r="N17" s="1" t="s">
        <v>19</v>
      </c>
      <c r="O17" s="1"/>
    </row>
    <row x14ac:dyDescent="0.25" r="18" customHeight="1" ht="17.25">
      <c r="A18" s="1" t="s">
        <v>34</v>
      </c>
      <c r="B18" s="1" t="s">
        <v>14</v>
      </c>
      <c r="C18" s="1"/>
      <c r="D18" s="2"/>
      <c r="E18" s="20"/>
      <c r="F18" s="2"/>
      <c r="G18" s="2"/>
      <c r="H18" s="2"/>
      <c r="I18" s="2"/>
      <c r="J18" s="2"/>
      <c r="K18" s="2"/>
      <c r="L18" s="4">
        <v>1357.95</v>
      </c>
      <c r="M18" s="4">
        <v>1357.95</v>
      </c>
      <c r="N18" s="1" t="s">
        <v>15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f>D19*2.83168</f>
      </c>
      <c r="F19" s="5">
        <v>1</v>
      </c>
      <c r="G19" s="5">
        <v>3</v>
      </c>
      <c r="H19" s="5">
        <v>0</v>
      </c>
      <c r="I19" s="5">
        <v>24</v>
      </c>
      <c r="J19" s="5">
        <v>0</v>
      </c>
      <c r="K19" s="5">
        <v>6</v>
      </c>
      <c r="L19" s="4">
        <f>0.06994+0.4</f>
      </c>
      <c r="M19" s="11">
        <f>L19/2.83168</f>
      </c>
      <c r="N19" s="1" t="s">
        <v>36</v>
      </c>
      <c r="O19" s="1" t="s">
        <v>89</v>
      </c>
    </row>
    <row x14ac:dyDescent="0.25" r="20" customHeight="1" ht="17.25">
      <c r="A20" s="1" t="s">
        <v>34</v>
      </c>
      <c r="B20" s="1" t="s">
        <v>25</v>
      </c>
      <c r="C20" s="1"/>
      <c r="D20" s="5">
        <v>36000</v>
      </c>
      <c r="E20" s="21">
        <f>D20*2.83168</f>
      </c>
      <c r="F20" s="5">
        <v>1</v>
      </c>
      <c r="G20" s="5">
        <v>3</v>
      </c>
      <c r="H20" s="5">
        <v>0</v>
      </c>
      <c r="I20" s="5">
        <v>24</v>
      </c>
      <c r="J20" s="5">
        <v>0</v>
      </c>
      <c r="K20" s="5">
        <v>6</v>
      </c>
      <c r="L20" s="4">
        <f>0.05456+0.4</f>
      </c>
      <c r="M20" s="11">
        <f>L20/2.83168</f>
      </c>
      <c r="N20" s="1" t="s">
        <v>36</v>
      </c>
      <c r="O20" s="1" t="s">
        <v>89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17">
        <f>D21*2.83168</f>
      </c>
      <c r="F21" s="5">
        <v>4</v>
      </c>
      <c r="G21" s="5">
        <v>10</v>
      </c>
      <c r="H21" s="5">
        <v>0</v>
      </c>
      <c r="I21" s="5">
        <v>24</v>
      </c>
      <c r="J21" s="5">
        <v>0</v>
      </c>
      <c r="K21" s="5">
        <v>6</v>
      </c>
      <c r="L21" s="4">
        <f>0.04366+0.4</f>
      </c>
      <c r="M21" s="11">
        <f>L21/2.83168</f>
      </c>
      <c r="N21" s="1" t="s">
        <v>36</v>
      </c>
      <c r="O21" s="1" t="s">
        <v>89</v>
      </c>
    </row>
    <row x14ac:dyDescent="0.25" r="22" customHeight="1" ht="17.25">
      <c r="A22" s="1" t="s">
        <v>34</v>
      </c>
      <c r="B22" s="1" t="s">
        <v>25</v>
      </c>
      <c r="C22" s="1"/>
      <c r="D22" s="5">
        <v>36000</v>
      </c>
      <c r="E22" s="21">
        <f>D22*2.83168</f>
      </c>
      <c r="F22" s="5">
        <v>4</v>
      </c>
      <c r="G22" s="5">
        <v>10</v>
      </c>
      <c r="H22" s="5">
        <v>0</v>
      </c>
      <c r="I22" s="5">
        <v>24</v>
      </c>
      <c r="J22" s="5">
        <v>0</v>
      </c>
      <c r="K22" s="5">
        <v>6</v>
      </c>
      <c r="L22" s="4">
        <f>0.02893+0.4</f>
      </c>
      <c r="M22" s="11">
        <f>L22/2.83168</f>
      </c>
      <c r="N22" s="1" t="s">
        <v>36</v>
      </c>
      <c r="O22" s="1" t="s">
        <v>89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17">
        <f>D23*2.83168</f>
      </c>
      <c r="F23" s="5">
        <v>11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0.06994+0.79</f>
      </c>
      <c r="M23" s="11">
        <f>L23/2.83168</f>
      </c>
      <c r="N23" s="1" t="s">
        <v>36</v>
      </c>
      <c r="O23" s="1" t="s">
        <v>89</v>
      </c>
    </row>
    <row x14ac:dyDescent="0.25" r="24" customHeight="1" ht="17.25">
      <c r="A24" s="1" t="s">
        <v>34</v>
      </c>
      <c r="B24" s="1" t="s">
        <v>25</v>
      </c>
      <c r="C24" s="1"/>
      <c r="D24" s="5">
        <v>36000</v>
      </c>
      <c r="E24" s="21">
        <f>D24*2.83168</f>
      </c>
      <c r="F24" s="5">
        <v>11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0.05456+0.79</f>
      </c>
      <c r="M24" s="11">
        <f>L24/2.83168</f>
      </c>
      <c r="N24" s="1" t="s">
        <v>36</v>
      </c>
      <c r="O24" s="1" t="s">
        <v>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f>0.49315*30</f>
      </c>
      <c r="M19" s="4">
        <f>0.49315*30</f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9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370.81+21.54</f>
      </c>
      <c r="M2" s="4">
        <f>370.81+21.54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1.7531</v>
      </c>
      <c r="M3" s="4">
        <v>1.7531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47</v>
      </c>
      <c r="D4" s="5">
        <v>0</v>
      </c>
      <c r="E4" s="5">
        <v>0</v>
      </c>
      <c r="F4" s="5">
        <v>6</v>
      </c>
      <c r="G4" s="5">
        <v>9</v>
      </c>
      <c r="H4" s="5">
        <v>7</v>
      </c>
      <c r="I4" s="5">
        <v>21</v>
      </c>
      <c r="J4" s="5">
        <v>0</v>
      </c>
      <c r="K4" s="5">
        <v>4</v>
      </c>
      <c r="L4" s="4">
        <v>9.7321</v>
      </c>
      <c r="M4" s="4">
        <v>9.7321</v>
      </c>
      <c r="N4" s="1" t="s">
        <v>19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24</v>
      </c>
      <c r="J5" s="5">
        <v>0</v>
      </c>
      <c r="K5" s="5">
        <v>6</v>
      </c>
      <c r="L5" s="11">
        <v>0.03026328046</v>
      </c>
      <c r="M5" s="11">
        <v>0.03026328046</v>
      </c>
      <c r="N5" s="1" t="s">
        <v>26</v>
      </c>
      <c r="O5" s="1" t="s">
        <v>49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24</v>
      </c>
      <c r="J6" s="5">
        <v>0</v>
      </c>
      <c r="K6" s="5">
        <v>6</v>
      </c>
      <c r="L6" s="11">
        <v>0.04197765785</v>
      </c>
      <c r="M6" s="11">
        <v>0.04197765785</v>
      </c>
      <c r="N6" s="1" t="s">
        <v>26</v>
      </c>
      <c r="O6" s="1" t="s">
        <v>49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24</v>
      </c>
      <c r="J7" s="5">
        <v>0</v>
      </c>
      <c r="K7" s="5">
        <v>6</v>
      </c>
      <c r="L7" s="11">
        <v>0.02246983126</v>
      </c>
      <c r="M7" s="11">
        <v>0.02246983126</v>
      </c>
      <c r="N7" s="1" t="s">
        <v>26</v>
      </c>
      <c r="O7" s="1" t="s">
        <v>49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4</v>
      </c>
      <c r="H8" s="5">
        <v>0</v>
      </c>
      <c r="I8" s="5">
        <v>24</v>
      </c>
      <c r="J8" s="5">
        <v>0</v>
      </c>
      <c r="K8" s="5">
        <v>6</v>
      </c>
      <c r="L8" s="11">
        <v>0.02029172656</v>
      </c>
      <c r="M8" s="11">
        <v>0.02029172656</v>
      </c>
      <c r="N8" s="1" t="s">
        <v>26</v>
      </c>
      <c r="O8" s="1" t="s">
        <v>49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5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11">
        <v>0.02401874148</v>
      </c>
      <c r="M9" s="11">
        <v>0.02401874148</v>
      </c>
      <c r="N9" s="1" t="s">
        <v>26</v>
      </c>
      <c r="O9" s="1" t="s">
        <v>49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6</v>
      </c>
      <c r="H10" s="5">
        <v>0</v>
      </c>
      <c r="I10" s="5">
        <v>7</v>
      </c>
      <c r="J10" s="5">
        <v>0</v>
      </c>
      <c r="K10" s="5">
        <v>4</v>
      </c>
      <c r="L10" s="11">
        <v>0.02185411019</v>
      </c>
      <c r="M10" s="11">
        <v>0.02185411019</v>
      </c>
      <c r="N10" s="1" t="s">
        <v>26</v>
      </c>
      <c r="O10" s="1" t="s">
        <v>49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6</v>
      </c>
      <c r="H11" s="5">
        <v>21</v>
      </c>
      <c r="I11" s="5">
        <v>24</v>
      </c>
      <c r="J11" s="5">
        <v>0</v>
      </c>
      <c r="K11" s="5">
        <v>4</v>
      </c>
      <c r="L11" s="11">
        <v>0.02185411019</v>
      </c>
      <c r="M11" s="11">
        <v>0.02185411019</v>
      </c>
      <c r="N11" s="1" t="s">
        <v>26</v>
      </c>
      <c r="O11" s="1" t="s">
        <v>49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6</v>
      </c>
      <c r="H12" s="5">
        <v>7</v>
      </c>
      <c r="I12" s="5">
        <v>21</v>
      </c>
      <c r="J12" s="5">
        <v>0</v>
      </c>
      <c r="K12" s="5">
        <v>4</v>
      </c>
      <c r="L12" s="11">
        <v>0.02827895213</v>
      </c>
      <c r="M12" s="11">
        <v>0.02827895213</v>
      </c>
      <c r="N12" s="1" t="s">
        <v>26</v>
      </c>
      <c r="O12" s="1" t="s">
        <v>49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24</v>
      </c>
      <c r="J13" s="5">
        <v>5</v>
      </c>
      <c r="K13" s="5">
        <v>6</v>
      </c>
      <c r="L13" s="11">
        <v>0.02185411019</v>
      </c>
      <c r="M13" s="11">
        <v>0.02185411019</v>
      </c>
      <c r="N13" s="1" t="s">
        <v>26</v>
      </c>
      <c r="O13" s="1" t="s">
        <v>49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7</v>
      </c>
      <c r="G14" s="5">
        <v>7</v>
      </c>
      <c r="H14" s="5">
        <v>0</v>
      </c>
      <c r="I14" s="5">
        <v>7</v>
      </c>
      <c r="J14" s="5">
        <v>0</v>
      </c>
      <c r="K14" s="5">
        <v>4</v>
      </c>
      <c r="L14" s="11">
        <v>0.02547955439</v>
      </c>
      <c r="M14" s="11">
        <v>0.02547955439</v>
      </c>
      <c r="N14" s="1" t="s">
        <v>26</v>
      </c>
      <c r="O14" s="1" t="s">
        <v>49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21</v>
      </c>
      <c r="I15" s="5">
        <v>24</v>
      </c>
      <c r="J15" s="5">
        <v>0</v>
      </c>
      <c r="K15" s="5">
        <v>4</v>
      </c>
      <c r="L15" s="11">
        <v>0.02547955439</v>
      </c>
      <c r="M15" s="11">
        <v>0.02547955439</v>
      </c>
      <c r="N15" s="1" t="s">
        <v>26</v>
      </c>
      <c r="O15" s="1" t="s">
        <v>49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7</v>
      </c>
      <c r="G16" s="5">
        <v>7</v>
      </c>
      <c r="H16" s="5">
        <v>7</v>
      </c>
      <c r="I16" s="5">
        <v>21</v>
      </c>
      <c r="J16" s="5">
        <v>0</v>
      </c>
      <c r="K16" s="5">
        <v>4</v>
      </c>
      <c r="L16" s="11">
        <v>0.03298182177</v>
      </c>
      <c r="M16" s="11">
        <v>0.03298182177</v>
      </c>
      <c r="N16" s="1" t="s">
        <v>26</v>
      </c>
      <c r="O16" s="1" t="s">
        <v>49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7</v>
      </c>
      <c r="G17" s="5">
        <v>7</v>
      </c>
      <c r="H17" s="5">
        <v>0</v>
      </c>
      <c r="I17" s="5">
        <v>24</v>
      </c>
      <c r="J17" s="5">
        <v>5</v>
      </c>
      <c r="K17" s="5">
        <v>6</v>
      </c>
      <c r="L17" s="11">
        <v>0.02547955439</v>
      </c>
      <c r="M17" s="11">
        <v>0.02547955439</v>
      </c>
      <c r="N17" s="1" t="s">
        <v>26</v>
      </c>
      <c r="O17" s="1" t="s">
        <v>49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8</v>
      </c>
      <c r="G18" s="5">
        <v>8</v>
      </c>
      <c r="H18" s="5">
        <v>0</v>
      </c>
      <c r="I18" s="5">
        <v>7</v>
      </c>
      <c r="J18" s="5">
        <v>0</v>
      </c>
      <c r="K18" s="5">
        <v>4</v>
      </c>
      <c r="L18" s="11">
        <v>0.03039418679</v>
      </c>
      <c r="M18" s="11">
        <v>0.03039418679</v>
      </c>
      <c r="N18" s="1" t="s">
        <v>26</v>
      </c>
      <c r="O18" s="1" t="s">
        <v>49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8</v>
      </c>
      <c r="G19" s="5">
        <v>8</v>
      </c>
      <c r="H19" s="5">
        <v>21</v>
      </c>
      <c r="I19" s="5">
        <v>24</v>
      </c>
      <c r="J19" s="5">
        <v>0</v>
      </c>
      <c r="K19" s="5">
        <v>4</v>
      </c>
      <c r="L19" s="11">
        <v>0.03039418679</v>
      </c>
      <c r="M19" s="11">
        <v>0.03039418679</v>
      </c>
      <c r="N19" s="1" t="s">
        <v>26</v>
      </c>
      <c r="O19" s="1" t="s">
        <v>49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8</v>
      </c>
      <c r="G20" s="5">
        <v>8</v>
      </c>
      <c r="H20" s="5">
        <v>7</v>
      </c>
      <c r="I20" s="5">
        <v>21</v>
      </c>
      <c r="J20" s="5">
        <v>0</v>
      </c>
      <c r="K20" s="5">
        <v>4</v>
      </c>
      <c r="L20" s="11">
        <v>0.04021782333</v>
      </c>
      <c r="M20" s="11">
        <v>0.04021782333</v>
      </c>
      <c r="N20" s="1" t="s">
        <v>26</v>
      </c>
      <c r="O20" s="1" t="s">
        <v>49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8</v>
      </c>
      <c r="G21" s="5">
        <v>8</v>
      </c>
      <c r="H21" s="5">
        <v>0</v>
      </c>
      <c r="I21" s="5">
        <v>24</v>
      </c>
      <c r="J21" s="5">
        <v>5</v>
      </c>
      <c r="K21" s="5">
        <v>6</v>
      </c>
      <c r="L21" s="11">
        <v>0.03039418679</v>
      </c>
      <c r="M21" s="11">
        <v>0.03039418679</v>
      </c>
      <c r="N21" s="1" t="s">
        <v>26</v>
      </c>
      <c r="O21" s="1" t="s">
        <v>49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9</v>
      </c>
      <c r="G22" s="5">
        <v>9</v>
      </c>
      <c r="H22" s="5">
        <v>0</v>
      </c>
      <c r="I22" s="5">
        <v>7</v>
      </c>
      <c r="J22" s="5">
        <v>0</v>
      </c>
      <c r="K22" s="5">
        <v>4</v>
      </c>
      <c r="L22" s="11">
        <v>0.03288250393</v>
      </c>
      <c r="M22" s="11">
        <v>0.03288250393</v>
      </c>
      <c r="N22" s="1" t="s">
        <v>26</v>
      </c>
      <c r="O22" s="1" t="s">
        <v>49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9</v>
      </c>
      <c r="G23" s="5">
        <v>9</v>
      </c>
      <c r="H23" s="5">
        <v>21</v>
      </c>
      <c r="I23" s="5">
        <v>24</v>
      </c>
      <c r="J23" s="5">
        <v>0</v>
      </c>
      <c r="K23" s="5">
        <v>4</v>
      </c>
      <c r="L23" s="11">
        <v>0.03288250393</v>
      </c>
      <c r="M23" s="11">
        <v>0.03288250393</v>
      </c>
      <c r="N23" s="1" t="s">
        <v>26</v>
      </c>
      <c r="O23" s="1" t="s">
        <v>49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9</v>
      </c>
      <c r="G24" s="5">
        <v>9</v>
      </c>
      <c r="H24" s="5">
        <v>7</v>
      </c>
      <c r="I24" s="5">
        <v>21</v>
      </c>
      <c r="J24" s="5">
        <v>0</v>
      </c>
      <c r="K24" s="5">
        <v>4</v>
      </c>
      <c r="L24" s="11">
        <v>0.04111021253</v>
      </c>
      <c r="M24" s="11">
        <v>0.04111021253</v>
      </c>
      <c r="N24" s="1" t="s">
        <v>26</v>
      </c>
      <c r="O24" s="1" t="s">
        <v>49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9</v>
      </c>
      <c r="G25" s="5">
        <v>9</v>
      </c>
      <c r="H25" s="5">
        <v>0</v>
      </c>
      <c r="I25" s="5">
        <v>24</v>
      </c>
      <c r="J25" s="5">
        <v>5</v>
      </c>
      <c r="K25" s="5">
        <v>6</v>
      </c>
      <c r="L25" s="11">
        <v>0.03288250393</v>
      </c>
      <c r="M25" s="11">
        <v>0.03288250393</v>
      </c>
      <c r="N25" s="1" t="s">
        <v>26</v>
      </c>
      <c r="O25" s="1" t="s">
        <v>49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11">
        <v>0.04695841244</v>
      </c>
      <c r="M26" s="11">
        <v>0.04695841244</v>
      </c>
      <c r="N26" s="1" t="s">
        <v>26</v>
      </c>
      <c r="O26" s="1" t="s">
        <v>49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11">
        <v>0.04758554855</v>
      </c>
      <c r="M27" s="11">
        <v>0.04758554855</v>
      </c>
      <c r="N27" s="1" t="s">
        <v>26</v>
      </c>
      <c r="O27" s="1" t="s">
        <v>49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11">
        <v>0.03343870927</v>
      </c>
      <c r="M28" s="11">
        <v>0.03343870927</v>
      </c>
      <c r="N28" s="1" t="s">
        <v>26</v>
      </c>
      <c r="O28" s="1" t="s">
        <v>49</v>
      </c>
    </row>
    <row x14ac:dyDescent="0.25" r="29" customHeight="1" ht="17.25">
      <c r="A29" s="1" t="s">
        <v>34</v>
      </c>
      <c r="B29" s="1" t="s">
        <v>14</v>
      </c>
      <c r="C29" s="1"/>
      <c r="D29" s="2"/>
      <c r="E29" s="3"/>
      <c r="F29" s="2"/>
      <c r="G29" s="2"/>
      <c r="H29" s="2"/>
      <c r="I29" s="2"/>
      <c r="J29" s="2"/>
      <c r="K29" s="2"/>
      <c r="L29" s="4">
        <v>17.75</v>
      </c>
      <c r="M29" s="4">
        <v>17.75</v>
      </c>
      <c r="N29" s="1" t="s">
        <v>15</v>
      </c>
      <c r="O29" s="1"/>
    </row>
    <row x14ac:dyDescent="0.25" r="30" customHeight="1" ht="17.25">
      <c r="A30" s="1" t="s">
        <v>34</v>
      </c>
      <c r="B30" s="1" t="s">
        <v>17</v>
      </c>
      <c r="C30" s="1" t="s">
        <v>50</v>
      </c>
      <c r="D30" s="5">
        <v>0</v>
      </c>
      <c r="E30" s="5">
        <v>0</v>
      </c>
      <c r="F30" s="5">
        <v>1</v>
      </c>
      <c r="G30" s="5">
        <v>4</v>
      </c>
      <c r="H30" s="5">
        <v>0</v>
      </c>
      <c r="I30" s="5">
        <v>24</v>
      </c>
      <c r="J30" s="5">
        <v>0</v>
      </c>
      <c r="K30" s="5">
        <v>6</v>
      </c>
      <c r="L30" s="4">
        <f>4.0632 *24</f>
      </c>
      <c r="M30" s="11">
        <f>L30/2.83168</f>
      </c>
      <c r="N30" s="1" t="s">
        <v>35</v>
      </c>
      <c r="O30" s="1"/>
    </row>
    <row x14ac:dyDescent="0.25" r="31" customHeight="1" ht="17.25">
      <c r="A31" s="1" t="s">
        <v>34</v>
      </c>
      <c r="B31" s="1" t="s">
        <v>17</v>
      </c>
      <c r="C31" s="1" t="s">
        <v>50</v>
      </c>
      <c r="D31" s="5">
        <v>0</v>
      </c>
      <c r="E31" s="5">
        <v>0</v>
      </c>
      <c r="F31" s="5">
        <v>11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4.0632 *24</f>
      </c>
      <c r="M31" s="11">
        <f>L31/2.83168</f>
      </c>
      <c r="N31" s="1" t="s">
        <v>35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24</v>
      </c>
      <c r="J32" s="5">
        <v>0</v>
      </c>
      <c r="K32" s="5">
        <v>6</v>
      </c>
      <c r="L32" s="4">
        <f>0.043725+0.472702</f>
      </c>
      <c r="M32" s="11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v>1000</v>
      </c>
      <c r="E33" s="4">
        <f>D33*2.83168</f>
      </c>
      <c r="F33" s="5">
        <v>1</v>
      </c>
      <c r="G33" s="5">
        <v>1</v>
      </c>
      <c r="H33" s="5">
        <v>0</v>
      </c>
      <c r="I33" s="5">
        <v>24</v>
      </c>
      <c r="J33" s="5">
        <v>0</v>
      </c>
      <c r="K33" s="5">
        <v>6</v>
      </c>
      <c r="L33" s="4">
        <f>0.043078+0.472702</f>
      </c>
      <c r="M33" s="11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2</v>
      </c>
      <c r="G34" s="5">
        <v>2</v>
      </c>
      <c r="H34" s="5">
        <v>0</v>
      </c>
      <c r="I34" s="5">
        <v>24</v>
      </c>
      <c r="J34" s="5">
        <v>0</v>
      </c>
      <c r="K34" s="5">
        <v>6</v>
      </c>
      <c r="L34" s="4">
        <f>0.043725+0.5016</f>
      </c>
      <c r="M34" s="11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v>1000</v>
      </c>
      <c r="E35" s="4">
        <f>D35*2.83168</f>
      </c>
      <c r="F35" s="5">
        <v>2</v>
      </c>
      <c r="G35" s="5">
        <v>2</v>
      </c>
      <c r="H35" s="5">
        <v>0</v>
      </c>
      <c r="I35" s="5">
        <v>24</v>
      </c>
      <c r="J35" s="5">
        <v>0</v>
      </c>
      <c r="K35" s="5">
        <v>6</v>
      </c>
      <c r="L35" s="4">
        <f>0.043078+0.5016</f>
      </c>
      <c r="M35" s="11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v>0</v>
      </c>
      <c r="E36" s="5">
        <v>0</v>
      </c>
      <c r="F36" s="5">
        <v>3</v>
      </c>
      <c r="G36" s="5">
        <v>3</v>
      </c>
      <c r="H36" s="5">
        <v>0</v>
      </c>
      <c r="I36" s="5">
        <v>24</v>
      </c>
      <c r="J36" s="5">
        <v>0</v>
      </c>
      <c r="K36" s="5">
        <v>6</v>
      </c>
      <c r="L36" s="4">
        <f>0.043725+0.509192</f>
      </c>
      <c r="M36" s="11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v>1000</v>
      </c>
      <c r="E37" s="4">
        <f>D37*2.83168</f>
      </c>
      <c r="F37" s="5">
        <v>3</v>
      </c>
      <c r="G37" s="5">
        <v>3</v>
      </c>
      <c r="H37" s="5">
        <v>0</v>
      </c>
      <c r="I37" s="5">
        <v>24</v>
      </c>
      <c r="J37" s="5">
        <v>0</v>
      </c>
      <c r="K37" s="5">
        <v>6</v>
      </c>
      <c r="L37" s="4">
        <f>0.043078+0.509192</f>
      </c>
      <c r="M37" s="11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4</v>
      </c>
      <c r="G38" s="5">
        <v>4</v>
      </c>
      <c r="H38" s="5">
        <v>0</v>
      </c>
      <c r="I38" s="5">
        <v>24</v>
      </c>
      <c r="J38" s="5">
        <v>0</v>
      </c>
      <c r="K38" s="5">
        <v>6</v>
      </c>
      <c r="L38" s="4">
        <f>0.043725+0.479845</f>
      </c>
      <c r="M38" s="11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v>1000</v>
      </c>
      <c r="E39" s="4">
        <f>D39*2.83168</f>
      </c>
      <c r="F39" s="5">
        <v>4</v>
      </c>
      <c r="G39" s="5">
        <v>4</v>
      </c>
      <c r="H39" s="5">
        <v>0</v>
      </c>
      <c r="I39" s="5">
        <v>24</v>
      </c>
      <c r="J39" s="5">
        <v>0</v>
      </c>
      <c r="K39" s="5">
        <v>6</v>
      </c>
      <c r="L39" s="4">
        <f>0.043078+0.479845</f>
      </c>
      <c r="M39" s="11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5</v>
      </c>
      <c r="G40" s="5">
        <v>5</v>
      </c>
      <c r="H40" s="5">
        <v>0</v>
      </c>
      <c r="I40" s="5">
        <v>24</v>
      </c>
      <c r="J40" s="5">
        <v>0</v>
      </c>
      <c r="K40" s="5">
        <v>6</v>
      </c>
      <c r="L40" s="4">
        <f>0.043725+0.514437</f>
      </c>
      <c r="M40" s="11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v>1000</v>
      </c>
      <c r="E41" s="4">
        <f>D41*2.83168</f>
      </c>
      <c r="F41" s="5">
        <v>5</v>
      </c>
      <c r="G41" s="5">
        <v>5</v>
      </c>
      <c r="H41" s="5">
        <v>0</v>
      </c>
      <c r="I41" s="5">
        <v>24</v>
      </c>
      <c r="J41" s="5">
        <v>0</v>
      </c>
      <c r="K41" s="5">
        <v>6</v>
      </c>
      <c r="L41" s="4">
        <f>0.043078+0.514437</f>
      </c>
      <c r="M41" s="11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6</v>
      </c>
      <c r="G42" s="5">
        <v>6</v>
      </c>
      <c r="H42" s="5">
        <v>0</v>
      </c>
      <c r="I42" s="5">
        <v>24</v>
      </c>
      <c r="J42" s="5">
        <v>0</v>
      </c>
      <c r="K42" s="5">
        <v>6</v>
      </c>
      <c r="L42" s="4">
        <f>0.043725+0.520431</f>
      </c>
      <c r="M42" s="11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v>1000</v>
      </c>
      <c r="E43" s="4">
        <f>D43*2.83168</f>
      </c>
      <c r="F43" s="5">
        <v>6</v>
      </c>
      <c r="G43" s="5">
        <v>6</v>
      </c>
      <c r="H43" s="5">
        <v>0</v>
      </c>
      <c r="I43" s="5">
        <v>24</v>
      </c>
      <c r="J43" s="5">
        <v>0</v>
      </c>
      <c r="K43" s="5">
        <v>6</v>
      </c>
      <c r="L43" s="4">
        <f>0.043078+0.520431</f>
      </c>
      <c r="M43" s="11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v>0</v>
      </c>
      <c r="E44" s="5">
        <v>0</v>
      </c>
      <c r="F44" s="5">
        <v>7</v>
      </c>
      <c r="G44" s="5">
        <v>7</v>
      </c>
      <c r="H44" s="5">
        <v>0</v>
      </c>
      <c r="I44" s="5">
        <v>24</v>
      </c>
      <c r="J44" s="5">
        <v>0</v>
      </c>
      <c r="K44" s="5">
        <v>6</v>
      </c>
      <c r="L44" s="4">
        <f>0.043725+0.580022</f>
      </c>
      <c r="M44" s="11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1000</v>
      </c>
      <c r="E45" s="4">
        <f>D45*2.83168</f>
      </c>
      <c r="F45" s="5">
        <v>7</v>
      </c>
      <c r="G45" s="5">
        <v>7</v>
      </c>
      <c r="H45" s="5">
        <v>0</v>
      </c>
      <c r="I45" s="5">
        <v>24</v>
      </c>
      <c r="J45" s="5">
        <v>0</v>
      </c>
      <c r="K45" s="5">
        <v>6</v>
      </c>
      <c r="L45" s="4">
        <f>0.043078+0.580022</f>
      </c>
      <c r="M45" s="11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0</v>
      </c>
      <c r="K46" s="5">
        <v>6</v>
      </c>
      <c r="L46" s="4">
        <f>0.043725+0.626594</f>
      </c>
      <c r="M46" s="11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1000</v>
      </c>
      <c r="E47" s="4">
        <f>D47*2.83168</f>
      </c>
      <c r="F47" s="5">
        <v>8</v>
      </c>
      <c r="G47" s="5">
        <v>8</v>
      </c>
      <c r="H47" s="5">
        <v>0</v>
      </c>
      <c r="I47" s="5">
        <v>24</v>
      </c>
      <c r="J47" s="5">
        <v>0</v>
      </c>
      <c r="K47" s="5">
        <v>6</v>
      </c>
      <c r="L47" s="4">
        <f>0.043078+0.626594</f>
      </c>
      <c r="M47" s="11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0</v>
      </c>
      <c r="E48" s="5">
        <v>0</v>
      </c>
      <c r="F48" s="5">
        <v>9</v>
      </c>
      <c r="G48" s="5">
        <v>9</v>
      </c>
      <c r="H48" s="5">
        <v>0</v>
      </c>
      <c r="I48" s="5">
        <v>24</v>
      </c>
      <c r="J48" s="5">
        <v>0</v>
      </c>
      <c r="K48" s="5">
        <v>6</v>
      </c>
      <c r="L48" s="4">
        <f>0.043725+0.658859</f>
      </c>
      <c r="M48" s="11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1000</v>
      </c>
      <c r="E49" s="4">
        <f>D49*2.83168</f>
      </c>
      <c r="F49" s="5">
        <v>9</v>
      </c>
      <c r="G49" s="5">
        <v>9</v>
      </c>
      <c r="H49" s="5">
        <v>0</v>
      </c>
      <c r="I49" s="5">
        <v>24</v>
      </c>
      <c r="J49" s="5">
        <v>0</v>
      </c>
      <c r="K49" s="5">
        <v>6</v>
      </c>
      <c r="L49" s="4">
        <f>0.043078+0.658859</f>
      </c>
      <c r="M49" s="11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10</v>
      </c>
      <c r="G50" s="5">
        <v>10</v>
      </c>
      <c r="H50" s="5">
        <v>0</v>
      </c>
      <c r="I50" s="5">
        <v>24</v>
      </c>
      <c r="J50" s="5">
        <v>0</v>
      </c>
      <c r="K50" s="5">
        <v>6</v>
      </c>
      <c r="L50" s="4">
        <f>0.043725+0.804461</f>
      </c>
      <c r="M50" s="11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1000</v>
      </c>
      <c r="E51" s="4">
        <f>D51*2.83168</f>
      </c>
      <c r="F51" s="5">
        <v>10</v>
      </c>
      <c r="G51" s="5">
        <v>10</v>
      </c>
      <c r="H51" s="5">
        <v>0</v>
      </c>
      <c r="I51" s="5">
        <v>24</v>
      </c>
      <c r="J51" s="5">
        <v>0</v>
      </c>
      <c r="K51" s="5">
        <v>6</v>
      </c>
      <c r="L51" s="4">
        <f>0.043078+0.804461</f>
      </c>
      <c r="M51" s="11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0</v>
      </c>
      <c r="I52" s="5">
        <v>24</v>
      </c>
      <c r="J52" s="5">
        <v>0</v>
      </c>
      <c r="K52" s="5">
        <v>6</v>
      </c>
      <c r="L52" s="4">
        <f>0.043725+0.853798</f>
      </c>
      <c r="M52" s="11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v>1000</v>
      </c>
      <c r="E53" s="4">
        <f>D53*2.83168</f>
      </c>
      <c r="F53" s="5">
        <v>11</v>
      </c>
      <c r="G53" s="5">
        <v>11</v>
      </c>
      <c r="H53" s="5">
        <v>0</v>
      </c>
      <c r="I53" s="5">
        <v>24</v>
      </c>
      <c r="J53" s="5">
        <v>0</v>
      </c>
      <c r="K53" s="5">
        <v>6</v>
      </c>
      <c r="L53" s="4">
        <f>0.043078+0.853798</f>
      </c>
      <c r="M53" s="11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f>0.043725+0.775689</f>
      </c>
      <c r="M54" s="11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1000</v>
      </c>
      <c r="E55" s="4">
        <f>D55*2.83168</f>
      </c>
      <c r="F55" s="5">
        <v>12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4">
        <f>0.043078+0.775689</f>
      </c>
      <c r="M55" s="11">
        <f>L55/2.83168</f>
      </c>
      <c r="N55" s="1" t="s">
        <v>36</v>
      </c>
      <c r="O55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7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150</v>
      </c>
      <c r="M2" s="5">
        <v>150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1.7328+0.5533</f>
      </c>
      <c r="M3" s="4">
        <f>1.7328+0.5533</f>
      </c>
      <c r="N3" s="1" t="s">
        <v>19</v>
      </c>
      <c r="O3" s="1" t="s">
        <v>68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6</v>
      </c>
      <c r="J4" s="5">
        <v>0</v>
      </c>
      <c r="K4" s="5">
        <v>4</v>
      </c>
      <c r="L4" s="4">
        <f>0.001022+0.001623+0.000384+0.012692+0.024284</f>
      </c>
      <c r="M4" s="4">
        <f>0.001022+0.001623+0.000384+0.012692+0.024284</f>
      </c>
      <c r="N4" s="1" t="s">
        <v>26</v>
      </c>
      <c r="O4" s="1" t="s">
        <v>103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6</v>
      </c>
      <c r="I5" s="5">
        <v>12</v>
      </c>
      <c r="J5" s="5">
        <v>0</v>
      </c>
      <c r="K5" s="5">
        <v>4</v>
      </c>
      <c r="L5" s="4">
        <f>0.001022+0.001623+0.000384+0.012692+0.037215</f>
      </c>
      <c r="M5" s="4">
        <f>0.001022+0.001623+0.000384+0.012692+0.037215</f>
      </c>
      <c r="N5" s="1" t="s">
        <v>26</v>
      </c>
      <c r="O5" s="1" t="s">
        <v>70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12</v>
      </c>
      <c r="I6" s="5">
        <v>18</v>
      </c>
      <c r="J6" s="5">
        <v>0</v>
      </c>
      <c r="K6" s="5">
        <v>4</v>
      </c>
      <c r="L6" s="4">
        <f>0.001022+0.001623+0.000384+0.012692+0.048567</f>
      </c>
      <c r="M6" s="4">
        <f>0.001022+0.001623+0.000384+0.012692+0.048567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18</v>
      </c>
      <c r="I7" s="5">
        <v>22</v>
      </c>
      <c r="J7" s="5">
        <v>0</v>
      </c>
      <c r="K7" s="5">
        <v>4</v>
      </c>
      <c r="L7" s="4">
        <f>0.001022+0.001623+0.000384+0.012692+0.037215</f>
      </c>
      <c r="M7" s="4">
        <f>0.001022+0.001623+0.000384+0.012692+0.037215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22</v>
      </c>
      <c r="I8" s="5">
        <v>24</v>
      </c>
      <c r="J8" s="5">
        <v>0</v>
      </c>
      <c r="K8" s="5">
        <v>4</v>
      </c>
      <c r="L8" s="4">
        <f>0.001022+0.001623+0.000384+0.012692+0.024284</f>
      </c>
      <c r="M8" s="4">
        <f>0.001022+0.001623+0.000384+0.012692+0.024284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8</v>
      </c>
      <c r="H9" s="5">
        <v>0</v>
      </c>
      <c r="I9" s="5">
        <v>6</v>
      </c>
      <c r="J9" s="5">
        <v>0</v>
      </c>
      <c r="K9" s="5">
        <v>4</v>
      </c>
      <c r="L9" s="4">
        <f>0.001022+0.001623+0.000384+0.012692+0.031373</f>
      </c>
      <c r="M9" s="4">
        <f>0.001022+0.001623+0.000384+0.012692+0.031373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8</v>
      </c>
      <c r="H10" s="5">
        <v>6</v>
      </c>
      <c r="I10" s="5">
        <v>12</v>
      </c>
      <c r="J10" s="5">
        <v>0</v>
      </c>
      <c r="K10" s="5">
        <v>4</v>
      </c>
      <c r="L10" s="4">
        <f>0.001022+0.001623+0.000384+0.012692+0.040864</f>
      </c>
      <c r="M10" s="4">
        <f>0.001022+0.001623+0.000384+0.012692+0.040864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8</v>
      </c>
      <c r="H11" s="5">
        <v>12</v>
      </c>
      <c r="I11" s="5">
        <v>18</v>
      </c>
      <c r="J11" s="5">
        <v>0</v>
      </c>
      <c r="K11" s="5">
        <v>4</v>
      </c>
      <c r="L11" s="4">
        <f>0.001022+0.001623+0.000384+0.012692+0.062747</f>
      </c>
      <c r="M11" s="4">
        <f>0.001022+0.001623+0.000384+0.012692+0.062747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8</v>
      </c>
      <c r="H12" s="5">
        <v>18</v>
      </c>
      <c r="I12" s="5">
        <v>22</v>
      </c>
      <c r="J12" s="5">
        <v>0</v>
      </c>
      <c r="K12" s="5">
        <v>4</v>
      </c>
      <c r="L12" s="4">
        <f>0.001022+0.001623+0.000384+0.012692+0.040864</f>
      </c>
      <c r="M12" s="4">
        <f>0.001022+0.001623+0.000384+0.012692+0.040864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8</v>
      </c>
      <c r="H13" s="5">
        <v>22</v>
      </c>
      <c r="I13" s="5">
        <v>24</v>
      </c>
      <c r="J13" s="5">
        <v>0</v>
      </c>
      <c r="K13" s="5">
        <v>4</v>
      </c>
      <c r="L13" s="4">
        <f>0.001022+0.001623+0.000384+0.012692+0.031373</f>
      </c>
      <c r="M13" s="4">
        <f>0.001022+0.001623+0.000384+0.012692+0.031373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9</v>
      </c>
      <c r="G14" s="5">
        <v>12</v>
      </c>
      <c r="H14" s="5">
        <v>0</v>
      </c>
      <c r="I14" s="5">
        <v>6</v>
      </c>
      <c r="J14" s="5">
        <v>0</v>
      </c>
      <c r="K14" s="5">
        <v>4</v>
      </c>
      <c r="L14" s="4">
        <f>0.001022+0.001623+0.000384+0.012692+0.024284</f>
      </c>
      <c r="M14" s="4">
        <f>0.001022+0.001623+0.000384+0.012692+0.024284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9</v>
      </c>
      <c r="G15" s="5">
        <v>12</v>
      </c>
      <c r="H15" s="5">
        <v>6</v>
      </c>
      <c r="I15" s="5">
        <v>12</v>
      </c>
      <c r="J15" s="5">
        <v>0</v>
      </c>
      <c r="K15" s="5">
        <v>4</v>
      </c>
      <c r="L15" s="4">
        <f>0.001022+0.001623+0.000384+0.012692+0.037215</f>
      </c>
      <c r="M15" s="4">
        <f>0.001022+0.001623+0.000384+0.012692+0.037215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9</v>
      </c>
      <c r="G16" s="5">
        <v>12</v>
      </c>
      <c r="H16" s="5">
        <v>12</v>
      </c>
      <c r="I16" s="5">
        <v>18</v>
      </c>
      <c r="J16" s="5">
        <v>0</v>
      </c>
      <c r="K16" s="5">
        <v>4</v>
      </c>
      <c r="L16" s="4">
        <f>0.001022+0.001623+0.000384+0.012692+0.048567</f>
      </c>
      <c r="M16" s="4">
        <f>0.001022+0.001623+0.000384+0.012692+0.048567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9</v>
      </c>
      <c r="G17" s="5">
        <v>12</v>
      </c>
      <c r="H17" s="5">
        <v>18</v>
      </c>
      <c r="I17" s="5">
        <v>22</v>
      </c>
      <c r="J17" s="5">
        <v>0</v>
      </c>
      <c r="K17" s="5">
        <v>4</v>
      </c>
      <c r="L17" s="4">
        <f>0.001022+0.001623+0.000384+0.012692+0.037215</f>
      </c>
      <c r="M17" s="4">
        <f>0.001022+0.001623+0.000384+0.012692+0.037215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9</v>
      </c>
      <c r="G18" s="5">
        <v>12</v>
      </c>
      <c r="H18" s="5">
        <v>22</v>
      </c>
      <c r="I18" s="5">
        <v>24</v>
      </c>
      <c r="J18" s="5">
        <v>0</v>
      </c>
      <c r="K18" s="5">
        <v>4</v>
      </c>
      <c r="L18" s="4">
        <f>0.001022+0.001623+0.000384+0.012692+0.024284</f>
      </c>
      <c r="M18" s="4">
        <f>0.001022+0.001623+0.000384+0.012692+0.024284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</v>
      </c>
      <c r="G19" s="5">
        <v>5</v>
      </c>
      <c r="H19" s="5">
        <v>0</v>
      </c>
      <c r="I19" s="5">
        <v>24</v>
      </c>
      <c r="J19" s="5">
        <v>5</v>
      </c>
      <c r="K19" s="5">
        <v>6</v>
      </c>
      <c r="L19" s="4">
        <f>0.001022+0.001623+0.000384+0.012692+0.024284</f>
      </c>
      <c r="M19" s="4">
        <f>0.001022+0.001623+0.000384+0.012692+0.024284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8</v>
      </c>
      <c r="H20" s="5">
        <v>0</v>
      </c>
      <c r="I20" s="5">
        <v>24</v>
      </c>
      <c r="J20" s="5">
        <v>5</v>
      </c>
      <c r="K20" s="5">
        <v>6</v>
      </c>
      <c r="L20" s="4">
        <f>0.001022+0.001623+0.000384+0.012692+0.031373</f>
      </c>
      <c r="M20" s="4">
        <f>0.001022+0.001623+0.000384+0.012692+0.031373</f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9</v>
      </c>
      <c r="G21" s="5">
        <v>12</v>
      </c>
      <c r="H21" s="5">
        <v>0</v>
      </c>
      <c r="I21" s="5">
        <v>24</v>
      </c>
      <c r="J21" s="5">
        <v>5</v>
      </c>
      <c r="K21" s="5">
        <v>6</v>
      </c>
      <c r="L21" s="4">
        <f>0.001022+0.001623+0.000384+0.012692+0.024284</f>
      </c>
      <c r="M21" s="4">
        <f>0.001022+0.001623+0.000384+0.012692+0.024284</f>
      </c>
      <c r="N21" s="1" t="s">
        <v>26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3"/>
      <c r="F22" s="2"/>
      <c r="G22" s="2"/>
      <c r="H22" s="2"/>
      <c r="I22" s="2"/>
      <c r="J22" s="2"/>
      <c r="K22" s="2"/>
      <c r="L22" s="4">
        <v>559.53</v>
      </c>
      <c r="M22" s="4">
        <v>559.53</v>
      </c>
      <c r="N22" s="1" t="s">
        <v>15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24</v>
      </c>
      <c r="J23" s="5">
        <v>0</v>
      </c>
      <c r="K23" s="5">
        <v>6</v>
      </c>
      <c r="L23" s="14">
        <f>0.3865/10.87 + 0.3537</f>
      </c>
      <c r="M23" s="14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f>2000*10.87</f>
      </c>
      <c r="E24" s="4">
        <f>D24*2.83168</f>
      </c>
      <c r="F24" s="5">
        <v>1</v>
      </c>
      <c r="G24" s="5">
        <v>1</v>
      </c>
      <c r="H24" s="5">
        <v>0</v>
      </c>
      <c r="I24" s="5">
        <v>24</v>
      </c>
      <c r="J24" s="5">
        <v>0</v>
      </c>
      <c r="K24" s="5">
        <v>6</v>
      </c>
      <c r="L24" s="14">
        <f>0.237/10.87+0.3537</f>
      </c>
      <c r="M24" s="14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f>13000*10.87+D24</f>
      </c>
      <c r="E25" s="4">
        <f>D25*2.83168</f>
      </c>
      <c r="F25" s="5">
        <v>1</v>
      </c>
      <c r="G25" s="5">
        <v>1</v>
      </c>
      <c r="H25" s="5">
        <v>0</v>
      </c>
      <c r="I25" s="5">
        <v>24</v>
      </c>
      <c r="J25" s="5">
        <v>0</v>
      </c>
      <c r="K25" s="5">
        <v>6</v>
      </c>
      <c r="L25" s="14">
        <f>0.2068/10.87 + 0.3537</f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f>85000*10.87+D25</f>
      </c>
      <c r="E26" s="4">
        <f>D26*2.83168</f>
      </c>
      <c r="F26" s="5">
        <v>1</v>
      </c>
      <c r="G26" s="5">
        <v>1</v>
      </c>
      <c r="H26" s="5">
        <v>0</v>
      </c>
      <c r="I26" s="5">
        <v>24</v>
      </c>
      <c r="J26" s="5">
        <v>0</v>
      </c>
      <c r="K26" s="5">
        <v>6</v>
      </c>
      <c r="L26" s="14">
        <f>0.1635/10.87 + 0.3537</f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2</v>
      </c>
      <c r="G27" s="5">
        <v>2</v>
      </c>
      <c r="H27" s="5">
        <v>0</v>
      </c>
      <c r="I27" s="5">
        <v>24</v>
      </c>
      <c r="J27" s="5">
        <v>0</v>
      </c>
      <c r="K27" s="5">
        <v>6</v>
      </c>
      <c r="L27" s="14">
        <f>0.3865/10.87 + 0.383</f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f>2000*10.87</f>
      </c>
      <c r="E28" s="4">
        <f>D28*2.83168</f>
      </c>
      <c r="F28" s="5">
        <v>2</v>
      </c>
      <c r="G28" s="5">
        <v>2</v>
      </c>
      <c r="H28" s="5">
        <v>0</v>
      </c>
      <c r="I28" s="5">
        <v>24</v>
      </c>
      <c r="J28" s="5">
        <v>0</v>
      </c>
      <c r="K28" s="5">
        <v>6</v>
      </c>
      <c r="L28" s="14">
        <f>0.237/10.87 + 0.383</f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f>13000*10.87+D28</f>
      </c>
      <c r="E29" s="4">
        <f>D29*2.83168</f>
      </c>
      <c r="F29" s="5">
        <v>2</v>
      </c>
      <c r="G29" s="5">
        <v>2</v>
      </c>
      <c r="H29" s="5">
        <v>0</v>
      </c>
      <c r="I29" s="5">
        <v>24</v>
      </c>
      <c r="J29" s="5">
        <v>0</v>
      </c>
      <c r="K29" s="5">
        <v>6</v>
      </c>
      <c r="L29" s="14">
        <f>0.2068/10.87 + 0.383</f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f>85000*10.87+D29</f>
      </c>
      <c r="E30" s="4">
        <f>D30*2.83168</f>
      </c>
      <c r="F30" s="5">
        <v>2</v>
      </c>
      <c r="G30" s="5">
        <v>2</v>
      </c>
      <c r="H30" s="5">
        <v>0</v>
      </c>
      <c r="I30" s="5">
        <v>24</v>
      </c>
      <c r="J30" s="5">
        <v>0</v>
      </c>
      <c r="K30" s="5">
        <v>6</v>
      </c>
      <c r="L30" s="14">
        <f>0.1635/10.87 + 0.383</f>
      </c>
      <c r="M30" s="14">
        <f>L30/2.83168</f>
      </c>
      <c r="N30" s="1" t="s">
        <v>36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v>0</v>
      </c>
      <c r="E31" s="5">
        <v>0</v>
      </c>
      <c r="F31" s="5">
        <v>3</v>
      </c>
      <c r="G31" s="5">
        <v>3</v>
      </c>
      <c r="H31" s="5">
        <v>0</v>
      </c>
      <c r="I31" s="5">
        <v>24</v>
      </c>
      <c r="J31" s="5">
        <v>0</v>
      </c>
      <c r="K31" s="5">
        <v>6</v>
      </c>
      <c r="L31" s="14">
        <f>0.3865/10.87 + 0.3924</f>
      </c>
      <c r="M31" s="14">
        <f>L31/2.83168</f>
      </c>
      <c r="N31" s="1" t="s">
        <v>36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f>2000*10.87</f>
      </c>
      <c r="E32" s="4">
        <f>D32*2.83168</f>
      </c>
      <c r="F32" s="5">
        <v>3</v>
      </c>
      <c r="G32" s="5">
        <v>3</v>
      </c>
      <c r="H32" s="5">
        <v>0</v>
      </c>
      <c r="I32" s="5">
        <v>24</v>
      </c>
      <c r="J32" s="5">
        <v>0</v>
      </c>
      <c r="K32" s="5">
        <v>6</v>
      </c>
      <c r="L32" s="14">
        <f>0.237/10.87 + 0.3924</f>
      </c>
      <c r="M32" s="14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f>13000*10.87+D32</f>
      </c>
      <c r="E33" s="4">
        <f>D33*2.83168</f>
      </c>
      <c r="F33" s="5">
        <v>3</v>
      </c>
      <c r="G33" s="5">
        <v>3</v>
      </c>
      <c r="H33" s="5">
        <v>0</v>
      </c>
      <c r="I33" s="5">
        <v>24</v>
      </c>
      <c r="J33" s="5">
        <v>0</v>
      </c>
      <c r="K33" s="5">
        <v>6</v>
      </c>
      <c r="L33" s="14">
        <f>0.2068/10.87 + 0.3924</f>
      </c>
      <c r="M33" s="14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f>85000*10.87+D33</f>
      </c>
      <c r="E34" s="4">
        <f>D34*2.83168</f>
      </c>
      <c r="F34" s="5">
        <v>3</v>
      </c>
      <c r="G34" s="5">
        <v>3</v>
      </c>
      <c r="H34" s="5">
        <v>0</v>
      </c>
      <c r="I34" s="5">
        <v>24</v>
      </c>
      <c r="J34" s="5">
        <v>0</v>
      </c>
      <c r="K34" s="5">
        <v>6</v>
      </c>
      <c r="L34" s="14">
        <f>0.1635/10.87 + 0.3924</f>
      </c>
      <c r="M34" s="14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v>0</v>
      </c>
      <c r="E35" s="5">
        <v>0</v>
      </c>
      <c r="F35" s="5">
        <v>4</v>
      </c>
      <c r="G35" s="5">
        <v>4</v>
      </c>
      <c r="H35" s="5">
        <v>0</v>
      </c>
      <c r="I35" s="5">
        <v>24</v>
      </c>
      <c r="J35" s="5">
        <v>0</v>
      </c>
      <c r="K35" s="5">
        <v>6</v>
      </c>
      <c r="L35" s="14">
        <f>0.3865/10.87 + 0.4286</f>
      </c>
      <c r="M35" s="14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f>2000*10.87</f>
      </c>
      <c r="E36" s="4">
        <f>D36*2.83168</f>
      </c>
      <c r="F36" s="5">
        <v>4</v>
      </c>
      <c r="G36" s="5">
        <v>4</v>
      </c>
      <c r="H36" s="5">
        <v>0</v>
      </c>
      <c r="I36" s="5">
        <v>24</v>
      </c>
      <c r="J36" s="5">
        <v>0</v>
      </c>
      <c r="K36" s="5">
        <v>6</v>
      </c>
      <c r="L36" s="14">
        <f>0.237/10.87 + 0.4286</f>
      </c>
      <c r="M36" s="14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f>13000*10.87+D36</f>
      </c>
      <c r="E37" s="4">
        <f>D37*2.83168</f>
      </c>
      <c r="F37" s="5">
        <v>4</v>
      </c>
      <c r="G37" s="5">
        <v>4</v>
      </c>
      <c r="H37" s="5">
        <v>0</v>
      </c>
      <c r="I37" s="5">
        <v>24</v>
      </c>
      <c r="J37" s="5">
        <v>0</v>
      </c>
      <c r="K37" s="5">
        <v>6</v>
      </c>
      <c r="L37" s="14">
        <f>0.2068/10.87 +0.4286</f>
      </c>
      <c r="M37" s="14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f>85000*10.87+D37</f>
      </c>
      <c r="E38" s="4">
        <f>D38*2.83168</f>
      </c>
      <c r="F38" s="5">
        <v>4</v>
      </c>
      <c r="G38" s="5">
        <v>4</v>
      </c>
      <c r="H38" s="5">
        <v>0</v>
      </c>
      <c r="I38" s="5">
        <v>24</v>
      </c>
      <c r="J38" s="5">
        <v>0</v>
      </c>
      <c r="K38" s="5">
        <v>6</v>
      </c>
      <c r="L38" s="14">
        <f>0.1635/10.87 + 0.4286</f>
      </c>
      <c r="M38" s="14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v>0</v>
      </c>
      <c r="E39" s="5">
        <v>0</v>
      </c>
      <c r="F39" s="5">
        <v>5</v>
      </c>
      <c r="G39" s="5">
        <v>5</v>
      </c>
      <c r="H39" s="5">
        <v>0</v>
      </c>
      <c r="I39" s="5">
        <v>24</v>
      </c>
      <c r="J39" s="5">
        <v>0</v>
      </c>
      <c r="K39" s="5">
        <v>6</v>
      </c>
      <c r="L39" s="14">
        <f>0.3865/10.87 +0.4625</f>
      </c>
      <c r="M39" s="14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f>2000*10.87</f>
      </c>
      <c r="E40" s="4">
        <f>D40*2.83168</f>
      </c>
      <c r="F40" s="5">
        <v>5</v>
      </c>
      <c r="G40" s="5">
        <v>5</v>
      </c>
      <c r="H40" s="5">
        <v>0</v>
      </c>
      <c r="I40" s="5">
        <v>24</v>
      </c>
      <c r="J40" s="5">
        <v>0</v>
      </c>
      <c r="K40" s="5">
        <v>6</v>
      </c>
      <c r="L40" s="14">
        <f>0.237/10.87 +0.4625</f>
      </c>
      <c r="M40" s="14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f>13000*10.87+D40</f>
      </c>
      <c r="E41" s="4">
        <f>D41*2.83168</f>
      </c>
      <c r="F41" s="5">
        <v>5</v>
      </c>
      <c r="G41" s="5">
        <v>5</v>
      </c>
      <c r="H41" s="5">
        <v>0</v>
      </c>
      <c r="I41" s="5">
        <v>24</v>
      </c>
      <c r="J41" s="5">
        <v>0</v>
      </c>
      <c r="K41" s="5">
        <v>6</v>
      </c>
      <c r="L41" s="14">
        <f>0.2068/10.87 + 0.4625</f>
      </c>
      <c r="M41" s="14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f>85000*10.87+D41</f>
      </c>
      <c r="E42" s="4">
        <f>D42*2.83168</f>
      </c>
      <c r="F42" s="5">
        <v>5</v>
      </c>
      <c r="G42" s="5">
        <v>5</v>
      </c>
      <c r="H42" s="5">
        <v>0</v>
      </c>
      <c r="I42" s="5">
        <v>24</v>
      </c>
      <c r="J42" s="5">
        <v>0</v>
      </c>
      <c r="K42" s="5">
        <v>6</v>
      </c>
      <c r="L42" s="14">
        <f>0.1635/10.87 + 0.4625</f>
      </c>
      <c r="M42" s="14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v>0</v>
      </c>
      <c r="E43" s="5">
        <v>0</v>
      </c>
      <c r="F43" s="5">
        <v>6</v>
      </c>
      <c r="G43" s="5">
        <v>6</v>
      </c>
      <c r="H43" s="5">
        <v>0</v>
      </c>
      <c r="I43" s="5">
        <v>24</v>
      </c>
      <c r="J43" s="5">
        <v>0</v>
      </c>
      <c r="K43" s="5">
        <v>6</v>
      </c>
      <c r="L43" s="14">
        <f>0.3865/10.87 + 0.4684</f>
      </c>
      <c r="M43" s="14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f>2000*10.87</f>
      </c>
      <c r="E44" s="4">
        <f>D44*2.83168</f>
      </c>
      <c r="F44" s="5">
        <v>6</v>
      </c>
      <c r="G44" s="5">
        <v>6</v>
      </c>
      <c r="H44" s="5">
        <v>0</v>
      </c>
      <c r="I44" s="5">
        <v>24</v>
      </c>
      <c r="J44" s="5">
        <v>0</v>
      </c>
      <c r="K44" s="5">
        <v>6</v>
      </c>
      <c r="L44" s="14">
        <f>0.237/10.87 + 0.4684</f>
      </c>
      <c r="M44" s="14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f>13000*10.87+D44</f>
      </c>
      <c r="E45" s="4">
        <f>D45*2.83168</f>
      </c>
      <c r="F45" s="5">
        <v>6</v>
      </c>
      <c r="G45" s="5">
        <v>6</v>
      </c>
      <c r="H45" s="5">
        <v>0</v>
      </c>
      <c r="I45" s="5">
        <v>24</v>
      </c>
      <c r="J45" s="5">
        <v>0</v>
      </c>
      <c r="K45" s="5">
        <v>6</v>
      </c>
      <c r="L45" s="14">
        <f>0.2068/10.87 + 0.4684</f>
      </c>
      <c r="M45" s="14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f>85000*10.87+D45</f>
      </c>
      <c r="E46" s="4">
        <f>D46*2.83168</f>
      </c>
      <c r="F46" s="5">
        <v>6</v>
      </c>
      <c r="G46" s="5">
        <v>6</v>
      </c>
      <c r="H46" s="5">
        <v>0</v>
      </c>
      <c r="I46" s="5">
        <v>24</v>
      </c>
      <c r="J46" s="5">
        <v>0</v>
      </c>
      <c r="K46" s="5">
        <v>6</v>
      </c>
      <c r="L46" s="14">
        <f>0.1635/10.87 + 0.4684</f>
      </c>
      <c r="M46" s="14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7</v>
      </c>
      <c r="G47" s="5">
        <v>7</v>
      </c>
      <c r="H47" s="5">
        <v>0</v>
      </c>
      <c r="I47" s="5">
        <v>24</v>
      </c>
      <c r="J47" s="5">
        <v>0</v>
      </c>
      <c r="K47" s="5">
        <v>6</v>
      </c>
      <c r="L47" s="14">
        <f>0.3865/10.87 + 0.5377</f>
      </c>
      <c r="M47" s="14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f>2000*10.87</f>
      </c>
      <c r="E48" s="4">
        <f>D48*2.83168</f>
      </c>
      <c r="F48" s="5">
        <v>7</v>
      </c>
      <c r="G48" s="5">
        <v>7</v>
      </c>
      <c r="H48" s="5">
        <v>0</v>
      </c>
      <c r="I48" s="5">
        <v>24</v>
      </c>
      <c r="J48" s="5">
        <v>0</v>
      </c>
      <c r="K48" s="5">
        <v>6</v>
      </c>
      <c r="L48" s="14">
        <f>0.237/10.87 + 0.5377</f>
      </c>
      <c r="M48" s="14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f>13000*10.87+D48</f>
      </c>
      <c r="E49" s="4">
        <f>D49*2.83168</f>
      </c>
      <c r="F49" s="5">
        <v>7</v>
      </c>
      <c r="G49" s="5">
        <v>7</v>
      </c>
      <c r="H49" s="5">
        <v>0</v>
      </c>
      <c r="I49" s="5">
        <v>24</v>
      </c>
      <c r="J49" s="5">
        <v>0</v>
      </c>
      <c r="K49" s="5">
        <v>6</v>
      </c>
      <c r="L49" s="14">
        <f>0.2068/10.87 + 0.5377</f>
      </c>
      <c r="M49" s="14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f>85000*10.87+D49</f>
      </c>
      <c r="E50" s="4">
        <f>D50*2.83168</f>
      </c>
      <c r="F50" s="5">
        <v>7</v>
      </c>
      <c r="G50" s="5">
        <v>7</v>
      </c>
      <c r="H50" s="5">
        <v>0</v>
      </c>
      <c r="I50" s="5">
        <v>24</v>
      </c>
      <c r="J50" s="5">
        <v>0</v>
      </c>
      <c r="K50" s="5">
        <v>6</v>
      </c>
      <c r="L50" s="14">
        <f>0.1635/10.87 + 0.5377</f>
      </c>
      <c r="M50" s="14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0</v>
      </c>
      <c r="E51" s="5">
        <v>0</v>
      </c>
      <c r="F51" s="5">
        <v>8</v>
      </c>
      <c r="G51" s="5">
        <v>8</v>
      </c>
      <c r="H51" s="5">
        <v>0</v>
      </c>
      <c r="I51" s="5">
        <v>24</v>
      </c>
      <c r="J51" s="5">
        <v>0</v>
      </c>
      <c r="K51" s="5">
        <v>6</v>
      </c>
      <c r="L51" s="14">
        <f>0.3865/10.87 + 0.54871</f>
      </c>
      <c r="M51" s="14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f>2000*10.87</f>
      </c>
      <c r="E52" s="4">
        <f>D52*2.83168</f>
      </c>
      <c r="F52" s="5">
        <v>8</v>
      </c>
      <c r="G52" s="5">
        <v>8</v>
      </c>
      <c r="H52" s="5">
        <v>0</v>
      </c>
      <c r="I52" s="5">
        <v>24</v>
      </c>
      <c r="J52" s="5">
        <v>0</v>
      </c>
      <c r="K52" s="5">
        <v>6</v>
      </c>
      <c r="L52" s="14">
        <f>0.237/10.87 + 0.54871</f>
      </c>
      <c r="M52" s="14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f>13000*10.87+D52</f>
      </c>
      <c r="E53" s="4">
        <f>D53*2.83168</f>
      </c>
      <c r="F53" s="5">
        <v>8</v>
      </c>
      <c r="G53" s="5">
        <v>8</v>
      </c>
      <c r="H53" s="5">
        <v>0</v>
      </c>
      <c r="I53" s="5">
        <v>24</v>
      </c>
      <c r="J53" s="5">
        <v>0</v>
      </c>
      <c r="K53" s="5">
        <v>6</v>
      </c>
      <c r="L53" s="14">
        <f>0.2068/10.87+0.54871</f>
      </c>
      <c r="M53" s="14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f>85000*10.87+D53</f>
      </c>
      <c r="E54" s="4">
        <f>D54*2.83168</f>
      </c>
      <c r="F54" s="5">
        <v>8</v>
      </c>
      <c r="G54" s="5">
        <v>8</v>
      </c>
      <c r="H54" s="5">
        <v>0</v>
      </c>
      <c r="I54" s="5">
        <v>24</v>
      </c>
      <c r="J54" s="5">
        <v>0</v>
      </c>
      <c r="K54" s="5">
        <v>6</v>
      </c>
      <c r="L54" s="14">
        <f>0.1635/10.87 + 0.54871</f>
      </c>
      <c r="M54" s="14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9</v>
      </c>
      <c r="G55" s="5">
        <v>9</v>
      </c>
      <c r="H55" s="5">
        <v>0</v>
      </c>
      <c r="I55" s="5">
        <v>24</v>
      </c>
      <c r="J55" s="5">
        <v>0</v>
      </c>
      <c r="K55" s="5">
        <v>6</v>
      </c>
      <c r="L55" s="14">
        <f>0.3865/10.87+ 0.607</f>
      </c>
      <c r="M55" s="14">
        <f>L55/2.83168</f>
      </c>
      <c r="N55" s="1" t="s">
        <v>36</v>
      </c>
      <c r="O55" s="1"/>
    </row>
    <row x14ac:dyDescent="0.25" r="56" customHeight="1" ht="17.25">
      <c r="A56" s="1" t="s">
        <v>34</v>
      </c>
      <c r="B56" s="1" t="s">
        <v>25</v>
      </c>
      <c r="C56" s="1"/>
      <c r="D56" s="5">
        <f>2000*10.87</f>
      </c>
      <c r="E56" s="4">
        <f>D56*2.83168</f>
      </c>
      <c r="F56" s="5">
        <v>9</v>
      </c>
      <c r="G56" s="5">
        <v>9</v>
      </c>
      <c r="H56" s="5">
        <v>0</v>
      </c>
      <c r="I56" s="5">
        <v>24</v>
      </c>
      <c r="J56" s="5">
        <v>0</v>
      </c>
      <c r="K56" s="5">
        <v>6</v>
      </c>
      <c r="L56" s="14">
        <f>0.237/10.87 + 0.607</f>
      </c>
      <c r="M56" s="14">
        <f>L56/2.83168</f>
      </c>
      <c r="N56" s="1" t="s">
        <v>36</v>
      </c>
      <c r="O56" s="1"/>
    </row>
    <row x14ac:dyDescent="0.25" r="57" customHeight="1" ht="17.25">
      <c r="A57" s="1" t="s">
        <v>34</v>
      </c>
      <c r="B57" s="1" t="s">
        <v>25</v>
      </c>
      <c r="C57" s="1"/>
      <c r="D57" s="5">
        <f>13000*10.87+D56</f>
      </c>
      <c r="E57" s="4">
        <f>D57*2.83168</f>
      </c>
      <c r="F57" s="5">
        <v>9</v>
      </c>
      <c r="G57" s="5">
        <v>9</v>
      </c>
      <c r="H57" s="5">
        <v>0</v>
      </c>
      <c r="I57" s="5">
        <v>24</v>
      </c>
      <c r="J57" s="5">
        <v>0</v>
      </c>
      <c r="K57" s="5">
        <v>6</v>
      </c>
      <c r="L57" s="14">
        <f>0.2068/10.87 + 0.607</f>
      </c>
      <c r="M57" s="14">
        <f>L57/2.83168</f>
      </c>
      <c r="N57" s="1" t="s">
        <v>36</v>
      </c>
      <c r="O57" s="1"/>
    </row>
    <row x14ac:dyDescent="0.25" r="58" customHeight="1" ht="17.25">
      <c r="A58" s="1" t="s">
        <v>34</v>
      </c>
      <c r="B58" s="1" t="s">
        <v>25</v>
      </c>
      <c r="C58" s="1"/>
      <c r="D58" s="5">
        <f>85000*10.87+D57</f>
      </c>
      <c r="E58" s="4">
        <f>D58*2.83168</f>
      </c>
      <c r="F58" s="5">
        <v>9</v>
      </c>
      <c r="G58" s="5">
        <v>9</v>
      </c>
      <c r="H58" s="5">
        <v>0</v>
      </c>
      <c r="I58" s="5">
        <v>24</v>
      </c>
      <c r="J58" s="5">
        <v>0</v>
      </c>
      <c r="K58" s="5">
        <v>6</v>
      </c>
      <c r="L58" s="14">
        <f>0.1635/10.87 + 0.607</f>
      </c>
      <c r="M58" s="14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10</v>
      </c>
      <c r="G59" s="5">
        <v>10</v>
      </c>
      <c r="H59" s="5">
        <v>0</v>
      </c>
      <c r="I59" s="5">
        <v>24</v>
      </c>
      <c r="J59" s="5">
        <v>0</v>
      </c>
      <c r="K59" s="5">
        <v>6</v>
      </c>
      <c r="L59" s="14">
        <f>0.3865/10.87 + 0.7541</f>
      </c>
      <c r="M59" s="14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f>2000*10.87</f>
      </c>
      <c r="E60" s="4">
        <f>D60*2.83168</f>
      </c>
      <c r="F60" s="5">
        <v>10</v>
      </c>
      <c r="G60" s="5">
        <v>10</v>
      </c>
      <c r="H60" s="5">
        <v>0</v>
      </c>
      <c r="I60" s="5">
        <v>24</v>
      </c>
      <c r="J60" s="5">
        <v>0</v>
      </c>
      <c r="K60" s="5">
        <v>6</v>
      </c>
      <c r="L60" s="14">
        <f>0.237/10.87 + 0.7541</f>
      </c>
      <c r="M60" s="14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f>13000*10.87+D60</f>
      </c>
      <c r="E61" s="4">
        <f>D61*2.83168</f>
      </c>
      <c r="F61" s="5">
        <v>10</v>
      </c>
      <c r="G61" s="5">
        <v>10</v>
      </c>
      <c r="H61" s="5">
        <v>0</v>
      </c>
      <c r="I61" s="5">
        <v>24</v>
      </c>
      <c r="J61" s="5">
        <v>0</v>
      </c>
      <c r="K61" s="5">
        <v>6</v>
      </c>
      <c r="L61" s="14">
        <f>0.2068/10.87+ 0.7541</f>
      </c>
      <c r="M61" s="14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f>85000*10.87+D61</f>
      </c>
      <c r="E62" s="4">
        <f>D62*2.83168</f>
      </c>
      <c r="F62" s="5">
        <v>10</v>
      </c>
      <c r="G62" s="5">
        <v>10</v>
      </c>
      <c r="H62" s="5">
        <v>0</v>
      </c>
      <c r="I62" s="5">
        <v>24</v>
      </c>
      <c r="J62" s="5">
        <v>0</v>
      </c>
      <c r="K62" s="5">
        <v>6</v>
      </c>
      <c r="L62" s="14">
        <f>0.1635/10.87 + 0.7541</f>
      </c>
      <c r="M62" s="14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11</v>
      </c>
      <c r="G63" s="5">
        <v>11</v>
      </c>
      <c r="H63" s="5">
        <v>0</v>
      </c>
      <c r="I63" s="5">
        <v>24</v>
      </c>
      <c r="J63" s="5">
        <v>0</v>
      </c>
      <c r="K63" s="5">
        <v>6</v>
      </c>
      <c r="L63" s="14">
        <f>0.3865/10.87 + 0.7902</f>
      </c>
      <c r="M63" s="14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f>2000*10.87</f>
      </c>
      <c r="E64" s="4">
        <f>D64*2.83168</f>
      </c>
      <c r="F64" s="5">
        <v>11</v>
      </c>
      <c r="G64" s="5">
        <v>11</v>
      </c>
      <c r="H64" s="5">
        <v>0</v>
      </c>
      <c r="I64" s="5">
        <v>24</v>
      </c>
      <c r="J64" s="5">
        <v>0</v>
      </c>
      <c r="K64" s="5">
        <v>6</v>
      </c>
      <c r="L64" s="14">
        <f>0.237/10.87 + 0.7902</f>
      </c>
      <c r="M64" s="14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f>13000*10.87+D64</f>
      </c>
      <c r="E65" s="4">
        <f>D65*2.83168</f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14">
        <f>0.2068/10.87 + 0.7902</f>
      </c>
      <c r="M65" s="14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f>85000*10.87+D65</f>
      </c>
      <c r="E66" s="4">
        <f>D66*2.83168</f>
      </c>
      <c r="F66" s="5">
        <v>11</v>
      </c>
      <c r="G66" s="5">
        <v>11</v>
      </c>
      <c r="H66" s="5">
        <v>0</v>
      </c>
      <c r="I66" s="5">
        <v>24</v>
      </c>
      <c r="J66" s="5">
        <v>0</v>
      </c>
      <c r="K66" s="5">
        <v>6</v>
      </c>
      <c r="L66" s="14">
        <f>0.1635/10.87 + 0.7902</f>
      </c>
      <c r="M66" s="14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12</v>
      </c>
      <c r="G67" s="5">
        <v>12</v>
      </c>
      <c r="H67" s="5">
        <v>0</v>
      </c>
      <c r="I67" s="5">
        <v>24</v>
      </c>
      <c r="J67" s="5">
        <v>0</v>
      </c>
      <c r="K67" s="5">
        <v>6</v>
      </c>
      <c r="L67" s="14">
        <f>0.3865/10.87 + 0.7147</f>
      </c>
      <c r="M67" s="14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f>2000*10.87</f>
      </c>
      <c r="E68" s="4">
        <f>D68*2.83168</f>
      </c>
      <c r="F68" s="5">
        <v>12</v>
      </c>
      <c r="G68" s="5">
        <v>12</v>
      </c>
      <c r="H68" s="5">
        <v>0</v>
      </c>
      <c r="I68" s="5">
        <v>24</v>
      </c>
      <c r="J68" s="5">
        <v>0</v>
      </c>
      <c r="K68" s="5">
        <v>6</v>
      </c>
      <c r="L68" s="14">
        <f>0.237/10.87  + 0.7147</f>
      </c>
      <c r="M68" s="14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f>13000*10.87+D68</f>
      </c>
      <c r="E69" s="4">
        <f>D69*2.83168</f>
      </c>
      <c r="F69" s="5">
        <v>12</v>
      </c>
      <c r="G69" s="5">
        <v>12</v>
      </c>
      <c r="H69" s="5">
        <v>0</v>
      </c>
      <c r="I69" s="5">
        <v>24</v>
      </c>
      <c r="J69" s="5">
        <v>0</v>
      </c>
      <c r="K69" s="5">
        <v>6</v>
      </c>
      <c r="L69" s="14">
        <f>0.2068/10.87  + 0.7147</f>
      </c>
      <c r="M69" s="14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f>85000*10.87+D69</f>
      </c>
      <c r="E70" s="4">
        <f>D70*2.83168</f>
      </c>
      <c r="F70" s="5">
        <v>12</v>
      </c>
      <c r="G70" s="5">
        <v>12</v>
      </c>
      <c r="H70" s="5">
        <v>0</v>
      </c>
      <c r="I70" s="5">
        <v>24</v>
      </c>
      <c r="J70" s="5">
        <v>0</v>
      </c>
      <c r="K70" s="5">
        <v>6</v>
      </c>
      <c r="L70" s="14">
        <f>0.1635/10.87  + 0.7147</f>
      </c>
      <c r="M70" s="14">
        <f>L70/2.83168</f>
      </c>
      <c r="N70" s="1" t="s">
        <v>36</v>
      </c>
      <c r="O70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349+0.93</f>
      </c>
      <c r="M2" s="4">
        <f>349+0.93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4">
        <v>0.035741</v>
      </c>
      <c r="M3" s="4">
        <v>0.035741</v>
      </c>
      <c r="N3" s="1" t="s">
        <v>26</v>
      </c>
      <c r="O3" s="1" t="s">
        <v>100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4">
        <v>0.025127</v>
      </c>
      <c r="M4" s="4">
        <v>0.025127</v>
      </c>
      <c r="N4" s="1" t="s">
        <v>26</v>
      </c>
      <c r="O4" s="1" t="s">
        <v>100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4">
        <v>0.029666</v>
      </c>
      <c r="M5" s="4">
        <v>0.029666</v>
      </c>
      <c r="N5" s="1" t="s">
        <v>26</v>
      </c>
      <c r="O5" s="1" t="s">
        <v>100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4">
        <v>0.032384</v>
      </c>
      <c r="M6" s="4">
        <v>0.032384</v>
      </c>
      <c r="N6" s="1" t="s">
        <v>26</v>
      </c>
      <c r="O6" s="1" t="s">
        <v>100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4">
        <v>0.049126</v>
      </c>
      <c r="M7" s="4">
        <v>0.049126</v>
      </c>
      <c r="N7" s="1" t="s">
        <v>26</v>
      </c>
      <c r="O7" s="1" t="s">
        <v>100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4">
        <v>0.023806</v>
      </c>
      <c r="M8" s="4">
        <v>0.023806</v>
      </c>
      <c r="N8" s="1" t="s">
        <v>26</v>
      </c>
      <c r="O8" s="1" t="s">
        <v>100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4">
        <v>0.020728</v>
      </c>
      <c r="M9" s="4">
        <v>0.020728</v>
      </c>
      <c r="N9" s="1" t="s">
        <v>26</v>
      </c>
      <c r="O9" s="1" t="s">
        <v>100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4">
        <v>0.050803</v>
      </c>
      <c r="M10" s="4">
        <v>0.050803</v>
      </c>
      <c r="N10" s="1" t="s">
        <v>26</v>
      </c>
      <c r="O10" s="1" t="s">
        <v>100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v>0.053536</v>
      </c>
      <c r="M11" s="4">
        <v>0.053536</v>
      </c>
      <c r="N11" s="1" t="s">
        <v>26</v>
      </c>
      <c r="O11" s="1" t="s">
        <v>100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v>0.058411</v>
      </c>
      <c r="M12" s="4">
        <v>0.058411</v>
      </c>
      <c r="N12" s="1" t="s">
        <v>26</v>
      </c>
      <c r="O12" s="1" t="s">
        <v>100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4">
        <v>0.068364</v>
      </c>
      <c r="M13" s="4">
        <v>0.068364</v>
      </c>
      <c r="N13" s="1" t="s">
        <v>26</v>
      </c>
      <c r="O13" s="1" t="s">
        <v>100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4">
        <v>0.064587</v>
      </c>
      <c r="M14" s="4">
        <v>0.064587</v>
      </c>
      <c r="N14" s="1" t="s">
        <v>26</v>
      </c>
      <c r="O14" s="1" t="s">
        <v>100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17.65-0.6</f>
      </c>
      <c r="M15" s="4">
        <f>17.65-0.6</f>
      </c>
      <c r="N15" s="1" t="s">
        <v>19</v>
      </c>
      <c r="O15" s="1" t="s">
        <v>101</v>
      </c>
    </row>
    <row x14ac:dyDescent="0.25" r="16" customHeight="1" ht="17.25">
      <c r="A16" s="1" t="s">
        <v>34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4</v>
      </c>
      <c r="H16" s="5">
        <v>0</v>
      </c>
      <c r="I16" s="5">
        <v>24</v>
      </c>
      <c r="J16" s="5">
        <v>0</v>
      </c>
      <c r="K16" s="5">
        <v>6</v>
      </c>
      <c r="L16" s="4">
        <f>0.418101+16.3</f>
      </c>
      <c r="M16" s="25">
        <f>L16/2.83168</f>
      </c>
      <c r="N16" s="1" t="s">
        <v>36</v>
      </c>
      <c r="O16" s="1" t="s">
        <v>102</v>
      </c>
    </row>
    <row x14ac:dyDescent="0.25" r="17" customHeight="1" ht="17.25">
      <c r="A17" s="1" t="s">
        <v>34</v>
      </c>
      <c r="B17" s="1" t="s">
        <v>25</v>
      </c>
      <c r="C17" s="1"/>
      <c r="D17" s="5">
        <v>3</v>
      </c>
      <c r="E17" s="19">
        <f>3*2.83168</f>
      </c>
      <c r="F17" s="5">
        <v>1</v>
      </c>
      <c r="G17" s="5">
        <v>4</v>
      </c>
      <c r="H17" s="5">
        <v>0</v>
      </c>
      <c r="I17" s="5">
        <v>24</v>
      </c>
      <c r="J17" s="5">
        <v>0</v>
      </c>
      <c r="K17" s="5">
        <v>6</v>
      </c>
      <c r="L17" s="4">
        <f>0.28682+0.418101</f>
      </c>
      <c r="M17" s="25">
        <f>L17/2.83168</f>
      </c>
      <c r="N17" s="1" t="s">
        <v>36</v>
      </c>
      <c r="O17" s="1" t="s">
        <v>102</v>
      </c>
    </row>
    <row x14ac:dyDescent="0.25" r="18" customHeight="1" ht="17.25">
      <c r="A18" s="1" t="s">
        <v>34</v>
      </c>
      <c r="B18" s="1" t="s">
        <v>25</v>
      </c>
      <c r="C18" s="1"/>
      <c r="D18" s="5">
        <v>100</v>
      </c>
      <c r="E18" s="4">
        <f>D18*2.83168</f>
      </c>
      <c r="F18" s="5">
        <v>1</v>
      </c>
      <c r="G18" s="5">
        <v>4</v>
      </c>
      <c r="H18" s="5">
        <v>0</v>
      </c>
      <c r="I18" s="5">
        <v>24</v>
      </c>
      <c r="J18" s="5">
        <v>0</v>
      </c>
      <c r="K18" s="5">
        <v>6</v>
      </c>
      <c r="L18" s="4">
        <f>0.26736+0.418101</f>
      </c>
      <c r="M18" s="25">
        <f>L18/2.83168</f>
      </c>
      <c r="N18" s="1" t="s">
        <v>36</v>
      </c>
      <c r="O18" s="1" t="s">
        <v>102</v>
      </c>
    </row>
    <row x14ac:dyDescent="0.25" r="19" customHeight="1" ht="17.25">
      <c r="A19" s="1" t="s">
        <v>34</v>
      </c>
      <c r="B19" s="1" t="s">
        <v>25</v>
      </c>
      <c r="C19" s="1"/>
      <c r="D19" s="5">
        <v>500</v>
      </c>
      <c r="E19" s="4">
        <f>D19*2.83168</f>
      </c>
      <c r="F19" s="5">
        <v>1</v>
      </c>
      <c r="G19" s="5">
        <v>4</v>
      </c>
      <c r="H19" s="5">
        <v>0</v>
      </c>
      <c r="I19" s="5">
        <v>24</v>
      </c>
      <c r="J19" s="5">
        <v>0</v>
      </c>
      <c r="K19" s="5">
        <v>6</v>
      </c>
      <c r="L19" s="4">
        <f>0.23832+0.418101</f>
      </c>
      <c r="M19" s="25">
        <f>L19/2.83168</f>
      </c>
      <c r="N19" s="1" t="s">
        <v>36</v>
      </c>
      <c r="O19" s="1" t="s">
        <v>102</v>
      </c>
    </row>
    <row x14ac:dyDescent="0.25" r="20" customHeight="1" ht="17.25">
      <c r="A20" s="1" t="s">
        <v>34</v>
      </c>
      <c r="B20" s="1" t="s">
        <v>25</v>
      </c>
      <c r="C20" s="1"/>
      <c r="D20" s="5">
        <v>1000</v>
      </c>
      <c r="E20" s="4">
        <f>D20*2.83168</f>
      </c>
      <c r="F20" s="5">
        <v>1</v>
      </c>
      <c r="G20" s="5">
        <v>4</v>
      </c>
      <c r="H20" s="5">
        <v>0</v>
      </c>
      <c r="I20" s="5">
        <v>24</v>
      </c>
      <c r="J20" s="5">
        <v>0</v>
      </c>
      <c r="K20" s="5">
        <v>6</v>
      </c>
      <c r="L20" s="4">
        <f>0.10149+0.418101</f>
      </c>
      <c r="M20" s="25">
        <f>L20/2.83168</f>
      </c>
      <c r="N20" s="1" t="s">
        <v>36</v>
      </c>
      <c r="O20" s="1" t="s">
        <v>102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f>D21*2.83168</f>
      </c>
      <c r="F21" s="5">
        <v>5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0.418101+17.3</f>
      </c>
      <c r="M21" s="25">
        <f>L21/2.83168</f>
      </c>
      <c r="N21" s="1" t="s">
        <v>36</v>
      </c>
      <c r="O21" s="1" t="s">
        <v>102</v>
      </c>
    </row>
    <row x14ac:dyDescent="0.25" r="22" customHeight="1" ht="17.25">
      <c r="A22" s="1" t="s">
        <v>34</v>
      </c>
      <c r="B22" s="1" t="s">
        <v>25</v>
      </c>
      <c r="C22" s="1"/>
      <c r="D22" s="5">
        <v>3</v>
      </c>
      <c r="E22" s="19">
        <f>D22*2.83168</f>
      </c>
      <c r="F22" s="5">
        <v>5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0.27644+0.418101</f>
      </c>
      <c r="M22" s="25">
        <f>L22/2.83168</f>
      </c>
      <c r="N22" s="1" t="s">
        <v>36</v>
      </c>
      <c r="O22" s="1" t="s">
        <v>102</v>
      </c>
    </row>
    <row x14ac:dyDescent="0.25" r="23" customHeight="1" ht="17.25">
      <c r="A23" s="1" t="s">
        <v>34</v>
      </c>
      <c r="B23" s="1" t="s">
        <v>25</v>
      </c>
      <c r="C23" s="1"/>
      <c r="D23" s="5">
        <v>100</v>
      </c>
      <c r="E23" s="4">
        <f>D23*2.83168</f>
      </c>
      <c r="F23" s="5">
        <v>5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0.25768+0.418101</f>
      </c>
      <c r="M23" s="25">
        <f>L23/2.83168</f>
      </c>
      <c r="N23" s="1" t="s">
        <v>36</v>
      </c>
      <c r="O23" s="1" t="s">
        <v>102</v>
      </c>
    </row>
    <row x14ac:dyDescent="0.25" r="24" customHeight="1" ht="17.25">
      <c r="A24" s="1" t="s">
        <v>34</v>
      </c>
      <c r="B24" s="1" t="s">
        <v>25</v>
      </c>
      <c r="C24" s="1"/>
      <c r="D24" s="5">
        <v>500</v>
      </c>
      <c r="E24" s="4">
        <f>D24*2.83168</f>
      </c>
      <c r="F24" s="5">
        <v>5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0.22969+0.418101</f>
      </c>
      <c r="M24" s="25">
        <f>L24/2.83168</f>
      </c>
      <c r="N24" s="1" t="s">
        <v>36</v>
      </c>
      <c r="O24" s="1" t="s">
        <v>102</v>
      </c>
    </row>
    <row x14ac:dyDescent="0.25" r="25" customHeight="1" ht="17.25">
      <c r="A25" s="1" t="s">
        <v>34</v>
      </c>
      <c r="B25" s="1" t="s">
        <v>25</v>
      </c>
      <c r="C25" s="1"/>
      <c r="D25" s="5">
        <v>1000</v>
      </c>
      <c r="E25" s="4">
        <f>D25*2.83168</f>
      </c>
      <c r="F25" s="5">
        <v>5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0.09782+0.418101</f>
      </c>
      <c r="M25" s="25">
        <f>L25/2.83168</f>
      </c>
      <c r="N25" s="1" t="s">
        <v>36</v>
      </c>
      <c r="O25" s="1" t="s">
        <v>102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8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6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4"/>
      <c r="G2" s="2"/>
      <c r="H2" s="2"/>
      <c r="I2" s="2"/>
      <c r="J2" s="2"/>
      <c r="K2" s="2"/>
      <c r="L2" s="5">
        <v>230</v>
      </c>
      <c r="M2" s="5">
        <v>230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f>0.134901+0.02471</f>
      </c>
      <c r="M3" s="4">
        <f>0.134901+0.02471</f>
      </c>
      <c r="N3" s="1" t="s">
        <v>26</v>
      </c>
      <c r="O3" s="1" t="s">
        <v>99</v>
      </c>
    </row>
    <row x14ac:dyDescent="0.25" r="4" customHeight="1" ht="17.25">
      <c r="A4" s="1" t="s">
        <v>13</v>
      </c>
      <c r="B4" s="1" t="s">
        <v>25</v>
      </c>
      <c r="C4" s="1"/>
      <c r="D4" s="5">
        <v>3000</v>
      </c>
      <c r="E4" s="5">
        <v>3000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f>0.12234+0.02471</f>
      </c>
      <c r="M4" s="4">
        <f>0.12234+0.02471</f>
      </c>
      <c r="N4" s="1" t="s">
        <v>26</v>
      </c>
      <c r="O4" s="1"/>
    </row>
    <row x14ac:dyDescent="0.25" r="5" customHeight="1" ht="17.25">
      <c r="A5" s="1" t="s">
        <v>13</v>
      </c>
      <c r="B5" s="23" t="s">
        <v>25</v>
      </c>
      <c r="C5" s="1"/>
      <c r="D5" s="5">
        <v>10000</v>
      </c>
      <c r="E5" s="5">
        <v>10000</v>
      </c>
      <c r="F5" s="5">
        <v>1</v>
      </c>
      <c r="G5" s="5">
        <v>5</v>
      </c>
      <c r="H5" s="5">
        <v>0</v>
      </c>
      <c r="I5" s="5">
        <v>24</v>
      </c>
      <c r="J5" s="5">
        <v>0</v>
      </c>
      <c r="K5" s="5">
        <v>6</v>
      </c>
      <c r="L5" s="4">
        <f>0.104345+0.02471</f>
      </c>
      <c r="M5" s="4">
        <f>0.104345+0.02471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200000</v>
      </c>
      <c r="E6" s="5">
        <v>200000</v>
      </c>
      <c r="F6" s="5">
        <v>1</v>
      </c>
      <c r="G6" s="5">
        <v>5</v>
      </c>
      <c r="H6" s="5">
        <v>0</v>
      </c>
      <c r="I6" s="5">
        <v>24</v>
      </c>
      <c r="J6" s="5">
        <v>0</v>
      </c>
      <c r="K6" s="5">
        <v>6</v>
      </c>
      <c r="L6" s="4">
        <f>0.080448+0.02471</f>
      </c>
      <c r="M6" s="4">
        <f>0.080448+0.02471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4">
        <v>1276333.33333333</v>
      </c>
      <c r="E7" s="4">
        <v>1276333.33333333</v>
      </c>
      <c r="F7" s="5">
        <v>1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4">
        <f>0.013858+0.02471</f>
      </c>
      <c r="M7" s="4">
        <f>0.013858+0.02471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4">
        <v>2552666.66666667</v>
      </c>
      <c r="E8" s="4">
        <v>2552666.66666667</v>
      </c>
      <c r="F8" s="5">
        <v>1</v>
      </c>
      <c r="G8" s="5">
        <v>5</v>
      </c>
      <c r="H8" s="5">
        <v>0</v>
      </c>
      <c r="I8" s="5">
        <v>24</v>
      </c>
      <c r="J8" s="5">
        <v>0</v>
      </c>
      <c r="K8" s="5">
        <v>6</v>
      </c>
      <c r="L8" s="4">
        <f>0.010449+0.02471</f>
      </c>
      <c r="M8" s="4">
        <f>0.010449+0.02471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3829000</v>
      </c>
      <c r="E9" s="5">
        <v>3829000</v>
      </c>
      <c r="F9" s="5">
        <v>1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4">
        <f>0.007841+0.02471</f>
      </c>
      <c r="M9" s="4">
        <f>0.007841+0.02471</f>
      </c>
      <c r="N9" s="1" t="s">
        <v>26</v>
      </c>
      <c r="O9" s="9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f>0.134901+0.025022</f>
      </c>
      <c r="M10" s="4">
        <f>0.134901+0.025022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3000</v>
      </c>
      <c r="E11" s="5">
        <v>3000</v>
      </c>
      <c r="F11" s="5">
        <v>6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0.12234+0.025022</f>
      </c>
      <c r="M11" s="4">
        <f>0.12234+0.025022</f>
      </c>
      <c r="N11" s="1" t="s">
        <v>26</v>
      </c>
      <c r="O11" s="1"/>
    </row>
    <row x14ac:dyDescent="0.25" r="12" customHeight="1" ht="17.25">
      <c r="A12" s="1" t="s">
        <v>13</v>
      </c>
      <c r="B12" s="23" t="s">
        <v>25</v>
      </c>
      <c r="C12" s="1"/>
      <c r="D12" s="5">
        <v>10000</v>
      </c>
      <c r="E12" s="5">
        <v>10000</v>
      </c>
      <c r="F12" s="5">
        <v>6</v>
      </c>
      <c r="G12" s="5">
        <v>9</v>
      </c>
      <c r="H12" s="5">
        <v>0</v>
      </c>
      <c r="I12" s="5">
        <v>24</v>
      </c>
      <c r="J12" s="5">
        <v>0</v>
      </c>
      <c r="K12" s="5">
        <v>6</v>
      </c>
      <c r="L12" s="4">
        <f>0.104345+0.025022</f>
      </c>
      <c r="M12" s="4">
        <f>0.104345+0.025022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200000</v>
      </c>
      <c r="E13" s="5">
        <v>200000</v>
      </c>
      <c r="F13" s="5">
        <v>6</v>
      </c>
      <c r="G13" s="5">
        <v>9</v>
      </c>
      <c r="H13" s="5">
        <v>0</v>
      </c>
      <c r="I13" s="5">
        <v>24</v>
      </c>
      <c r="J13" s="5">
        <v>0</v>
      </c>
      <c r="K13" s="5">
        <v>6</v>
      </c>
      <c r="L13" s="4">
        <f>0.080448+0.025022</f>
      </c>
      <c r="M13" s="4">
        <f>0.080448+0.025022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4">
        <v>1276333.33333333</v>
      </c>
      <c r="E14" s="4">
        <v>1276333.33333333</v>
      </c>
      <c r="F14" s="5">
        <v>6</v>
      </c>
      <c r="G14" s="5">
        <v>9</v>
      </c>
      <c r="H14" s="5">
        <v>0</v>
      </c>
      <c r="I14" s="5">
        <v>24</v>
      </c>
      <c r="J14" s="5">
        <v>0</v>
      </c>
      <c r="K14" s="5">
        <v>6</v>
      </c>
      <c r="L14" s="4">
        <f>0.013858+0.025022</f>
      </c>
      <c r="M14" s="4">
        <f>0.013858+0.025022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4">
        <v>2552666.66666667</v>
      </c>
      <c r="E15" s="4">
        <v>2552666.66666667</v>
      </c>
      <c r="F15" s="5">
        <v>6</v>
      </c>
      <c r="G15" s="5">
        <v>9</v>
      </c>
      <c r="H15" s="5">
        <v>0</v>
      </c>
      <c r="I15" s="5">
        <v>24</v>
      </c>
      <c r="J15" s="5">
        <v>0</v>
      </c>
      <c r="K15" s="5">
        <v>6</v>
      </c>
      <c r="L15" s="4">
        <f>0.010449+0.025022</f>
      </c>
      <c r="M15" s="4">
        <f>0.010449+0.025022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3829000</v>
      </c>
      <c r="E16" s="5">
        <v>3829000</v>
      </c>
      <c r="F16" s="5">
        <v>6</v>
      </c>
      <c r="G16" s="5">
        <v>9</v>
      </c>
      <c r="H16" s="5">
        <v>0</v>
      </c>
      <c r="I16" s="5">
        <v>24</v>
      </c>
      <c r="J16" s="5">
        <v>0</v>
      </c>
      <c r="K16" s="5">
        <v>6</v>
      </c>
      <c r="L16" s="4">
        <f>0.007841+0.025022</f>
      </c>
      <c r="M16" s="4">
        <f>0.007841+0.025022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0.134901+0.02471</f>
      </c>
      <c r="M17" s="4">
        <f>0.134901+0.02471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3000</v>
      </c>
      <c r="E18" s="5">
        <v>3000</v>
      </c>
      <c r="F18" s="5">
        <v>10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0.12234+0.02471</f>
      </c>
      <c r="M18" s="4">
        <f>0.12234+0.02471</f>
      </c>
      <c r="N18" s="1" t="s">
        <v>26</v>
      </c>
      <c r="O18" s="1"/>
    </row>
    <row x14ac:dyDescent="0.25" r="19" customHeight="1" ht="17.25">
      <c r="A19" s="1" t="s">
        <v>13</v>
      </c>
      <c r="B19" s="23" t="s">
        <v>25</v>
      </c>
      <c r="C19" s="1"/>
      <c r="D19" s="5">
        <v>10000</v>
      </c>
      <c r="E19" s="5">
        <v>10000</v>
      </c>
      <c r="F19" s="5">
        <v>10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0.104345+0.02471</f>
      </c>
      <c r="M19" s="4">
        <f>0.104345+0.02471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200000</v>
      </c>
      <c r="E20" s="5">
        <v>200000</v>
      </c>
      <c r="F20" s="5">
        <v>10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0.080448+0.02471</f>
      </c>
      <c r="M20" s="4">
        <f>0.080448+0.02471</f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4">
        <v>1276333.33333333</v>
      </c>
      <c r="E21" s="4">
        <v>1276333.33333333</v>
      </c>
      <c r="F21" s="5">
        <v>10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0.013858+0.02471</f>
      </c>
      <c r="M21" s="4">
        <f>0.013858+0.02471</f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4">
        <v>2552666.66666667</v>
      </c>
      <c r="E22" s="4">
        <v>2552666.66666667</v>
      </c>
      <c r="F22" s="5">
        <v>10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0.010449+0.02471</f>
      </c>
      <c r="M22" s="4">
        <f>0.010449+0.02471</f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3829000</v>
      </c>
      <c r="E23" s="5">
        <v>3829000</v>
      </c>
      <c r="F23" s="5">
        <v>10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0.007841+0.02471</f>
      </c>
      <c r="M23" s="4">
        <f>0.007841+0.02471</f>
      </c>
      <c r="N23" s="1" t="s">
        <v>26</v>
      </c>
      <c r="O23" s="1"/>
    </row>
    <row x14ac:dyDescent="0.25" r="24" customHeight="1" ht="17.25">
      <c r="A24" s="1" t="s">
        <v>13</v>
      </c>
      <c r="B24" s="1" t="s">
        <v>17</v>
      </c>
      <c r="C24" s="1" t="s">
        <v>24</v>
      </c>
      <c r="D24" s="5">
        <v>0</v>
      </c>
      <c r="E24" s="5">
        <v>0</v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v>9.7</v>
      </c>
      <c r="M24" s="4">
        <v>9.7</v>
      </c>
      <c r="N24" s="1" t="s">
        <v>19</v>
      </c>
      <c r="O24" s="1"/>
    </row>
    <row x14ac:dyDescent="0.25" r="25" customHeight="1" ht="17.25">
      <c r="A25" s="1" t="s">
        <v>34</v>
      </c>
      <c r="B25" s="1" t="s">
        <v>14</v>
      </c>
      <c r="C25" s="1"/>
      <c r="D25" s="2"/>
      <c r="E25" s="2"/>
      <c r="F25" s="2"/>
      <c r="G25" s="2"/>
      <c r="H25" s="2"/>
      <c r="I25" s="2"/>
      <c r="J25" s="2"/>
      <c r="K25" s="2"/>
      <c r="L25" s="4">
        <v>1263.96</v>
      </c>
      <c r="M25" s="4">
        <v>1263.96</v>
      </c>
      <c r="N25" s="1" t="s">
        <v>15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1</v>
      </c>
      <c r="G26" s="5">
        <v>12</v>
      </c>
      <c r="H26" s="5">
        <v>0</v>
      </c>
      <c r="I26" s="5">
        <v>24</v>
      </c>
      <c r="J26" s="5">
        <v>0</v>
      </c>
      <c r="K26" s="5">
        <v>6</v>
      </c>
      <c r="L26" s="4">
        <v>1.1292</v>
      </c>
      <c r="M26" s="11">
        <f>L26/2.83168</f>
      </c>
      <c r="N26" s="1" t="s">
        <v>36</v>
      </c>
      <c r="O26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f>0.49315*30</f>
      </c>
      <c r="M19" s="4">
        <f>0.49315*30</f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9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214.1</v>
      </c>
      <c r="M2" s="4">
        <v>214.1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v>0.04591</v>
      </c>
      <c r="M3" s="4">
        <v>0.04591</v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6</v>
      </c>
      <c r="G4" s="5">
        <v>9</v>
      </c>
      <c r="H4" s="5">
        <v>0</v>
      </c>
      <c r="I4" s="5">
        <v>10</v>
      </c>
      <c r="J4" s="5">
        <v>0</v>
      </c>
      <c r="K4" s="5">
        <v>6</v>
      </c>
      <c r="L4" s="4">
        <v>0.04428</v>
      </c>
      <c r="M4" s="4">
        <v>0.04428</v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9</v>
      </c>
      <c r="H5" s="5">
        <v>10</v>
      </c>
      <c r="I5" s="5">
        <v>13</v>
      </c>
      <c r="J5" s="5">
        <v>0</v>
      </c>
      <c r="K5" s="5">
        <v>6</v>
      </c>
      <c r="L5" s="4">
        <v>0.05612</v>
      </c>
      <c r="M5" s="4">
        <v>0.05612</v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6</v>
      </c>
      <c r="G6" s="5">
        <v>9</v>
      </c>
      <c r="H6" s="5">
        <v>13</v>
      </c>
      <c r="I6" s="5">
        <v>19</v>
      </c>
      <c r="J6" s="5">
        <v>0</v>
      </c>
      <c r="K6" s="5">
        <v>6</v>
      </c>
      <c r="L6" s="4">
        <v>0.08168</v>
      </c>
      <c r="M6" s="4">
        <v>0.08168</v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19</v>
      </c>
      <c r="I7" s="5">
        <v>22</v>
      </c>
      <c r="J7" s="5">
        <v>0</v>
      </c>
      <c r="K7" s="5">
        <v>6</v>
      </c>
      <c r="L7" s="4">
        <v>0.05612</v>
      </c>
      <c r="M7" s="4">
        <v>0.05612</v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22</v>
      </c>
      <c r="I8" s="5">
        <v>24</v>
      </c>
      <c r="J8" s="5">
        <v>0</v>
      </c>
      <c r="K8" s="5">
        <v>6</v>
      </c>
      <c r="L8" s="4">
        <v>0.04428</v>
      </c>
      <c r="M8" s="4">
        <v>0.04428</v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0.04591</v>
      </c>
      <c r="M9" s="4">
        <v>0.04591</v>
      </c>
      <c r="N9" s="1" t="s">
        <v>26</v>
      </c>
      <c r="O9" s="1"/>
    </row>
    <row x14ac:dyDescent="0.25" r="10" customHeight="1" ht="17.25">
      <c r="A10" s="1" t="s">
        <v>13</v>
      </c>
      <c r="B10" s="1" t="s">
        <v>17</v>
      </c>
      <c r="C10" s="1" t="s">
        <v>46</v>
      </c>
      <c r="D10" s="5">
        <v>0</v>
      </c>
      <c r="E10" s="5">
        <v>0</v>
      </c>
      <c r="F10" s="5">
        <v>1</v>
      </c>
      <c r="G10" s="5">
        <v>5</v>
      </c>
      <c r="H10" s="5">
        <v>0</v>
      </c>
      <c r="I10" s="5">
        <v>24</v>
      </c>
      <c r="J10" s="5">
        <v>0</v>
      </c>
      <c r="K10" s="5">
        <v>6</v>
      </c>
      <c r="L10" s="4">
        <f>2.73+0.85</f>
      </c>
      <c r="M10" s="4">
        <f>2.73+0.85</f>
      </c>
      <c r="N10" s="1" t="s">
        <v>19</v>
      </c>
      <c r="O10" s="1"/>
    </row>
    <row x14ac:dyDescent="0.25" r="11" customHeight="1" ht="17.25">
      <c r="A11" s="1" t="s">
        <v>13</v>
      </c>
      <c r="B11" s="1" t="s">
        <v>17</v>
      </c>
      <c r="C11" s="1" t="s">
        <v>96</v>
      </c>
      <c r="D11" s="5">
        <v>0</v>
      </c>
      <c r="E11" s="5">
        <v>0</v>
      </c>
      <c r="F11" s="5">
        <v>6</v>
      </c>
      <c r="G11" s="5">
        <v>9</v>
      </c>
      <c r="H11" s="5">
        <v>0</v>
      </c>
      <c r="I11" s="5">
        <v>10</v>
      </c>
      <c r="J11" s="5">
        <v>0</v>
      </c>
      <c r="K11" s="5">
        <v>6</v>
      </c>
      <c r="L11" s="4">
        <f>2.73</f>
      </c>
      <c r="M11" s="4">
        <f>2.73</f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97</v>
      </c>
      <c r="D12" s="5">
        <v>0</v>
      </c>
      <c r="E12" s="5">
        <v>0</v>
      </c>
      <c r="F12" s="5">
        <v>6</v>
      </c>
      <c r="G12" s="5">
        <v>9</v>
      </c>
      <c r="H12" s="5">
        <v>10</v>
      </c>
      <c r="I12" s="5">
        <v>13</v>
      </c>
      <c r="J12" s="5">
        <v>0</v>
      </c>
      <c r="K12" s="5">
        <v>6</v>
      </c>
      <c r="L12" s="4">
        <f>2.73+3.36</f>
      </c>
      <c r="M12" s="4">
        <f>2.73+3.36</f>
      </c>
      <c r="N12" s="1" t="s">
        <v>19</v>
      </c>
      <c r="O12" s="1"/>
    </row>
    <row x14ac:dyDescent="0.25" r="13" customHeight="1" ht="17.25">
      <c r="A13" s="1" t="s">
        <v>13</v>
      </c>
      <c r="B13" s="1" t="s">
        <v>17</v>
      </c>
      <c r="C13" s="1" t="s">
        <v>98</v>
      </c>
      <c r="D13" s="5">
        <v>0</v>
      </c>
      <c r="E13" s="5">
        <v>0</v>
      </c>
      <c r="F13" s="5">
        <v>6</v>
      </c>
      <c r="G13" s="5">
        <v>9</v>
      </c>
      <c r="H13" s="5">
        <v>13</v>
      </c>
      <c r="I13" s="5">
        <v>19</v>
      </c>
      <c r="J13" s="5">
        <v>0</v>
      </c>
      <c r="K13" s="5">
        <v>6</v>
      </c>
      <c r="L13" s="4">
        <f>2.73+13.61</f>
      </c>
      <c r="M13" s="4">
        <f>2.73+13.61</f>
      </c>
      <c r="N13" s="1" t="s">
        <v>19</v>
      </c>
      <c r="O13" s="1"/>
    </row>
    <row x14ac:dyDescent="0.25" r="14" customHeight="1" ht="17.25">
      <c r="A14" s="1" t="s">
        <v>13</v>
      </c>
      <c r="B14" s="1" t="s">
        <v>17</v>
      </c>
      <c r="C14" s="1" t="s">
        <v>97</v>
      </c>
      <c r="D14" s="5">
        <v>0</v>
      </c>
      <c r="E14" s="5">
        <v>0</v>
      </c>
      <c r="F14" s="5">
        <v>6</v>
      </c>
      <c r="G14" s="5">
        <v>9</v>
      </c>
      <c r="H14" s="5">
        <v>19</v>
      </c>
      <c r="I14" s="5">
        <v>22</v>
      </c>
      <c r="J14" s="5">
        <v>0</v>
      </c>
      <c r="K14" s="5">
        <v>6</v>
      </c>
      <c r="L14" s="4">
        <f>2.73+3.36</f>
      </c>
      <c r="M14" s="4">
        <f>2.73+3.36</f>
      </c>
      <c r="N14" s="1" t="s">
        <v>19</v>
      </c>
      <c r="O14" s="1"/>
    </row>
    <row x14ac:dyDescent="0.25" r="15" customHeight="1" ht="17.25">
      <c r="A15" s="1" t="s">
        <v>13</v>
      </c>
      <c r="B15" s="1" t="s">
        <v>17</v>
      </c>
      <c r="C15" s="1" t="s">
        <v>96</v>
      </c>
      <c r="D15" s="5">
        <v>0</v>
      </c>
      <c r="E15" s="5">
        <v>0</v>
      </c>
      <c r="F15" s="5">
        <v>6</v>
      </c>
      <c r="G15" s="5">
        <v>9</v>
      </c>
      <c r="H15" s="5">
        <v>22</v>
      </c>
      <c r="I15" s="5">
        <v>24</v>
      </c>
      <c r="J15" s="5">
        <v>0</v>
      </c>
      <c r="K15" s="5">
        <v>6</v>
      </c>
      <c r="L15" s="4">
        <f>2.73</f>
      </c>
      <c r="M15" s="4">
        <f>2.73</f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48</v>
      </c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24</v>
      </c>
      <c r="J16" s="5">
        <v>0</v>
      </c>
      <c r="K16" s="5">
        <v>6</v>
      </c>
      <c r="L16" s="4">
        <f>2.73+0.85</f>
      </c>
      <c r="M16" s="4">
        <f>2.73+0.85</f>
      </c>
      <c r="N16" s="1" t="s">
        <v>19</v>
      </c>
      <c r="O16" s="1"/>
    </row>
    <row x14ac:dyDescent="0.25" r="17" customHeight="1" ht="17.25">
      <c r="A17" s="1" t="s">
        <v>34</v>
      </c>
      <c r="B17" s="1" t="s">
        <v>14</v>
      </c>
      <c r="C17" s="1"/>
      <c r="D17" s="2"/>
      <c r="E17" s="2"/>
      <c r="F17" s="2"/>
      <c r="G17" s="2"/>
      <c r="H17" s="2"/>
      <c r="I17" s="2"/>
      <c r="J17" s="2"/>
      <c r="K17" s="2"/>
      <c r="L17" s="5">
        <v>350</v>
      </c>
      <c r="M17" s="5">
        <v>350</v>
      </c>
      <c r="N17" s="1" t="s">
        <v>15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3</v>
      </c>
      <c r="H18" s="5">
        <v>0</v>
      </c>
      <c r="I18" s="5">
        <v>24</v>
      </c>
      <c r="J18" s="5">
        <v>0</v>
      </c>
      <c r="K18" s="5">
        <v>6</v>
      </c>
      <c r="L18" s="4">
        <v>0.36323</v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4</v>
      </c>
      <c r="G19" s="5">
        <v>6</v>
      </c>
      <c r="H19" s="5">
        <v>0</v>
      </c>
      <c r="I19" s="5">
        <v>24</v>
      </c>
      <c r="J19" s="5">
        <v>0</v>
      </c>
      <c r="K19" s="5">
        <v>6</v>
      </c>
      <c r="L19" s="4">
        <v>0.33069</v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9</v>
      </c>
      <c r="H20" s="5">
        <v>0</v>
      </c>
      <c r="I20" s="5">
        <v>24</v>
      </c>
      <c r="J20" s="5">
        <v>0</v>
      </c>
      <c r="K20" s="5">
        <v>6</v>
      </c>
      <c r="L20" s="4">
        <v>0.53174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0.57314</v>
      </c>
      <c r="M21" s="11">
        <f>L21/2.83168</f>
      </c>
      <c r="N21" s="1" t="s">
        <v>36</v>
      </c>
      <c r="O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8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(10.97+7.95)*30</f>
      </c>
      <c r="M2" s="4">
        <f>(10.97+7.95)*30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7</v>
      </c>
      <c r="J3" s="5">
        <v>0</v>
      </c>
      <c r="K3" s="5">
        <v>6</v>
      </c>
      <c r="L3" s="4">
        <f>0.090217 + 0.0036</f>
      </c>
      <c r="M3" s="4">
        <f>0.090217 + 0.0036</f>
      </c>
      <c r="N3" s="1" t="s">
        <v>26</v>
      </c>
      <c r="O3" s="1" t="s">
        <v>128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7</v>
      </c>
      <c r="I4" s="5">
        <v>24</v>
      </c>
      <c r="J4" s="5">
        <v>0</v>
      </c>
      <c r="K4" s="5">
        <v>6</v>
      </c>
      <c r="L4" s="4">
        <f>0.0221+0.090217</f>
      </c>
      <c r="M4" s="4">
        <f>0.0221+0.090217</f>
      </c>
      <c r="N4" s="1" t="s">
        <v>26</v>
      </c>
      <c r="O4" s="1" t="s">
        <v>128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7</v>
      </c>
      <c r="J5" s="5">
        <v>0</v>
      </c>
      <c r="K5" s="5">
        <v>6</v>
      </c>
      <c r="L5" s="4">
        <f>0.095051 + 0.0036</f>
      </c>
      <c r="M5" s="4">
        <f>0.095051 + 0.0036</f>
      </c>
      <c r="N5" s="1" t="s">
        <v>26</v>
      </c>
      <c r="O5" s="1" t="s">
        <v>128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7</v>
      </c>
      <c r="I6" s="5">
        <v>24</v>
      </c>
      <c r="J6" s="5">
        <v>0</v>
      </c>
      <c r="K6" s="5">
        <v>6</v>
      </c>
      <c r="L6" s="4">
        <f>0.0221+0.095051</f>
      </c>
      <c r="M6" s="4">
        <f>0.0221+0.095051</f>
      </c>
      <c r="N6" s="1" t="s">
        <v>26</v>
      </c>
      <c r="O6" s="1" t="s">
        <v>128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7</v>
      </c>
      <c r="J7" s="5">
        <v>0</v>
      </c>
      <c r="K7" s="5">
        <v>6</v>
      </c>
      <c r="L7" s="4">
        <f>0.106337 + 0.0036</f>
      </c>
      <c r="M7" s="4">
        <f>0.106337 + 0.0036</f>
      </c>
      <c r="N7" s="1" t="s">
        <v>26</v>
      </c>
      <c r="O7" s="1" t="s">
        <v>128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3</v>
      </c>
      <c r="G8" s="5">
        <v>3</v>
      </c>
      <c r="H8" s="5">
        <v>7</v>
      </c>
      <c r="I8" s="5">
        <v>24</v>
      </c>
      <c r="J8" s="5">
        <v>0</v>
      </c>
      <c r="K8" s="5">
        <v>6</v>
      </c>
      <c r="L8" s="4">
        <f>0.0221+0.106337</f>
      </c>
      <c r="M8" s="4">
        <f>0.0221+0.106337</f>
      </c>
      <c r="N8" s="1" t="s">
        <v>26</v>
      </c>
      <c r="O8" s="1" t="s">
        <v>128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4</v>
      </c>
      <c r="H9" s="5">
        <v>0</v>
      </c>
      <c r="I9" s="5">
        <v>7</v>
      </c>
      <c r="J9" s="5">
        <v>0</v>
      </c>
      <c r="K9" s="5">
        <v>6</v>
      </c>
      <c r="L9" s="4">
        <f>0.113402  + 0.0036</f>
      </c>
      <c r="M9" s="4">
        <f>0.113402  + 0.0036</f>
      </c>
      <c r="N9" s="1" t="s">
        <v>26</v>
      </c>
      <c r="O9" s="1" t="s">
        <v>128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4</v>
      </c>
      <c r="H10" s="5">
        <v>7</v>
      </c>
      <c r="I10" s="5">
        <v>24</v>
      </c>
      <c r="J10" s="5">
        <v>0</v>
      </c>
      <c r="K10" s="5">
        <v>6</v>
      </c>
      <c r="L10" s="4">
        <f>0.0221+0.113402</f>
      </c>
      <c r="M10" s="4">
        <f>0.0221+0.113402</f>
      </c>
      <c r="N10" s="1" t="s">
        <v>26</v>
      </c>
      <c r="O10" s="1" t="s">
        <v>128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5</v>
      </c>
      <c r="H11" s="5">
        <v>0</v>
      </c>
      <c r="I11" s="5">
        <v>7</v>
      </c>
      <c r="J11" s="5">
        <v>0</v>
      </c>
      <c r="K11" s="5">
        <v>6</v>
      </c>
      <c r="L11" s="4">
        <f>0.11078  + 0.0036</f>
      </c>
      <c r="M11" s="4">
        <f>0.11078  + 0.0036</f>
      </c>
      <c r="N11" s="1" t="s">
        <v>26</v>
      </c>
      <c r="O11" s="1" t="s">
        <v>128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5</v>
      </c>
      <c r="G12" s="5">
        <v>5</v>
      </c>
      <c r="H12" s="5">
        <v>7</v>
      </c>
      <c r="I12" s="5">
        <v>24</v>
      </c>
      <c r="J12" s="5">
        <v>0</v>
      </c>
      <c r="K12" s="5">
        <v>6</v>
      </c>
      <c r="L12" s="4">
        <f>0.0221+0.11078</f>
      </c>
      <c r="M12" s="4">
        <f>0.0221+0.11078</f>
      </c>
      <c r="N12" s="1" t="s">
        <v>26</v>
      </c>
      <c r="O12" s="1" t="s">
        <v>128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7</v>
      </c>
      <c r="J13" s="5">
        <v>0</v>
      </c>
      <c r="K13" s="5">
        <v>6</v>
      </c>
      <c r="L13" s="4">
        <f>0.0036+0.109676</f>
      </c>
      <c r="M13" s="4">
        <f>0.0036+0.109676</f>
      </c>
      <c r="N13" s="1" t="s">
        <v>26</v>
      </c>
      <c r="O13" s="1" t="s">
        <v>128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6</v>
      </c>
      <c r="H14" s="5">
        <v>7</v>
      </c>
      <c r="I14" s="5">
        <v>10</v>
      </c>
      <c r="J14" s="5">
        <v>0</v>
      </c>
      <c r="K14" s="5">
        <v>5</v>
      </c>
      <c r="L14" s="4">
        <f>0.0221+0.109676</f>
      </c>
      <c r="M14" s="4">
        <f>0.0221+0.109676</f>
      </c>
      <c r="N14" s="1" t="s">
        <v>26</v>
      </c>
      <c r="O14" s="1" t="s">
        <v>128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6</v>
      </c>
      <c r="G15" s="5">
        <v>6</v>
      </c>
      <c r="H15" s="5">
        <v>10</v>
      </c>
      <c r="I15" s="5">
        <v>22</v>
      </c>
      <c r="J15" s="5">
        <v>0</v>
      </c>
      <c r="K15" s="5">
        <v>5</v>
      </c>
      <c r="L15" s="4">
        <f>0.0344+0.109676</f>
      </c>
      <c r="M15" s="4">
        <f>0.0344+0.109676</f>
      </c>
      <c r="N15" s="1" t="s">
        <v>26</v>
      </c>
      <c r="O15" s="1" t="s">
        <v>128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6</v>
      </c>
      <c r="H16" s="5">
        <v>22</v>
      </c>
      <c r="I16" s="5">
        <v>24</v>
      </c>
      <c r="J16" s="5">
        <v>0</v>
      </c>
      <c r="K16" s="5">
        <v>5</v>
      </c>
      <c r="L16" s="4">
        <f>0.0221+0.109676</f>
      </c>
      <c r="M16" s="4">
        <f>0.0221+0.109676</f>
      </c>
      <c r="N16" s="1" t="s">
        <v>26</v>
      </c>
      <c r="O16" s="1" t="s">
        <v>128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7</v>
      </c>
      <c r="I17" s="5">
        <v>24</v>
      </c>
      <c r="J17" s="5">
        <v>6</v>
      </c>
      <c r="K17" s="5">
        <v>6</v>
      </c>
      <c r="L17" s="4">
        <f>0.0221+0.109676</f>
      </c>
      <c r="M17" s="4">
        <f>0.0221+0.109676</f>
      </c>
      <c r="N17" s="1" t="s">
        <v>26</v>
      </c>
      <c r="O17" s="1" t="s">
        <v>128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7</v>
      </c>
      <c r="G18" s="5">
        <v>7</v>
      </c>
      <c r="H18" s="5">
        <v>0</v>
      </c>
      <c r="I18" s="5">
        <v>7</v>
      </c>
      <c r="J18" s="5">
        <v>0</v>
      </c>
      <c r="K18" s="5">
        <v>6</v>
      </c>
      <c r="L18" s="4">
        <f>0.0036+0.104179</f>
      </c>
      <c r="M18" s="4">
        <f>0.0036+0.104179</f>
      </c>
      <c r="N18" s="1" t="s">
        <v>26</v>
      </c>
      <c r="O18" s="1" t="s">
        <v>128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7</v>
      </c>
      <c r="G19" s="5">
        <v>7</v>
      </c>
      <c r="H19" s="5">
        <v>7</v>
      </c>
      <c r="I19" s="5">
        <v>10</v>
      </c>
      <c r="J19" s="5">
        <v>0</v>
      </c>
      <c r="K19" s="5">
        <v>5</v>
      </c>
      <c r="L19" s="4">
        <f>0.0221+0.104179</f>
      </c>
      <c r="M19" s="4">
        <f>0.0221+0.104179</f>
      </c>
      <c r="N19" s="1" t="s">
        <v>26</v>
      </c>
      <c r="O19" s="1" t="s">
        <v>128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7</v>
      </c>
      <c r="H20" s="5">
        <v>10</v>
      </c>
      <c r="I20" s="5">
        <v>22</v>
      </c>
      <c r="J20" s="5">
        <v>0</v>
      </c>
      <c r="K20" s="5">
        <v>5</v>
      </c>
      <c r="L20" s="4">
        <f>0.0344+0.104179</f>
      </c>
      <c r="M20" s="4">
        <f>0.0344+0.104179</f>
      </c>
      <c r="N20" s="1" t="s">
        <v>26</v>
      </c>
      <c r="O20" s="1" t="s">
        <v>128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22</v>
      </c>
      <c r="I21" s="5">
        <v>24</v>
      </c>
      <c r="J21" s="5">
        <v>0</v>
      </c>
      <c r="K21" s="5">
        <v>5</v>
      </c>
      <c r="L21" s="4">
        <f>0.0221+0.104179</f>
      </c>
      <c r="M21" s="4">
        <f>0.0221+0.104179</f>
      </c>
      <c r="N21" s="1" t="s">
        <v>26</v>
      </c>
      <c r="O21" s="1" t="s">
        <v>128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7</v>
      </c>
      <c r="I22" s="5">
        <v>24</v>
      </c>
      <c r="J22" s="5">
        <v>6</v>
      </c>
      <c r="K22" s="5">
        <v>6</v>
      </c>
      <c r="L22" s="4">
        <f>0.0221+0.104179</f>
      </c>
      <c r="M22" s="4">
        <f>0.0221+0.104179</f>
      </c>
      <c r="N22" s="1" t="s">
        <v>26</v>
      </c>
      <c r="O22" s="1" t="s">
        <v>128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8</v>
      </c>
      <c r="G23" s="5">
        <v>8</v>
      </c>
      <c r="H23" s="5">
        <v>0</v>
      </c>
      <c r="I23" s="5">
        <v>7</v>
      </c>
      <c r="J23" s="5">
        <v>0</v>
      </c>
      <c r="K23" s="5">
        <v>6</v>
      </c>
      <c r="L23" s="4">
        <f>0.0036+0.111505</f>
      </c>
      <c r="M23" s="4">
        <f>0.0036+0.111505</f>
      </c>
      <c r="N23" s="1" t="s">
        <v>26</v>
      </c>
      <c r="O23" s="1" t="s">
        <v>128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8</v>
      </c>
      <c r="G24" s="5">
        <v>8</v>
      </c>
      <c r="H24" s="5">
        <v>7</v>
      </c>
      <c r="I24" s="5">
        <v>10</v>
      </c>
      <c r="J24" s="5">
        <v>0</v>
      </c>
      <c r="K24" s="5">
        <v>5</v>
      </c>
      <c r="L24" s="4">
        <f>0.0221+0.111505</f>
      </c>
      <c r="M24" s="4">
        <f>0.0221+0.111505</f>
      </c>
      <c r="N24" s="1" t="s">
        <v>26</v>
      </c>
      <c r="O24" s="1" t="s">
        <v>128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10</v>
      </c>
      <c r="I25" s="5">
        <v>22</v>
      </c>
      <c r="J25" s="5">
        <v>0</v>
      </c>
      <c r="K25" s="5">
        <v>5</v>
      </c>
      <c r="L25" s="4">
        <f>0.0344+0.111505</f>
      </c>
      <c r="M25" s="4">
        <f>0.0344+0.111505</f>
      </c>
      <c r="N25" s="1" t="s">
        <v>26</v>
      </c>
      <c r="O25" s="1" t="s">
        <v>128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22</v>
      </c>
      <c r="I26" s="5">
        <v>24</v>
      </c>
      <c r="J26" s="5">
        <v>0</v>
      </c>
      <c r="K26" s="5">
        <v>5</v>
      </c>
      <c r="L26" s="4">
        <f>0.0221+0.111505</f>
      </c>
      <c r="M26" s="4">
        <f>0.0221+0.111505</f>
      </c>
      <c r="N26" s="1" t="s">
        <v>26</v>
      </c>
      <c r="O26" s="1" t="s">
        <v>128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8</v>
      </c>
      <c r="G27" s="5">
        <v>8</v>
      </c>
      <c r="H27" s="5">
        <v>7</v>
      </c>
      <c r="I27" s="5">
        <v>24</v>
      </c>
      <c r="J27" s="5">
        <v>6</v>
      </c>
      <c r="K27" s="5">
        <v>6</v>
      </c>
      <c r="L27" s="4">
        <f>0.0221+0.111505</f>
      </c>
      <c r="M27" s="4">
        <f>0.0221+0.111505</f>
      </c>
      <c r="N27" s="1" t="s">
        <v>26</v>
      </c>
      <c r="O27" s="1" t="s">
        <v>128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9</v>
      </c>
      <c r="H28" s="5">
        <v>0</v>
      </c>
      <c r="I28" s="5">
        <v>7</v>
      </c>
      <c r="J28" s="5">
        <v>0</v>
      </c>
      <c r="K28" s="5">
        <v>6</v>
      </c>
      <c r="L28" s="4">
        <f>0.0036+0.116613</f>
      </c>
      <c r="M28" s="4">
        <f>0.0036+0.116613</f>
      </c>
      <c r="N28" s="1" t="s">
        <v>26</v>
      </c>
      <c r="O28" s="1" t="s">
        <v>128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7</v>
      </c>
      <c r="I29" s="5">
        <v>10</v>
      </c>
      <c r="J29" s="5">
        <v>0</v>
      </c>
      <c r="K29" s="5">
        <v>5</v>
      </c>
      <c r="L29" s="4">
        <f>0.0221+0.116613</f>
      </c>
      <c r="M29" s="4">
        <f>0.0221+0.116613</f>
      </c>
      <c r="N29" s="1" t="s">
        <v>26</v>
      </c>
      <c r="O29" s="1" t="s">
        <v>128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9</v>
      </c>
      <c r="G30" s="5">
        <v>9</v>
      </c>
      <c r="H30" s="5">
        <v>10</v>
      </c>
      <c r="I30" s="5">
        <v>22</v>
      </c>
      <c r="J30" s="5">
        <v>0</v>
      </c>
      <c r="K30" s="5">
        <v>5</v>
      </c>
      <c r="L30" s="4">
        <f>0.0344+0.116613</f>
      </c>
      <c r="M30" s="4">
        <f>0.0344+0.116613</f>
      </c>
      <c r="N30" s="1" t="s">
        <v>26</v>
      </c>
      <c r="O30" s="1" t="s">
        <v>128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9</v>
      </c>
      <c r="G31" s="5">
        <v>9</v>
      </c>
      <c r="H31" s="5">
        <v>22</v>
      </c>
      <c r="I31" s="5">
        <v>24</v>
      </c>
      <c r="J31" s="5">
        <v>0</v>
      </c>
      <c r="K31" s="5">
        <v>5</v>
      </c>
      <c r="L31" s="4">
        <f>0.0221+0.116613</f>
      </c>
      <c r="M31" s="4">
        <f>0.0221+0.116613</f>
      </c>
      <c r="N31" s="1" t="s">
        <v>26</v>
      </c>
      <c r="O31" s="1" t="s">
        <v>128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9</v>
      </c>
      <c r="G32" s="5">
        <v>9</v>
      </c>
      <c r="H32" s="5">
        <v>7</v>
      </c>
      <c r="I32" s="5">
        <v>24</v>
      </c>
      <c r="J32" s="5">
        <v>6</v>
      </c>
      <c r="K32" s="5">
        <v>6</v>
      </c>
      <c r="L32" s="4">
        <f>0.0221+0.116613</f>
      </c>
      <c r="M32" s="4">
        <f>0.0221+0.116613</f>
      </c>
      <c r="N32" s="1" t="s">
        <v>26</v>
      </c>
      <c r="O32" s="1" t="s">
        <v>128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10</v>
      </c>
      <c r="G33" s="5">
        <v>10</v>
      </c>
      <c r="H33" s="5">
        <v>0</v>
      </c>
      <c r="I33" s="5">
        <v>7</v>
      </c>
      <c r="J33" s="5">
        <v>0</v>
      </c>
      <c r="K33" s="5">
        <v>6</v>
      </c>
      <c r="L33" s="4">
        <f>0.113535 + 0.0036</f>
      </c>
      <c r="M33" s="4">
        <f>0.113535 + 0.0036</f>
      </c>
      <c r="N33" s="1" t="s">
        <v>26</v>
      </c>
      <c r="O33" s="1" t="s">
        <v>128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10</v>
      </c>
      <c r="G34" s="5">
        <v>10</v>
      </c>
      <c r="H34" s="5">
        <v>7</v>
      </c>
      <c r="I34" s="5">
        <v>24</v>
      </c>
      <c r="J34" s="5">
        <v>0</v>
      </c>
      <c r="K34" s="5">
        <v>6</v>
      </c>
      <c r="L34" s="4">
        <f>0.0221+0.113535</f>
      </c>
      <c r="M34" s="4">
        <f>0.0221+0.113535</f>
      </c>
      <c r="N34" s="1" t="s">
        <v>26</v>
      </c>
      <c r="O34" s="1" t="s">
        <v>128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11</v>
      </c>
      <c r="H35" s="5">
        <v>0</v>
      </c>
      <c r="I35" s="5">
        <v>7</v>
      </c>
      <c r="J35" s="5">
        <v>0</v>
      </c>
      <c r="K35" s="5">
        <v>6</v>
      </c>
      <c r="L35" s="4">
        <f>0.114378  + 0.0036</f>
      </c>
      <c r="M35" s="4">
        <f>0.114378  + 0.0036</f>
      </c>
      <c r="N35" s="1" t="s">
        <v>26</v>
      </c>
      <c r="O35" s="1" t="s">
        <v>128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11</v>
      </c>
      <c r="G36" s="5">
        <v>11</v>
      </c>
      <c r="H36" s="5">
        <v>7</v>
      </c>
      <c r="I36" s="5">
        <v>24</v>
      </c>
      <c r="J36" s="5">
        <v>0</v>
      </c>
      <c r="K36" s="5">
        <v>6</v>
      </c>
      <c r="L36" s="4">
        <f>0.0221+0.114378</f>
      </c>
      <c r="M36" s="4">
        <f>0.0221+0.114378</f>
      </c>
      <c r="N36" s="1" t="s">
        <v>26</v>
      </c>
      <c r="O36" s="1" t="s">
        <v>128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0</v>
      </c>
      <c r="I37" s="5">
        <v>7</v>
      </c>
      <c r="J37" s="5">
        <v>0</v>
      </c>
      <c r="K37" s="5">
        <v>6</v>
      </c>
      <c r="L37" s="4">
        <f>0.118608+0.0036</f>
      </c>
      <c r="M37" s="4">
        <f>0.118608+0.0036</f>
      </c>
      <c r="N37" s="1" t="s">
        <v>26</v>
      </c>
      <c r="O37" s="1" t="s">
        <v>128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7</v>
      </c>
      <c r="I38" s="5">
        <v>24</v>
      </c>
      <c r="J38" s="5">
        <v>0</v>
      </c>
      <c r="K38" s="5">
        <v>6</v>
      </c>
      <c r="L38" s="4">
        <f>0.0221+0.118608</f>
      </c>
      <c r="M38" s="4">
        <f>0.0221+0.118608</f>
      </c>
      <c r="N38" s="1" t="s">
        <v>26</v>
      </c>
      <c r="O38" s="1" t="s">
        <v>128</v>
      </c>
    </row>
    <row x14ac:dyDescent="0.25" r="39" customHeight="1" ht="17.25">
      <c r="A39" s="1" t="s">
        <v>13</v>
      </c>
      <c r="B39" s="1" t="s">
        <v>17</v>
      </c>
      <c r="C39" s="1" t="s">
        <v>39</v>
      </c>
      <c r="D39" s="5">
        <v>0</v>
      </c>
      <c r="E39" s="5">
        <v>0</v>
      </c>
      <c r="F39" s="5">
        <v>1</v>
      </c>
      <c r="G39" s="5">
        <v>12</v>
      </c>
      <c r="H39" s="5">
        <v>0</v>
      </c>
      <c r="I39" s="5">
        <v>7</v>
      </c>
      <c r="J39" s="5">
        <v>0</v>
      </c>
      <c r="K39" s="5">
        <v>6</v>
      </c>
      <c r="L39" s="5">
        <v>0</v>
      </c>
      <c r="M39" s="5">
        <v>0</v>
      </c>
      <c r="N39" s="1" t="s">
        <v>19</v>
      </c>
      <c r="O39" s="1"/>
    </row>
    <row x14ac:dyDescent="0.25" r="40" customHeight="1" ht="17.25">
      <c r="A40" s="1" t="s">
        <v>13</v>
      </c>
      <c r="B40" s="1" t="s">
        <v>17</v>
      </c>
      <c r="C40" s="1" t="s">
        <v>129</v>
      </c>
      <c r="D40" s="5">
        <v>0</v>
      </c>
      <c r="E40" s="5">
        <v>0</v>
      </c>
      <c r="F40" s="5">
        <v>1</v>
      </c>
      <c r="G40" s="5">
        <v>5</v>
      </c>
      <c r="H40" s="5">
        <v>7</v>
      </c>
      <c r="I40" s="5">
        <v>24</v>
      </c>
      <c r="J40" s="5">
        <v>0</v>
      </c>
      <c r="K40" s="5">
        <v>6</v>
      </c>
      <c r="L40" s="4">
        <v>6.28</v>
      </c>
      <c r="M40" s="4">
        <v>6.28</v>
      </c>
      <c r="N40" s="1" t="s">
        <v>19</v>
      </c>
      <c r="O40" s="1"/>
    </row>
    <row x14ac:dyDescent="0.25" r="41" customHeight="1" ht="17.25">
      <c r="A41" s="1" t="s">
        <v>13</v>
      </c>
      <c r="B41" s="1" t="s">
        <v>17</v>
      </c>
      <c r="C41" s="1" t="s">
        <v>97</v>
      </c>
      <c r="D41" s="5">
        <v>0</v>
      </c>
      <c r="E41" s="5">
        <v>0</v>
      </c>
      <c r="F41" s="5">
        <v>6</v>
      </c>
      <c r="G41" s="5">
        <v>9</v>
      </c>
      <c r="H41" s="5">
        <v>7</v>
      </c>
      <c r="I41" s="5">
        <v>10</v>
      </c>
      <c r="J41" s="5">
        <v>0</v>
      </c>
      <c r="K41" s="5">
        <v>5</v>
      </c>
      <c r="L41" s="4">
        <v>6.28</v>
      </c>
      <c r="M41" s="4">
        <v>6.28</v>
      </c>
      <c r="N41" s="1" t="s">
        <v>19</v>
      </c>
      <c r="O41" s="1"/>
    </row>
    <row x14ac:dyDescent="0.25" r="42" customHeight="1" ht="17.25">
      <c r="A42" s="1" t="s">
        <v>13</v>
      </c>
      <c r="B42" s="1" t="s">
        <v>17</v>
      </c>
      <c r="C42" s="1" t="s">
        <v>130</v>
      </c>
      <c r="D42" s="5">
        <v>0</v>
      </c>
      <c r="E42" s="5">
        <v>0</v>
      </c>
      <c r="F42" s="5">
        <v>6</v>
      </c>
      <c r="G42" s="5">
        <v>9</v>
      </c>
      <c r="H42" s="5">
        <v>10</v>
      </c>
      <c r="I42" s="5">
        <v>22</v>
      </c>
      <c r="J42" s="5">
        <v>0</v>
      </c>
      <c r="K42" s="5">
        <v>5</v>
      </c>
      <c r="L42" s="4">
        <v>25.63</v>
      </c>
      <c r="M42" s="4">
        <v>25.63</v>
      </c>
      <c r="N42" s="1" t="s">
        <v>19</v>
      </c>
      <c r="O42" s="1"/>
    </row>
    <row x14ac:dyDescent="0.25" r="43" customHeight="1" ht="17.25">
      <c r="A43" s="1" t="s">
        <v>13</v>
      </c>
      <c r="B43" s="1" t="s">
        <v>17</v>
      </c>
      <c r="C43" s="1" t="s">
        <v>97</v>
      </c>
      <c r="D43" s="5">
        <v>0</v>
      </c>
      <c r="E43" s="5">
        <v>0</v>
      </c>
      <c r="F43" s="5">
        <v>6</v>
      </c>
      <c r="G43" s="5">
        <v>9</v>
      </c>
      <c r="H43" s="5">
        <v>22</v>
      </c>
      <c r="I43" s="5">
        <v>24</v>
      </c>
      <c r="J43" s="5">
        <v>0</v>
      </c>
      <c r="K43" s="5">
        <v>5</v>
      </c>
      <c r="L43" s="4">
        <v>6.28</v>
      </c>
      <c r="M43" s="4">
        <v>6.28</v>
      </c>
      <c r="N43" s="1" t="s">
        <v>19</v>
      </c>
      <c r="O43" s="1"/>
    </row>
    <row x14ac:dyDescent="0.25" r="44" customHeight="1" ht="17.25">
      <c r="A44" s="1" t="s">
        <v>13</v>
      </c>
      <c r="B44" s="1" t="s">
        <v>17</v>
      </c>
      <c r="C44" s="1" t="s">
        <v>131</v>
      </c>
      <c r="D44" s="5">
        <v>0</v>
      </c>
      <c r="E44" s="5">
        <v>0</v>
      </c>
      <c r="F44" s="5">
        <v>1</v>
      </c>
      <c r="G44" s="5">
        <v>5</v>
      </c>
      <c r="H44" s="5">
        <v>7</v>
      </c>
      <c r="I44" s="5">
        <v>24</v>
      </c>
      <c r="J44" s="5">
        <v>0</v>
      </c>
      <c r="K44" s="5">
        <v>6</v>
      </c>
      <c r="L44" s="4">
        <v>6.28</v>
      </c>
      <c r="M44" s="4">
        <v>6.28</v>
      </c>
      <c r="N44" s="1" t="s">
        <v>19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0</v>
      </c>
      <c r="E45" s="5">
        <v>0</v>
      </c>
      <c r="F45" s="5">
        <v>1</v>
      </c>
      <c r="G45" s="5">
        <v>1</v>
      </c>
      <c r="H45" s="5">
        <v>0</v>
      </c>
      <c r="I45" s="5">
        <v>24</v>
      </c>
      <c r="J45" s="5">
        <v>0</v>
      </c>
      <c r="K45" s="5">
        <v>6</v>
      </c>
      <c r="L45" s="4">
        <f>153.35+0.25805</f>
      </c>
      <c r="M45" s="14">
        <f>L45/2.83168</f>
      </c>
      <c r="N45" s="1" t="s">
        <v>36</v>
      </c>
      <c r="O45" s="1" t="s">
        <v>37</v>
      </c>
    </row>
    <row x14ac:dyDescent="0.25" r="46" customHeight="1" ht="17.25">
      <c r="A46" s="1" t="s">
        <v>34</v>
      </c>
      <c r="B46" s="1" t="s">
        <v>25</v>
      </c>
      <c r="C46" s="1"/>
      <c r="D46" s="5">
        <v>10</v>
      </c>
      <c r="E46" s="4">
        <f>D46*2.83168</f>
      </c>
      <c r="F46" s="5">
        <v>1</v>
      </c>
      <c r="G46" s="5">
        <v>1</v>
      </c>
      <c r="H46" s="5">
        <v>0</v>
      </c>
      <c r="I46" s="5">
        <v>24</v>
      </c>
      <c r="J46" s="5">
        <v>0</v>
      </c>
      <c r="K46" s="5">
        <v>6</v>
      </c>
      <c r="L46" s="4">
        <f>0.2247+0.25805</f>
      </c>
      <c r="M46" s="14">
        <f>L46/2.83168</f>
      </c>
      <c r="N46" s="1" t="s">
        <v>36</v>
      </c>
      <c r="O46" s="1" t="s">
        <v>37</v>
      </c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2</v>
      </c>
      <c r="G47" s="5">
        <v>2</v>
      </c>
      <c r="H47" s="5">
        <v>0</v>
      </c>
      <c r="I47" s="5">
        <v>24</v>
      </c>
      <c r="J47" s="5">
        <v>0</v>
      </c>
      <c r="K47" s="5">
        <v>6</v>
      </c>
      <c r="L47" s="4">
        <f>153.35+0.331761</f>
      </c>
      <c r="M47" s="14">
        <f>L47/2.83168</f>
      </c>
      <c r="N47" s="1" t="s">
        <v>36</v>
      </c>
      <c r="O47" s="1" t="s">
        <v>37</v>
      </c>
    </row>
    <row x14ac:dyDescent="0.25" r="48" customHeight="1" ht="17.25">
      <c r="A48" s="1" t="s">
        <v>34</v>
      </c>
      <c r="B48" s="1" t="s">
        <v>25</v>
      </c>
      <c r="C48" s="1"/>
      <c r="D48" s="5">
        <v>10</v>
      </c>
      <c r="E48" s="4">
        <f>D48*2.83168</f>
      </c>
      <c r="F48" s="5">
        <v>2</v>
      </c>
      <c r="G48" s="5">
        <v>2</v>
      </c>
      <c r="H48" s="5">
        <v>0</v>
      </c>
      <c r="I48" s="5">
        <v>24</v>
      </c>
      <c r="J48" s="5">
        <v>0</v>
      </c>
      <c r="K48" s="5">
        <v>6</v>
      </c>
      <c r="L48" s="4">
        <f>0.2247+0.331761</f>
      </c>
      <c r="M48" s="14">
        <f>L48/2.83168</f>
      </c>
      <c r="N48" s="1" t="s">
        <v>36</v>
      </c>
      <c r="O48" s="1" t="s">
        <v>37</v>
      </c>
    </row>
    <row x14ac:dyDescent="0.25" r="49" customHeight="1" ht="17.25">
      <c r="A49" s="1" t="s">
        <v>34</v>
      </c>
      <c r="B49" s="1" t="s">
        <v>25</v>
      </c>
      <c r="C49" s="1"/>
      <c r="D49" s="5">
        <v>0</v>
      </c>
      <c r="E49" s="5">
        <v>0</v>
      </c>
      <c r="F49" s="5">
        <v>3</v>
      </c>
      <c r="G49" s="5">
        <v>3</v>
      </c>
      <c r="H49" s="5">
        <v>0</v>
      </c>
      <c r="I49" s="5">
        <v>24</v>
      </c>
      <c r="J49" s="5">
        <v>0</v>
      </c>
      <c r="K49" s="5">
        <v>6</v>
      </c>
      <c r="L49" s="4">
        <f>153.35+0.293576</f>
      </c>
      <c r="M49" s="14">
        <f>L49/2.83168</f>
      </c>
      <c r="N49" s="1" t="s">
        <v>36</v>
      </c>
      <c r="O49" s="1" t="s">
        <v>37</v>
      </c>
    </row>
    <row x14ac:dyDescent="0.25" r="50" customHeight="1" ht="17.25">
      <c r="A50" s="1" t="s">
        <v>34</v>
      </c>
      <c r="B50" s="1" t="s">
        <v>25</v>
      </c>
      <c r="C50" s="1"/>
      <c r="D50" s="5">
        <v>10</v>
      </c>
      <c r="E50" s="4">
        <f>D50*2.83168</f>
      </c>
      <c r="F50" s="5">
        <v>3</v>
      </c>
      <c r="G50" s="5">
        <v>3</v>
      </c>
      <c r="H50" s="5">
        <v>0</v>
      </c>
      <c r="I50" s="5">
        <v>24</v>
      </c>
      <c r="J50" s="5">
        <v>0</v>
      </c>
      <c r="K50" s="5">
        <v>6</v>
      </c>
      <c r="L50" s="4">
        <f>0.2247+0.293576</f>
      </c>
      <c r="M50" s="14">
        <f>L50/2.83168</f>
      </c>
      <c r="N50" s="1" t="s">
        <v>36</v>
      </c>
      <c r="O50" s="1" t="s">
        <v>37</v>
      </c>
    </row>
    <row x14ac:dyDescent="0.25" r="51" customHeight="1" ht="17.25">
      <c r="A51" s="1" t="s">
        <v>34</v>
      </c>
      <c r="B51" s="1" t="s">
        <v>25</v>
      </c>
      <c r="C51" s="1"/>
      <c r="D51" s="5">
        <v>0</v>
      </c>
      <c r="E51" s="5">
        <v>0</v>
      </c>
      <c r="F51" s="5">
        <v>4</v>
      </c>
      <c r="G51" s="5">
        <v>4</v>
      </c>
      <c r="H51" s="5">
        <v>0</v>
      </c>
      <c r="I51" s="5">
        <v>24</v>
      </c>
      <c r="J51" s="5">
        <v>0</v>
      </c>
      <c r="K51" s="5">
        <v>6</v>
      </c>
      <c r="L51" s="4">
        <f>153.35+0.302202</f>
      </c>
      <c r="M51" s="14">
        <f>L51/2.83168</f>
      </c>
      <c r="N51" s="1" t="s">
        <v>36</v>
      </c>
      <c r="O51" s="1" t="s">
        <v>37</v>
      </c>
    </row>
    <row x14ac:dyDescent="0.25" r="52" customHeight="1" ht="17.25">
      <c r="A52" s="1" t="s">
        <v>34</v>
      </c>
      <c r="B52" s="1" t="s">
        <v>25</v>
      </c>
      <c r="C52" s="1"/>
      <c r="D52" s="5">
        <v>10</v>
      </c>
      <c r="E52" s="4">
        <f>D52*2.83168</f>
      </c>
      <c r="F52" s="5">
        <v>4</v>
      </c>
      <c r="G52" s="5">
        <v>4</v>
      </c>
      <c r="H52" s="5">
        <v>0</v>
      </c>
      <c r="I52" s="5">
        <v>24</v>
      </c>
      <c r="J52" s="5">
        <v>0</v>
      </c>
      <c r="K52" s="5">
        <v>6</v>
      </c>
      <c r="L52" s="4">
        <f>0.2247+0.302202</f>
      </c>
      <c r="M52" s="14">
        <f>L52/2.83168</f>
      </c>
      <c r="N52" s="1" t="s">
        <v>36</v>
      </c>
      <c r="O52" s="1" t="s">
        <v>37</v>
      </c>
    </row>
    <row x14ac:dyDescent="0.25" r="53" customHeight="1" ht="17.25">
      <c r="A53" s="1" t="s">
        <v>34</v>
      </c>
      <c r="B53" s="1" t="s">
        <v>25</v>
      </c>
      <c r="C53" s="1"/>
      <c r="D53" s="5">
        <v>0</v>
      </c>
      <c r="E53" s="5">
        <v>0</v>
      </c>
      <c r="F53" s="5">
        <v>5</v>
      </c>
      <c r="G53" s="5">
        <v>5</v>
      </c>
      <c r="H53" s="5">
        <v>0</v>
      </c>
      <c r="I53" s="5">
        <v>24</v>
      </c>
      <c r="J53" s="5">
        <v>0</v>
      </c>
      <c r="K53" s="5">
        <v>6</v>
      </c>
      <c r="L53" s="4">
        <f>153.35+0.252852</f>
      </c>
      <c r="M53" s="14">
        <f>L53/2.83168</f>
      </c>
      <c r="N53" s="1" t="s">
        <v>36</v>
      </c>
      <c r="O53" s="1" t="s">
        <v>37</v>
      </c>
    </row>
    <row x14ac:dyDescent="0.25" r="54" customHeight="1" ht="17.25">
      <c r="A54" s="1" t="s">
        <v>34</v>
      </c>
      <c r="B54" s="1" t="s">
        <v>25</v>
      </c>
      <c r="C54" s="1"/>
      <c r="D54" s="5">
        <v>10</v>
      </c>
      <c r="E54" s="4">
        <f>D54*2.83168</f>
      </c>
      <c r="F54" s="5">
        <v>5</v>
      </c>
      <c r="G54" s="5">
        <v>5</v>
      </c>
      <c r="H54" s="5">
        <v>0</v>
      </c>
      <c r="I54" s="5">
        <v>24</v>
      </c>
      <c r="J54" s="5">
        <v>0</v>
      </c>
      <c r="K54" s="5">
        <v>6</v>
      </c>
      <c r="L54" s="4">
        <f>0.2247+0.252852</f>
      </c>
      <c r="M54" s="14">
        <f>L54/2.83168</f>
      </c>
      <c r="N54" s="1" t="s">
        <v>36</v>
      </c>
      <c r="O54" s="1" t="s">
        <v>37</v>
      </c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6</v>
      </c>
      <c r="G55" s="5">
        <v>6</v>
      </c>
      <c r="H55" s="5">
        <v>0</v>
      </c>
      <c r="I55" s="5">
        <v>24</v>
      </c>
      <c r="J55" s="5">
        <v>0</v>
      </c>
      <c r="K55" s="5">
        <v>6</v>
      </c>
      <c r="L55" s="4">
        <f>153.35+0.324212</f>
      </c>
      <c r="M55" s="14">
        <f>L55/2.83168</f>
      </c>
      <c r="N55" s="1" t="s">
        <v>36</v>
      </c>
      <c r="O55" s="1" t="s">
        <v>37</v>
      </c>
    </row>
    <row x14ac:dyDescent="0.25" r="56" customHeight="1" ht="17.25">
      <c r="A56" s="1" t="s">
        <v>34</v>
      </c>
      <c r="B56" s="1" t="s">
        <v>25</v>
      </c>
      <c r="C56" s="1"/>
      <c r="D56" s="5">
        <v>10</v>
      </c>
      <c r="E56" s="4">
        <v>28.3168</v>
      </c>
      <c r="F56" s="5">
        <v>6</v>
      </c>
      <c r="G56" s="5">
        <v>6</v>
      </c>
      <c r="H56" s="5">
        <v>0</v>
      </c>
      <c r="I56" s="5">
        <v>24</v>
      </c>
      <c r="J56" s="5">
        <v>0</v>
      </c>
      <c r="K56" s="5">
        <v>6</v>
      </c>
      <c r="L56" s="4">
        <f>0.2247+0.324212</f>
      </c>
      <c r="M56" s="14">
        <f>L56/2.83168</f>
      </c>
      <c r="N56" s="1" t="s">
        <v>36</v>
      </c>
      <c r="O56" s="1" t="s">
        <v>37</v>
      </c>
    </row>
    <row x14ac:dyDescent="0.25" r="57" customHeight="1" ht="17.25">
      <c r="A57" s="1" t="s">
        <v>34</v>
      </c>
      <c r="B57" s="1" t="s">
        <v>25</v>
      </c>
      <c r="C57" s="1"/>
      <c r="D57" s="5">
        <v>0</v>
      </c>
      <c r="E57" s="5">
        <v>0</v>
      </c>
      <c r="F57" s="5">
        <v>7</v>
      </c>
      <c r="G57" s="5">
        <v>7</v>
      </c>
      <c r="H57" s="5">
        <v>0</v>
      </c>
      <c r="I57" s="5">
        <v>24</v>
      </c>
      <c r="J57" s="5">
        <v>0</v>
      </c>
      <c r="K57" s="5">
        <v>6</v>
      </c>
      <c r="L57" s="4">
        <f>153.35+0.370327</f>
      </c>
      <c r="M57" s="14">
        <f>L57/2.83168</f>
      </c>
      <c r="N57" s="1" t="s">
        <v>36</v>
      </c>
      <c r="O57" s="1" t="s">
        <v>37</v>
      </c>
    </row>
    <row x14ac:dyDescent="0.25" r="58" customHeight="1" ht="17.25">
      <c r="A58" s="1" t="s">
        <v>34</v>
      </c>
      <c r="B58" s="1" t="s">
        <v>25</v>
      </c>
      <c r="C58" s="1"/>
      <c r="D58" s="5">
        <v>10</v>
      </c>
      <c r="E58" s="4">
        <v>28.3168</v>
      </c>
      <c r="F58" s="5">
        <v>7</v>
      </c>
      <c r="G58" s="5">
        <v>7</v>
      </c>
      <c r="H58" s="5">
        <v>0</v>
      </c>
      <c r="I58" s="5">
        <v>24</v>
      </c>
      <c r="J58" s="5">
        <v>0</v>
      </c>
      <c r="K58" s="5">
        <v>6</v>
      </c>
      <c r="L58" s="4">
        <f>0.2247+0.370327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8</v>
      </c>
      <c r="G59" s="5">
        <v>8</v>
      </c>
      <c r="H59" s="5">
        <v>0</v>
      </c>
      <c r="I59" s="5">
        <v>24</v>
      </c>
      <c r="J59" s="5">
        <v>0</v>
      </c>
      <c r="K59" s="5">
        <v>6</v>
      </c>
      <c r="L59" s="4">
        <f>153.35+0.35029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10</v>
      </c>
      <c r="E60" s="4">
        <v>28.3168</v>
      </c>
      <c r="F60" s="5">
        <v>8</v>
      </c>
      <c r="G60" s="5">
        <v>8</v>
      </c>
      <c r="H60" s="5">
        <v>0</v>
      </c>
      <c r="I60" s="5">
        <v>24</v>
      </c>
      <c r="J60" s="5">
        <v>0</v>
      </c>
      <c r="K60" s="5">
        <v>6</v>
      </c>
      <c r="L60" s="4">
        <f>0.2247+0.35029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0</v>
      </c>
      <c r="E61" s="5">
        <v>0</v>
      </c>
      <c r="F61" s="5">
        <v>9</v>
      </c>
      <c r="G61" s="5">
        <v>9</v>
      </c>
      <c r="H61" s="5">
        <v>0</v>
      </c>
      <c r="I61" s="5">
        <v>24</v>
      </c>
      <c r="J61" s="5">
        <v>0</v>
      </c>
      <c r="K61" s="5">
        <v>6</v>
      </c>
      <c r="L61" s="4">
        <f>153.35+0.416127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10</v>
      </c>
      <c r="E62" s="4">
        <v>28.3168</v>
      </c>
      <c r="F62" s="5">
        <v>9</v>
      </c>
      <c r="G62" s="5">
        <v>9</v>
      </c>
      <c r="H62" s="5">
        <v>0</v>
      </c>
      <c r="I62" s="5">
        <v>24</v>
      </c>
      <c r="J62" s="5">
        <v>0</v>
      </c>
      <c r="K62" s="5">
        <v>6</v>
      </c>
      <c r="L62" s="4">
        <f>0.2247+0.416127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10</v>
      </c>
      <c r="G63" s="5">
        <v>10</v>
      </c>
      <c r="H63" s="5">
        <v>0</v>
      </c>
      <c r="I63" s="5">
        <v>24</v>
      </c>
      <c r="J63" s="5">
        <v>0</v>
      </c>
      <c r="K63" s="5">
        <v>6</v>
      </c>
      <c r="L63" s="4">
        <f>153.35+0.556773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10</v>
      </c>
      <c r="E64" s="4">
        <v>28.3168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0.2247+0.556773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153.35+0.576949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10</v>
      </c>
      <c r="E66" s="4">
        <v>28.3168</v>
      </c>
      <c r="F66" s="5">
        <v>11</v>
      </c>
      <c r="G66" s="5">
        <v>11</v>
      </c>
      <c r="H66" s="5">
        <v>0</v>
      </c>
      <c r="I66" s="5">
        <v>24</v>
      </c>
      <c r="J66" s="5">
        <v>0</v>
      </c>
      <c r="K66" s="5">
        <v>6</v>
      </c>
      <c r="L66" s="4">
        <f>0.2247+0.576949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12</v>
      </c>
      <c r="G67" s="5">
        <v>12</v>
      </c>
      <c r="H67" s="5">
        <v>0</v>
      </c>
      <c r="I67" s="5">
        <v>24</v>
      </c>
      <c r="J67" s="5">
        <v>0</v>
      </c>
      <c r="K67" s="5">
        <v>6</v>
      </c>
      <c r="L67" s="4">
        <f>153.35+0.545748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10</v>
      </c>
      <c r="E68" s="4">
        <v>28.3168</v>
      </c>
      <c r="F68" s="5">
        <v>12</v>
      </c>
      <c r="G68" s="5">
        <v>12</v>
      </c>
      <c r="H68" s="5">
        <v>0</v>
      </c>
      <c r="I68" s="5">
        <v>24</v>
      </c>
      <c r="J68" s="5">
        <v>0</v>
      </c>
      <c r="K68" s="5">
        <v>6</v>
      </c>
      <c r="L68" s="4">
        <f>0.2247+0.545748</f>
      </c>
      <c r="M68" s="14">
        <f>L68/2.83168</f>
      </c>
      <c r="N68" s="1" t="s">
        <v>36</v>
      </c>
      <c r="O68" s="1" t="s">
        <v>37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1.290714285714287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1655.26+350</f>
      </c>
      <c r="M2" s="4">
        <f>1655.26+350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4</v>
      </c>
      <c r="J3" s="5">
        <v>0</v>
      </c>
      <c r="K3" s="5">
        <v>4</v>
      </c>
      <c r="L3" s="4">
        <f>0.04639+0.01679</f>
      </c>
      <c r="M3" s="4">
        <f>0.04639+0.01679</f>
      </c>
      <c r="N3" s="1" t="s">
        <v>26</v>
      </c>
      <c r="O3" s="1" t="s">
        <v>94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4</v>
      </c>
      <c r="I4" s="5">
        <v>10</v>
      </c>
      <c r="J4" s="5">
        <v>0</v>
      </c>
      <c r="K4" s="5">
        <v>4</v>
      </c>
      <c r="L4" s="4">
        <f>0.07332+0.01679</f>
      </c>
      <c r="M4" s="4">
        <f>0.07332+0.01679</f>
      </c>
      <c r="N4" s="1" t="s">
        <v>26</v>
      </c>
      <c r="O4" s="1" t="s">
        <v>94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10</v>
      </c>
      <c r="I5" s="5">
        <v>24</v>
      </c>
      <c r="J5" s="5">
        <v>0</v>
      </c>
      <c r="K5" s="5">
        <v>4</v>
      </c>
      <c r="L5" s="4">
        <f>0.04639+0.01679</f>
      </c>
      <c r="M5" s="4">
        <f>0.04639+0.01679</f>
      </c>
      <c r="N5" s="1" t="s">
        <v>26</v>
      </c>
      <c r="O5" s="1" t="s">
        <v>94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4</v>
      </c>
      <c r="J6" s="5">
        <v>0</v>
      </c>
      <c r="K6" s="5">
        <v>4</v>
      </c>
      <c r="L6" s="4">
        <f>0.04639+0.0159</f>
      </c>
      <c r="M6" s="4">
        <f>0.04639+0.0159</f>
      </c>
      <c r="N6" s="1" t="s">
        <v>26</v>
      </c>
      <c r="O6" s="1" t="s">
        <v>94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4</v>
      </c>
      <c r="I7" s="5">
        <v>10</v>
      </c>
      <c r="J7" s="5">
        <v>0</v>
      </c>
      <c r="K7" s="5">
        <v>4</v>
      </c>
      <c r="L7" s="4">
        <f>0.07332+0.0159</f>
      </c>
      <c r="M7" s="4">
        <f>0.07332+0.0159</f>
      </c>
      <c r="N7" s="1" t="s">
        <v>26</v>
      </c>
      <c r="O7" s="1" t="s">
        <v>94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2</v>
      </c>
      <c r="H8" s="5">
        <v>10</v>
      </c>
      <c r="I8" s="5">
        <v>24</v>
      </c>
      <c r="J8" s="5">
        <v>0</v>
      </c>
      <c r="K8" s="5">
        <v>4</v>
      </c>
      <c r="L8" s="4">
        <f>0.04639+0.0159</f>
      </c>
      <c r="M8" s="4">
        <f>0.04639+0.0159</f>
      </c>
      <c r="N8" s="1" t="s">
        <v>26</v>
      </c>
      <c r="O8" s="1" t="s">
        <v>94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3</v>
      </c>
      <c r="G9" s="5">
        <v>3</v>
      </c>
      <c r="H9" s="5">
        <v>0</v>
      </c>
      <c r="I9" s="5">
        <v>4</v>
      </c>
      <c r="J9" s="5">
        <v>0</v>
      </c>
      <c r="K9" s="5">
        <v>4</v>
      </c>
      <c r="L9" s="4">
        <f>0.04639+0.01664</f>
      </c>
      <c r="M9" s="4">
        <f>0.04639+0.01664</f>
      </c>
      <c r="N9" s="1" t="s">
        <v>26</v>
      </c>
      <c r="O9" s="1" t="s">
        <v>94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3</v>
      </c>
      <c r="G10" s="5">
        <v>3</v>
      </c>
      <c r="H10" s="5">
        <v>4</v>
      </c>
      <c r="I10" s="5">
        <v>10</v>
      </c>
      <c r="J10" s="5">
        <v>0</v>
      </c>
      <c r="K10" s="5">
        <v>4</v>
      </c>
      <c r="L10" s="4">
        <f>0.07332+0.01664</f>
      </c>
      <c r="M10" s="4">
        <f>0.07332+0.01664</f>
      </c>
      <c r="N10" s="1" t="s">
        <v>26</v>
      </c>
      <c r="O10" s="1" t="s">
        <v>94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10</v>
      </c>
      <c r="I11" s="5">
        <v>24</v>
      </c>
      <c r="J11" s="5">
        <v>0</v>
      </c>
      <c r="K11" s="5">
        <v>4</v>
      </c>
      <c r="L11" s="4">
        <f>0.04639+0.01664</f>
      </c>
      <c r="M11" s="4">
        <f>0.04639+0.01664</f>
      </c>
      <c r="N11" s="1" t="s">
        <v>26</v>
      </c>
      <c r="O11" s="1" t="s">
        <v>94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4</v>
      </c>
      <c r="G12" s="5">
        <v>4</v>
      </c>
      <c r="H12" s="5">
        <v>0</v>
      </c>
      <c r="I12" s="5">
        <v>13</v>
      </c>
      <c r="J12" s="5">
        <v>0</v>
      </c>
      <c r="K12" s="5">
        <v>4</v>
      </c>
      <c r="L12" s="4">
        <f>0.04639+0.02167</f>
      </c>
      <c r="M12" s="4">
        <f>0.04639+0.02167</f>
      </c>
      <c r="N12" s="1" t="s">
        <v>26</v>
      </c>
      <c r="O12" s="1" t="s">
        <v>94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4</v>
      </c>
      <c r="G13" s="5">
        <v>4</v>
      </c>
      <c r="H13" s="5">
        <v>13</v>
      </c>
      <c r="I13" s="5">
        <v>19</v>
      </c>
      <c r="J13" s="5">
        <v>0</v>
      </c>
      <c r="K13" s="5">
        <v>4</v>
      </c>
      <c r="L13" s="4">
        <f>0.07332+0.02167</f>
      </c>
      <c r="M13" s="4">
        <f>0.07332+0.02167</f>
      </c>
      <c r="N13" s="1" t="s">
        <v>26</v>
      </c>
      <c r="O13" s="1" t="s">
        <v>94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4</v>
      </c>
      <c r="G14" s="5">
        <v>4</v>
      </c>
      <c r="H14" s="5">
        <v>20</v>
      </c>
      <c r="I14" s="5">
        <v>24</v>
      </c>
      <c r="J14" s="5">
        <v>0</v>
      </c>
      <c r="K14" s="5">
        <v>4</v>
      </c>
      <c r="L14" s="4">
        <f>0.04639+0.02167</f>
      </c>
      <c r="M14" s="4">
        <f>0.04639+0.02167</f>
      </c>
      <c r="N14" s="1" t="s">
        <v>26</v>
      </c>
      <c r="O14" s="1" t="s">
        <v>94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5</v>
      </c>
      <c r="G15" s="5">
        <v>5</v>
      </c>
      <c r="H15" s="5">
        <v>0</v>
      </c>
      <c r="I15" s="5">
        <v>13</v>
      </c>
      <c r="J15" s="5">
        <v>0</v>
      </c>
      <c r="K15" s="5">
        <v>4</v>
      </c>
      <c r="L15" s="4">
        <f>0.04639+0.01837</f>
      </c>
      <c r="M15" s="4">
        <f>0.04639+0.01837</f>
      </c>
      <c r="N15" s="1" t="s">
        <v>26</v>
      </c>
      <c r="O15" s="1" t="s">
        <v>94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5</v>
      </c>
      <c r="G16" s="5">
        <v>5</v>
      </c>
      <c r="H16" s="5">
        <v>13</v>
      </c>
      <c r="I16" s="5">
        <v>19</v>
      </c>
      <c r="J16" s="5">
        <v>0</v>
      </c>
      <c r="K16" s="5">
        <v>4</v>
      </c>
      <c r="L16" s="4">
        <f>0.07332+0.01837</f>
      </c>
      <c r="M16" s="4">
        <f>0.07332+0.01837</f>
      </c>
      <c r="N16" s="1" t="s">
        <v>26</v>
      </c>
      <c r="O16" s="1" t="s">
        <v>94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5</v>
      </c>
      <c r="G17" s="5">
        <v>5</v>
      </c>
      <c r="H17" s="5">
        <v>20</v>
      </c>
      <c r="I17" s="5">
        <v>24</v>
      </c>
      <c r="J17" s="5">
        <v>0</v>
      </c>
      <c r="K17" s="5">
        <v>4</v>
      </c>
      <c r="L17" s="4">
        <f>0.04639+0.01837</f>
      </c>
      <c r="M17" s="4">
        <f>0.04639+0.01837</f>
      </c>
      <c r="N17" s="1" t="s">
        <v>26</v>
      </c>
      <c r="O17" s="1" t="s">
        <v>94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6</v>
      </c>
      <c r="G18" s="5">
        <v>6</v>
      </c>
      <c r="H18" s="5">
        <v>0</v>
      </c>
      <c r="I18" s="5">
        <v>13</v>
      </c>
      <c r="J18" s="5">
        <v>0</v>
      </c>
      <c r="K18" s="5">
        <v>4</v>
      </c>
      <c r="L18" s="4">
        <f>0.04639+0.01845</f>
      </c>
      <c r="M18" s="4">
        <f>0.04639+0.01845</f>
      </c>
      <c r="N18" s="1" t="s">
        <v>26</v>
      </c>
      <c r="O18" s="1" t="s">
        <v>94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6</v>
      </c>
      <c r="G19" s="5">
        <v>6</v>
      </c>
      <c r="H19" s="5">
        <v>13</v>
      </c>
      <c r="I19" s="5">
        <v>19</v>
      </c>
      <c r="J19" s="5">
        <v>0</v>
      </c>
      <c r="K19" s="5">
        <v>4</v>
      </c>
      <c r="L19" s="4">
        <f>0.07332+0.01845</f>
      </c>
      <c r="M19" s="4">
        <f>0.07332+0.01845</f>
      </c>
      <c r="N19" s="1" t="s">
        <v>26</v>
      </c>
      <c r="O19" s="1" t="s">
        <v>94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6</v>
      </c>
      <c r="H20" s="5">
        <v>20</v>
      </c>
      <c r="I20" s="5">
        <v>24</v>
      </c>
      <c r="J20" s="5">
        <v>0</v>
      </c>
      <c r="K20" s="5">
        <v>4</v>
      </c>
      <c r="L20" s="4">
        <f>0.04639+0.01845</f>
      </c>
      <c r="M20" s="4">
        <f>0.04639+0.01845</f>
      </c>
      <c r="N20" s="1" t="s">
        <v>26</v>
      </c>
      <c r="O20" s="1" t="s">
        <v>94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0</v>
      </c>
      <c r="I21" s="5">
        <v>13</v>
      </c>
      <c r="J21" s="5">
        <v>0</v>
      </c>
      <c r="K21" s="5">
        <v>4</v>
      </c>
      <c r="L21" s="4">
        <f>0.04639+0.02024</f>
      </c>
      <c r="M21" s="4">
        <f>0.04639+0.02024</f>
      </c>
      <c r="N21" s="1" t="s">
        <v>26</v>
      </c>
      <c r="O21" s="1" t="s">
        <v>94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13</v>
      </c>
      <c r="I22" s="5">
        <v>19</v>
      </c>
      <c r="J22" s="5">
        <v>0</v>
      </c>
      <c r="K22" s="5">
        <v>4</v>
      </c>
      <c r="L22" s="4">
        <f>0.07332+0.02024</f>
      </c>
      <c r="M22" s="4">
        <f>0.07332+0.02024</f>
      </c>
      <c r="N22" s="1" t="s">
        <v>26</v>
      </c>
      <c r="O22" s="1" t="s">
        <v>94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7</v>
      </c>
      <c r="H23" s="5">
        <v>20</v>
      </c>
      <c r="I23" s="5">
        <v>24</v>
      </c>
      <c r="J23" s="5">
        <v>0</v>
      </c>
      <c r="K23" s="5">
        <v>4</v>
      </c>
      <c r="L23" s="4">
        <f>0.04639+0.02024</f>
      </c>
      <c r="M23" s="4">
        <f>0.04639+0.02024</f>
      </c>
      <c r="N23" s="1" t="s">
        <v>26</v>
      </c>
      <c r="O23" s="1" t="s">
        <v>94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8</v>
      </c>
      <c r="G24" s="5">
        <v>8</v>
      </c>
      <c r="H24" s="5">
        <v>0</v>
      </c>
      <c r="I24" s="5">
        <v>13</v>
      </c>
      <c r="J24" s="5">
        <v>0</v>
      </c>
      <c r="K24" s="5">
        <v>4</v>
      </c>
      <c r="L24" s="4">
        <f>0.04639+0.01995</f>
      </c>
      <c r="M24" s="4">
        <f>0.04639+0.01995</f>
      </c>
      <c r="N24" s="1" t="s">
        <v>26</v>
      </c>
      <c r="O24" s="1" t="s">
        <v>94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13</v>
      </c>
      <c r="I25" s="5">
        <v>19</v>
      </c>
      <c r="J25" s="5">
        <v>0</v>
      </c>
      <c r="K25" s="5">
        <v>4</v>
      </c>
      <c r="L25" s="4">
        <f>0.07332+0.01995</f>
      </c>
      <c r="M25" s="4">
        <f>0.07332+0.01995</f>
      </c>
      <c r="N25" s="1" t="s">
        <v>26</v>
      </c>
      <c r="O25" s="1" t="s">
        <v>94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20</v>
      </c>
      <c r="I26" s="5">
        <v>24</v>
      </c>
      <c r="J26" s="5">
        <v>0</v>
      </c>
      <c r="K26" s="5">
        <v>4</v>
      </c>
      <c r="L26" s="4">
        <f>0.04639+0.01995</f>
      </c>
      <c r="M26" s="4">
        <f>0.04639+0.01995</f>
      </c>
      <c r="N26" s="1" t="s">
        <v>26</v>
      </c>
      <c r="O26" s="1" t="s">
        <v>94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9</v>
      </c>
      <c r="G27" s="5">
        <v>9</v>
      </c>
      <c r="H27" s="5">
        <v>0</v>
      </c>
      <c r="I27" s="5">
        <v>13</v>
      </c>
      <c r="J27" s="5">
        <v>0</v>
      </c>
      <c r="K27" s="5">
        <v>4</v>
      </c>
      <c r="L27" s="4">
        <f>0.04639+0.01918</f>
      </c>
      <c r="M27" s="4">
        <f>0.04639+0.01918</f>
      </c>
      <c r="N27" s="1" t="s">
        <v>26</v>
      </c>
      <c r="O27" s="1" t="s">
        <v>94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9</v>
      </c>
      <c r="H28" s="5">
        <v>13</v>
      </c>
      <c r="I28" s="5">
        <v>19</v>
      </c>
      <c r="J28" s="5">
        <v>0</v>
      </c>
      <c r="K28" s="5">
        <v>4</v>
      </c>
      <c r="L28" s="4">
        <f>0.07332+0.01918</f>
      </c>
      <c r="M28" s="4">
        <f>0.07332+0.01918</f>
      </c>
      <c r="N28" s="1" t="s">
        <v>26</v>
      </c>
      <c r="O28" s="1" t="s">
        <v>94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20</v>
      </c>
      <c r="I29" s="5">
        <v>24</v>
      </c>
      <c r="J29" s="5">
        <v>0</v>
      </c>
      <c r="K29" s="5">
        <v>4</v>
      </c>
      <c r="L29" s="4">
        <f>0.04639+0.01918</f>
      </c>
      <c r="M29" s="4">
        <f>0.04639+0.01918</f>
      </c>
      <c r="N29" s="1" t="s">
        <v>26</v>
      </c>
      <c r="O29" s="1" t="s">
        <v>94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10</v>
      </c>
      <c r="G30" s="5">
        <v>10</v>
      </c>
      <c r="H30" s="5">
        <v>0</v>
      </c>
      <c r="I30" s="5">
        <v>13</v>
      </c>
      <c r="J30" s="5">
        <v>0</v>
      </c>
      <c r="K30" s="5">
        <v>4</v>
      </c>
      <c r="L30" s="4">
        <f>0.04639+0.0002126</f>
      </c>
      <c r="M30" s="4">
        <f>0.04639+0.0002126</f>
      </c>
      <c r="N30" s="1" t="s">
        <v>26</v>
      </c>
      <c r="O30" s="1" t="s">
        <v>94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10</v>
      </c>
      <c r="G31" s="5">
        <v>10</v>
      </c>
      <c r="H31" s="5">
        <v>13</v>
      </c>
      <c r="I31" s="5">
        <v>19</v>
      </c>
      <c r="J31" s="5">
        <v>0</v>
      </c>
      <c r="K31" s="5">
        <v>4</v>
      </c>
      <c r="L31" s="4">
        <f>0.07332+0.0002126</f>
      </c>
      <c r="M31" s="4">
        <f>0.07332+0.0002126</f>
      </c>
      <c r="N31" s="1" t="s">
        <v>26</v>
      </c>
      <c r="O31" s="1" t="s">
        <v>94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10</v>
      </c>
      <c r="G32" s="5">
        <v>10</v>
      </c>
      <c r="H32" s="5">
        <v>20</v>
      </c>
      <c r="I32" s="5">
        <v>24</v>
      </c>
      <c r="J32" s="5">
        <v>0</v>
      </c>
      <c r="K32" s="5">
        <v>4</v>
      </c>
      <c r="L32" s="4">
        <f>0.04639+0.0002126</f>
      </c>
      <c r="M32" s="4">
        <f>0.04639+0.0002126</f>
      </c>
      <c r="N32" s="1" t="s">
        <v>26</v>
      </c>
      <c r="O32" s="1" t="s">
        <v>94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11</v>
      </c>
      <c r="G33" s="5">
        <v>11</v>
      </c>
      <c r="H33" s="5">
        <v>0</v>
      </c>
      <c r="I33" s="5">
        <v>4</v>
      </c>
      <c r="J33" s="5">
        <v>0</v>
      </c>
      <c r="K33" s="5">
        <v>4</v>
      </c>
      <c r="L33" s="4">
        <f>0.04639+0.02334</f>
      </c>
      <c r="M33" s="4">
        <f>0.04639+0.02334</f>
      </c>
      <c r="N33" s="1" t="s">
        <v>26</v>
      </c>
      <c r="O33" s="1" t="s">
        <v>94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11</v>
      </c>
      <c r="G34" s="5">
        <v>11</v>
      </c>
      <c r="H34" s="5">
        <v>4</v>
      </c>
      <c r="I34" s="5">
        <v>10</v>
      </c>
      <c r="J34" s="5">
        <v>0</v>
      </c>
      <c r="K34" s="5">
        <v>4</v>
      </c>
      <c r="L34" s="4">
        <f>0.07332+0.02334</f>
      </c>
      <c r="M34" s="4">
        <f>0.07332+0.02334</f>
      </c>
      <c r="N34" s="1" t="s">
        <v>26</v>
      </c>
      <c r="O34" s="1" t="s">
        <v>94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11</v>
      </c>
      <c r="H35" s="5">
        <v>10</v>
      </c>
      <c r="I35" s="5">
        <v>24</v>
      </c>
      <c r="J35" s="5">
        <v>0</v>
      </c>
      <c r="K35" s="5">
        <v>4</v>
      </c>
      <c r="L35" s="4">
        <f>0.04639+0.02334</f>
      </c>
      <c r="M35" s="4">
        <f>0.04639+0.02334</f>
      </c>
      <c r="N35" s="1" t="s">
        <v>26</v>
      </c>
      <c r="O35" s="1" t="s">
        <v>94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12</v>
      </c>
      <c r="G36" s="5">
        <v>12</v>
      </c>
      <c r="H36" s="5">
        <v>0</v>
      </c>
      <c r="I36" s="5">
        <v>4</v>
      </c>
      <c r="J36" s="5">
        <v>0</v>
      </c>
      <c r="K36" s="5">
        <v>4</v>
      </c>
      <c r="L36" s="4">
        <f>0.04639+0.02511</f>
      </c>
      <c r="M36" s="4">
        <f>0.04639+0.02511</f>
      </c>
      <c r="N36" s="1" t="s">
        <v>26</v>
      </c>
      <c r="O36" s="1" t="s">
        <v>94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4</v>
      </c>
      <c r="I37" s="5">
        <v>10</v>
      </c>
      <c r="J37" s="5">
        <v>0</v>
      </c>
      <c r="K37" s="5">
        <v>4</v>
      </c>
      <c r="L37" s="4">
        <f>0.07332+0.02511</f>
      </c>
      <c r="M37" s="4">
        <f>0.07332+0.02511</f>
      </c>
      <c r="N37" s="1" t="s">
        <v>26</v>
      </c>
      <c r="O37" s="1" t="s">
        <v>94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10</v>
      </c>
      <c r="I38" s="5">
        <v>24</v>
      </c>
      <c r="J38" s="5">
        <v>0</v>
      </c>
      <c r="K38" s="5">
        <v>4</v>
      </c>
      <c r="L38" s="4">
        <f>0.04639+0.02511</f>
      </c>
      <c r="M38" s="4">
        <f>0.04639+0.02511</f>
      </c>
      <c r="N38" s="1" t="s">
        <v>26</v>
      </c>
      <c r="O38" s="1" t="s">
        <v>94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1</v>
      </c>
      <c r="G39" s="5">
        <v>1</v>
      </c>
      <c r="H39" s="5">
        <v>0</v>
      </c>
      <c r="I39" s="5">
        <v>24</v>
      </c>
      <c r="J39" s="5">
        <v>5</v>
      </c>
      <c r="K39" s="5">
        <v>6</v>
      </c>
      <c r="L39" s="4">
        <f>0.04639+0.01679</f>
      </c>
      <c r="M39" s="4">
        <f>0.04639+0.01679</f>
      </c>
      <c r="N39" s="1" t="s">
        <v>26</v>
      </c>
      <c r="O39" s="1" t="s">
        <v>94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2</v>
      </c>
      <c r="G40" s="5">
        <v>2</v>
      </c>
      <c r="H40" s="5">
        <v>0</v>
      </c>
      <c r="I40" s="5">
        <v>24</v>
      </c>
      <c r="J40" s="5">
        <v>5</v>
      </c>
      <c r="K40" s="5">
        <v>6</v>
      </c>
      <c r="L40" s="4">
        <f>0.04639+0.0159</f>
      </c>
      <c r="M40" s="4">
        <f>0.04639+0.0159</f>
      </c>
      <c r="N40" s="1" t="s">
        <v>26</v>
      </c>
      <c r="O40" s="1" t="s">
        <v>94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3</v>
      </c>
      <c r="G41" s="5">
        <v>3</v>
      </c>
      <c r="H41" s="5">
        <v>0</v>
      </c>
      <c r="I41" s="5">
        <v>24</v>
      </c>
      <c r="J41" s="5">
        <v>5</v>
      </c>
      <c r="K41" s="5">
        <v>6</v>
      </c>
      <c r="L41" s="4">
        <f>0.04639+0.01664</f>
      </c>
      <c r="M41" s="4">
        <f>0.04639+0.01664</f>
      </c>
      <c r="N41" s="1" t="s">
        <v>26</v>
      </c>
      <c r="O41" s="1" t="s">
        <v>94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4</v>
      </c>
      <c r="G42" s="5">
        <v>4</v>
      </c>
      <c r="H42" s="5">
        <v>0</v>
      </c>
      <c r="I42" s="5">
        <v>24</v>
      </c>
      <c r="J42" s="5">
        <v>5</v>
      </c>
      <c r="K42" s="5">
        <v>6</v>
      </c>
      <c r="L42" s="4">
        <f>0.04639+0.02167</f>
      </c>
      <c r="M42" s="4">
        <f>0.04639+0.02167</f>
      </c>
      <c r="N42" s="1" t="s">
        <v>26</v>
      </c>
      <c r="O42" s="1" t="s">
        <v>94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5</v>
      </c>
      <c r="G43" s="5">
        <v>5</v>
      </c>
      <c r="H43" s="5">
        <v>0</v>
      </c>
      <c r="I43" s="5">
        <v>24</v>
      </c>
      <c r="J43" s="5">
        <v>5</v>
      </c>
      <c r="K43" s="5">
        <v>6</v>
      </c>
      <c r="L43" s="4">
        <f>0.04639+0.01837</f>
      </c>
      <c r="M43" s="4">
        <f>0.04639+0.01837</f>
      </c>
      <c r="N43" s="1" t="s">
        <v>26</v>
      </c>
      <c r="O43" s="1" t="s">
        <v>94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6</v>
      </c>
      <c r="G44" s="5">
        <v>6</v>
      </c>
      <c r="H44" s="5">
        <v>0</v>
      </c>
      <c r="I44" s="5">
        <v>24</v>
      </c>
      <c r="J44" s="5">
        <v>5</v>
      </c>
      <c r="K44" s="5">
        <v>6</v>
      </c>
      <c r="L44" s="4">
        <f>0.04639+0.01845</f>
      </c>
      <c r="M44" s="4">
        <f>0.04639+0.01845</f>
      </c>
      <c r="N44" s="1" t="s">
        <v>26</v>
      </c>
      <c r="O44" s="1" t="s">
        <v>94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7</v>
      </c>
      <c r="G45" s="5">
        <v>7</v>
      </c>
      <c r="H45" s="5">
        <v>0</v>
      </c>
      <c r="I45" s="5">
        <v>24</v>
      </c>
      <c r="J45" s="5">
        <v>5</v>
      </c>
      <c r="K45" s="5">
        <v>6</v>
      </c>
      <c r="L45" s="4">
        <f>0.04639+0.02024</f>
      </c>
      <c r="M45" s="4">
        <f>0.04639+0.02024</f>
      </c>
      <c r="N45" s="1" t="s">
        <v>26</v>
      </c>
      <c r="O45" s="1" t="s">
        <v>94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5</v>
      </c>
      <c r="K46" s="5">
        <v>6</v>
      </c>
      <c r="L46" s="4">
        <f>0.04639+0.01995</f>
      </c>
      <c r="M46" s="4">
        <f>0.04639+0.01995</f>
      </c>
      <c r="N46" s="1" t="s">
        <v>26</v>
      </c>
      <c r="O46" s="1" t="s">
        <v>94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9</v>
      </c>
      <c r="G47" s="5">
        <v>9</v>
      </c>
      <c r="H47" s="5">
        <v>0</v>
      </c>
      <c r="I47" s="5">
        <v>24</v>
      </c>
      <c r="J47" s="5">
        <v>5</v>
      </c>
      <c r="K47" s="5">
        <v>6</v>
      </c>
      <c r="L47" s="4">
        <f>0.04639+0.01918</f>
      </c>
      <c r="M47" s="4">
        <f>0.04639+0.01918</f>
      </c>
      <c r="N47" s="1" t="s">
        <v>26</v>
      </c>
      <c r="O47" s="1" t="s">
        <v>94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0</v>
      </c>
      <c r="I48" s="5">
        <v>24</v>
      </c>
      <c r="J48" s="5">
        <v>5</v>
      </c>
      <c r="K48" s="5">
        <v>6</v>
      </c>
      <c r="L48" s="4">
        <f>0.04639+0.0002126</f>
      </c>
      <c r="M48" s="4">
        <f>0.04639+0.0002126</f>
      </c>
      <c r="N48" s="1" t="s">
        <v>26</v>
      </c>
      <c r="O48" s="1" t="s">
        <v>94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11</v>
      </c>
      <c r="G49" s="5">
        <v>11</v>
      </c>
      <c r="H49" s="5">
        <v>0</v>
      </c>
      <c r="I49" s="5">
        <v>24</v>
      </c>
      <c r="J49" s="5">
        <v>5</v>
      </c>
      <c r="K49" s="5">
        <v>6</v>
      </c>
      <c r="L49" s="4">
        <f>0.04639+0.02334</f>
      </c>
      <c r="M49" s="4">
        <f>0.04639+0.02334</f>
      </c>
      <c r="N49" s="1" t="s">
        <v>26</v>
      </c>
      <c r="O49" s="1" t="s">
        <v>94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24</v>
      </c>
      <c r="J50" s="5">
        <v>5</v>
      </c>
      <c r="K50" s="5">
        <v>6</v>
      </c>
      <c r="L50" s="4">
        <f>0.04639+0.02511</f>
      </c>
      <c r="M50" s="4">
        <f>0.04639+0.02511</f>
      </c>
      <c r="N50" s="1" t="s">
        <v>26</v>
      </c>
      <c r="O50" s="1" t="s">
        <v>94</v>
      </c>
    </row>
    <row x14ac:dyDescent="0.25" r="51" customHeight="1" ht="17.25">
      <c r="A51" s="1" t="s">
        <v>13</v>
      </c>
      <c r="B51" s="1" t="s">
        <v>17</v>
      </c>
      <c r="C51" s="1" t="s">
        <v>51</v>
      </c>
      <c r="D51" s="5">
        <v>0</v>
      </c>
      <c r="E51" s="5">
        <v>0</v>
      </c>
      <c r="F51" s="5">
        <v>1</v>
      </c>
      <c r="G51" s="5">
        <v>3</v>
      </c>
      <c r="H51" s="5">
        <v>4</v>
      </c>
      <c r="I51" s="5">
        <v>10</v>
      </c>
      <c r="J51" s="5">
        <v>0</v>
      </c>
      <c r="K51" s="5">
        <v>4</v>
      </c>
      <c r="L51" s="4">
        <v>11.74</v>
      </c>
      <c r="M51" s="4">
        <v>11.74</v>
      </c>
      <c r="N51" s="1" t="s">
        <v>19</v>
      </c>
      <c r="O51" s="1"/>
    </row>
    <row x14ac:dyDescent="0.25" r="52" customHeight="1" ht="17.25">
      <c r="A52" s="1" t="s">
        <v>13</v>
      </c>
      <c r="B52" s="1" t="s">
        <v>17</v>
      </c>
      <c r="C52" s="1" t="s">
        <v>53</v>
      </c>
      <c r="D52" s="5">
        <v>0</v>
      </c>
      <c r="E52" s="5">
        <v>0</v>
      </c>
      <c r="F52" s="5">
        <v>4</v>
      </c>
      <c r="G52" s="5">
        <v>10</v>
      </c>
      <c r="H52" s="5">
        <v>13</v>
      </c>
      <c r="I52" s="5">
        <v>19</v>
      </c>
      <c r="J52" s="5">
        <v>0</v>
      </c>
      <c r="K52" s="5">
        <v>4</v>
      </c>
      <c r="L52" s="4">
        <v>11.74</v>
      </c>
      <c r="M52" s="4">
        <v>11.74</v>
      </c>
      <c r="N52" s="1" t="s">
        <v>19</v>
      </c>
      <c r="O52" s="1"/>
    </row>
    <row x14ac:dyDescent="0.25" r="53" customHeight="1" ht="17.25">
      <c r="A53" s="1" t="s">
        <v>13</v>
      </c>
      <c r="B53" s="1" t="s">
        <v>17</v>
      </c>
      <c r="C53" s="1" t="s">
        <v>56</v>
      </c>
      <c r="D53" s="5">
        <v>0</v>
      </c>
      <c r="E53" s="5">
        <v>0</v>
      </c>
      <c r="F53" s="5">
        <v>11</v>
      </c>
      <c r="G53" s="5">
        <v>12</v>
      </c>
      <c r="H53" s="5">
        <v>4</v>
      </c>
      <c r="I53" s="5">
        <v>10</v>
      </c>
      <c r="J53" s="5">
        <v>0</v>
      </c>
      <c r="K53" s="5">
        <v>4</v>
      </c>
      <c r="L53" s="4">
        <v>11.74</v>
      </c>
      <c r="M53" s="4">
        <v>11.74</v>
      </c>
      <c r="N53" s="1" t="s">
        <v>19</v>
      </c>
      <c r="O53" s="1"/>
    </row>
    <row x14ac:dyDescent="0.25" r="54" customHeight="1" ht="17.25">
      <c r="A54" s="1" t="s">
        <v>13</v>
      </c>
      <c r="B54" s="1" t="s">
        <v>17</v>
      </c>
      <c r="C54" s="1" t="s">
        <v>24</v>
      </c>
      <c r="D54" s="5">
        <v>0</v>
      </c>
      <c r="E54" s="5">
        <v>0</v>
      </c>
      <c r="F54" s="5">
        <v>1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v>5.6</v>
      </c>
      <c r="M54" s="4">
        <v>5.6</v>
      </c>
      <c r="N54" s="1" t="s">
        <v>19</v>
      </c>
      <c r="O54" s="1"/>
    </row>
    <row x14ac:dyDescent="0.25" r="55" customHeight="1" ht="17.25">
      <c r="A55" s="1" t="s">
        <v>34</v>
      </c>
      <c r="B55" s="1" t="s">
        <v>17</v>
      </c>
      <c r="C55" s="1" t="s">
        <v>24</v>
      </c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24</v>
      </c>
      <c r="J55" s="5">
        <v>0</v>
      </c>
      <c r="K55" s="5">
        <v>6</v>
      </c>
      <c r="L55" s="4">
        <f>(0.256 + 0.514)*24</f>
      </c>
      <c r="M55" s="11">
        <f>L55/2.83168</f>
      </c>
      <c r="N55" s="1" t="s">
        <v>35</v>
      </c>
      <c r="O55" s="1"/>
    </row>
    <row x14ac:dyDescent="0.25" r="56" customHeight="1" ht="17.25">
      <c r="A56" s="1" t="s">
        <v>34</v>
      </c>
      <c r="B56" s="1" t="s">
        <v>17</v>
      </c>
      <c r="C56" s="1" t="s">
        <v>24</v>
      </c>
      <c r="D56" s="5">
        <v>0</v>
      </c>
      <c r="E56" s="5">
        <v>0</v>
      </c>
      <c r="F56" s="5">
        <v>2</v>
      </c>
      <c r="G56" s="5">
        <v>2</v>
      </c>
      <c r="H56" s="5">
        <v>0</v>
      </c>
      <c r="I56" s="5">
        <v>24</v>
      </c>
      <c r="J56" s="5">
        <v>0</v>
      </c>
      <c r="K56" s="5">
        <v>6</v>
      </c>
      <c r="L56" s="4">
        <f>(0.256 + 0.561)*24</f>
      </c>
      <c r="M56" s="11">
        <f>L56/2.83168</f>
      </c>
      <c r="N56" s="1" t="s">
        <v>35</v>
      </c>
      <c r="O56" s="1"/>
    </row>
    <row x14ac:dyDescent="0.25" r="57" customHeight="1" ht="17.25">
      <c r="A57" s="1" t="s">
        <v>34</v>
      </c>
      <c r="B57" s="1" t="s">
        <v>17</v>
      </c>
      <c r="C57" s="1" t="s">
        <v>24</v>
      </c>
      <c r="D57" s="5">
        <v>0</v>
      </c>
      <c r="E57" s="5">
        <v>0</v>
      </c>
      <c r="F57" s="5">
        <v>3</v>
      </c>
      <c r="G57" s="5">
        <v>3</v>
      </c>
      <c r="H57" s="5">
        <v>0</v>
      </c>
      <c r="I57" s="5">
        <v>24</v>
      </c>
      <c r="J57" s="5">
        <v>0</v>
      </c>
      <c r="K57" s="5">
        <v>6</v>
      </c>
      <c r="L57" s="4">
        <f>(0.256 + 0.441)*24</f>
      </c>
      <c r="M57" s="11">
        <f>L57/2.83168</f>
      </c>
      <c r="N57" s="1" t="s">
        <v>35</v>
      </c>
      <c r="O57" s="1"/>
    </row>
    <row x14ac:dyDescent="0.25" r="58" customHeight="1" ht="17.25">
      <c r="A58" s="1" t="s">
        <v>34</v>
      </c>
      <c r="B58" s="1" t="s">
        <v>17</v>
      </c>
      <c r="C58" s="1" t="s">
        <v>24</v>
      </c>
      <c r="D58" s="5">
        <v>0</v>
      </c>
      <c r="E58" s="5">
        <v>0</v>
      </c>
      <c r="F58" s="5">
        <v>4</v>
      </c>
      <c r="G58" s="5">
        <v>4</v>
      </c>
      <c r="H58" s="5">
        <v>0</v>
      </c>
      <c r="I58" s="5">
        <v>24</v>
      </c>
      <c r="J58" s="5">
        <v>0</v>
      </c>
      <c r="K58" s="5">
        <v>6</v>
      </c>
      <c r="L58" s="4">
        <f>(0.256 + 0.37)*24</f>
      </c>
      <c r="M58" s="11">
        <f>L58/2.83168</f>
      </c>
      <c r="N58" s="1" t="s">
        <v>35</v>
      </c>
      <c r="O58" s="1"/>
    </row>
    <row x14ac:dyDescent="0.25" r="59" customHeight="1" ht="17.25">
      <c r="A59" s="1" t="s">
        <v>34</v>
      </c>
      <c r="B59" s="1" t="s">
        <v>17</v>
      </c>
      <c r="C59" s="1" t="s">
        <v>24</v>
      </c>
      <c r="D59" s="5">
        <v>0</v>
      </c>
      <c r="E59" s="5">
        <v>0</v>
      </c>
      <c r="F59" s="5">
        <v>5</v>
      </c>
      <c r="G59" s="5">
        <v>5</v>
      </c>
      <c r="H59" s="5">
        <v>0</v>
      </c>
      <c r="I59" s="5">
        <v>24</v>
      </c>
      <c r="J59" s="5">
        <v>0</v>
      </c>
      <c r="K59" s="5">
        <v>6</v>
      </c>
      <c r="L59" s="4">
        <f>(0.256 + 0.174)*24</f>
      </c>
      <c r="M59" s="11">
        <f>L59/2.83168</f>
      </c>
      <c r="N59" s="1" t="s">
        <v>35</v>
      </c>
      <c r="O59" s="1"/>
    </row>
    <row x14ac:dyDescent="0.25" r="60" customHeight="1" ht="17.25">
      <c r="A60" s="1" t="s">
        <v>34</v>
      </c>
      <c r="B60" s="1" t="s">
        <v>17</v>
      </c>
      <c r="C60" s="1" t="s">
        <v>24</v>
      </c>
      <c r="D60" s="5">
        <v>0</v>
      </c>
      <c r="E60" s="5">
        <v>0</v>
      </c>
      <c r="F60" s="5">
        <v>6</v>
      </c>
      <c r="G60" s="5">
        <v>6</v>
      </c>
      <c r="H60" s="5">
        <v>0</v>
      </c>
      <c r="I60" s="5">
        <v>24</v>
      </c>
      <c r="J60" s="5">
        <v>0</v>
      </c>
      <c r="K60" s="5">
        <v>6</v>
      </c>
      <c r="L60" s="4">
        <f>(0.256 + 0.057)*24</f>
      </c>
      <c r="M60" s="11">
        <f>L60/2.83168</f>
      </c>
      <c r="N60" s="1" t="s">
        <v>35</v>
      </c>
      <c r="O60" s="1"/>
    </row>
    <row x14ac:dyDescent="0.25" r="61" customHeight="1" ht="17.25">
      <c r="A61" s="1" t="s">
        <v>34</v>
      </c>
      <c r="B61" s="1" t="s">
        <v>17</v>
      </c>
      <c r="C61" s="1" t="s">
        <v>24</v>
      </c>
      <c r="D61" s="5">
        <v>0</v>
      </c>
      <c r="E61" s="5">
        <v>0</v>
      </c>
      <c r="F61" s="5">
        <v>7</v>
      </c>
      <c r="G61" s="5">
        <v>7</v>
      </c>
      <c r="H61" s="5">
        <v>0</v>
      </c>
      <c r="I61" s="5">
        <v>24</v>
      </c>
      <c r="J61" s="5">
        <v>0</v>
      </c>
      <c r="K61" s="5">
        <v>6</v>
      </c>
      <c r="L61" s="4">
        <f>(0.256 + 0.082)*24</f>
      </c>
      <c r="M61" s="11">
        <f>L61/2.83168</f>
      </c>
      <c r="N61" s="1" t="s">
        <v>35</v>
      </c>
      <c r="O61" s="1"/>
    </row>
    <row x14ac:dyDescent="0.25" r="62" customHeight="1" ht="17.25">
      <c r="A62" s="1" t="s">
        <v>34</v>
      </c>
      <c r="B62" s="1" t="s">
        <v>17</v>
      </c>
      <c r="C62" s="1" t="s">
        <v>24</v>
      </c>
      <c r="D62" s="5">
        <v>0</v>
      </c>
      <c r="E62" s="5">
        <v>0</v>
      </c>
      <c r="F62" s="5">
        <v>8</v>
      </c>
      <c r="G62" s="5">
        <v>8</v>
      </c>
      <c r="H62" s="5">
        <v>0</v>
      </c>
      <c r="I62" s="5">
        <v>24</v>
      </c>
      <c r="J62" s="5">
        <v>0</v>
      </c>
      <c r="K62" s="5">
        <v>6</v>
      </c>
      <c r="L62" s="4">
        <f>(0.256 + 0.071)*24</f>
      </c>
      <c r="M62" s="11">
        <f>L62/2.83168</f>
      </c>
      <c r="N62" s="1" t="s">
        <v>35</v>
      </c>
      <c r="O62" s="1"/>
    </row>
    <row x14ac:dyDescent="0.25" r="63" customHeight="1" ht="17.25">
      <c r="A63" s="1" t="s">
        <v>34</v>
      </c>
      <c r="B63" s="1" t="s">
        <v>17</v>
      </c>
      <c r="C63" s="1" t="s">
        <v>24</v>
      </c>
      <c r="D63" s="5">
        <v>0</v>
      </c>
      <c r="E63" s="5">
        <v>0</v>
      </c>
      <c r="F63" s="5">
        <v>9</v>
      </c>
      <c r="G63" s="5">
        <v>9</v>
      </c>
      <c r="H63" s="5">
        <v>0</v>
      </c>
      <c r="I63" s="5">
        <v>24</v>
      </c>
      <c r="J63" s="5">
        <v>0</v>
      </c>
      <c r="K63" s="5">
        <v>6</v>
      </c>
      <c r="L63" s="4">
        <f>(0.256 + 0.079)*24</f>
      </c>
      <c r="M63" s="11">
        <f>L63/2.83168</f>
      </c>
      <c r="N63" s="1" t="s">
        <v>35</v>
      </c>
      <c r="O63" s="1"/>
    </row>
    <row x14ac:dyDescent="0.25" r="64" customHeight="1" ht="17.25">
      <c r="A64" s="1" t="s">
        <v>34</v>
      </c>
      <c r="B64" s="1" t="s">
        <v>17</v>
      </c>
      <c r="C64" s="1" t="s">
        <v>24</v>
      </c>
      <c r="D64" s="5">
        <v>0</v>
      </c>
      <c r="E64" s="5">
        <v>0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(0.256 + 0.075)*24</f>
      </c>
      <c r="M64" s="11">
        <f>L64/2.83168</f>
      </c>
      <c r="N64" s="1" t="s">
        <v>35</v>
      </c>
      <c r="O64" s="1"/>
    </row>
    <row x14ac:dyDescent="0.25" r="65" customHeight="1" ht="17.25">
      <c r="A65" s="1" t="s">
        <v>34</v>
      </c>
      <c r="B65" s="1" t="s">
        <v>17</v>
      </c>
      <c r="C65" s="1" t="s">
        <v>24</v>
      </c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(0.256 + 0.253)*24</f>
      </c>
      <c r="M65" s="11">
        <f>L65/2.83168</f>
      </c>
      <c r="N65" s="1" t="s">
        <v>35</v>
      </c>
      <c r="O65" s="1"/>
    </row>
    <row x14ac:dyDescent="0.25" r="66" customHeight="1" ht="17.25">
      <c r="A66" s="1" t="s">
        <v>34</v>
      </c>
      <c r="B66" s="1" t="s">
        <v>17</v>
      </c>
      <c r="C66" s="1" t="s">
        <v>24</v>
      </c>
      <c r="D66" s="5">
        <v>0</v>
      </c>
      <c r="E66" s="5">
        <v>0</v>
      </c>
      <c r="F66" s="5">
        <v>12</v>
      </c>
      <c r="G66" s="5">
        <v>12</v>
      </c>
      <c r="H66" s="5">
        <v>0</v>
      </c>
      <c r="I66" s="5">
        <v>24</v>
      </c>
      <c r="J66" s="5">
        <v>0</v>
      </c>
      <c r="K66" s="5">
        <v>6</v>
      </c>
      <c r="L66" s="4">
        <f>(0.256 + 0.465)*24</f>
      </c>
      <c r="M66" s="11">
        <f>L66/2.83168</f>
      </c>
      <c r="N66" s="1" t="s">
        <v>35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</v>
      </c>
      <c r="G67" s="5">
        <v>1</v>
      </c>
      <c r="H67" s="5">
        <v>0</v>
      </c>
      <c r="I67" s="5">
        <v>24</v>
      </c>
      <c r="J67" s="5">
        <v>0</v>
      </c>
      <c r="K67" s="5">
        <v>6</v>
      </c>
      <c r="L67" s="4">
        <f>0.499-0.114</f>
      </c>
      <c r="M67" s="11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200000</v>
      </c>
      <c r="E68" s="5">
        <f>D68*2.83168</f>
      </c>
      <c r="F68" s="5">
        <v>1</v>
      </c>
      <c r="G68" s="5">
        <v>1</v>
      </c>
      <c r="H68" s="5">
        <v>0</v>
      </c>
      <c r="I68" s="5">
        <v>24</v>
      </c>
      <c r="J68" s="5">
        <v>0</v>
      </c>
      <c r="K68" s="5">
        <v>6</v>
      </c>
      <c r="L68" s="4">
        <f>0.403-0.114</f>
      </c>
      <c r="M68" s="11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0</v>
      </c>
      <c r="E69" s="5">
        <v>0</v>
      </c>
      <c r="F69" s="5">
        <v>2</v>
      </c>
      <c r="G69" s="5">
        <v>2</v>
      </c>
      <c r="H69" s="5">
        <v>0</v>
      </c>
      <c r="I69" s="5">
        <v>24</v>
      </c>
      <c r="J69" s="5">
        <v>0</v>
      </c>
      <c r="K69" s="5">
        <v>6</v>
      </c>
      <c r="L69" s="4">
        <f>0.499-0.134</f>
      </c>
      <c r="M69" s="11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200000</v>
      </c>
      <c r="E70" s="5">
        <f>D70*2.83168</f>
      </c>
      <c r="F70" s="5">
        <v>2</v>
      </c>
      <c r="G70" s="5">
        <v>2</v>
      </c>
      <c r="H70" s="5">
        <v>0</v>
      </c>
      <c r="I70" s="5">
        <v>24</v>
      </c>
      <c r="J70" s="5">
        <v>0</v>
      </c>
      <c r="K70" s="5">
        <v>6</v>
      </c>
      <c r="L70" s="4">
        <f>0.403-0.134</f>
      </c>
      <c r="M70" s="11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0</v>
      </c>
      <c r="E71" s="5">
        <v>0</v>
      </c>
      <c r="F71" s="5">
        <v>3</v>
      </c>
      <c r="G71" s="5">
        <v>3</v>
      </c>
      <c r="H71" s="5">
        <v>0</v>
      </c>
      <c r="I71" s="5">
        <v>24</v>
      </c>
      <c r="J71" s="5">
        <v>0</v>
      </c>
      <c r="K71" s="5">
        <v>6</v>
      </c>
      <c r="L71" s="4">
        <f>0.499+0.436</f>
      </c>
      <c r="M71" s="11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200000</v>
      </c>
      <c r="E72" s="5">
        <f>D72*2.83168</f>
      </c>
      <c r="F72" s="5">
        <v>3</v>
      </c>
      <c r="G72" s="5">
        <v>3</v>
      </c>
      <c r="H72" s="5">
        <v>0</v>
      </c>
      <c r="I72" s="5">
        <v>24</v>
      </c>
      <c r="J72" s="5">
        <v>0</v>
      </c>
      <c r="K72" s="5">
        <v>6</v>
      </c>
      <c r="L72" s="4">
        <f>0.403+0.436</f>
      </c>
      <c r="M72" s="11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0</v>
      </c>
      <c r="E73" s="5">
        <v>0</v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0.499-0.045</f>
      </c>
      <c r="M73" s="11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200000</v>
      </c>
      <c r="E74" s="5">
        <f>D74*2.83168</f>
      </c>
      <c r="F74" s="5">
        <v>4</v>
      </c>
      <c r="G74" s="5">
        <v>4</v>
      </c>
      <c r="H74" s="5">
        <v>0</v>
      </c>
      <c r="I74" s="5">
        <v>24</v>
      </c>
      <c r="J74" s="5">
        <v>0</v>
      </c>
      <c r="K74" s="5">
        <v>6</v>
      </c>
      <c r="L74" s="4">
        <f>0.403-0.045</f>
      </c>
      <c r="M74" s="11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0</v>
      </c>
      <c r="E75" s="5">
        <v>0</v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0.499-0.142</f>
      </c>
      <c r="M75" s="11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200000</v>
      </c>
      <c r="E76" s="5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0.403-0.142</f>
      </c>
      <c r="M76" s="11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0</v>
      </c>
      <c r="E77" s="5">
        <v>0</v>
      </c>
      <c r="F77" s="5">
        <v>6</v>
      </c>
      <c r="G77" s="5">
        <v>6</v>
      </c>
      <c r="H77" s="5">
        <v>0</v>
      </c>
      <c r="I77" s="5">
        <v>24</v>
      </c>
      <c r="J77" s="5">
        <v>0</v>
      </c>
      <c r="K77" s="5">
        <v>6</v>
      </c>
      <c r="L77" s="4">
        <f>0.499-0.15</f>
      </c>
      <c r="M77" s="11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200000</v>
      </c>
      <c r="E78" s="5">
        <f>D78*2.83168</f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0.403-0.15</f>
      </c>
      <c r="M78" s="11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0</v>
      </c>
      <c r="E79" s="5">
        <v>0</v>
      </c>
      <c r="F79" s="5">
        <v>7</v>
      </c>
      <c r="G79" s="5">
        <v>7</v>
      </c>
      <c r="H79" s="5">
        <v>0</v>
      </c>
      <c r="I79" s="5">
        <v>24</v>
      </c>
      <c r="J79" s="5">
        <v>0</v>
      </c>
      <c r="K79" s="5">
        <v>6</v>
      </c>
      <c r="L79" s="4">
        <f>0.499-0.097</f>
      </c>
      <c r="M79" s="11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200000</v>
      </c>
      <c r="E80" s="5">
        <f>D80*2.83168</f>
      </c>
      <c r="F80" s="5">
        <v>7</v>
      </c>
      <c r="G80" s="5">
        <v>7</v>
      </c>
      <c r="H80" s="5">
        <v>0</v>
      </c>
      <c r="I80" s="5">
        <v>24</v>
      </c>
      <c r="J80" s="5">
        <v>0</v>
      </c>
      <c r="K80" s="5">
        <v>6</v>
      </c>
      <c r="L80" s="4">
        <f>0.403-0.097</f>
      </c>
      <c r="M80" s="11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0</v>
      </c>
      <c r="E81" s="5">
        <v>0</v>
      </c>
      <c r="F81" s="5">
        <v>8</v>
      </c>
      <c r="G81" s="5">
        <v>8</v>
      </c>
      <c r="H81" s="5">
        <v>0</v>
      </c>
      <c r="I81" s="5">
        <v>24</v>
      </c>
      <c r="J81" s="5">
        <v>0</v>
      </c>
      <c r="K81" s="5">
        <v>6</v>
      </c>
      <c r="L81" s="4">
        <f>0.499+0.004</f>
      </c>
      <c r="M81" s="11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200000</v>
      </c>
      <c r="E82" s="5">
        <f>D82*2.83168</f>
      </c>
      <c r="F82" s="5">
        <v>8</v>
      </c>
      <c r="G82" s="5">
        <v>8</v>
      </c>
      <c r="H82" s="5">
        <v>0</v>
      </c>
      <c r="I82" s="5">
        <v>24</v>
      </c>
      <c r="J82" s="5">
        <v>0</v>
      </c>
      <c r="K82" s="5">
        <v>6</v>
      </c>
      <c r="L82" s="4">
        <f>0.403+0.004</f>
      </c>
      <c r="M82" s="11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0</v>
      </c>
      <c r="E83" s="5">
        <v>0</v>
      </c>
      <c r="F83" s="5">
        <v>9</v>
      </c>
      <c r="G83" s="5">
        <v>9</v>
      </c>
      <c r="H83" s="5">
        <v>0</v>
      </c>
      <c r="I83" s="5">
        <v>24</v>
      </c>
      <c r="J83" s="5">
        <v>0</v>
      </c>
      <c r="K83" s="5">
        <v>6</v>
      </c>
      <c r="L83" s="4">
        <f>0.499+0.016</f>
      </c>
      <c r="M83" s="11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200000</v>
      </c>
      <c r="E84" s="5">
        <f>D84*2.83168</f>
      </c>
      <c r="F84" s="5">
        <v>9</v>
      </c>
      <c r="G84" s="5">
        <v>9</v>
      </c>
      <c r="H84" s="5">
        <v>0</v>
      </c>
      <c r="I84" s="5">
        <v>24</v>
      </c>
      <c r="J84" s="5">
        <v>0</v>
      </c>
      <c r="K84" s="5">
        <v>6</v>
      </c>
      <c r="L84" s="4">
        <f>0.403+0.016</f>
      </c>
      <c r="M84" s="11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0</v>
      </c>
      <c r="E85" s="5">
        <v>0</v>
      </c>
      <c r="F85" s="5">
        <v>10</v>
      </c>
      <c r="G85" s="5">
        <v>10</v>
      </c>
      <c r="H85" s="5">
        <v>0</v>
      </c>
      <c r="I85" s="5">
        <v>24</v>
      </c>
      <c r="J85" s="5">
        <v>0</v>
      </c>
      <c r="K85" s="5">
        <v>6</v>
      </c>
      <c r="L85" s="4">
        <f>0.499+0.052</f>
      </c>
      <c r="M85" s="11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200000</v>
      </c>
      <c r="E86" s="5">
        <f>D86*2.83168</f>
      </c>
      <c r="F86" s="5">
        <v>10</v>
      </c>
      <c r="G86" s="5">
        <v>10</v>
      </c>
      <c r="H86" s="5">
        <v>0</v>
      </c>
      <c r="I86" s="5">
        <v>24</v>
      </c>
      <c r="J86" s="5">
        <v>0</v>
      </c>
      <c r="K86" s="5">
        <v>6</v>
      </c>
      <c r="L86" s="4">
        <f>0.403+0.052</f>
      </c>
      <c r="M86" s="11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0</v>
      </c>
      <c r="E87" s="5">
        <v>0</v>
      </c>
      <c r="F87" s="5">
        <v>11</v>
      </c>
      <c r="G87" s="5">
        <v>11</v>
      </c>
      <c r="H87" s="5">
        <v>0</v>
      </c>
      <c r="I87" s="5">
        <v>24</v>
      </c>
      <c r="J87" s="5">
        <v>0</v>
      </c>
      <c r="K87" s="5">
        <v>6</v>
      </c>
      <c r="L87" s="4">
        <f>0.499+0.071</f>
      </c>
      <c r="M87" s="11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200000</v>
      </c>
      <c r="E88" s="5">
        <f>D88*2.83168</f>
      </c>
      <c r="F88" s="5">
        <v>11</v>
      </c>
      <c r="G88" s="5">
        <v>11</v>
      </c>
      <c r="H88" s="5">
        <v>0</v>
      </c>
      <c r="I88" s="5">
        <v>24</v>
      </c>
      <c r="J88" s="5">
        <v>0</v>
      </c>
      <c r="K88" s="5">
        <v>6</v>
      </c>
      <c r="L88" s="4">
        <f>0.403+0.071</f>
      </c>
      <c r="M88" s="11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0</v>
      </c>
      <c r="E89" s="5">
        <v>0</v>
      </c>
      <c r="F89" s="5">
        <v>12</v>
      </c>
      <c r="G89" s="5">
        <v>12</v>
      </c>
      <c r="H89" s="5">
        <v>0</v>
      </c>
      <c r="I89" s="5">
        <v>24</v>
      </c>
      <c r="J89" s="5">
        <v>0</v>
      </c>
      <c r="K89" s="5">
        <v>6</v>
      </c>
      <c r="L89" s="4">
        <f>0.499+0.16</f>
      </c>
      <c r="M89" s="11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200000</v>
      </c>
      <c r="E90" s="5">
        <f>D90*2.83168</f>
      </c>
      <c r="F90" s="5">
        <v>12</v>
      </c>
      <c r="G90" s="5">
        <v>12</v>
      </c>
      <c r="H90" s="5">
        <v>0</v>
      </c>
      <c r="I90" s="5">
        <v>24</v>
      </c>
      <c r="J90" s="5">
        <v>0</v>
      </c>
      <c r="K90" s="5">
        <v>6</v>
      </c>
      <c r="L90" s="4">
        <f>0.403+0.16</f>
      </c>
      <c r="M90" s="11">
        <f>L90/2.83168</f>
      </c>
      <c r="N90" s="1" t="s">
        <v>36</v>
      </c>
      <c r="O9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f>2000+350</f>
      </c>
      <c r="M2" s="5">
        <f>2000+350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4</v>
      </c>
      <c r="J3" s="5">
        <v>0</v>
      </c>
      <c r="K3" s="5">
        <v>4</v>
      </c>
      <c r="L3" s="4">
        <f>0.06514+0.01679</f>
      </c>
      <c r="M3" s="4">
        <f>0.06514+0.01679</f>
      </c>
      <c r="N3" s="1" t="s">
        <v>26</v>
      </c>
      <c r="O3" s="1" t="s">
        <v>94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4</v>
      </c>
      <c r="I4" s="5">
        <v>10</v>
      </c>
      <c r="J4" s="5">
        <v>0</v>
      </c>
      <c r="K4" s="5">
        <v>4</v>
      </c>
      <c r="L4" s="4">
        <f>0.07648+0.01679</f>
      </c>
      <c r="M4" s="4">
        <f>0.07648+0.01679</f>
      </c>
      <c r="N4" s="1" t="s">
        <v>26</v>
      </c>
      <c r="O4" s="1" t="s">
        <v>94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10</v>
      </c>
      <c r="I5" s="5">
        <v>24</v>
      </c>
      <c r="J5" s="5">
        <v>0</v>
      </c>
      <c r="K5" s="5">
        <v>4</v>
      </c>
      <c r="L5" s="4">
        <f>0.06514+0.01679</f>
      </c>
      <c r="M5" s="4">
        <f>0.06514+0.01679</f>
      </c>
      <c r="N5" s="1" t="s">
        <v>26</v>
      </c>
      <c r="O5" s="1" t="s">
        <v>94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5</v>
      </c>
      <c r="K6" s="5">
        <v>6</v>
      </c>
      <c r="L6" s="4">
        <f>0.06514+0.01679</f>
      </c>
      <c r="M6" s="4">
        <f>0.06514+0.01679</f>
      </c>
      <c r="N6" s="1" t="s">
        <v>26</v>
      </c>
      <c r="O6" s="1" t="s">
        <v>94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0</v>
      </c>
      <c r="I7" s="5">
        <v>4</v>
      </c>
      <c r="J7" s="5">
        <v>0</v>
      </c>
      <c r="K7" s="5">
        <v>4</v>
      </c>
      <c r="L7" s="4">
        <f>0.06514+0.0159</f>
      </c>
      <c r="M7" s="4">
        <f>0.06514+0.0159</f>
      </c>
      <c r="N7" s="1" t="s">
        <v>26</v>
      </c>
      <c r="O7" s="1" t="s">
        <v>94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2</v>
      </c>
      <c r="H8" s="5">
        <v>4</v>
      </c>
      <c r="I8" s="5">
        <v>10</v>
      </c>
      <c r="J8" s="5">
        <v>0</v>
      </c>
      <c r="K8" s="5">
        <v>4</v>
      </c>
      <c r="L8" s="4">
        <f>0.07648+0.0159</f>
      </c>
      <c r="M8" s="4">
        <f>0.07648+0.0159</f>
      </c>
      <c r="N8" s="1" t="s">
        <v>26</v>
      </c>
      <c r="O8" s="1" t="s">
        <v>94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2</v>
      </c>
      <c r="G9" s="5">
        <v>2</v>
      </c>
      <c r="H9" s="5">
        <v>10</v>
      </c>
      <c r="I9" s="5">
        <v>24</v>
      </c>
      <c r="J9" s="5">
        <v>0</v>
      </c>
      <c r="K9" s="5">
        <v>4</v>
      </c>
      <c r="L9" s="4">
        <f>0.06514+0.0159</f>
      </c>
      <c r="M9" s="4">
        <f>0.06514+0.0159</f>
      </c>
      <c r="N9" s="1" t="s">
        <v>26</v>
      </c>
      <c r="O9" s="1" t="s">
        <v>94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5</v>
      </c>
      <c r="K10" s="5">
        <v>6</v>
      </c>
      <c r="L10" s="4">
        <f>0.06514+0.0159</f>
      </c>
      <c r="M10" s="4">
        <f>0.06514+0.0159</f>
      </c>
      <c r="N10" s="1" t="s">
        <v>26</v>
      </c>
      <c r="O10" s="1" t="s">
        <v>94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0</v>
      </c>
      <c r="I11" s="5">
        <v>4</v>
      </c>
      <c r="J11" s="5">
        <v>0</v>
      </c>
      <c r="K11" s="5">
        <v>4</v>
      </c>
      <c r="L11" s="4">
        <f>0.06514+0.01664</f>
      </c>
      <c r="M11" s="4">
        <f>0.06514+0.01664</f>
      </c>
      <c r="N11" s="1" t="s">
        <v>26</v>
      </c>
      <c r="O11" s="1" t="s">
        <v>94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3</v>
      </c>
      <c r="G12" s="5">
        <v>3</v>
      </c>
      <c r="H12" s="5">
        <v>4</v>
      </c>
      <c r="I12" s="5">
        <v>10</v>
      </c>
      <c r="J12" s="5">
        <v>0</v>
      </c>
      <c r="K12" s="5">
        <v>4</v>
      </c>
      <c r="L12" s="4">
        <f>0.07648+0.01664</f>
      </c>
      <c r="M12" s="4">
        <f>0.07648+0.01664</f>
      </c>
      <c r="N12" s="1" t="s">
        <v>26</v>
      </c>
      <c r="O12" s="1" t="s">
        <v>94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3</v>
      </c>
      <c r="G13" s="5">
        <v>3</v>
      </c>
      <c r="H13" s="5">
        <v>10</v>
      </c>
      <c r="I13" s="5">
        <v>24</v>
      </c>
      <c r="J13" s="5">
        <v>0</v>
      </c>
      <c r="K13" s="5">
        <v>4</v>
      </c>
      <c r="L13" s="4">
        <f>0.06514+0.01664</f>
      </c>
      <c r="M13" s="4">
        <f>0.06514+0.01664</f>
      </c>
      <c r="N13" s="1" t="s">
        <v>26</v>
      </c>
      <c r="O13" s="1" t="s">
        <v>94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24</v>
      </c>
      <c r="J14" s="5">
        <v>5</v>
      </c>
      <c r="K14" s="5">
        <v>6</v>
      </c>
      <c r="L14" s="4">
        <f>0.06514+0.01664</f>
      </c>
      <c r="M14" s="4">
        <f>0.06514+0.01664</f>
      </c>
      <c r="N14" s="1" t="s">
        <v>26</v>
      </c>
      <c r="O14" s="1" t="s">
        <v>94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4</v>
      </c>
      <c r="G15" s="5">
        <v>4</v>
      </c>
      <c r="H15" s="5">
        <v>0</v>
      </c>
      <c r="I15" s="5">
        <v>24</v>
      </c>
      <c r="J15" s="5">
        <v>0</v>
      </c>
      <c r="K15" s="5">
        <v>6</v>
      </c>
      <c r="L15" s="4">
        <f>0.0626+0.02167</f>
      </c>
      <c r="M15" s="4">
        <f>0.0626+0.02167</f>
      </c>
      <c r="N15" s="1" t="s">
        <v>26</v>
      </c>
      <c r="O15" s="1" t="s">
        <v>94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5</v>
      </c>
      <c r="G16" s="5">
        <v>5</v>
      </c>
      <c r="H16" s="5">
        <v>0</v>
      </c>
      <c r="I16" s="5">
        <v>24</v>
      </c>
      <c r="J16" s="5">
        <v>0</v>
      </c>
      <c r="K16" s="5">
        <v>6</v>
      </c>
      <c r="L16" s="4">
        <f>0.0626+0.01837</f>
      </c>
      <c r="M16" s="4">
        <f>0.0626+0.01837</f>
      </c>
      <c r="N16" s="1" t="s">
        <v>26</v>
      </c>
      <c r="O16" s="1" t="s">
        <v>94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0</v>
      </c>
      <c r="I17" s="5">
        <v>13</v>
      </c>
      <c r="J17" s="5">
        <v>0</v>
      </c>
      <c r="K17" s="5">
        <v>4</v>
      </c>
      <c r="L17" s="4">
        <f>0.06292+0.01845</f>
      </c>
      <c r="M17" s="4">
        <f>0.06292+0.01845</f>
      </c>
      <c r="N17" s="1" t="s">
        <v>26</v>
      </c>
      <c r="O17" s="1" t="s">
        <v>94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6</v>
      </c>
      <c r="G18" s="5">
        <v>6</v>
      </c>
      <c r="H18" s="5">
        <v>13</v>
      </c>
      <c r="I18" s="5">
        <v>19</v>
      </c>
      <c r="J18" s="5">
        <v>0</v>
      </c>
      <c r="K18" s="5">
        <v>4</v>
      </c>
      <c r="L18" s="4">
        <f>0.08783+0.01845</f>
      </c>
      <c r="M18" s="4">
        <f>0.08783+0.01845</f>
      </c>
      <c r="N18" s="1" t="s">
        <v>26</v>
      </c>
      <c r="O18" s="1" t="s">
        <v>94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6</v>
      </c>
      <c r="G19" s="5">
        <v>6</v>
      </c>
      <c r="H19" s="5">
        <v>20</v>
      </c>
      <c r="I19" s="5">
        <v>24</v>
      </c>
      <c r="J19" s="5">
        <v>0</v>
      </c>
      <c r="K19" s="5">
        <v>4</v>
      </c>
      <c r="L19" s="4">
        <f>0.06292+0.01845</f>
      </c>
      <c r="M19" s="4">
        <f>0.06292+0.01845</f>
      </c>
      <c r="N19" s="1" t="s">
        <v>26</v>
      </c>
      <c r="O19" s="1" t="s">
        <v>94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6</v>
      </c>
      <c r="H20" s="5">
        <v>0</v>
      </c>
      <c r="I20" s="5">
        <v>24</v>
      </c>
      <c r="J20" s="5">
        <v>5</v>
      </c>
      <c r="K20" s="5">
        <v>6</v>
      </c>
      <c r="L20" s="4">
        <f>0.06292+0.01845</f>
      </c>
      <c r="M20" s="4">
        <f>0.06292+0.01845</f>
      </c>
      <c r="N20" s="1" t="s">
        <v>26</v>
      </c>
      <c r="O20" s="1" t="s">
        <v>94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0</v>
      </c>
      <c r="I21" s="5">
        <v>13</v>
      </c>
      <c r="J21" s="5">
        <v>0</v>
      </c>
      <c r="K21" s="5">
        <v>4</v>
      </c>
      <c r="L21" s="4">
        <f>0.06292+0.02024</f>
      </c>
      <c r="M21" s="4">
        <f>0.06292+0.02024</f>
      </c>
      <c r="N21" s="1" t="s">
        <v>26</v>
      </c>
      <c r="O21" s="1" t="s">
        <v>94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13</v>
      </c>
      <c r="I22" s="5">
        <v>19</v>
      </c>
      <c r="J22" s="5">
        <v>0</v>
      </c>
      <c r="K22" s="5">
        <v>4</v>
      </c>
      <c r="L22" s="4">
        <f>0.08783+0.02024</f>
      </c>
      <c r="M22" s="4">
        <f>0.08783+0.02024</f>
      </c>
      <c r="N22" s="1" t="s">
        <v>26</v>
      </c>
      <c r="O22" s="1" t="s">
        <v>94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7</v>
      </c>
      <c r="H23" s="5">
        <v>20</v>
      </c>
      <c r="I23" s="5">
        <v>24</v>
      </c>
      <c r="J23" s="5">
        <v>0</v>
      </c>
      <c r="K23" s="5">
        <v>4</v>
      </c>
      <c r="L23" s="4">
        <f>0.06292+0.02024</f>
      </c>
      <c r="M23" s="4">
        <f>0.06292+0.02024</f>
      </c>
      <c r="N23" s="1" t="s">
        <v>26</v>
      </c>
      <c r="O23" s="1" t="s">
        <v>94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7</v>
      </c>
      <c r="H24" s="5">
        <v>0</v>
      </c>
      <c r="I24" s="5">
        <v>24</v>
      </c>
      <c r="J24" s="5">
        <v>5</v>
      </c>
      <c r="K24" s="5">
        <v>6</v>
      </c>
      <c r="L24" s="4">
        <f>0.06292+0.02024</f>
      </c>
      <c r="M24" s="4">
        <f>0.06292+0.02024</f>
      </c>
      <c r="N24" s="1" t="s">
        <v>26</v>
      </c>
      <c r="O24" s="1" t="s">
        <v>94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13</v>
      </c>
      <c r="J25" s="5">
        <v>0</v>
      </c>
      <c r="K25" s="5">
        <v>4</v>
      </c>
      <c r="L25" s="4">
        <f>0.06292+0.01995</f>
      </c>
      <c r="M25" s="4">
        <f>0.06292+0.01995</f>
      </c>
      <c r="N25" s="1" t="s">
        <v>26</v>
      </c>
      <c r="O25" s="1" t="s">
        <v>94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13</v>
      </c>
      <c r="I26" s="5">
        <v>19</v>
      </c>
      <c r="J26" s="5">
        <v>0</v>
      </c>
      <c r="K26" s="5">
        <v>4</v>
      </c>
      <c r="L26" s="4">
        <f>0.08783+0.01995</f>
      </c>
      <c r="M26" s="4">
        <f>0.08783+0.01995</f>
      </c>
      <c r="N26" s="1" t="s">
        <v>26</v>
      </c>
      <c r="O26" s="1" t="s">
        <v>94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8</v>
      </c>
      <c r="G27" s="5">
        <v>8</v>
      </c>
      <c r="H27" s="5">
        <v>20</v>
      </c>
      <c r="I27" s="5">
        <v>24</v>
      </c>
      <c r="J27" s="5">
        <v>0</v>
      </c>
      <c r="K27" s="5">
        <v>4</v>
      </c>
      <c r="L27" s="4">
        <f>0.06292+0.01995</f>
      </c>
      <c r="M27" s="4">
        <f>0.06292+0.01995</f>
      </c>
      <c r="N27" s="1" t="s">
        <v>26</v>
      </c>
      <c r="O27" s="1" t="s">
        <v>94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8</v>
      </c>
      <c r="G28" s="5">
        <v>8</v>
      </c>
      <c r="H28" s="5">
        <v>0</v>
      </c>
      <c r="I28" s="5">
        <v>24</v>
      </c>
      <c r="J28" s="5">
        <v>5</v>
      </c>
      <c r="K28" s="5">
        <v>6</v>
      </c>
      <c r="L28" s="4">
        <f>0.06292+0.01995</f>
      </c>
      <c r="M28" s="4">
        <f>0.06292+0.01995</f>
      </c>
      <c r="N28" s="1" t="s">
        <v>26</v>
      </c>
      <c r="O28" s="1" t="s">
        <v>94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0</v>
      </c>
      <c r="I29" s="5">
        <v>13</v>
      </c>
      <c r="J29" s="5">
        <v>0</v>
      </c>
      <c r="K29" s="5">
        <v>4</v>
      </c>
      <c r="L29" s="4">
        <f>0.06292+0.01918</f>
      </c>
      <c r="M29" s="4">
        <f>0.06292+0.01918</f>
      </c>
      <c r="N29" s="1" t="s">
        <v>26</v>
      </c>
      <c r="O29" s="1" t="s">
        <v>94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9</v>
      </c>
      <c r="G30" s="5">
        <v>9</v>
      </c>
      <c r="H30" s="5">
        <v>13</v>
      </c>
      <c r="I30" s="5">
        <v>19</v>
      </c>
      <c r="J30" s="5">
        <v>0</v>
      </c>
      <c r="K30" s="5">
        <v>4</v>
      </c>
      <c r="L30" s="4">
        <f>0.08783+0.01918</f>
      </c>
      <c r="M30" s="4">
        <f>0.08783+0.01918</f>
      </c>
      <c r="N30" s="1" t="s">
        <v>26</v>
      </c>
      <c r="O30" s="1" t="s">
        <v>94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9</v>
      </c>
      <c r="G31" s="5">
        <v>9</v>
      </c>
      <c r="H31" s="5">
        <v>20</v>
      </c>
      <c r="I31" s="5">
        <v>24</v>
      </c>
      <c r="J31" s="5">
        <v>0</v>
      </c>
      <c r="K31" s="5">
        <v>4</v>
      </c>
      <c r="L31" s="4">
        <f>0.06292+0.01918</f>
      </c>
      <c r="M31" s="4">
        <f>0.06292+0.01918</f>
      </c>
      <c r="N31" s="1" t="s">
        <v>26</v>
      </c>
      <c r="O31" s="1" t="s">
        <v>94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9</v>
      </c>
      <c r="G32" s="5">
        <v>9</v>
      </c>
      <c r="H32" s="5">
        <v>0</v>
      </c>
      <c r="I32" s="5">
        <v>24</v>
      </c>
      <c r="J32" s="5">
        <v>5</v>
      </c>
      <c r="K32" s="5">
        <v>6</v>
      </c>
      <c r="L32" s="4">
        <f>0.06292+0.01918</f>
      </c>
      <c r="M32" s="4">
        <f>0.06292+0.01918</f>
      </c>
      <c r="N32" s="1" t="s">
        <v>26</v>
      </c>
      <c r="O32" s="1" t="s">
        <v>94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10</v>
      </c>
      <c r="G33" s="5">
        <v>10</v>
      </c>
      <c r="H33" s="5">
        <v>0</v>
      </c>
      <c r="I33" s="5">
        <v>24</v>
      </c>
      <c r="J33" s="5">
        <v>0</v>
      </c>
      <c r="K33" s="5">
        <v>6</v>
      </c>
      <c r="L33" s="4">
        <f>0.0626+0.0002126</f>
      </c>
      <c r="M33" s="4">
        <f>0.0626+0.0002126</f>
      </c>
      <c r="N33" s="1" t="s">
        <v>26</v>
      </c>
      <c r="O33" s="1" t="s">
        <v>94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11</v>
      </c>
      <c r="G34" s="5">
        <v>11</v>
      </c>
      <c r="H34" s="5">
        <v>0</v>
      </c>
      <c r="I34" s="5">
        <v>24</v>
      </c>
      <c r="J34" s="5">
        <v>0</v>
      </c>
      <c r="K34" s="5">
        <v>6</v>
      </c>
      <c r="L34" s="4">
        <f>0.0626+0.02334</f>
      </c>
      <c r="M34" s="4">
        <f>0.0626+0.02334</f>
      </c>
      <c r="N34" s="1" t="s">
        <v>26</v>
      </c>
      <c r="O34" s="1" t="s">
        <v>94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12</v>
      </c>
      <c r="G35" s="5">
        <v>12</v>
      </c>
      <c r="H35" s="5">
        <v>0</v>
      </c>
      <c r="I35" s="5">
        <v>4</v>
      </c>
      <c r="J35" s="5">
        <v>0</v>
      </c>
      <c r="K35" s="5">
        <v>4</v>
      </c>
      <c r="L35" s="4">
        <f>0.06514+0.02511</f>
      </c>
      <c r="M35" s="4">
        <f>0.06514+0.02511</f>
      </c>
      <c r="N35" s="1" t="s">
        <v>26</v>
      </c>
      <c r="O35" s="1" t="s">
        <v>94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12</v>
      </c>
      <c r="G36" s="5">
        <v>12</v>
      </c>
      <c r="H36" s="5">
        <v>4</v>
      </c>
      <c r="I36" s="5">
        <v>10</v>
      </c>
      <c r="J36" s="5">
        <v>0</v>
      </c>
      <c r="K36" s="5">
        <v>4</v>
      </c>
      <c r="L36" s="4">
        <f>0.07648+0.02511</f>
      </c>
      <c r="M36" s="4">
        <f>0.07648+0.02511</f>
      </c>
      <c r="N36" s="1" t="s">
        <v>26</v>
      </c>
      <c r="O36" s="1" t="s">
        <v>94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10</v>
      </c>
      <c r="I37" s="5">
        <v>24</v>
      </c>
      <c r="J37" s="5">
        <v>0</v>
      </c>
      <c r="K37" s="5">
        <v>4</v>
      </c>
      <c r="L37" s="4">
        <f>0.06514+0.02511</f>
      </c>
      <c r="M37" s="4">
        <f>0.06514+0.02511</f>
      </c>
      <c r="N37" s="1" t="s">
        <v>26</v>
      </c>
      <c r="O37" s="1" t="s">
        <v>94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0</v>
      </c>
      <c r="I38" s="5">
        <v>24</v>
      </c>
      <c r="J38" s="5">
        <v>5</v>
      </c>
      <c r="K38" s="5">
        <v>6</v>
      </c>
      <c r="L38" s="4">
        <f>0.06514+0.02511</f>
      </c>
      <c r="M38" s="4">
        <f>0.06514+0.02511</f>
      </c>
      <c r="N38" s="1" t="s">
        <v>26</v>
      </c>
      <c r="O38" s="1" t="s">
        <v>94</v>
      </c>
    </row>
    <row x14ac:dyDescent="0.25" r="39" customHeight="1" ht="17.25">
      <c r="A39" s="1" t="s">
        <v>13</v>
      </c>
      <c r="B39" s="1" t="s">
        <v>17</v>
      </c>
      <c r="C39" s="1" t="s">
        <v>51</v>
      </c>
      <c r="D39" s="5">
        <v>0</v>
      </c>
      <c r="E39" s="5">
        <v>0</v>
      </c>
      <c r="F39" s="5">
        <v>1</v>
      </c>
      <c r="G39" s="5">
        <v>3</v>
      </c>
      <c r="H39" s="5">
        <v>4</v>
      </c>
      <c r="I39" s="5">
        <v>10</v>
      </c>
      <c r="J39" s="5">
        <v>0</v>
      </c>
      <c r="K39" s="5">
        <v>4</v>
      </c>
      <c r="L39" s="4">
        <v>9.9</v>
      </c>
      <c r="M39" s="4">
        <v>9.9</v>
      </c>
      <c r="N39" s="1" t="s">
        <v>19</v>
      </c>
      <c r="O39" s="1"/>
    </row>
    <row x14ac:dyDescent="0.25" r="40" customHeight="1" ht="17.25">
      <c r="A40" s="1" t="s">
        <v>13</v>
      </c>
      <c r="B40" s="1" t="s">
        <v>17</v>
      </c>
      <c r="C40" s="1" t="s">
        <v>95</v>
      </c>
      <c r="D40" s="5">
        <v>0</v>
      </c>
      <c r="E40" s="5">
        <v>0</v>
      </c>
      <c r="F40" s="5">
        <v>4</v>
      </c>
      <c r="G40" s="5">
        <v>5</v>
      </c>
      <c r="H40" s="5">
        <v>13</v>
      </c>
      <c r="I40" s="5">
        <v>19</v>
      </c>
      <c r="J40" s="5">
        <v>0</v>
      </c>
      <c r="K40" s="5">
        <v>4</v>
      </c>
      <c r="L40" s="4">
        <v>9.9</v>
      </c>
      <c r="M40" s="4">
        <v>9.9</v>
      </c>
      <c r="N40" s="1" t="s">
        <v>19</v>
      </c>
      <c r="O40" s="1"/>
    </row>
    <row x14ac:dyDescent="0.25" r="41" customHeight="1" ht="17.25">
      <c r="A41" s="1" t="s">
        <v>13</v>
      </c>
      <c r="B41" s="1" t="s">
        <v>17</v>
      </c>
      <c r="C41" s="1" t="s">
        <v>53</v>
      </c>
      <c r="D41" s="5">
        <v>0</v>
      </c>
      <c r="E41" s="5">
        <v>0</v>
      </c>
      <c r="F41" s="5">
        <v>6</v>
      </c>
      <c r="G41" s="5">
        <v>9</v>
      </c>
      <c r="H41" s="5">
        <v>13</v>
      </c>
      <c r="I41" s="5">
        <v>19</v>
      </c>
      <c r="J41" s="5">
        <v>0</v>
      </c>
      <c r="K41" s="5">
        <v>4</v>
      </c>
      <c r="L41" s="4">
        <v>10.87</v>
      </c>
      <c r="M41" s="4">
        <v>10.87</v>
      </c>
      <c r="N41" s="1" t="s">
        <v>19</v>
      </c>
      <c r="O41" s="1"/>
    </row>
    <row x14ac:dyDescent="0.25" r="42" customHeight="1" ht="17.25">
      <c r="A42" s="1" t="s">
        <v>13</v>
      </c>
      <c r="B42" s="1" t="s">
        <v>17</v>
      </c>
      <c r="C42" s="1" t="s">
        <v>95</v>
      </c>
      <c r="D42" s="5">
        <v>0</v>
      </c>
      <c r="E42" s="5">
        <v>0</v>
      </c>
      <c r="F42" s="5">
        <v>10</v>
      </c>
      <c r="G42" s="5">
        <v>11</v>
      </c>
      <c r="H42" s="5">
        <v>13</v>
      </c>
      <c r="I42" s="5">
        <v>19</v>
      </c>
      <c r="J42" s="5">
        <v>0</v>
      </c>
      <c r="K42" s="5">
        <v>4</v>
      </c>
      <c r="L42" s="4">
        <v>9.9</v>
      </c>
      <c r="M42" s="4">
        <v>9.9</v>
      </c>
      <c r="N42" s="1" t="s">
        <v>19</v>
      </c>
      <c r="O42" s="1"/>
    </row>
    <row x14ac:dyDescent="0.25" r="43" customHeight="1" ht="17.25">
      <c r="A43" s="1" t="s">
        <v>13</v>
      </c>
      <c r="B43" s="1" t="s">
        <v>17</v>
      </c>
      <c r="C43" s="1" t="s">
        <v>56</v>
      </c>
      <c r="D43" s="5">
        <v>0</v>
      </c>
      <c r="E43" s="5">
        <v>0</v>
      </c>
      <c r="F43" s="5">
        <v>12</v>
      </c>
      <c r="G43" s="5">
        <v>12</v>
      </c>
      <c r="H43" s="5">
        <v>4</v>
      </c>
      <c r="I43" s="5">
        <v>10</v>
      </c>
      <c r="J43" s="5">
        <v>0</v>
      </c>
      <c r="K43" s="5">
        <v>4</v>
      </c>
      <c r="L43" s="4">
        <v>9.9</v>
      </c>
      <c r="M43" s="4">
        <v>9.9</v>
      </c>
      <c r="N43" s="1" t="s">
        <v>19</v>
      </c>
      <c r="O43" s="1"/>
    </row>
    <row x14ac:dyDescent="0.25" r="44" customHeight="1" ht="17.25">
      <c r="A44" s="1" t="s">
        <v>13</v>
      </c>
      <c r="B44" s="1" t="s">
        <v>17</v>
      </c>
      <c r="C44" s="1" t="s">
        <v>24</v>
      </c>
      <c r="D44" s="5">
        <v>0</v>
      </c>
      <c r="E44" s="5">
        <v>0</v>
      </c>
      <c r="F44" s="5">
        <v>1</v>
      </c>
      <c r="G44" s="5">
        <v>12</v>
      </c>
      <c r="H44" s="5">
        <v>0</v>
      </c>
      <c r="I44" s="5">
        <v>24</v>
      </c>
      <c r="J44" s="5">
        <v>0</v>
      </c>
      <c r="K44" s="5">
        <v>6</v>
      </c>
      <c r="L44" s="4">
        <v>5.38</v>
      </c>
      <c r="M44" s="4">
        <v>5.38</v>
      </c>
      <c r="N44" s="1" t="s">
        <v>19</v>
      </c>
      <c r="O44" s="1"/>
    </row>
    <row x14ac:dyDescent="0.25" r="45" customHeight="1" ht="17.25">
      <c r="A45" s="1" t="s">
        <v>34</v>
      </c>
      <c r="B45" s="1" t="s">
        <v>14</v>
      </c>
      <c r="C45" s="1"/>
      <c r="D45" s="2"/>
      <c r="E45" s="3"/>
      <c r="F45" s="2"/>
      <c r="G45" s="2"/>
      <c r="H45" s="2"/>
      <c r="I45" s="2"/>
      <c r="J45" s="2"/>
      <c r="K45" s="2"/>
      <c r="L45" s="5">
        <v>800</v>
      </c>
      <c r="M45" s="5">
        <v>800</v>
      </c>
      <c r="N45" s="1" t="s">
        <v>15</v>
      </c>
      <c r="O45" s="1"/>
    </row>
    <row x14ac:dyDescent="0.25" r="46" customHeight="1" ht="17.25">
      <c r="A46" s="1" t="s">
        <v>34</v>
      </c>
      <c r="B46" s="1" t="s">
        <v>17</v>
      </c>
      <c r="C46" s="1" t="s">
        <v>24</v>
      </c>
      <c r="D46" s="5">
        <v>0</v>
      </c>
      <c r="E46" s="5">
        <v>0</v>
      </c>
      <c r="F46" s="5">
        <v>1</v>
      </c>
      <c r="G46" s="5">
        <v>12</v>
      </c>
      <c r="H46" s="5">
        <v>0</v>
      </c>
      <c r="I46" s="5">
        <v>24</v>
      </c>
      <c r="J46" s="5">
        <v>0</v>
      </c>
      <c r="K46" s="5">
        <v>6</v>
      </c>
      <c r="L46" s="4">
        <f>1.59486*24</f>
      </c>
      <c r="M46" s="19">
        <f>L46/2.83168</f>
      </c>
      <c r="N46" s="1" t="s">
        <v>35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1</v>
      </c>
      <c r="G47" s="5">
        <v>12</v>
      </c>
      <c r="H47" s="5">
        <v>0</v>
      </c>
      <c r="I47" s="5">
        <v>24</v>
      </c>
      <c r="J47" s="5">
        <v>0</v>
      </c>
      <c r="K47" s="5">
        <v>6</v>
      </c>
      <c r="L47" s="4">
        <v>0.43074</v>
      </c>
      <c r="M47" s="19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15000</v>
      </c>
      <c r="E48" s="4">
        <f>D48*2.83168</f>
      </c>
      <c r="F48" s="5">
        <v>1</v>
      </c>
      <c r="G48" s="5">
        <v>12</v>
      </c>
      <c r="H48" s="5">
        <v>0</v>
      </c>
      <c r="I48" s="5">
        <v>24</v>
      </c>
      <c r="J48" s="5">
        <v>0</v>
      </c>
      <c r="K48" s="5">
        <v>6</v>
      </c>
      <c r="L48" s="4">
        <v>0.41174</v>
      </c>
      <c r="M48" s="19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40000</v>
      </c>
      <c r="E49" s="4">
        <f>D49*2.83168</f>
      </c>
      <c r="F49" s="5">
        <v>1</v>
      </c>
      <c r="G49" s="5">
        <v>12</v>
      </c>
      <c r="H49" s="5">
        <v>0</v>
      </c>
      <c r="I49" s="5">
        <v>24</v>
      </c>
      <c r="J49" s="5">
        <v>0</v>
      </c>
      <c r="K49" s="5">
        <v>6</v>
      </c>
      <c r="L49" s="4">
        <v>0.38374</v>
      </c>
      <c r="M49" s="19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90000</v>
      </c>
      <c r="E50" s="4">
        <f>D50*2.83168</f>
      </c>
      <c r="F50" s="5">
        <v>1</v>
      </c>
      <c r="G50" s="5">
        <v>12</v>
      </c>
      <c r="H50" s="5">
        <v>0</v>
      </c>
      <c r="I50" s="5">
        <v>24</v>
      </c>
      <c r="J50" s="5">
        <v>0</v>
      </c>
      <c r="K50" s="5">
        <v>6</v>
      </c>
      <c r="L50" s="4">
        <v>0.32374</v>
      </c>
      <c r="M50" s="19">
        <f>L50/2.83168</f>
      </c>
      <c r="N50" s="1" t="s">
        <v>36</v>
      </c>
      <c r="O5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283.03</v>
      </c>
      <c r="M2" s="4">
        <v>283.03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6</v>
      </c>
      <c r="J3" s="5">
        <v>0</v>
      </c>
      <c r="K3" s="5">
        <v>4</v>
      </c>
      <c r="L3" s="4">
        <f>0.00999+0.00114+0.02635</f>
      </c>
      <c r="M3" s="4">
        <f>0.00999+0.00114+0.02635</f>
      </c>
      <c r="N3" s="1" t="s">
        <v>26</v>
      </c>
      <c r="O3" s="1" t="s">
        <v>83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10</v>
      </c>
      <c r="J4" s="5">
        <v>0</v>
      </c>
      <c r="K4" s="5">
        <v>4</v>
      </c>
      <c r="L4" s="4">
        <f>0.01007+0.00114+0.03229</f>
      </c>
      <c r="M4" s="4">
        <f>0.01007+0.00114+0.03229</f>
      </c>
      <c r="N4" s="1" t="s">
        <v>26</v>
      </c>
      <c r="O4" s="1" t="s">
        <v>83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10</v>
      </c>
      <c r="I5" s="5">
        <v>18</v>
      </c>
      <c r="J5" s="5">
        <v>0</v>
      </c>
      <c r="K5" s="5">
        <v>4</v>
      </c>
      <c r="L5" s="4">
        <f>0.00999+0.00114+0.02635</f>
      </c>
      <c r="M5" s="4">
        <f>0.00999+0.00114+0.02635</f>
      </c>
      <c r="N5" s="1" t="s">
        <v>26</v>
      </c>
      <c r="O5" s="1" t="s">
        <v>83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18</v>
      </c>
      <c r="I6" s="5">
        <v>22</v>
      </c>
      <c r="J6" s="5">
        <v>0</v>
      </c>
      <c r="K6" s="5">
        <v>4</v>
      </c>
      <c r="L6" s="4">
        <f>0.01007+0.00114+0.03229</f>
      </c>
      <c r="M6" s="4">
        <f>0.01007+0.00114+0.03229</f>
      </c>
      <c r="N6" s="1" t="s">
        <v>26</v>
      </c>
      <c r="O6" s="1" t="s">
        <v>83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22</v>
      </c>
      <c r="I7" s="5">
        <v>24</v>
      </c>
      <c r="J7" s="5">
        <v>0</v>
      </c>
      <c r="K7" s="5">
        <v>4</v>
      </c>
      <c r="L7" s="4">
        <f>0.00999+0.00114+0.02635</f>
      </c>
      <c r="M7" s="4">
        <f>0.00999+0.00114+0.02635</f>
      </c>
      <c r="N7" s="1" t="s">
        <v>26</v>
      </c>
      <c r="O7" s="1" t="s">
        <v>83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10</v>
      </c>
      <c r="H8" s="5">
        <v>0</v>
      </c>
      <c r="I8" s="5">
        <v>12</v>
      </c>
      <c r="J8" s="5">
        <v>0</v>
      </c>
      <c r="K8" s="5">
        <v>4</v>
      </c>
      <c r="L8" s="4">
        <f>0.00999+0.00114+0.02635</f>
      </c>
      <c r="M8" s="4">
        <f>0.00999+0.00114+0.02635</f>
      </c>
      <c r="N8" s="1" t="s">
        <v>26</v>
      </c>
      <c r="O8" s="1" t="s">
        <v>83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10</v>
      </c>
      <c r="H9" s="5">
        <v>12</v>
      </c>
      <c r="I9" s="5">
        <v>21</v>
      </c>
      <c r="J9" s="5">
        <v>0</v>
      </c>
      <c r="K9" s="5">
        <v>4</v>
      </c>
      <c r="L9" s="4">
        <f>0.01007+0.00114+0.03229</f>
      </c>
      <c r="M9" s="4">
        <f>0.01007+0.00114+0.03229</f>
      </c>
      <c r="N9" s="1" t="s">
        <v>26</v>
      </c>
      <c r="O9" s="1" t="s">
        <v>83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10</v>
      </c>
      <c r="H10" s="5">
        <v>21</v>
      </c>
      <c r="I10" s="5">
        <v>24</v>
      </c>
      <c r="J10" s="5">
        <v>0</v>
      </c>
      <c r="K10" s="5">
        <v>4</v>
      </c>
      <c r="L10" s="4">
        <f>0.00999+0.00114+0.02635</f>
      </c>
      <c r="M10" s="4">
        <f>0.00999+0.00114+0.02635</f>
      </c>
      <c r="N10" s="1" t="s">
        <v>26</v>
      </c>
      <c r="O10" s="1" t="s">
        <v>83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11</v>
      </c>
      <c r="G11" s="5">
        <v>12</v>
      </c>
      <c r="H11" s="5">
        <v>0</v>
      </c>
      <c r="I11" s="5">
        <v>6</v>
      </c>
      <c r="J11" s="5">
        <v>0</v>
      </c>
      <c r="K11" s="5">
        <v>4</v>
      </c>
      <c r="L11" s="4">
        <f>0.00999+0.00114+0.02635</f>
      </c>
      <c r="M11" s="4">
        <f>0.00999+0.00114+0.02635</f>
      </c>
      <c r="N11" s="1" t="s">
        <v>26</v>
      </c>
      <c r="O11" s="1" t="s">
        <v>83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11</v>
      </c>
      <c r="G12" s="5">
        <v>12</v>
      </c>
      <c r="H12" s="5">
        <v>6</v>
      </c>
      <c r="I12" s="5">
        <v>10</v>
      </c>
      <c r="J12" s="5">
        <v>0</v>
      </c>
      <c r="K12" s="5">
        <v>4</v>
      </c>
      <c r="L12" s="4">
        <f>0.01007+0.00114+0.03229</f>
      </c>
      <c r="M12" s="4">
        <f>0.01007+0.00114+0.03229</f>
      </c>
      <c r="N12" s="1" t="s">
        <v>26</v>
      </c>
      <c r="O12" s="1" t="s">
        <v>83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10</v>
      </c>
      <c r="I13" s="5">
        <v>18</v>
      </c>
      <c r="J13" s="5">
        <v>0</v>
      </c>
      <c r="K13" s="5">
        <v>4</v>
      </c>
      <c r="L13" s="4">
        <f>0.00999+0.00114+0.02635</f>
      </c>
      <c r="M13" s="4">
        <f>0.00999+0.00114+0.02635</f>
      </c>
      <c r="N13" s="1" t="s">
        <v>26</v>
      </c>
      <c r="O13" s="1" t="s">
        <v>83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12</v>
      </c>
      <c r="H14" s="5">
        <v>18</v>
      </c>
      <c r="I14" s="5">
        <v>22</v>
      </c>
      <c r="J14" s="5">
        <v>0</v>
      </c>
      <c r="K14" s="5">
        <v>4</v>
      </c>
      <c r="L14" s="4">
        <f>0.01007+0.00114+0.03229</f>
      </c>
      <c r="M14" s="4">
        <f>0.01007+0.00114+0.03229</f>
      </c>
      <c r="N14" s="1" t="s">
        <v>26</v>
      </c>
      <c r="O14" s="1" t="s">
        <v>83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22</v>
      </c>
      <c r="I15" s="5">
        <v>24</v>
      </c>
      <c r="J15" s="5">
        <v>0</v>
      </c>
      <c r="K15" s="5">
        <v>4</v>
      </c>
      <c r="L15" s="4">
        <f>0.00999+0.00114+0.02635</f>
      </c>
      <c r="M15" s="4">
        <f>0.00999+0.00114+0.02635</f>
      </c>
      <c r="N15" s="1" t="s">
        <v>26</v>
      </c>
      <c r="O15" s="1" t="s">
        <v>83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12</v>
      </c>
      <c r="H16" s="5">
        <v>0</v>
      </c>
      <c r="I16" s="5">
        <v>24</v>
      </c>
      <c r="J16" s="5">
        <v>5</v>
      </c>
      <c r="K16" s="5">
        <v>6</v>
      </c>
      <c r="L16" s="4">
        <f>0.00999+0.00114+0.02635</f>
      </c>
      <c r="M16" s="4">
        <f>0.00999+0.00114+0.02635</f>
      </c>
      <c r="N16" s="1" t="s">
        <v>26</v>
      </c>
      <c r="O16" s="1" t="s">
        <v>83</v>
      </c>
    </row>
    <row x14ac:dyDescent="0.25" r="17" customHeight="1" ht="17.25">
      <c r="A17" s="1" t="s">
        <v>13</v>
      </c>
      <c r="B17" s="1" t="s">
        <v>17</v>
      </c>
      <c r="C17" s="1" t="s">
        <v>51</v>
      </c>
      <c r="D17" s="5">
        <v>0</v>
      </c>
      <c r="E17" s="5">
        <v>0</v>
      </c>
      <c r="F17" s="5">
        <v>1</v>
      </c>
      <c r="G17" s="5">
        <v>3</v>
      </c>
      <c r="H17" s="5">
        <v>6</v>
      </c>
      <c r="I17" s="5">
        <v>10</v>
      </c>
      <c r="J17" s="5">
        <v>0</v>
      </c>
      <c r="K17" s="5">
        <v>4</v>
      </c>
      <c r="L17" s="4">
        <f>12.89+0.57+0.73+0.15</f>
      </c>
      <c r="M17" s="4">
        <f>12.89+0.57+0.73+0.15</f>
      </c>
      <c r="N17" s="1" t="s">
        <v>19</v>
      </c>
      <c r="O17" s="1" t="s">
        <v>84</v>
      </c>
    </row>
    <row x14ac:dyDescent="0.25" r="18" customHeight="1" ht="17.25">
      <c r="A18" s="1" t="s">
        <v>13</v>
      </c>
      <c r="B18" s="1" t="s">
        <v>17</v>
      </c>
      <c r="C18" s="1" t="s">
        <v>51</v>
      </c>
      <c r="D18" s="5">
        <v>0</v>
      </c>
      <c r="E18" s="5">
        <v>0</v>
      </c>
      <c r="F18" s="5">
        <v>1</v>
      </c>
      <c r="G18" s="5">
        <v>3</v>
      </c>
      <c r="H18" s="5">
        <v>18</v>
      </c>
      <c r="I18" s="5">
        <v>22</v>
      </c>
      <c r="J18" s="5">
        <v>0</v>
      </c>
      <c r="K18" s="5">
        <v>4</v>
      </c>
      <c r="L18" s="4">
        <f>12.89+0.57+0.73+0.15</f>
      </c>
      <c r="M18" s="4">
        <f>12.89+0.57+0.73+0.15</f>
      </c>
      <c r="N18" s="1" t="s">
        <v>19</v>
      </c>
      <c r="O18" s="1" t="s">
        <v>84</v>
      </c>
    </row>
    <row x14ac:dyDescent="0.25" r="19" customHeight="1" ht="17.25">
      <c r="A19" s="1" t="s">
        <v>13</v>
      </c>
      <c r="B19" s="1" t="s">
        <v>17</v>
      </c>
      <c r="C19" s="1" t="s">
        <v>53</v>
      </c>
      <c r="D19" s="5">
        <v>0</v>
      </c>
      <c r="E19" s="5">
        <v>0</v>
      </c>
      <c r="F19" s="5">
        <v>4</v>
      </c>
      <c r="G19" s="5">
        <v>10</v>
      </c>
      <c r="H19" s="5">
        <v>12</v>
      </c>
      <c r="I19" s="5">
        <v>21</v>
      </c>
      <c r="J19" s="5">
        <v>0</v>
      </c>
      <c r="K19" s="5">
        <v>4</v>
      </c>
      <c r="L19" s="4">
        <f>12.89+0.57+0.73+0.15</f>
      </c>
      <c r="M19" s="4">
        <f>12.89+0.57+0.73+0.15</f>
      </c>
      <c r="N19" s="1" t="s">
        <v>19</v>
      </c>
      <c r="O19" s="1" t="s">
        <v>84</v>
      </c>
    </row>
    <row x14ac:dyDescent="0.25" r="20" customHeight="1" ht="17.25">
      <c r="A20" s="1" t="s">
        <v>13</v>
      </c>
      <c r="B20" s="1" t="s">
        <v>17</v>
      </c>
      <c r="C20" s="1" t="s">
        <v>56</v>
      </c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10</v>
      </c>
      <c r="J20" s="5">
        <v>0</v>
      </c>
      <c r="K20" s="5">
        <v>4</v>
      </c>
      <c r="L20" s="4">
        <f>12.89+0.57+0.73+0.15</f>
      </c>
      <c r="M20" s="4">
        <f>12.89+0.57+0.73+0.15</f>
      </c>
      <c r="N20" s="1" t="s">
        <v>19</v>
      </c>
      <c r="O20" s="1" t="s">
        <v>84</v>
      </c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11</v>
      </c>
      <c r="G21" s="5">
        <v>12</v>
      </c>
      <c r="H21" s="5">
        <v>18</v>
      </c>
      <c r="I21" s="5">
        <v>22</v>
      </c>
      <c r="J21" s="5">
        <v>0</v>
      </c>
      <c r="K21" s="5">
        <v>4</v>
      </c>
      <c r="L21" s="4">
        <f>12.89+0.57+0.73+0.15</f>
      </c>
      <c r="M21" s="4">
        <f>12.89+0.57+0.73+0.15</f>
      </c>
      <c r="N21" s="1" t="s">
        <v>19</v>
      </c>
      <c r="O21" s="1" t="s">
        <v>84</v>
      </c>
    </row>
    <row x14ac:dyDescent="0.25" r="22" customHeight="1" ht="17.25">
      <c r="A22" s="1" t="s">
        <v>13</v>
      </c>
      <c r="B22" s="1" t="s">
        <v>17</v>
      </c>
      <c r="C22" s="1" t="s">
        <v>24</v>
      </c>
      <c r="D22" s="5">
        <v>0</v>
      </c>
      <c r="E22" s="5">
        <v>0</v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2.74</v>
      </c>
      <c r="M22" s="4">
        <v>2.74</v>
      </c>
      <c r="N22" s="1" t="s">
        <v>19</v>
      </c>
      <c r="O22" s="1" t="s">
        <v>84</v>
      </c>
    </row>
    <row x14ac:dyDescent="0.25" r="23" customHeight="1" ht="17.25">
      <c r="A23" s="1" t="s">
        <v>34</v>
      </c>
      <c r="B23" s="1" t="s">
        <v>14</v>
      </c>
      <c r="C23" s="1"/>
      <c r="D23" s="2"/>
      <c r="E23" s="2"/>
      <c r="F23" s="2"/>
      <c r="G23" s="2"/>
      <c r="H23" s="2"/>
      <c r="I23" s="2"/>
      <c r="J23" s="2"/>
      <c r="K23" s="2"/>
      <c r="L23" s="5">
        <v>300</v>
      </c>
      <c r="M23" s="5">
        <v>300</v>
      </c>
      <c r="N23" s="1" t="s">
        <v>15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0.19379+0.71354</f>
      </c>
      <c r="M24" s="14">
        <f>L24/2.83168</f>
      </c>
      <c r="N24" s="1" t="s">
        <v>36</v>
      </c>
      <c r="O24" s="1" t="s">
        <v>85</v>
      </c>
    </row>
    <row x14ac:dyDescent="0.25" r="25" customHeight="1" ht="17.25">
      <c r="A25" s="1" t="s">
        <v>34</v>
      </c>
      <c r="B25" s="1" t="s">
        <v>17</v>
      </c>
      <c r="C25" s="1" t="s">
        <v>24</v>
      </c>
      <c r="D25" s="5">
        <v>0</v>
      </c>
      <c r="E25" s="5">
        <v>0</v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0.575*24</f>
      </c>
      <c r="M25" s="14">
        <f>L25/2.83168</f>
      </c>
      <c r="N25" s="1" t="s">
        <v>35</v>
      </c>
      <c r="O25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6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678.31</v>
      </c>
      <c r="M2" s="4">
        <v>678.31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4">
        <f>0.06781+0.02116</f>
      </c>
      <c r="M3" s="4">
        <f>0.06781+0.02116</f>
      </c>
      <c r="N3" s="1" t="s">
        <v>26</v>
      </c>
      <c r="O3" s="1" t="s">
        <v>93</v>
      </c>
    </row>
    <row x14ac:dyDescent="0.25" r="4" customHeight="1" ht="17.25">
      <c r="A4" s="1" t="s">
        <v>13</v>
      </c>
      <c r="B4" s="1" t="s">
        <v>25</v>
      </c>
      <c r="C4" s="1"/>
      <c r="D4" s="5">
        <v>5000</v>
      </c>
      <c r="E4" s="5">
        <v>5000</v>
      </c>
      <c r="F4" s="5">
        <v>1</v>
      </c>
      <c r="G4" s="5">
        <v>1</v>
      </c>
      <c r="H4" s="5">
        <v>0</v>
      </c>
      <c r="I4" s="5">
        <v>24</v>
      </c>
      <c r="J4" s="5">
        <v>0</v>
      </c>
      <c r="K4" s="5">
        <v>6</v>
      </c>
      <c r="L4" s="4">
        <f>0.03661+0.02116</f>
      </c>
      <c r="M4" s="4">
        <f>0.03661+0.02116</f>
      </c>
      <c r="N4" s="1" t="s">
        <v>26</v>
      </c>
      <c r="O4" s="1" t="s">
        <v>93</v>
      </c>
    </row>
    <row x14ac:dyDescent="0.25" r="5" customHeight="1" ht="17.25">
      <c r="A5" s="1" t="s">
        <v>13</v>
      </c>
      <c r="B5" s="1" t="s">
        <v>25</v>
      </c>
      <c r="C5" s="1"/>
      <c r="D5" s="5">
        <v>15000</v>
      </c>
      <c r="E5" s="5">
        <v>15000</v>
      </c>
      <c r="F5" s="5">
        <v>1</v>
      </c>
      <c r="G5" s="5">
        <v>1</v>
      </c>
      <c r="H5" s="5">
        <v>0</v>
      </c>
      <c r="I5" s="5">
        <v>24</v>
      </c>
      <c r="J5" s="5">
        <v>0</v>
      </c>
      <c r="K5" s="5">
        <v>6</v>
      </c>
      <c r="L5" s="4">
        <f>0.03537+0.02116</f>
      </c>
      <c r="M5" s="4">
        <f>0.03537+0.02116</f>
      </c>
      <c r="N5" s="1" t="s">
        <v>26</v>
      </c>
      <c r="O5" s="1" t="s">
        <v>93</v>
      </c>
    </row>
    <row x14ac:dyDescent="0.25" r="6" customHeight="1" ht="17.25">
      <c r="A6" s="1" t="s">
        <v>13</v>
      </c>
      <c r="B6" s="1" t="s">
        <v>25</v>
      </c>
      <c r="C6" s="1"/>
      <c r="D6" s="5">
        <v>30000</v>
      </c>
      <c r="E6" s="5">
        <v>30000</v>
      </c>
      <c r="F6" s="5">
        <v>1</v>
      </c>
      <c r="G6" s="5">
        <v>1</v>
      </c>
      <c r="H6" s="5">
        <v>0</v>
      </c>
      <c r="I6" s="5">
        <v>24</v>
      </c>
      <c r="J6" s="5">
        <v>0</v>
      </c>
      <c r="K6" s="5">
        <v>6</v>
      </c>
      <c r="L6" s="4">
        <f>0.03502+0.02116</f>
      </c>
      <c r="M6" s="4">
        <f>0.03502+0.02116</f>
      </c>
      <c r="N6" s="1" t="s">
        <v>26</v>
      </c>
      <c r="O6" s="1" t="s">
        <v>93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0</v>
      </c>
      <c r="I7" s="5">
        <v>24</v>
      </c>
      <c r="J7" s="5">
        <v>0</v>
      </c>
      <c r="K7" s="5">
        <v>6</v>
      </c>
      <c r="L7" s="4">
        <f>0.06781+0.02045</f>
      </c>
      <c r="M7" s="4">
        <f>0.06781+0.02045</f>
      </c>
      <c r="N7" s="1" t="s">
        <v>26</v>
      </c>
      <c r="O7" s="1" t="s">
        <v>93</v>
      </c>
    </row>
    <row x14ac:dyDescent="0.25" r="8" customHeight="1" ht="17.25">
      <c r="A8" s="1" t="s">
        <v>13</v>
      </c>
      <c r="B8" s="1" t="s">
        <v>25</v>
      </c>
      <c r="C8" s="1"/>
      <c r="D8" s="5">
        <v>5000</v>
      </c>
      <c r="E8" s="5">
        <v>5000</v>
      </c>
      <c r="F8" s="5">
        <v>2</v>
      </c>
      <c r="G8" s="5">
        <v>2</v>
      </c>
      <c r="H8" s="5">
        <v>0</v>
      </c>
      <c r="I8" s="5">
        <v>24</v>
      </c>
      <c r="J8" s="5">
        <v>0</v>
      </c>
      <c r="K8" s="5">
        <v>6</v>
      </c>
      <c r="L8" s="4">
        <f>0.03661+0.02045</f>
      </c>
      <c r="M8" s="4">
        <f>0.03661+0.02045</f>
      </c>
      <c r="N8" s="1" t="s">
        <v>26</v>
      </c>
      <c r="O8" s="1" t="s">
        <v>93</v>
      </c>
    </row>
    <row x14ac:dyDescent="0.25" r="9" customHeight="1" ht="17.25">
      <c r="A9" s="1" t="s">
        <v>13</v>
      </c>
      <c r="B9" s="1" t="s">
        <v>25</v>
      </c>
      <c r="C9" s="1"/>
      <c r="D9" s="5">
        <v>15000</v>
      </c>
      <c r="E9" s="5">
        <v>15000</v>
      </c>
      <c r="F9" s="5">
        <v>2</v>
      </c>
      <c r="G9" s="5">
        <v>2</v>
      </c>
      <c r="H9" s="5">
        <v>0</v>
      </c>
      <c r="I9" s="5">
        <v>24</v>
      </c>
      <c r="J9" s="5">
        <v>0</v>
      </c>
      <c r="K9" s="5">
        <v>6</v>
      </c>
      <c r="L9" s="4">
        <f>0.03537+0.02045</f>
      </c>
      <c r="M9" s="4">
        <f>0.03537+0.02045</f>
      </c>
      <c r="N9" s="1" t="s">
        <v>26</v>
      </c>
      <c r="O9" s="1" t="s">
        <v>93</v>
      </c>
    </row>
    <row x14ac:dyDescent="0.25" r="10" customHeight="1" ht="17.25">
      <c r="A10" s="1" t="s">
        <v>13</v>
      </c>
      <c r="B10" s="1" t="s">
        <v>25</v>
      </c>
      <c r="C10" s="1"/>
      <c r="D10" s="5">
        <v>30000</v>
      </c>
      <c r="E10" s="5">
        <v>30000</v>
      </c>
      <c r="F10" s="5">
        <v>2</v>
      </c>
      <c r="G10" s="5">
        <v>2</v>
      </c>
      <c r="H10" s="5">
        <v>0</v>
      </c>
      <c r="I10" s="5">
        <v>24</v>
      </c>
      <c r="J10" s="5">
        <v>0</v>
      </c>
      <c r="K10" s="5">
        <v>6</v>
      </c>
      <c r="L10" s="4">
        <f>0.03502+0.02045</f>
      </c>
      <c r="M10" s="4">
        <f>0.03502+0.02045</f>
      </c>
      <c r="N10" s="1" t="s">
        <v>26</v>
      </c>
      <c r="O10" s="1" t="s">
        <v>93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0</v>
      </c>
      <c r="I11" s="5">
        <v>24</v>
      </c>
      <c r="J11" s="5">
        <v>0</v>
      </c>
      <c r="K11" s="5">
        <v>6</v>
      </c>
      <c r="L11" s="4">
        <f>0.06781+0.02277</f>
      </c>
      <c r="M11" s="4">
        <f>0.06781+0.02277</f>
      </c>
      <c r="N11" s="1" t="s">
        <v>26</v>
      </c>
      <c r="O11" s="1" t="s">
        <v>93</v>
      </c>
    </row>
    <row x14ac:dyDescent="0.25" r="12" customHeight="1" ht="17.25">
      <c r="A12" s="1" t="s">
        <v>13</v>
      </c>
      <c r="B12" s="1" t="s">
        <v>25</v>
      </c>
      <c r="C12" s="1"/>
      <c r="D12" s="5">
        <v>5000</v>
      </c>
      <c r="E12" s="5">
        <v>5000</v>
      </c>
      <c r="F12" s="5">
        <v>3</v>
      </c>
      <c r="G12" s="5">
        <v>3</v>
      </c>
      <c r="H12" s="5">
        <v>0</v>
      </c>
      <c r="I12" s="5">
        <v>24</v>
      </c>
      <c r="J12" s="5">
        <v>0</v>
      </c>
      <c r="K12" s="5">
        <v>6</v>
      </c>
      <c r="L12" s="4">
        <f>0.03661+0.02277</f>
      </c>
      <c r="M12" s="4">
        <f>0.03661+0.02277</f>
      </c>
      <c r="N12" s="1" t="s">
        <v>26</v>
      </c>
      <c r="O12" s="1" t="s">
        <v>93</v>
      </c>
    </row>
    <row x14ac:dyDescent="0.25" r="13" customHeight="1" ht="17.25">
      <c r="A13" s="1" t="s">
        <v>13</v>
      </c>
      <c r="B13" s="1" t="s">
        <v>25</v>
      </c>
      <c r="C13" s="1"/>
      <c r="D13" s="5">
        <v>15000</v>
      </c>
      <c r="E13" s="5">
        <v>15000</v>
      </c>
      <c r="F13" s="5">
        <v>3</v>
      </c>
      <c r="G13" s="5">
        <v>3</v>
      </c>
      <c r="H13" s="5">
        <v>0</v>
      </c>
      <c r="I13" s="5">
        <v>24</v>
      </c>
      <c r="J13" s="5">
        <v>0</v>
      </c>
      <c r="K13" s="5">
        <v>6</v>
      </c>
      <c r="L13" s="4">
        <f>0.03537+0.02277</f>
      </c>
      <c r="M13" s="4">
        <f>0.03537+0.02277</f>
      </c>
      <c r="N13" s="1" t="s">
        <v>26</v>
      </c>
      <c r="O13" s="1" t="s">
        <v>93</v>
      </c>
    </row>
    <row x14ac:dyDescent="0.25" r="14" customHeight="1" ht="17.25">
      <c r="A14" s="1" t="s">
        <v>13</v>
      </c>
      <c r="B14" s="1" t="s">
        <v>25</v>
      </c>
      <c r="C14" s="1"/>
      <c r="D14" s="5">
        <v>30000</v>
      </c>
      <c r="E14" s="5">
        <v>30000</v>
      </c>
      <c r="F14" s="5">
        <v>3</v>
      </c>
      <c r="G14" s="5">
        <v>3</v>
      </c>
      <c r="H14" s="5">
        <v>0</v>
      </c>
      <c r="I14" s="5">
        <v>24</v>
      </c>
      <c r="J14" s="5">
        <v>0</v>
      </c>
      <c r="K14" s="5">
        <v>6</v>
      </c>
      <c r="L14" s="4">
        <f>0.03502+0.02277</f>
      </c>
      <c r="M14" s="4">
        <f>0.03502+0.02277</f>
      </c>
      <c r="N14" s="1" t="s">
        <v>26</v>
      </c>
      <c r="O14" s="1" t="s">
        <v>93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4</v>
      </c>
      <c r="G15" s="5">
        <v>4</v>
      </c>
      <c r="H15" s="5">
        <v>0</v>
      </c>
      <c r="I15" s="5">
        <v>24</v>
      </c>
      <c r="J15" s="5">
        <v>0</v>
      </c>
      <c r="K15" s="5">
        <v>6</v>
      </c>
      <c r="L15" s="4">
        <f>0.06781+0.03304</f>
      </c>
      <c r="M15" s="4">
        <f>0.06781+0.03304</f>
      </c>
      <c r="N15" s="1" t="s">
        <v>26</v>
      </c>
      <c r="O15" s="1" t="s">
        <v>93</v>
      </c>
    </row>
    <row x14ac:dyDescent="0.25" r="16" customHeight="1" ht="17.25">
      <c r="A16" s="1" t="s">
        <v>13</v>
      </c>
      <c r="B16" s="1" t="s">
        <v>25</v>
      </c>
      <c r="C16" s="1"/>
      <c r="D16" s="5">
        <v>5000</v>
      </c>
      <c r="E16" s="5">
        <v>5000</v>
      </c>
      <c r="F16" s="5">
        <v>4</v>
      </c>
      <c r="G16" s="5">
        <v>4</v>
      </c>
      <c r="H16" s="5">
        <v>0</v>
      </c>
      <c r="I16" s="5">
        <v>24</v>
      </c>
      <c r="J16" s="5">
        <v>0</v>
      </c>
      <c r="K16" s="5">
        <v>6</v>
      </c>
      <c r="L16" s="4">
        <f>0.03661+0.03304</f>
      </c>
      <c r="M16" s="4">
        <f>0.03661+0.03304</f>
      </c>
      <c r="N16" s="1" t="s">
        <v>26</v>
      </c>
      <c r="O16" s="1" t="s">
        <v>93</v>
      </c>
    </row>
    <row x14ac:dyDescent="0.25" r="17" customHeight="1" ht="17.25">
      <c r="A17" s="1" t="s">
        <v>13</v>
      </c>
      <c r="B17" s="1" t="s">
        <v>25</v>
      </c>
      <c r="C17" s="1"/>
      <c r="D17" s="5">
        <v>15000</v>
      </c>
      <c r="E17" s="5">
        <v>15000</v>
      </c>
      <c r="F17" s="5">
        <v>4</v>
      </c>
      <c r="G17" s="5">
        <v>4</v>
      </c>
      <c r="H17" s="5">
        <v>0</v>
      </c>
      <c r="I17" s="5">
        <v>24</v>
      </c>
      <c r="J17" s="5">
        <v>0</v>
      </c>
      <c r="K17" s="5">
        <v>6</v>
      </c>
      <c r="L17" s="4">
        <f>0.03537+0.03304</f>
      </c>
      <c r="M17" s="4">
        <f>0.03537+0.03304</f>
      </c>
      <c r="N17" s="1" t="s">
        <v>26</v>
      </c>
      <c r="O17" s="1" t="s">
        <v>93</v>
      </c>
    </row>
    <row x14ac:dyDescent="0.25" r="18" customHeight="1" ht="17.25">
      <c r="A18" s="1" t="s">
        <v>13</v>
      </c>
      <c r="B18" s="1" t="s">
        <v>25</v>
      </c>
      <c r="C18" s="1"/>
      <c r="D18" s="5">
        <v>30000</v>
      </c>
      <c r="E18" s="5">
        <v>30000</v>
      </c>
      <c r="F18" s="5">
        <v>4</v>
      </c>
      <c r="G18" s="5">
        <v>4</v>
      </c>
      <c r="H18" s="5">
        <v>0</v>
      </c>
      <c r="I18" s="5">
        <v>24</v>
      </c>
      <c r="J18" s="5">
        <v>0</v>
      </c>
      <c r="K18" s="5">
        <v>6</v>
      </c>
      <c r="L18" s="4">
        <f>0.03502+0.03304</f>
      </c>
      <c r="M18" s="4">
        <f>0.03502+0.03304</f>
      </c>
      <c r="N18" s="1" t="s">
        <v>26</v>
      </c>
      <c r="O18" s="1" t="s">
        <v>93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5</v>
      </c>
      <c r="G19" s="5">
        <v>5</v>
      </c>
      <c r="H19" s="5">
        <v>0</v>
      </c>
      <c r="I19" s="5">
        <v>24</v>
      </c>
      <c r="J19" s="5">
        <v>0</v>
      </c>
      <c r="K19" s="5">
        <v>6</v>
      </c>
      <c r="L19" s="4">
        <f>0.06781+0.03576</f>
      </c>
      <c r="M19" s="4">
        <f>0.06781+0.03576</f>
      </c>
      <c r="N19" s="1" t="s">
        <v>26</v>
      </c>
      <c r="O19" s="1" t="s">
        <v>93</v>
      </c>
    </row>
    <row x14ac:dyDescent="0.25" r="20" customHeight="1" ht="17.25">
      <c r="A20" s="1" t="s">
        <v>13</v>
      </c>
      <c r="B20" s="1" t="s">
        <v>25</v>
      </c>
      <c r="C20" s="1"/>
      <c r="D20" s="5">
        <v>5000</v>
      </c>
      <c r="E20" s="5">
        <v>5000</v>
      </c>
      <c r="F20" s="5">
        <v>5</v>
      </c>
      <c r="G20" s="5">
        <v>5</v>
      </c>
      <c r="H20" s="5">
        <v>0</v>
      </c>
      <c r="I20" s="5">
        <v>24</v>
      </c>
      <c r="J20" s="5">
        <v>0</v>
      </c>
      <c r="K20" s="5">
        <v>6</v>
      </c>
      <c r="L20" s="4">
        <f>0.03661+0.03576</f>
      </c>
      <c r="M20" s="4">
        <f>0.03661+0.03576</f>
      </c>
      <c r="N20" s="1" t="s">
        <v>26</v>
      </c>
      <c r="O20" s="1" t="s">
        <v>93</v>
      </c>
    </row>
    <row x14ac:dyDescent="0.25" r="21" customHeight="1" ht="17.25">
      <c r="A21" s="1" t="s">
        <v>13</v>
      </c>
      <c r="B21" s="1" t="s">
        <v>25</v>
      </c>
      <c r="C21" s="1"/>
      <c r="D21" s="5">
        <v>15000</v>
      </c>
      <c r="E21" s="5">
        <v>15000</v>
      </c>
      <c r="F21" s="5">
        <v>5</v>
      </c>
      <c r="G21" s="5">
        <v>5</v>
      </c>
      <c r="H21" s="5">
        <v>0</v>
      </c>
      <c r="I21" s="5">
        <v>24</v>
      </c>
      <c r="J21" s="5">
        <v>0</v>
      </c>
      <c r="K21" s="5">
        <v>6</v>
      </c>
      <c r="L21" s="4">
        <f>0.03537+0.03576</f>
      </c>
      <c r="M21" s="4">
        <f>0.03537+0.03576</f>
      </c>
      <c r="N21" s="1" t="s">
        <v>26</v>
      </c>
      <c r="O21" s="1" t="s">
        <v>93</v>
      </c>
    </row>
    <row x14ac:dyDescent="0.25" r="22" customHeight="1" ht="17.25">
      <c r="A22" s="1" t="s">
        <v>13</v>
      </c>
      <c r="B22" s="1" t="s">
        <v>25</v>
      </c>
      <c r="C22" s="1"/>
      <c r="D22" s="5">
        <v>30000</v>
      </c>
      <c r="E22" s="5">
        <v>30000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4">
        <f>0.03502+0.03576</f>
      </c>
      <c r="M22" s="4">
        <f>0.03502+0.03576</f>
      </c>
      <c r="N22" s="1" t="s">
        <v>26</v>
      </c>
      <c r="O22" s="1" t="s">
        <v>93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6</v>
      </c>
      <c r="G23" s="5">
        <v>6</v>
      </c>
      <c r="H23" s="5">
        <v>0</v>
      </c>
      <c r="I23" s="5">
        <v>24</v>
      </c>
      <c r="J23" s="5">
        <v>0</v>
      </c>
      <c r="K23" s="5">
        <v>6</v>
      </c>
      <c r="L23" s="4">
        <f>0.06781+0.03548</f>
      </c>
      <c r="M23" s="4">
        <f>0.06781+0.03548</f>
      </c>
      <c r="N23" s="1" t="s">
        <v>26</v>
      </c>
      <c r="O23" s="1" t="s">
        <v>93</v>
      </c>
    </row>
    <row x14ac:dyDescent="0.25" r="24" customHeight="1" ht="17.25">
      <c r="A24" s="1" t="s">
        <v>13</v>
      </c>
      <c r="B24" s="1" t="s">
        <v>25</v>
      </c>
      <c r="C24" s="1"/>
      <c r="D24" s="5">
        <v>5000</v>
      </c>
      <c r="E24" s="5">
        <v>5000</v>
      </c>
      <c r="F24" s="5">
        <v>6</v>
      </c>
      <c r="G24" s="5">
        <v>6</v>
      </c>
      <c r="H24" s="5">
        <v>0</v>
      </c>
      <c r="I24" s="5">
        <v>24</v>
      </c>
      <c r="J24" s="5">
        <v>0</v>
      </c>
      <c r="K24" s="5">
        <v>6</v>
      </c>
      <c r="L24" s="4">
        <f>0.03661+0.03548</f>
      </c>
      <c r="M24" s="4">
        <f>0.03661+0.03548</f>
      </c>
      <c r="N24" s="1" t="s">
        <v>26</v>
      </c>
      <c r="O24" s="1" t="s">
        <v>93</v>
      </c>
    </row>
    <row x14ac:dyDescent="0.25" r="25" customHeight="1" ht="17.25">
      <c r="A25" s="1" t="s">
        <v>13</v>
      </c>
      <c r="B25" s="1" t="s">
        <v>25</v>
      </c>
      <c r="C25" s="1"/>
      <c r="D25" s="5">
        <v>15000</v>
      </c>
      <c r="E25" s="5">
        <v>15000</v>
      </c>
      <c r="F25" s="5">
        <v>6</v>
      </c>
      <c r="G25" s="5">
        <v>6</v>
      </c>
      <c r="H25" s="5">
        <v>0</v>
      </c>
      <c r="I25" s="5">
        <v>24</v>
      </c>
      <c r="J25" s="5">
        <v>0</v>
      </c>
      <c r="K25" s="5">
        <v>6</v>
      </c>
      <c r="L25" s="4">
        <f>0.03537+0.03548</f>
      </c>
      <c r="M25" s="4">
        <f>0.03537+0.03548</f>
      </c>
      <c r="N25" s="1" t="s">
        <v>26</v>
      </c>
      <c r="O25" s="1" t="s">
        <v>93</v>
      </c>
    </row>
    <row x14ac:dyDescent="0.25" r="26" customHeight="1" ht="17.25">
      <c r="A26" s="1" t="s">
        <v>13</v>
      </c>
      <c r="B26" s="1" t="s">
        <v>25</v>
      </c>
      <c r="C26" s="1"/>
      <c r="D26" s="5">
        <v>30000</v>
      </c>
      <c r="E26" s="5">
        <v>30000</v>
      </c>
      <c r="F26" s="5">
        <v>6</v>
      </c>
      <c r="G26" s="5">
        <v>6</v>
      </c>
      <c r="H26" s="5">
        <v>0</v>
      </c>
      <c r="I26" s="5">
        <v>24</v>
      </c>
      <c r="J26" s="5">
        <v>0</v>
      </c>
      <c r="K26" s="5">
        <v>6</v>
      </c>
      <c r="L26" s="4">
        <f>0.03502+0.03548</f>
      </c>
      <c r="M26" s="4">
        <f>0.03502+0.03548</f>
      </c>
      <c r="N26" s="1" t="s">
        <v>26</v>
      </c>
      <c r="O26" s="1" t="s">
        <v>93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7</v>
      </c>
      <c r="G27" s="5">
        <v>7</v>
      </c>
      <c r="H27" s="5">
        <v>0</v>
      </c>
      <c r="I27" s="5">
        <v>24</v>
      </c>
      <c r="J27" s="5">
        <v>0</v>
      </c>
      <c r="K27" s="5">
        <v>6</v>
      </c>
      <c r="L27" s="4">
        <f>0.06781+0.03217</f>
      </c>
      <c r="M27" s="4">
        <f>0.06781+0.03217</f>
      </c>
      <c r="N27" s="1" t="s">
        <v>26</v>
      </c>
      <c r="O27" s="1" t="s">
        <v>93</v>
      </c>
    </row>
    <row x14ac:dyDescent="0.25" r="28" customHeight="1" ht="17.25">
      <c r="A28" s="1" t="s">
        <v>13</v>
      </c>
      <c r="B28" s="1" t="s">
        <v>25</v>
      </c>
      <c r="C28" s="1"/>
      <c r="D28" s="5">
        <v>5000</v>
      </c>
      <c r="E28" s="5">
        <v>5000</v>
      </c>
      <c r="F28" s="5">
        <v>7</v>
      </c>
      <c r="G28" s="5">
        <v>7</v>
      </c>
      <c r="H28" s="5">
        <v>0</v>
      </c>
      <c r="I28" s="5">
        <v>24</v>
      </c>
      <c r="J28" s="5">
        <v>0</v>
      </c>
      <c r="K28" s="5">
        <v>6</v>
      </c>
      <c r="L28" s="4">
        <f>0.03661+0.03217</f>
      </c>
      <c r="M28" s="4">
        <f>0.03661+0.03217</f>
      </c>
      <c r="N28" s="1" t="s">
        <v>26</v>
      </c>
      <c r="O28" s="1" t="s">
        <v>93</v>
      </c>
    </row>
    <row x14ac:dyDescent="0.25" r="29" customHeight="1" ht="17.25">
      <c r="A29" s="1" t="s">
        <v>13</v>
      </c>
      <c r="B29" s="1" t="s">
        <v>25</v>
      </c>
      <c r="C29" s="1"/>
      <c r="D29" s="5">
        <v>15000</v>
      </c>
      <c r="E29" s="5">
        <v>15000</v>
      </c>
      <c r="F29" s="5">
        <v>7</v>
      </c>
      <c r="G29" s="5">
        <v>7</v>
      </c>
      <c r="H29" s="5">
        <v>0</v>
      </c>
      <c r="I29" s="5">
        <v>24</v>
      </c>
      <c r="J29" s="5">
        <v>0</v>
      </c>
      <c r="K29" s="5">
        <v>6</v>
      </c>
      <c r="L29" s="4">
        <f>0.03537+0.03217</f>
      </c>
      <c r="M29" s="4">
        <f>0.03537+0.03217</f>
      </c>
      <c r="N29" s="1" t="s">
        <v>26</v>
      </c>
      <c r="O29" s="1" t="s">
        <v>93</v>
      </c>
    </row>
    <row x14ac:dyDescent="0.25" r="30" customHeight="1" ht="17.25">
      <c r="A30" s="1" t="s">
        <v>13</v>
      </c>
      <c r="B30" s="1" t="s">
        <v>25</v>
      </c>
      <c r="C30" s="1"/>
      <c r="D30" s="5">
        <v>30000</v>
      </c>
      <c r="E30" s="5">
        <v>30000</v>
      </c>
      <c r="F30" s="5">
        <v>7</v>
      </c>
      <c r="G30" s="5">
        <v>7</v>
      </c>
      <c r="H30" s="5">
        <v>0</v>
      </c>
      <c r="I30" s="5">
        <v>24</v>
      </c>
      <c r="J30" s="5">
        <v>0</v>
      </c>
      <c r="K30" s="5">
        <v>6</v>
      </c>
      <c r="L30" s="4">
        <f>0.03502+0.03217</f>
      </c>
      <c r="M30" s="4">
        <f>0.03502+0.03217</f>
      </c>
      <c r="N30" s="1" t="s">
        <v>26</v>
      </c>
      <c r="O30" s="1" t="s">
        <v>93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8</v>
      </c>
      <c r="G31" s="5">
        <v>8</v>
      </c>
      <c r="H31" s="5">
        <v>0</v>
      </c>
      <c r="I31" s="5">
        <v>24</v>
      </c>
      <c r="J31" s="5">
        <v>0</v>
      </c>
      <c r="K31" s="5">
        <v>6</v>
      </c>
      <c r="L31" s="4">
        <f>0.06781+0.03629</f>
      </c>
      <c r="M31" s="4">
        <f>0.06781+0.03629</f>
      </c>
      <c r="N31" s="1" t="s">
        <v>26</v>
      </c>
      <c r="O31" s="1" t="s">
        <v>93</v>
      </c>
    </row>
    <row x14ac:dyDescent="0.25" r="32" customHeight="1" ht="17.25">
      <c r="A32" s="1" t="s">
        <v>13</v>
      </c>
      <c r="B32" s="1" t="s">
        <v>25</v>
      </c>
      <c r="C32" s="1"/>
      <c r="D32" s="5">
        <v>5000</v>
      </c>
      <c r="E32" s="5">
        <v>5000</v>
      </c>
      <c r="F32" s="5">
        <v>8</v>
      </c>
      <c r="G32" s="5">
        <v>8</v>
      </c>
      <c r="H32" s="5">
        <v>0</v>
      </c>
      <c r="I32" s="5">
        <v>24</v>
      </c>
      <c r="J32" s="5">
        <v>0</v>
      </c>
      <c r="K32" s="5">
        <v>6</v>
      </c>
      <c r="L32" s="4">
        <f>0.03661+0.03629</f>
      </c>
      <c r="M32" s="4">
        <f>0.03661+0.03629</f>
      </c>
      <c r="N32" s="1" t="s">
        <v>26</v>
      </c>
      <c r="O32" s="1" t="s">
        <v>93</v>
      </c>
    </row>
    <row x14ac:dyDescent="0.25" r="33" customHeight="1" ht="17.25">
      <c r="A33" s="1" t="s">
        <v>13</v>
      </c>
      <c r="B33" s="1" t="s">
        <v>25</v>
      </c>
      <c r="C33" s="1"/>
      <c r="D33" s="5">
        <v>15000</v>
      </c>
      <c r="E33" s="5">
        <v>15000</v>
      </c>
      <c r="F33" s="5">
        <v>8</v>
      </c>
      <c r="G33" s="5">
        <v>8</v>
      </c>
      <c r="H33" s="5">
        <v>0</v>
      </c>
      <c r="I33" s="5">
        <v>24</v>
      </c>
      <c r="J33" s="5">
        <v>0</v>
      </c>
      <c r="K33" s="5">
        <v>6</v>
      </c>
      <c r="L33" s="4">
        <f>0.03537+0.03629</f>
      </c>
      <c r="M33" s="4">
        <f>0.03537+0.03629</f>
      </c>
      <c r="N33" s="1" t="s">
        <v>26</v>
      </c>
      <c r="O33" s="1" t="s">
        <v>93</v>
      </c>
    </row>
    <row x14ac:dyDescent="0.25" r="34" customHeight="1" ht="17.25">
      <c r="A34" s="1" t="s">
        <v>13</v>
      </c>
      <c r="B34" s="1" t="s">
        <v>25</v>
      </c>
      <c r="C34" s="1"/>
      <c r="D34" s="5">
        <v>30000</v>
      </c>
      <c r="E34" s="5">
        <v>30000</v>
      </c>
      <c r="F34" s="5">
        <v>8</v>
      </c>
      <c r="G34" s="5">
        <v>8</v>
      </c>
      <c r="H34" s="5">
        <v>0</v>
      </c>
      <c r="I34" s="5">
        <v>24</v>
      </c>
      <c r="J34" s="5">
        <v>0</v>
      </c>
      <c r="K34" s="5">
        <v>6</v>
      </c>
      <c r="L34" s="4">
        <f>0.03502+0.03629</f>
      </c>
      <c r="M34" s="4">
        <f>0.03502+0.03629</f>
      </c>
      <c r="N34" s="1" t="s">
        <v>26</v>
      </c>
      <c r="O34" s="1" t="s">
        <v>93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9</v>
      </c>
      <c r="G35" s="5">
        <v>9</v>
      </c>
      <c r="H35" s="5">
        <v>0</v>
      </c>
      <c r="I35" s="5">
        <v>24</v>
      </c>
      <c r="J35" s="5">
        <v>0</v>
      </c>
      <c r="K35" s="5">
        <v>6</v>
      </c>
      <c r="L35" s="4">
        <f>0.06781+0.03232</f>
      </c>
      <c r="M35" s="4">
        <f>0.06781+0.03232</f>
      </c>
      <c r="N35" s="1" t="s">
        <v>26</v>
      </c>
      <c r="O35" s="1" t="s">
        <v>93</v>
      </c>
    </row>
    <row x14ac:dyDescent="0.25" r="36" customHeight="1" ht="17.25">
      <c r="A36" s="1" t="s">
        <v>13</v>
      </c>
      <c r="B36" s="1" t="s">
        <v>25</v>
      </c>
      <c r="C36" s="1"/>
      <c r="D36" s="5">
        <v>5000</v>
      </c>
      <c r="E36" s="5">
        <v>5000</v>
      </c>
      <c r="F36" s="5">
        <v>9</v>
      </c>
      <c r="G36" s="5">
        <v>9</v>
      </c>
      <c r="H36" s="5">
        <v>0</v>
      </c>
      <c r="I36" s="5">
        <v>24</v>
      </c>
      <c r="J36" s="5">
        <v>0</v>
      </c>
      <c r="K36" s="5">
        <v>6</v>
      </c>
      <c r="L36" s="4">
        <f>0.03661+0.03232</f>
      </c>
      <c r="M36" s="4">
        <f>0.03661+0.03232</f>
      </c>
      <c r="N36" s="1" t="s">
        <v>26</v>
      </c>
      <c r="O36" s="1" t="s">
        <v>93</v>
      </c>
    </row>
    <row x14ac:dyDescent="0.25" r="37" customHeight="1" ht="17.25">
      <c r="A37" s="1" t="s">
        <v>13</v>
      </c>
      <c r="B37" s="1" t="s">
        <v>25</v>
      </c>
      <c r="C37" s="1"/>
      <c r="D37" s="5">
        <v>15000</v>
      </c>
      <c r="E37" s="5">
        <v>15000</v>
      </c>
      <c r="F37" s="5">
        <v>9</v>
      </c>
      <c r="G37" s="5">
        <v>9</v>
      </c>
      <c r="H37" s="5">
        <v>0</v>
      </c>
      <c r="I37" s="5">
        <v>24</v>
      </c>
      <c r="J37" s="5">
        <v>0</v>
      </c>
      <c r="K37" s="5">
        <v>6</v>
      </c>
      <c r="L37" s="4">
        <f>0.03537+0.03232</f>
      </c>
      <c r="M37" s="4">
        <f>0.03537+0.03232</f>
      </c>
      <c r="N37" s="1" t="s">
        <v>26</v>
      </c>
      <c r="O37" s="1" t="s">
        <v>93</v>
      </c>
    </row>
    <row x14ac:dyDescent="0.25" r="38" customHeight="1" ht="17.25">
      <c r="A38" s="1" t="s">
        <v>13</v>
      </c>
      <c r="B38" s="1" t="s">
        <v>25</v>
      </c>
      <c r="C38" s="1"/>
      <c r="D38" s="5">
        <v>30000</v>
      </c>
      <c r="E38" s="5">
        <v>30000</v>
      </c>
      <c r="F38" s="5">
        <v>9</v>
      </c>
      <c r="G38" s="5">
        <v>9</v>
      </c>
      <c r="H38" s="5">
        <v>0</v>
      </c>
      <c r="I38" s="5">
        <v>24</v>
      </c>
      <c r="J38" s="5">
        <v>0</v>
      </c>
      <c r="K38" s="5">
        <v>6</v>
      </c>
      <c r="L38" s="4">
        <f>0.03502+0.03232</f>
      </c>
      <c r="M38" s="4">
        <f>0.03502+0.03232</f>
      </c>
      <c r="N38" s="1" t="s">
        <v>26</v>
      </c>
      <c r="O38" s="1" t="s">
        <v>93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10</v>
      </c>
      <c r="G39" s="5">
        <v>10</v>
      </c>
      <c r="H39" s="5">
        <v>0</v>
      </c>
      <c r="I39" s="5">
        <v>24</v>
      </c>
      <c r="J39" s="5">
        <v>0</v>
      </c>
      <c r="K39" s="5">
        <v>6</v>
      </c>
      <c r="L39" s="4">
        <f>0.06781+0.03235</f>
      </c>
      <c r="M39" s="4">
        <f>0.06781+0.03235</f>
      </c>
      <c r="N39" s="1" t="s">
        <v>26</v>
      </c>
      <c r="O39" s="1" t="s">
        <v>93</v>
      </c>
    </row>
    <row x14ac:dyDescent="0.25" r="40" customHeight="1" ht="17.25">
      <c r="A40" s="1" t="s">
        <v>13</v>
      </c>
      <c r="B40" s="1" t="s">
        <v>25</v>
      </c>
      <c r="C40" s="1"/>
      <c r="D40" s="5">
        <v>5000</v>
      </c>
      <c r="E40" s="5">
        <v>5000</v>
      </c>
      <c r="F40" s="5">
        <v>10</v>
      </c>
      <c r="G40" s="5">
        <v>10</v>
      </c>
      <c r="H40" s="5">
        <v>0</v>
      </c>
      <c r="I40" s="5">
        <v>24</v>
      </c>
      <c r="J40" s="5">
        <v>0</v>
      </c>
      <c r="K40" s="5">
        <v>6</v>
      </c>
      <c r="L40" s="4">
        <f>0.03661+0.03235</f>
      </c>
      <c r="M40" s="4">
        <f>0.03661+0.03235</f>
      </c>
      <c r="N40" s="1" t="s">
        <v>26</v>
      </c>
      <c r="O40" s="1" t="s">
        <v>93</v>
      </c>
    </row>
    <row x14ac:dyDescent="0.25" r="41" customHeight="1" ht="17.25">
      <c r="A41" s="1" t="s">
        <v>13</v>
      </c>
      <c r="B41" s="1" t="s">
        <v>25</v>
      </c>
      <c r="C41" s="1"/>
      <c r="D41" s="5">
        <v>15000</v>
      </c>
      <c r="E41" s="5">
        <v>15000</v>
      </c>
      <c r="F41" s="5">
        <v>10</v>
      </c>
      <c r="G41" s="5">
        <v>10</v>
      </c>
      <c r="H41" s="5">
        <v>0</v>
      </c>
      <c r="I41" s="5">
        <v>24</v>
      </c>
      <c r="J41" s="5">
        <v>0</v>
      </c>
      <c r="K41" s="5">
        <v>6</v>
      </c>
      <c r="L41" s="4">
        <f>0.03537+0.03235</f>
      </c>
      <c r="M41" s="4">
        <f>0.03537+0.03235</f>
      </c>
      <c r="N41" s="1" t="s">
        <v>26</v>
      </c>
      <c r="O41" s="1" t="s">
        <v>93</v>
      </c>
    </row>
    <row x14ac:dyDescent="0.25" r="42" customHeight="1" ht="17.25">
      <c r="A42" s="1" t="s">
        <v>13</v>
      </c>
      <c r="B42" s="1" t="s">
        <v>25</v>
      </c>
      <c r="C42" s="1"/>
      <c r="D42" s="5">
        <v>30000</v>
      </c>
      <c r="E42" s="5">
        <v>30000</v>
      </c>
      <c r="F42" s="5">
        <v>10</v>
      </c>
      <c r="G42" s="5">
        <v>10</v>
      </c>
      <c r="H42" s="5">
        <v>0</v>
      </c>
      <c r="I42" s="5">
        <v>24</v>
      </c>
      <c r="J42" s="5">
        <v>0</v>
      </c>
      <c r="K42" s="5">
        <v>6</v>
      </c>
      <c r="L42" s="4">
        <f>0.03502+0.03235</f>
      </c>
      <c r="M42" s="4">
        <f>0.03502+0.03235</f>
      </c>
      <c r="N42" s="1" t="s">
        <v>26</v>
      </c>
      <c r="O42" s="1" t="s">
        <v>93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11</v>
      </c>
      <c r="G43" s="5">
        <v>11</v>
      </c>
      <c r="H43" s="5">
        <v>0</v>
      </c>
      <c r="I43" s="5">
        <v>24</v>
      </c>
      <c r="J43" s="5">
        <v>0</v>
      </c>
      <c r="K43" s="5">
        <v>6</v>
      </c>
      <c r="L43" s="4">
        <f>0.06781+0.03592</f>
      </c>
      <c r="M43" s="4">
        <f>0.06781+0.03592</f>
      </c>
      <c r="N43" s="1" t="s">
        <v>26</v>
      </c>
      <c r="O43" s="1" t="s">
        <v>93</v>
      </c>
    </row>
    <row x14ac:dyDescent="0.25" r="44" customHeight="1" ht="17.25">
      <c r="A44" s="1" t="s">
        <v>13</v>
      </c>
      <c r="B44" s="1" t="s">
        <v>25</v>
      </c>
      <c r="C44" s="1"/>
      <c r="D44" s="5">
        <v>5000</v>
      </c>
      <c r="E44" s="5">
        <v>5000</v>
      </c>
      <c r="F44" s="5">
        <v>11</v>
      </c>
      <c r="G44" s="5">
        <v>11</v>
      </c>
      <c r="H44" s="5">
        <v>0</v>
      </c>
      <c r="I44" s="5">
        <v>24</v>
      </c>
      <c r="J44" s="5">
        <v>0</v>
      </c>
      <c r="K44" s="5">
        <v>6</v>
      </c>
      <c r="L44" s="4">
        <f>0.03661+0.03592</f>
      </c>
      <c r="M44" s="4">
        <f>0.03661+0.03592</f>
      </c>
      <c r="N44" s="1" t="s">
        <v>26</v>
      </c>
      <c r="O44" s="1" t="s">
        <v>93</v>
      </c>
    </row>
    <row x14ac:dyDescent="0.25" r="45" customHeight="1" ht="17.25">
      <c r="A45" s="1" t="s">
        <v>13</v>
      </c>
      <c r="B45" s="1" t="s">
        <v>25</v>
      </c>
      <c r="C45" s="1"/>
      <c r="D45" s="5">
        <v>15000</v>
      </c>
      <c r="E45" s="5">
        <v>15000</v>
      </c>
      <c r="F45" s="5">
        <v>11</v>
      </c>
      <c r="G45" s="5">
        <v>11</v>
      </c>
      <c r="H45" s="5">
        <v>0</v>
      </c>
      <c r="I45" s="5">
        <v>24</v>
      </c>
      <c r="J45" s="5">
        <v>0</v>
      </c>
      <c r="K45" s="5">
        <v>6</v>
      </c>
      <c r="L45" s="4">
        <f>0.03537+0.03592</f>
      </c>
      <c r="M45" s="4">
        <f>0.03537+0.03592</f>
      </c>
      <c r="N45" s="1" t="s">
        <v>26</v>
      </c>
      <c r="O45" s="1" t="s">
        <v>93</v>
      </c>
    </row>
    <row x14ac:dyDescent="0.25" r="46" customHeight="1" ht="17.25">
      <c r="A46" s="1" t="s">
        <v>13</v>
      </c>
      <c r="B46" s="1" t="s">
        <v>25</v>
      </c>
      <c r="C46" s="1"/>
      <c r="D46" s="5">
        <v>30000</v>
      </c>
      <c r="E46" s="5">
        <v>30000</v>
      </c>
      <c r="F46" s="5">
        <v>11</v>
      </c>
      <c r="G46" s="5">
        <v>11</v>
      </c>
      <c r="H46" s="5">
        <v>0</v>
      </c>
      <c r="I46" s="5">
        <v>24</v>
      </c>
      <c r="J46" s="5">
        <v>0</v>
      </c>
      <c r="K46" s="5">
        <v>6</v>
      </c>
      <c r="L46" s="4">
        <f>0.03502+0.03592</f>
      </c>
      <c r="M46" s="4">
        <f>0.03502+0.03592</f>
      </c>
      <c r="N46" s="1" t="s">
        <v>26</v>
      </c>
      <c r="O46" s="1" t="s">
        <v>93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12</v>
      </c>
      <c r="G47" s="5">
        <v>12</v>
      </c>
      <c r="H47" s="5">
        <v>0</v>
      </c>
      <c r="I47" s="5">
        <v>24</v>
      </c>
      <c r="J47" s="5">
        <v>0</v>
      </c>
      <c r="K47" s="5">
        <v>6</v>
      </c>
      <c r="L47" s="4">
        <f>0.06781+0.03708</f>
      </c>
      <c r="M47" s="4">
        <f>0.06781+0.03708</f>
      </c>
      <c r="N47" s="1" t="s">
        <v>26</v>
      </c>
      <c r="O47" s="1" t="s">
        <v>93</v>
      </c>
    </row>
    <row x14ac:dyDescent="0.25" r="48" customHeight="1" ht="17.25">
      <c r="A48" s="1" t="s">
        <v>13</v>
      </c>
      <c r="B48" s="1" t="s">
        <v>25</v>
      </c>
      <c r="C48" s="1"/>
      <c r="D48" s="5">
        <v>5000</v>
      </c>
      <c r="E48" s="5">
        <v>5000</v>
      </c>
      <c r="F48" s="5">
        <v>12</v>
      </c>
      <c r="G48" s="5">
        <v>12</v>
      </c>
      <c r="H48" s="5">
        <v>0</v>
      </c>
      <c r="I48" s="5">
        <v>24</v>
      </c>
      <c r="J48" s="5">
        <v>0</v>
      </c>
      <c r="K48" s="5">
        <v>6</v>
      </c>
      <c r="L48" s="4">
        <f>0.03661+0.03708</f>
      </c>
      <c r="M48" s="4">
        <f>0.03661+0.03708</f>
      </c>
      <c r="N48" s="1" t="s">
        <v>26</v>
      </c>
      <c r="O48" s="1" t="s">
        <v>93</v>
      </c>
    </row>
    <row x14ac:dyDescent="0.25" r="49" customHeight="1" ht="17.25">
      <c r="A49" s="1" t="s">
        <v>13</v>
      </c>
      <c r="B49" s="1" t="s">
        <v>25</v>
      </c>
      <c r="C49" s="1"/>
      <c r="D49" s="5">
        <v>15000</v>
      </c>
      <c r="E49" s="5">
        <v>15000</v>
      </c>
      <c r="F49" s="5">
        <v>12</v>
      </c>
      <c r="G49" s="5">
        <v>12</v>
      </c>
      <c r="H49" s="5">
        <v>0</v>
      </c>
      <c r="I49" s="5">
        <v>24</v>
      </c>
      <c r="J49" s="5">
        <v>0</v>
      </c>
      <c r="K49" s="5">
        <v>6</v>
      </c>
      <c r="L49" s="4">
        <f>0.03537+0.03708</f>
      </c>
      <c r="M49" s="4">
        <f>0.03537+0.03708</f>
      </c>
      <c r="N49" s="1" t="s">
        <v>26</v>
      </c>
      <c r="O49" s="1" t="s">
        <v>93</v>
      </c>
    </row>
    <row x14ac:dyDescent="0.25" r="50" customHeight="1" ht="17.25">
      <c r="A50" s="1" t="s">
        <v>13</v>
      </c>
      <c r="B50" s="1" t="s">
        <v>25</v>
      </c>
      <c r="C50" s="1"/>
      <c r="D50" s="5">
        <v>30000</v>
      </c>
      <c r="E50" s="5">
        <v>30000</v>
      </c>
      <c r="F50" s="5">
        <v>12</v>
      </c>
      <c r="G50" s="5">
        <v>12</v>
      </c>
      <c r="H50" s="5">
        <v>0</v>
      </c>
      <c r="I50" s="5">
        <v>24</v>
      </c>
      <c r="J50" s="5">
        <v>0</v>
      </c>
      <c r="K50" s="5">
        <v>6</v>
      </c>
      <c r="L50" s="4">
        <f>0.03502+0.03708</f>
      </c>
      <c r="M50" s="4">
        <f>0.03502+0.03708</f>
      </c>
      <c r="N50" s="1" t="s">
        <v>26</v>
      </c>
      <c r="O50" s="1" t="s">
        <v>93</v>
      </c>
    </row>
    <row x14ac:dyDescent="0.25" r="51" customHeight="1" ht="17.25">
      <c r="A51" s="1" t="s">
        <v>13</v>
      </c>
      <c r="B51" s="1" t="s">
        <v>17</v>
      </c>
      <c r="C51" s="1" t="s">
        <v>24</v>
      </c>
      <c r="D51" s="5">
        <v>50</v>
      </c>
      <c r="E51" s="5">
        <v>50</v>
      </c>
      <c r="F51" s="5">
        <v>1</v>
      </c>
      <c r="G51" s="5">
        <v>12</v>
      </c>
      <c r="H51" s="5">
        <v>0</v>
      </c>
      <c r="I51" s="5">
        <v>24</v>
      </c>
      <c r="J51" s="5">
        <v>0</v>
      </c>
      <c r="K51" s="5">
        <v>6</v>
      </c>
      <c r="L51" s="4">
        <v>11.45</v>
      </c>
      <c r="M51" s="4">
        <v>11.45</v>
      </c>
      <c r="N51" s="1" t="s">
        <v>19</v>
      </c>
      <c r="O51" s="1"/>
    </row>
    <row x14ac:dyDescent="0.25" r="52" customHeight="1" ht="17.25">
      <c r="A52" s="1" t="s">
        <v>13</v>
      </c>
      <c r="B52" s="1" t="s">
        <v>17</v>
      </c>
      <c r="C52" s="1" t="s">
        <v>24</v>
      </c>
      <c r="D52" s="5">
        <v>100</v>
      </c>
      <c r="E52" s="5">
        <v>100</v>
      </c>
      <c r="F52" s="5">
        <v>1</v>
      </c>
      <c r="G52" s="5">
        <v>12</v>
      </c>
      <c r="H52" s="5">
        <v>0</v>
      </c>
      <c r="I52" s="5">
        <v>24</v>
      </c>
      <c r="J52" s="5">
        <v>0</v>
      </c>
      <c r="K52" s="5">
        <v>6</v>
      </c>
      <c r="L52" s="4">
        <v>10.71</v>
      </c>
      <c r="M52" s="4">
        <v>10.71</v>
      </c>
      <c r="N52" s="1" t="s">
        <v>19</v>
      </c>
      <c r="O52" s="1"/>
    </row>
    <row x14ac:dyDescent="0.25" r="53" customHeight="1" ht="17.25">
      <c r="A53" s="1" t="s">
        <v>13</v>
      </c>
      <c r="B53" s="1" t="s">
        <v>17</v>
      </c>
      <c r="C53" s="1" t="s">
        <v>24</v>
      </c>
      <c r="D53" s="5">
        <v>200</v>
      </c>
      <c r="E53" s="5">
        <v>200</v>
      </c>
      <c r="F53" s="5">
        <v>1</v>
      </c>
      <c r="G53" s="5">
        <v>12</v>
      </c>
      <c r="H53" s="5">
        <v>0</v>
      </c>
      <c r="I53" s="5">
        <v>24</v>
      </c>
      <c r="J53" s="5">
        <v>0</v>
      </c>
      <c r="K53" s="5">
        <v>6</v>
      </c>
      <c r="L53" s="4">
        <v>10.27</v>
      </c>
      <c r="M53" s="4">
        <v>10.27</v>
      </c>
      <c r="N53" s="1" t="s">
        <v>19</v>
      </c>
      <c r="O53" s="1"/>
    </row>
    <row x14ac:dyDescent="0.25" r="54" customHeight="1" ht="17.25">
      <c r="A54" s="1" t="s">
        <v>34</v>
      </c>
      <c r="B54" s="1" t="s">
        <v>14</v>
      </c>
      <c r="C54" s="1"/>
      <c r="D54" s="2"/>
      <c r="E54" s="2"/>
      <c r="F54" s="2"/>
      <c r="G54" s="2"/>
      <c r="H54" s="2"/>
      <c r="I54" s="2"/>
      <c r="J54" s="2"/>
      <c r="K54" s="2"/>
      <c r="L54" s="5">
        <v>128</v>
      </c>
      <c r="M54" s="5">
        <v>128</v>
      </c>
      <c r="N54" s="1" t="s">
        <v>15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1</v>
      </c>
      <c r="G55" s="5">
        <v>1</v>
      </c>
      <c r="H55" s="5">
        <v>0</v>
      </c>
      <c r="I55" s="5">
        <v>24</v>
      </c>
      <c r="J55" s="5">
        <v>0</v>
      </c>
      <c r="K55" s="5">
        <v>6</v>
      </c>
      <c r="L55" s="4">
        <f>0.24335+0.42745</f>
      </c>
      <c r="M55" s="11">
        <f>L55/2.83168</f>
      </c>
      <c r="N55" s="1" t="s">
        <v>36</v>
      </c>
      <c r="O55" s="1"/>
    </row>
    <row x14ac:dyDescent="0.25" r="56" customHeight="1" ht="17.25">
      <c r="A56" s="1" t="s">
        <v>34</v>
      </c>
      <c r="B56" s="1" t="s">
        <v>25</v>
      </c>
      <c r="C56" s="1"/>
      <c r="D56" s="5">
        <v>0</v>
      </c>
      <c r="E56" s="5">
        <v>0</v>
      </c>
      <c r="F56" s="5">
        <v>2</v>
      </c>
      <c r="G56" s="5">
        <v>2</v>
      </c>
      <c r="H56" s="5">
        <v>0</v>
      </c>
      <c r="I56" s="5">
        <v>24</v>
      </c>
      <c r="J56" s="5">
        <v>0</v>
      </c>
      <c r="K56" s="5">
        <v>6</v>
      </c>
      <c r="L56" s="4">
        <f>0.24335+0.45971</f>
      </c>
      <c r="M56" s="11">
        <f>L56/2.83168</f>
      </c>
      <c r="N56" s="1" t="s">
        <v>36</v>
      </c>
      <c r="O56" s="1"/>
    </row>
    <row x14ac:dyDescent="0.25" r="57" customHeight="1" ht="17.25">
      <c r="A57" s="1" t="s">
        <v>34</v>
      </c>
      <c r="B57" s="1" t="s">
        <v>25</v>
      </c>
      <c r="C57" s="1"/>
      <c r="D57" s="5">
        <v>0</v>
      </c>
      <c r="E57" s="5">
        <v>0</v>
      </c>
      <c r="F57" s="5">
        <v>3</v>
      </c>
      <c r="G57" s="5">
        <v>3</v>
      </c>
      <c r="H57" s="5">
        <v>0</v>
      </c>
      <c r="I57" s="5">
        <v>24</v>
      </c>
      <c r="J57" s="5">
        <v>0</v>
      </c>
      <c r="K57" s="5">
        <v>6</v>
      </c>
      <c r="L57" s="4">
        <f>0.46858+0.24335</f>
      </c>
      <c r="M57" s="11">
        <f>L57/2.83168</f>
      </c>
      <c r="N57" s="1" t="s">
        <v>36</v>
      </c>
      <c r="O57" s="1"/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4</v>
      </c>
      <c r="G58" s="5">
        <v>4</v>
      </c>
      <c r="H58" s="5">
        <v>0</v>
      </c>
      <c r="I58" s="5">
        <v>24</v>
      </c>
      <c r="J58" s="5">
        <v>0</v>
      </c>
      <c r="K58" s="5">
        <v>6</v>
      </c>
      <c r="L58" s="4">
        <f>0.24335+0.45312</f>
      </c>
      <c r="M58" s="11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5</v>
      </c>
      <c r="G59" s="5">
        <v>5</v>
      </c>
      <c r="H59" s="5">
        <v>0</v>
      </c>
      <c r="I59" s="5">
        <v>24</v>
      </c>
      <c r="J59" s="5">
        <v>0</v>
      </c>
      <c r="K59" s="5">
        <v>6</v>
      </c>
      <c r="L59" s="4">
        <f>0.24335+0.45307</f>
      </c>
      <c r="M59" s="11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6</v>
      </c>
      <c r="G60" s="5">
        <v>6</v>
      </c>
      <c r="H60" s="5">
        <v>0</v>
      </c>
      <c r="I60" s="5">
        <v>24</v>
      </c>
      <c r="J60" s="5">
        <v>0</v>
      </c>
      <c r="K60" s="5">
        <v>6</v>
      </c>
      <c r="L60" s="4">
        <f>0.24335+0.4521</f>
      </c>
      <c r="M60" s="11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0</v>
      </c>
      <c r="E61" s="5">
        <v>0</v>
      </c>
      <c r="F61" s="5">
        <v>7</v>
      </c>
      <c r="G61" s="5">
        <v>7</v>
      </c>
      <c r="H61" s="5">
        <v>0</v>
      </c>
      <c r="I61" s="5">
        <v>24</v>
      </c>
      <c r="J61" s="5">
        <v>0</v>
      </c>
      <c r="K61" s="5">
        <v>6</v>
      </c>
      <c r="L61" s="4">
        <f>0.24335+0.49595</f>
      </c>
      <c r="M61" s="11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8</v>
      </c>
      <c r="G62" s="5">
        <v>8</v>
      </c>
      <c r="H62" s="5">
        <v>0</v>
      </c>
      <c r="I62" s="5">
        <v>24</v>
      </c>
      <c r="J62" s="5">
        <v>0</v>
      </c>
      <c r="K62" s="5">
        <v>6</v>
      </c>
      <c r="L62" s="4">
        <f>0.24335+0.56329</f>
      </c>
      <c r="M62" s="11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9</v>
      </c>
      <c r="G63" s="5">
        <v>9</v>
      </c>
      <c r="H63" s="5">
        <v>0</v>
      </c>
      <c r="I63" s="5">
        <v>24</v>
      </c>
      <c r="J63" s="5">
        <v>0</v>
      </c>
      <c r="K63" s="5">
        <v>6</v>
      </c>
      <c r="L63" s="4">
        <f>0.24335+0.5393</f>
      </c>
      <c r="M63" s="11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0.24335+0.65092</f>
      </c>
      <c r="M64" s="11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0.24335+0.69819</f>
      </c>
      <c r="M65" s="11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12</v>
      </c>
      <c r="G66" s="5">
        <v>12</v>
      </c>
      <c r="H66" s="5">
        <v>0</v>
      </c>
      <c r="I66" s="5">
        <v>24</v>
      </c>
      <c r="J66" s="5">
        <v>0</v>
      </c>
      <c r="K66" s="5">
        <v>6</v>
      </c>
      <c r="L66" s="4">
        <f>0.24335+0.63603</f>
      </c>
      <c r="M66" s="11">
        <f>L66/2.83168</f>
      </c>
      <c r="N66" s="1" t="s">
        <v>36</v>
      </c>
      <c r="O66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6.862142857142857" customWidth="1" bestFit="1"/>
    <col min="2" max="2" style="6" width="8.290714285714287" customWidth="1" bestFit="1"/>
    <col min="3" max="3" style="6" width="16.005" customWidth="1" bestFit="1"/>
    <col min="4" max="4" style="7" width="23.719285714285714" customWidth="1" bestFit="1"/>
    <col min="5" max="5" style="8" width="22.290714285714284" customWidth="1" bestFit="1"/>
    <col min="6" max="6" style="7" width="10.719285714285713" customWidth="1" bestFit="1"/>
    <col min="7" max="7" style="7" width="10.147857142857141" customWidth="1" bestFit="1"/>
    <col min="8" max="8" style="7" width="9.147857142857141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4.005" customWidth="1" bestFit="1"/>
    <col min="15" max="15" style="6" width="5.719285714285714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295.95</v>
      </c>
      <c r="M2" s="4">
        <v>295.95</v>
      </c>
      <c r="N2" s="1" t="s">
        <v>15</v>
      </c>
      <c r="O2" s="1" t="s">
        <v>63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v>0.02269595392</v>
      </c>
      <c r="M3" s="11">
        <v>0.02269595392</v>
      </c>
      <c r="N3" s="1" t="s">
        <v>26</v>
      </c>
      <c r="O3" s="1" t="s">
        <v>64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v>0.03661955173</v>
      </c>
      <c r="M4" s="11">
        <v>0.03661955173</v>
      </c>
      <c r="N4" s="1" t="s">
        <v>26</v>
      </c>
      <c r="O4" s="1" t="s">
        <v>64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v>0.02124298439</v>
      </c>
      <c r="M5" s="11">
        <v>0.02124298439</v>
      </c>
      <c r="N5" s="1" t="s">
        <v>26</v>
      </c>
      <c r="O5" s="1" t="s">
        <v>64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v>0.02039166465</v>
      </c>
      <c r="M6" s="11">
        <v>0.02039166465</v>
      </c>
      <c r="N6" s="1" t="s">
        <v>26</v>
      </c>
      <c r="O6" s="1" t="s">
        <v>64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v>0.02365878794</v>
      </c>
      <c r="M7" s="11">
        <v>0.02365878794</v>
      </c>
      <c r="N7" s="1" t="s">
        <v>26</v>
      </c>
      <c r="O7" s="1" t="s">
        <v>64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v>0.02827343467</v>
      </c>
      <c r="M8" s="11">
        <v>0.02827343467</v>
      </c>
      <c r="N8" s="1" t="s">
        <v>26</v>
      </c>
      <c r="O8" s="1" t="s">
        <v>64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1">
        <v>0.03314336928</v>
      </c>
      <c r="M9" s="11">
        <v>0.03314336928</v>
      </c>
      <c r="N9" s="1" t="s">
        <v>26</v>
      </c>
      <c r="O9" s="1" t="s">
        <v>64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v>0.04073018928</v>
      </c>
      <c r="M10" s="11">
        <v>0.04073018928</v>
      </c>
      <c r="N10" s="1" t="s">
        <v>26</v>
      </c>
      <c r="O10" s="1" t="s">
        <v>64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v>0.04083243049</v>
      </c>
      <c r="M11" s="11">
        <v>0.04083243049</v>
      </c>
      <c r="N11" s="1" t="s">
        <v>26</v>
      </c>
      <c r="O11" s="1" t="s">
        <v>64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v>0.04430227405</v>
      </c>
      <c r="M12" s="11">
        <v>0.04430227405</v>
      </c>
      <c r="N12" s="1" t="s">
        <v>26</v>
      </c>
      <c r="O12" s="1" t="s">
        <v>64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v>0.04546055048</v>
      </c>
      <c r="M13" s="11">
        <v>0.04546055048</v>
      </c>
      <c r="N13" s="1" t="s">
        <v>26</v>
      </c>
      <c r="O13" s="1" t="s">
        <v>64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v>0.03358350991</v>
      </c>
      <c r="M14" s="11">
        <v>0.03358350991</v>
      </c>
      <c r="N14" s="1" t="s">
        <v>26</v>
      </c>
      <c r="O14" s="1" t="s">
        <v>64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7.26+0.63</f>
      </c>
      <c r="M15" s="4">
        <f>7.26+0.63</f>
      </c>
      <c r="N15" s="1" t="s">
        <v>19</v>
      </c>
      <c r="O15" s="1"/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4">
        <v>73.6</v>
      </c>
      <c r="M16" s="4">
        <v>73.6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14">
        <f>(0.357+0.49951)/1.037</f>
      </c>
      <c r="M17" s="14">
        <f>L17/2.83168</f>
      </c>
      <c r="N17" s="1" t="s">
        <v>36</v>
      </c>
      <c r="O1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283.03</v>
      </c>
      <c r="M2" s="4">
        <v>283.03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6</v>
      </c>
      <c r="J3" s="5">
        <v>0</v>
      </c>
      <c r="K3" s="5">
        <v>4</v>
      </c>
      <c r="L3" s="4">
        <f>0.00999+0.00114+0.02635</f>
      </c>
      <c r="M3" s="4">
        <f>0.00999+0.00114+0.02635</f>
      </c>
      <c r="N3" s="1" t="s">
        <v>26</v>
      </c>
      <c r="O3" s="1" t="s">
        <v>83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10</v>
      </c>
      <c r="J4" s="5">
        <v>0</v>
      </c>
      <c r="K4" s="5">
        <v>4</v>
      </c>
      <c r="L4" s="4">
        <f>0.01007+0.00114+0.03229</f>
      </c>
      <c r="M4" s="4">
        <f>0.01007+0.00114+0.03229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10</v>
      </c>
      <c r="I5" s="5">
        <v>18</v>
      </c>
      <c r="J5" s="5">
        <v>0</v>
      </c>
      <c r="K5" s="5">
        <v>4</v>
      </c>
      <c r="L5" s="4">
        <f>0.00999+0.00114+0.02635</f>
      </c>
      <c r="M5" s="4">
        <f>0.00999+0.00114+0.02635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18</v>
      </c>
      <c r="I6" s="5">
        <v>22</v>
      </c>
      <c r="J6" s="5">
        <v>0</v>
      </c>
      <c r="K6" s="5">
        <v>4</v>
      </c>
      <c r="L6" s="4">
        <f>0.01007+0.00114+0.03229</f>
      </c>
      <c r="M6" s="4">
        <f>0.01007+0.00114+0.03229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22</v>
      </c>
      <c r="I7" s="5">
        <v>24</v>
      </c>
      <c r="J7" s="5">
        <v>0</v>
      </c>
      <c r="K7" s="5">
        <v>4</v>
      </c>
      <c r="L7" s="4">
        <f>0.00999+0.00114+0.02635</f>
      </c>
      <c r="M7" s="4">
        <f>0.00999+0.00114+0.02635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10</v>
      </c>
      <c r="H8" s="5">
        <v>0</v>
      </c>
      <c r="I8" s="5">
        <v>12</v>
      </c>
      <c r="J8" s="5">
        <v>0</v>
      </c>
      <c r="K8" s="5">
        <v>4</v>
      </c>
      <c r="L8" s="4">
        <f>0.00999+0.00114+0.02635</f>
      </c>
      <c r="M8" s="4">
        <f>0.00999+0.00114+0.02635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10</v>
      </c>
      <c r="H9" s="5">
        <v>12</v>
      </c>
      <c r="I9" s="5">
        <v>21</v>
      </c>
      <c r="J9" s="5">
        <v>0</v>
      </c>
      <c r="K9" s="5">
        <v>4</v>
      </c>
      <c r="L9" s="4">
        <f>0.01007+0.00114+0.03229</f>
      </c>
      <c r="M9" s="4">
        <f>0.01007+0.00114+0.03229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10</v>
      </c>
      <c r="H10" s="5">
        <v>21</v>
      </c>
      <c r="I10" s="5">
        <v>24</v>
      </c>
      <c r="J10" s="5">
        <v>0</v>
      </c>
      <c r="K10" s="5">
        <v>4</v>
      </c>
      <c r="L10" s="4">
        <f>0.00999+0.00114+0.02635</f>
      </c>
      <c r="M10" s="4">
        <f>0.00999+0.00114+0.02635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11</v>
      </c>
      <c r="G11" s="5">
        <v>12</v>
      </c>
      <c r="H11" s="5">
        <v>0</v>
      </c>
      <c r="I11" s="5">
        <v>6</v>
      </c>
      <c r="J11" s="5">
        <v>0</v>
      </c>
      <c r="K11" s="5">
        <v>4</v>
      </c>
      <c r="L11" s="4">
        <f>0.00999+0.00114+0.02635</f>
      </c>
      <c r="M11" s="4">
        <f>0.00999+0.00114+0.02635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11</v>
      </c>
      <c r="G12" s="5">
        <v>12</v>
      </c>
      <c r="H12" s="5">
        <v>6</v>
      </c>
      <c r="I12" s="5">
        <v>10</v>
      </c>
      <c r="J12" s="5">
        <v>0</v>
      </c>
      <c r="K12" s="5">
        <v>4</v>
      </c>
      <c r="L12" s="4">
        <f>0.01007+0.00114+0.03229</f>
      </c>
      <c r="M12" s="4">
        <f>0.01007+0.00114+0.03229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10</v>
      </c>
      <c r="I13" s="5">
        <v>18</v>
      </c>
      <c r="J13" s="5">
        <v>0</v>
      </c>
      <c r="K13" s="5">
        <v>4</v>
      </c>
      <c r="L13" s="4">
        <f>0.00999+0.00114+0.02635</f>
      </c>
      <c r="M13" s="4">
        <f>0.00999+0.00114+0.02635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12</v>
      </c>
      <c r="H14" s="5">
        <v>18</v>
      </c>
      <c r="I14" s="5">
        <v>22</v>
      </c>
      <c r="J14" s="5">
        <v>0</v>
      </c>
      <c r="K14" s="5">
        <v>4</v>
      </c>
      <c r="L14" s="4">
        <f>0.01007+0.00114+0.03229</f>
      </c>
      <c r="M14" s="4">
        <f>0.01007+0.00114+0.03229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22</v>
      </c>
      <c r="I15" s="5">
        <v>24</v>
      </c>
      <c r="J15" s="5">
        <v>0</v>
      </c>
      <c r="K15" s="5">
        <v>4</v>
      </c>
      <c r="L15" s="4">
        <f>0.00999+0.00114+0.02635</f>
      </c>
      <c r="M15" s="4">
        <f>0.00999+0.00114+0.02635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12</v>
      </c>
      <c r="H16" s="5">
        <v>0</v>
      </c>
      <c r="I16" s="5">
        <v>24</v>
      </c>
      <c r="J16" s="5">
        <v>5</v>
      </c>
      <c r="K16" s="5">
        <v>6</v>
      </c>
      <c r="L16" s="4">
        <f>0.00999+0.00114+0.02635</f>
      </c>
      <c r="M16" s="4">
        <f>0.00999+0.00114+0.02635</f>
      </c>
      <c r="N16" s="1" t="s">
        <v>26</v>
      </c>
      <c r="O16" s="1"/>
    </row>
    <row x14ac:dyDescent="0.25" r="17" customHeight="1" ht="17.25">
      <c r="A17" s="1" t="s">
        <v>13</v>
      </c>
      <c r="B17" s="1" t="s">
        <v>17</v>
      </c>
      <c r="C17" s="1" t="s">
        <v>51</v>
      </c>
      <c r="D17" s="5">
        <v>0</v>
      </c>
      <c r="E17" s="5">
        <v>0</v>
      </c>
      <c r="F17" s="5">
        <v>1</v>
      </c>
      <c r="G17" s="5">
        <v>3</v>
      </c>
      <c r="H17" s="5">
        <v>6</v>
      </c>
      <c r="I17" s="5">
        <v>10</v>
      </c>
      <c r="J17" s="5">
        <v>0</v>
      </c>
      <c r="K17" s="5">
        <v>4</v>
      </c>
      <c r="L17" s="4">
        <f>12.89+0.57+0.73+0.15</f>
      </c>
      <c r="M17" s="4">
        <f>12.89+0.57+0.73+0.15</f>
      </c>
      <c r="N17" s="1" t="s">
        <v>19</v>
      </c>
      <c r="O17" s="1" t="s">
        <v>84</v>
      </c>
    </row>
    <row x14ac:dyDescent="0.25" r="18" customHeight="1" ht="17.25">
      <c r="A18" s="1" t="s">
        <v>13</v>
      </c>
      <c r="B18" s="1" t="s">
        <v>17</v>
      </c>
      <c r="C18" s="1" t="s">
        <v>51</v>
      </c>
      <c r="D18" s="5">
        <v>0</v>
      </c>
      <c r="E18" s="5">
        <v>0</v>
      </c>
      <c r="F18" s="5">
        <v>1</v>
      </c>
      <c r="G18" s="5">
        <v>3</v>
      </c>
      <c r="H18" s="5">
        <v>18</v>
      </c>
      <c r="I18" s="5">
        <v>22</v>
      </c>
      <c r="J18" s="5">
        <v>0</v>
      </c>
      <c r="K18" s="5">
        <v>4</v>
      </c>
      <c r="L18" s="4">
        <f>12.89+0.57+0.73+0.15</f>
      </c>
      <c r="M18" s="4">
        <f>12.89+0.57+0.73+0.15</f>
      </c>
      <c r="N18" s="1" t="s">
        <v>19</v>
      </c>
      <c r="O18" s="1"/>
    </row>
    <row x14ac:dyDescent="0.25" r="19" customHeight="1" ht="17.25">
      <c r="A19" s="1" t="s">
        <v>13</v>
      </c>
      <c r="B19" s="1" t="s">
        <v>17</v>
      </c>
      <c r="C19" s="1" t="s">
        <v>53</v>
      </c>
      <c r="D19" s="5">
        <v>0</v>
      </c>
      <c r="E19" s="5">
        <v>0</v>
      </c>
      <c r="F19" s="5">
        <v>4</v>
      </c>
      <c r="G19" s="5">
        <v>10</v>
      </c>
      <c r="H19" s="5">
        <v>12</v>
      </c>
      <c r="I19" s="5">
        <v>21</v>
      </c>
      <c r="J19" s="5">
        <v>0</v>
      </c>
      <c r="K19" s="5">
        <v>4</v>
      </c>
      <c r="L19" s="4">
        <f>12.89+0.57+0.73+0.15</f>
      </c>
      <c r="M19" s="4">
        <f>12.89+0.57+0.73+0.15</f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56</v>
      </c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10</v>
      </c>
      <c r="J20" s="5">
        <v>0</v>
      </c>
      <c r="K20" s="5">
        <v>4</v>
      </c>
      <c r="L20" s="4">
        <f>12.89+0.57+0.73+0.15</f>
      </c>
      <c r="M20" s="4">
        <f>12.89+0.57+0.73+0.15</f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11</v>
      </c>
      <c r="G21" s="5">
        <v>12</v>
      </c>
      <c r="H21" s="5">
        <v>18</v>
      </c>
      <c r="I21" s="5">
        <v>22</v>
      </c>
      <c r="J21" s="5">
        <v>0</v>
      </c>
      <c r="K21" s="5">
        <v>4</v>
      </c>
      <c r="L21" s="4">
        <f>12.89+0.57+0.73+0.15</f>
      </c>
      <c r="M21" s="4">
        <f>12.89+0.57+0.73+0.15</f>
      </c>
      <c r="N21" s="1" t="s">
        <v>19</v>
      </c>
      <c r="O21" s="1"/>
    </row>
    <row x14ac:dyDescent="0.25" r="22" customHeight="1" ht="17.25">
      <c r="A22" s="1" t="s">
        <v>13</v>
      </c>
      <c r="B22" s="1" t="s">
        <v>17</v>
      </c>
      <c r="C22" s="1" t="s">
        <v>24</v>
      </c>
      <c r="D22" s="5">
        <v>0</v>
      </c>
      <c r="E22" s="5">
        <v>0</v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2.74</v>
      </c>
      <c r="M22" s="4">
        <v>2.74</v>
      </c>
      <c r="N22" s="1" t="s">
        <v>19</v>
      </c>
      <c r="O22" s="1"/>
    </row>
    <row x14ac:dyDescent="0.25" r="23" customHeight="1" ht="17.25">
      <c r="A23" s="1" t="s">
        <v>34</v>
      </c>
      <c r="B23" s="1" t="s">
        <v>14</v>
      </c>
      <c r="C23" s="1"/>
      <c r="D23" s="2"/>
      <c r="E23" s="2"/>
      <c r="F23" s="2"/>
      <c r="G23" s="2"/>
      <c r="H23" s="2"/>
      <c r="I23" s="2"/>
      <c r="J23" s="2"/>
      <c r="K23" s="2"/>
      <c r="L23" s="5">
        <v>300</v>
      </c>
      <c r="M23" s="5">
        <v>300</v>
      </c>
      <c r="N23" s="1" t="s">
        <v>15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0.19379+0.71354</f>
      </c>
      <c r="M24" s="14">
        <f>L24/2.83168</f>
      </c>
      <c r="N24" s="1" t="s">
        <v>36</v>
      </c>
      <c r="O24" s="1" t="s">
        <v>85</v>
      </c>
    </row>
    <row x14ac:dyDescent="0.25" r="25" customHeight="1" ht="17.25">
      <c r="A25" s="1" t="s">
        <v>34</v>
      </c>
      <c r="B25" s="1" t="s">
        <v>17</v>
      </c>
      <c r="C25" s="1" t="s">
        <v>24</v>
      </c>
      <c r="D25" s="5">
        <v>0</v>
      </c>
      <c r="E25" s="5">
        <v>0</v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0.575*24</f>
      </c>
      <c r="M25" s="14">
        <f>L25/2.83168</f>
      </c>
      <c r="N25" s="1" t="s">
        <v>35</v>
      </c>
      <c r="O25" s="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8.862142857142858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138.5</v>
      </c>
      <c r="M2" s="4">
        <v>138.5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0.0303+0.00995</f>
      </c>
      <c r="M3" s="4">
        <f>0.0303+0.00995</f>
      </c>
      <c r="N3" s="1" t="s">
        <v>26</v>
      </c>
      <c r="O3" s="1" t="s">
        <v>92</v>
      </c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6.72</v>
      </c>
      <c r="M4" s="4">
        <v>6.72</v>
      </c>
      <c r="N4" s="1" t="s">
        <v>19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3"/>
      <c r="F5" s="2"/>
      <c r="G5" s="2"/>
      <c r="H5" s="2"/>
      <c r="I5" s="2"/>
      <c r="J5" s="2"/>
      <c r="K5" s="2"/>
      <c r="L5" s="4">
        <v>559.53</v>
      </c>
      <c r="M5" s="4">
        <v>559.53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0</v>
      </c>
      <c r="K6" s="5">
        <v>6</v>
      </c>
      <c r="L6" s="14">
        <f>0.3865/10.87 + 0.3537</f>
      </c>
      <c r="M6" s="14">
        <f>L6/2.83168</f>
      </c>
      <c r="N6" s="1" t="s">
        <v>36</v>
      </c>
      <c r="O6" s="1"/>
    </row>
    <row x14ac:dyDescent="0.25" r="7" customHeight="1" ht="17.25">
      <c r="A7" s="1" t="s">
        <v>34</v>
      </c>
      <c r="B7" s="1" t="s">
        <v>25</v>
      </c>
      <c r="C7" s="1"/>
      <c r="D7" s="5">
        <f>2000*10.87</f>
      </c>
      <c r="E7" s="4">
        <f>D7*2.83168</f>
      </c>
      <c r="F7" s="5">
        <v>1</v>
      </c>
      <c r="G7" s="5">
        <v>1</v>
      </c>
      <c r="H7" s="5">
        <v>0</v>
      </c>
      <c r="I7" s="5">
        <v>24</v>
      </c>
      <c r="J7" s="5">
        <v>0</v>
      </c>
      <c r="K7" s="5">
        <v>6</v>
      </c>
      <c r="L7" s="14">
        <f>0.237/10.87+0.3537</f>
      </c>
      <c r="M7" s="14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f>13000*10.87+D7</f>
      </c>
      <c r="E8" s="4">
        <f>D8*2.83168</f>
      </c>
      <c r="F8" s="5">
        <v>1</v>
      </c>
      <c r="G8" s="5">
        <v>1</v>
      </c>
      <c r="H8" s="5">
        <v>0</v>
      </c>
      <c r="I8" s="5">
        <v>24</v>
      </c>
      <c r="J8" s="5">
        <v>0</v>
      </c>
      <c r="K8" s="5">
        <v>6</v>
      </c>
      <c r="L8" s="14">
        <f>0.2068/10.87 + 0.3537</f>
      </c>
      <c r="M8" s="14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f>85000*10.87+D8</f>
      </c>
      <c r="E9" s="4">
        <f>D9*2.83168</f>
      </c>
      <c r="F9" s="5">
        <v>1</v>
      </c>
      <c r="G9" s="5">
        <v>1</v>
      </c>
      <c r="H9" s="5">
        <v>0</v>
      </c>
      <c r="I9" s="5">
        <v>24</v>
      </c>
      <c r="J9" s="5">
        <v>0</v>
      </c>
      <c r="K9" s="5">
        <v>6</v>
      </c>
      <c r="L9" s="14">
        <f>0.1635/10.87 + 0.3537</f>
      </c>
      <c r="M9" s="14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0</v>
      </c>
      <c r="K10" s="5">
        <v>6</v>
      </c>
      <c r="L10" s="14">
        <f>0.3865/10.87 + 0.383</f>
      </c>
      <c r="M10" s="14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f>2000*10.87</f>
      </c>
      <c r="E11" s="4">
        <f>D11*2.83168</f>
      </c>
      <c r="F11" s="5">
        <v>2</v>
      </c>
      <c r="G11" s="5">
        <v>2</v>
      </c>
      <c r="H11" s="5">
        <v>0</v>
      </c>
      <c r="I11" s="5">
        <v>24</v>
      </c>
      <c r="J11" s="5">
        <v>0</v>
      </c>
      <c r="K11" s="5">
        <v>6</v>
      </c>
      <c r="L11" s="14">
        <f>0.237/10.87 + 0.383</f>
      </c>
      <c r="M11" s="14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f>13000*10.87+D11</f>
      </c>
      <c r="E12" s="4">
        <f>D12*2.83168</f>
      </c>
      <c r="F12" s="5">
        <v>2</v>
      </c>
      <c r="G12" s="5">
        <v>2</v>
      </c>
      <c r="H12" s="5">
        <v>0</v>
      </c>
      <c r="I12" s="5">
        <v>24</v>
      </c>
      <c r="J12" s="5">
        <v>0</v>
      </c>
      <c r="K12" s="5">
        <v>6</v>
      </c>
      <c r="L12" s="14">
        <f>0.2068/10.87 + 0.383</f>
      </c>
      <c r="M12" s="14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f>85000*10.87+D12</f>
      </c>
      <c r="E13" s="4">
        <f>D13*2.83168</f>
      </c>
      <c r="F13" s="5">
        <v>2</v>
      </c>
      <c r="G13" s="5">
        <v>2</v>
      </c>
      <c r="H13" s="5">
        <v>0</v>
      </c>
      <c r="I13" s="5">
        <v>24</v>
      </c>
      <c r="J13" s="5">
        <v>0</v>
      </c>
      <c r="K13" s="5">
        <v>6</v>
      </c>
      <c r="L13" s="14">
        <f>0.1635/10.87 + 0.383</f>
      </c>
      <c r="M13" s="14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24</v>
      </c>
      <c r="J14" s="5">
        <v>0</v>
      </c>
      <c r="K14" s="5">
        <v>6</v>
      </c>
      <c r="L14" s="14">
        <f>0.3865/10.87 + 0.3924</f>
      </c>
      <c r="M14" s="14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f>2000*10.87</f>
      </c>
      <c r="E15" s="4">
        <f>D15*2.83168</f>
      </c>
      <c r="F15" s="5">
        <v>3</v>
      </c>
      <c r="G15" s="5">
        <v>3</v>
      </c>
      <c r="H15" s="5">
        <v>0</v>
      </c>
      <c r="I15" s="5">
        <v>24</v>
      </c>
      <c r="J15" s="5">
        <v>0</v>
      </c>
      <c r="K15" s="5">
        <v>6</v>
      </c>
      <c r="L15" s="14">
        <f>0.237/10.87 + 0.3924</f>
      </c>
      <c r="M15" s="14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f>13000*10.87+D15</f>
      </c>
      <c r="E16" s="4">
        <f>D16*2.83168</f>
      </c>
      <c r="F16" s="5">
        <v>3</v>
      </c>
      <c r="G16" s="5">
        <v>3</v>
      </c>
      <c r="H16" s="5">
        <v>0</v>
      </c>
      <c r="I16" s="5">
        <v>24</v>
      </c>
      <c r="J16" s="5">
        <v>0</v>
      </c>
      <c r="K16" s="5">
        <v>6</v>
      </c>
      <c r="L16" s="14">
        <f>0.2068/10.87 + 0.3924</f>
      </c>
      <c r="M16" s="14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f>85000*10.87+D16</f>
      </c>
      <c r="E17" s="4">
        <f>D17*2.83168</f>
      </c>
      <c r="F17" s="5">
        <v>3</v>
      </c>
      <c r="G17" s="5">
        <v>3</v>
      </c>
      <c r="H17" s="5">
        <v>0</v>
      </c>
      <c r="I17" s="5">
        <v>24</v>
      </c>
      <c r="J17" s="5">
        <v>0</v>
      </c>
      <c r="K17" s="5">
        <v>6</v>
      </c>
      <c r="L17" s="14">
        <f>0.1635/10.87 + 0.3924</f>
      </c>
      <c r="M17" s="14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4</v>
      </c>
      <c r="G18" s="5">
        <v>4</v>
      </c>
      <c r="H18" s="5">
        <v>0</v>
      </c>
      <c r="I18" s="5">
        <v>24</v>
      </c>
      <c r="J18" s="5">
        <v>0</v>
      </c>
      <c r="K18" s="5">
        <v>6</v>
      </c>
      <c r="L18" s="14">
        <f>0.3865/10.87 + 0.4286</f>
      </c>
      <c r="M18" s="14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f>2000*10.87</f>
      </c>
      <c r="E19" s="4">
        <f>D19*2.83168</f>
      </c>
      <c r="F19" s="5">
        <v>4</v>
      </c>
      <c r="G19" s="5">
        <v>4</v>
      </c>
      <c r="H19" s="5">
        <v>0</v>
      </c>
      <c r="I19" s="5">
        <v>24</v>
      </c>
      <c r="J19" s="5">
        <v>0</v>
      </c>
      <c r="K19" s="5">
        <v>6</v>
      </c>
      <c r="L19" s="14">
        <f>0.237/10.87 + 0.4286</f>
      </c>
      <c r="M19" s="14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f>13000*10.87+D19</f>
      </c>
      <c r="E20" s="4">
        <f>D20*2.83168</f>
      </c>
      <c r="F20" s="5">
        <v>4</v>
      </c>
      <c r="G20" s="5">
        <v>4</v>
      </c>
      <c r="H20" s="5">
        <v>0</v>
      </c>
      <c r="I20" s="5">
        <v>24</v>
      </c>
      <c r="J20" s="5">
        <v>0</v>
      </c>
      <c r="K20" s="5">
        <v>6</v>
      </c>
      <c r="L20" s="14">
        <f>0.2068/10.87 +0.4286</f>
      </c>
      <c r="M20" s="14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1"/>
      <c r="D21" s="5">
        <f>85000*10.87+D20</f>
      </c>
      <c r="E21" s="4">
        <f>D21*2.83168</f>
      </c>
      <c r="F21" s="5">
        <v>4</v>
      </c>
      <c r="G21" s="5">
        <v>4</v>
      </c>
      <c r="H21" s="5">
        <v>0</v>
      </c>
      <c r="I21" s="5">
        <v>24</v>
      </c>
      <c r="J21" s="5">
        <v>0</v>
      </c>
      <c r="K21" s="5">
        <v>6</v>
      </c>
      <c r="L21" s="14">
        <f>0.1635/10.87 + 0.4286</f>
      </c>
      <c r="M21" s="14">
        <f>L21/2.83168</f>
      </c>
      <c r="N21" s="1" t="s">
        <v>36</v>
      </c>
      <c r="O21" s="1"/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14">
        <f>0.3865/10.87 +0.4625</f>
      </c>
      <c r="M22" s="14">
        <f>L22/2.83168</f>
      </c>
      <c r="N22" s="1" t="s">
        <v>36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f>2000*10.87</f>
      </c>
      <c r="E23" s="4">
        <f>D23*2.83168</f>
      </c>
      <c r="F23" s="5">
        <v>5</v>
      </c>
      <c r="G23" s="5">
        <v>5</v>
      </c>
      <c r="H23" s="5">
        <v>0</v>
      </c>
      <c r="I23" s="5">
        <v>24</v>
      </c>
      <c r="J23" s="5">
        <v>0</v>
      </c>
      <c r="K23" s="5">
        <v>6</v>
      </c>
      <c r="L23" s="14">
        <f>0.237/10.87 +0.4625</f>
      </c>
      <c r="M23" s="14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f>13000*10.87+D23</f>
      </c>
      <c r="E24" s="4">
        <f>D24*2.83168</f>
      </c>
      <c r="F24" s="5">
        <v>5</v>
      </c>
      <c r="G24" s="5">
        <v>5</v>
      </c>
      <c r="H24" s="5">
        <v>0</v>
      </c>
      <c r="I24" s="5">
        <v>24</v>
      </c>
      <c r="J24" s="5">
        <v>0</v>
      </c>
      <c r="K24" s="5">
        <v>6</v>
      </c>
      <c r="L24" s="14">
        <f>0.2068/10.87 + 0.4625</f>
      </c>
      <c r="M24" s="14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f>85000*10.87+D24</f>
      </c>
      <c r="E25" s="4">
        <f>D25*2.83168</f>
      </c>
      <c r="F25" s="5">
        <v>5</v>
      </c>
      <c r="G25" s="5">
        <v>5</v>
      </c>
      <c r="H25" s="5">
        <v>0</v>
      </c>
      <c r="I25" s="5">
        <v>24</v>
      </c>
      <c r="J25" s="5">
        <v>0</v>
      </c>
      <c r="K25" s="5">
        <v>6</v>
      </c>
      <c r="L25" s="14">
        <f>0.1635/10.87 + 0.4625</f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6</v>
      </c>
      <c r="G26" s="5">
        <v>6</v>
      </c>
      <c r="H26" s="5">
        <v>0</v>
      </c>
      <c r="I26" s="5">
        <v>24</v>
      </c>
      <c r="J26" s="5">
        <v>0</v>
      </c>
      <c r="K26" s="5">
        <v>6</v>
      </c>
      <c r="L26" s="14">
        <f>0.3865/10.87 + 0.4684</f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f>2000*10.87</f>
      </c>
      <c r="E27" s="4">
        <f>D27*2.83168</f>
      </c>
      <c r="F27" s="5">
        <v>6</v>
      </c>
      <c r="G27" s="5">
        <v>6</v>
      </c>
      <c r="H27" s="5">
        <v>0</v>
      </c>
      <c r="I27" s="5">
        <v>24</v>
      </c>
      <c r="J27" s="5">
        <v>0</v>
      </c>
      <c r="K27" s="5">
        <v>6</v>
      </c>
      <c r="L27" s="14">
        <f>0.237/10.87 + 0.4684</f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f>13000*10.87+D27</f>
      </c>
      <c r="E28" s="4">
        <f>D28*2.83168</f>
      </c>
      <c r="F28" s="5">
        <v>6</v>
      </c>
      <c r="G28" s="5">
        <v>6</v>
      </c>
      <c r="H28" s="5">
        <v>0</v>
      </c>
      <c r="I28" s="5">
        <v>24</v>
      </c>
      <c r="J28" s="5">
        <v>0</v>
      </c>
      <c r="K28" s="5">
        <v>6</v>
      </c>
      <c r="L28" s="14">
        <f>0.2068/10.87 + 0.4684</f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f>85000*10.87+D28</f>
      </c>
      <c r="E29" s="4">
        <f>D29*2.83168</f>
      </c>
      <c r="F29" s="5">
        <v>6</v>
      </c>
      <c r="G29" s="5">
        <v>6</v>
      </c>
      <c r="H29" s="5">
        <v>0</v>
      </c>
      <c r="I29" s="5">
        <v>24</v>
      </c>
      <c r="J29" s="5">
        <v>0</v>
      </c>
      <c r="K29" s="5">
        <v>6</v>
      </c>
      <c r="L29" s="14">
        <f>0.1635/10.87 + 0.4684</f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0</v>
      </c>
      <c r="E30" s="5">
        <v>0</v>
      </c>
      <c r="F30" s="5">
        <v>7</v>
      </c>
      <c r="G30" s="5">
        <v>7</v>
      </c>
      <c r="H30" s="5">
        <v>0</v>
      </c>
      <c r="I30" s="5">
        <v>24</v>
      </c>
      <c r="J30" s="5">
        <v>0</v>
      </c>
      <c r="K30" s="5">
        <v>6</v>
      </c>
      <c r="L30" s="14">
        <f>0.3865/10.87 + 0.5377</f>
      </c>
      <c r="M30" s="14">
        <f>L30/2.83168</f>
      </c>
      <c r="N30" s="1" t="s">
        <v>36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f>2000*10.87</f>
      </c>
      <c r="E31" s="4">
        <f>D31*2.83168</f>
      </c>
      <c r="F31" s="5">
        <v>7</v>
      </c>
      <c r="G31" s="5">
        <v>7</v>
      </c>
      <c r="H31" s="5">
        <v>0</v>
      </c>
      <c r="I31" s="5">
        <v>24</v>
      </c>
      <c r="J31" s="5">
        <v>0</v>
      </c>
      <c r="K31" s="5">
        <v>6</v>
      </c>
      <c r="L31" s="14">
        <f>0.237/10.87 + 0.5377</f>
      </c>
      <c r="M31" s="14">
        <f>L31/2.83168</f>
      </c>
      <c r="N31" s="1" t="s">
        <v>36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f>13000*10.87+D31</f>
      </c>
      <c r="E32" s="4">
        <f>D32*2.83168</f>
      </c>
      <c r="F32" s="5">
        <v>7</v>
      </c>
      <c r="G32" s="5">
        <v>7</v>
      </c>
      <c r="H32" s="5">
        <v>0</v>
      </c>
      <c r="I32" s="5">
        <v>24</v>
      </c>
      <c r="J32" s="5">
        <v>0</v>
      </c>
      <c r="K32" s="5">
        <v>6</v>
      </c>
      <c r="L32" s="14">
        <f>0.2068/10.87 + 0.5377</f>
      </c>
      <c r="M32" s="14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f>85000*10.87+D32</f>
      </c>
      <c r="E33" s="4">
        <f>D33*2.83168</f>
      </c>
      <c r="F33" s="5">
        <v>7</v>
      </c>
      <c r="G33" s="5">
        <v>7</v>
      </c>
      <c r="H33" s="5">
        <v>0</v>
      </c>
      <c r="I33" s="5">
        <v>24</v>
      </c>
      <c r="J33" s="5">
        <v>0</v>
      </c>
      <c r="K33" s="5">
        <v>6</v>
      </c>
      <c r="L33" s="14">
        <f>0.1635/10.87 + 0.5377</f>
      </c>
      <c r="M33" s="14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8</v>
      </c>
      <c r="G34" s="5">
        <v>8</v>
      </c>
      <c r="H34" s="5">
        <v>0</v>
      </c>
      <c r="I34" s="5">
        <v>24</v>
      </c>
      <c r="J34" s="5">
        <v>0</v>
      </c>
      <c r="K34" s="5">
        <v>6</v>
      </c>
      <c r="L34" s="14">
        <f>0.3865/10.87 + 0.54871</f>
      </c>
      <c r="M34" s="14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f>2000*10.87</f>
      </c>
      <c r="E35" s="4">
        <f>D35*2.83168</f>
      </c>
      <c r="F35" s="5">
        <v>8</v>
      </c>
      <c r="G35" s="5">
        <v>8</v>
      </c>
      <c r="H35" s="5">
        <v>0</v>
      </c>
      <c r="I35" s="5">
        <v>24</v>
      </c>
      <c r="J35" s="5">
        <v>0</v>
      </c>
      <c r="K35" s="5">
        <v>6</v>
      </c>
      <c r="L35" s="14">
        <f>0.237/10.87 + 0.54871</f>
      </c>
      <c r="M35" s="14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f>13000*10.87+D35</f>
      </c>
      <c r="E36" s="4">
        <f>D36*2.83168</f>
      </c>
      <c r="F36" s="5">
        <v>8</v>
      </c>
      <c r="G36" s="5">
        <v>8</v>
      </c>
      <c r="H36" s="5">
        <v>0</v>
      </c>
      <c r="I36" s="5">
        <v>24</v>
      </c>
      <c r="J36" s="5">
        <v>0</v>
      </c>
      <c r="K36" s="5">
        <v>6</v>
      </c>
      <c r="L36" s="14">
        <f>0.2068/10.87+0.54871</f>
      </c>
      <c r="M36" s="14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f>85000*10.87+D36</f>
      </c>
      <c r="E37" s="4">
        <f>D37*2.83168</f>
      </c>
      <c r="F37" s="5">
        <v>8</v>
      </c>
      <c r="G37" s="5">
        <v>8</v>
      </c>
      <c r="H37" s="5">
        <v>0</v>
      </c>
      <c r="I37" s="5">
        <v>24</v>
      </c>
      <c r="J37" s="5">
        <v>0</v>
      </c>
      <c r="K37" s="5">
        <v>6</v>
      </c>
      <c r="L37" s="14">
        <f>0.1635/10.87 + 0.54871</f>
      </c>
      <c r="M37" s="14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9</v>
      </c>
      <c r="G38" s="5">
        <v>9</v>
      </c>
      <c r="H38" s="5">
        <v>0</v>
      </c>
      <c r="I38" s="5">
        <v>24</v>
      </c>
      <c r="J38" s="5">
        <v>0</v>
      </c>
      <c r="K38" s="5">
        <v>6</v>
      </c>
      <c r="L38" s="14">
        <f>0.3865/10.87+ 0.607</f>
      </c>
      <c r="M38" s="14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f>2000*10.87</f>
      </c>
      <c r="E39" s="4">
        <f>D39*2.83168</f>
      </c>
      <c r="F39" s="5">
        <v>9</v>
      </c>
      <c r="G39" s="5">
        <v>9</v>
      </c>
      <c r="H39" s="5">
        <v>0</v>
      </c>
      <c r="I39" s="5">
        <v>24</v>
      </c>
      <c r="J39" s="5">
        <v>0</v>
      </c>
      <c r="K39" s="5">
        <v>6</v>
      </c>
      <c r="L39" s="14">
        <f>0.237/10.87 + 0.607</f>
      </c>
      <c r="M39" s="14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f>13000*10.87+D39</f>
      </c>
      <c r="E40" s="4">
        <f>D40*2.83168</f>
      </c>
      <c r="F40" s="5">
        <v>9</v>
      </c>
      <c r="G40" s="5">
        <v>9</v>
      </c>
      <c r="H40" s="5">
        <v>0</v>
      </c>
      <c r="I40" s="5">
        <v>24</v>
      </c>
      <c r="J40" s="5">
        <v>0</v>
      </c>
      <c r="K40" s="5">
        <v>6</v>
      </c>
      <c r="L40" s="14">
        <f>0.2068/10.87 + 0.607</f>
      </c>
      <c r="M40" s="14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f>85000*10.87+D40</f>
      </c>
      <c r="E41" s="4">
        <f>D41*2.83168</f>
      </c>
      <c r="F41" s="5">
        <v>9</v>
      </c>
      <c r="G41" s="5">
        <v>9</v>
      </c>
      <c r="H41" s="5">
        <v>0</v>
      </c>
      <c r="I41" s="5">
        <v>24</v>
      </c>
      <c r="J41" s="5">
        <v>0</v>
      </c>
      <c r="K41" s="5">
        <v>6</v>
      </c>
      <c r="L41" s="14">
        <f>0.1635/10.87 + 0.607</f>
      </c>
      <c r="M41" s="14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10</v>
      </c>
      <c r="G42" s="5">
        <v>10</v>
      </c>
      <c r="H42" s="5">
        <v>0</v>
      </c>
      <c r="I42" s="5">
        <v>24</v>
      </c>
      <c r="J42" s="5">
        <v>0</v>
      </c>
      <c r="K42" s="5">
        <v>6</v>
      </c>
      <c r="L42" s="14">
        <f>0.3865/10.87 + 0.7541</f>
      </c>
      <c r="M42" s="14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f>2000*10.87</f>
      </c>
      <c r="E43" s="4">
        <f>D43*2.83168</f>
      </c>
      <c r="F43" s="5">
        <v>10</v>
      </c>
      <c r="G43" s="5">
        <v>10</v>
      </c>
      <c r="H43" s="5">
        <v>0</v>
      </c>
      <c r="I43" s="5">
        <v>24</v>
      </c>
      <c r="J43" s="5">
        <v>0</v>
      </c>
      <c r="K43" s="5">
        <v>6</v>
      </c>
      <c r="L43" s="14">
        <f>0.237/10.87 + 0.7541</f>
      </c>
      <c r="M43" s="14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f>13000*10.87+D43</f>
      </c>
      <c r="E44" s="4">
        <f>D44*2.83168</f>
      </c>
      <c r="F44" s="5">
        <v>10</v>
      </c>
      <c r="G44" s="5">
        <v>10</v>
      </c>
      <c r="H44" s="5">
        <v>0</v>
      </c>
      <c r="I44" s="5">
        <v>24</v>
      </c>
      <c r="J44" s="5">
        <v>0</v>
      </c>
      <c r="K44" s="5">
        <v>6</v>
      </c>
      <c r="L44" s="14">
        <f>0.2068/10.87+ 0.7541</f>
      </c>
      <c r="M44" s="14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f>85000*10.87+D44</f>
      </c>
      <c r="E45" s="4">
        <f>D45*2.83168</f>
      </c>
      <c r="F45" s="5">
        <v>10</v>
      </c>
      <c r="G45" s="5">
        <v>10</v>
      </c>
      <c r="H45" s="5">
        <v>0</v>
      </c>
      <c r="I45" s="5">
        <v>24</v>
      </c>
      <c r="J45" s="5">
        <v>0</v>
      </c>
      <c r="K45" s="5">
        <v>6</v>
      </c>
      <c r="L45" s="14">
        <f>0.1635/10.87 + 0.7541</f>
      </c>
      <c r="M45" s="14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11</v>
      </c>
      <c r="G46" s="5">
        <v>11</v>
      </c>
      <c r="H46" s="5">
        <v>0</v>
      </c>
      <c r="I46" s="5">
        <v>24</v>
      </c>
      <c r="J46" s="5">
        <v>0</v>
      </c>
      <c r="K46" s="5">
        <v>6</v>
      </c>
      <c r="L46" s="14">
        <f>0.3865/10.87 + 0.7902</f>
      </c>
      <c r="M46" s="14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f>2000*10.87</f>
      </c>
      <c r="E47" s="4">
        <f>D47*2.83168</f>
      </c>
      <c r="F47" s="5">
        <v>11</v>
      </c>
      <c r="G47" s="5">
        <v>11</v>
      </c>
      <c r="H47" s="5">
        <v>0</v>
      </c>
      <c r="I47" s="5">
        <v>24</v>
      </c>
      <c r="J47" s="5">
        <v>0</v>
      </c>
      <c r="K47" s="5">
        <v>6</v>
      </c>
      <c r="L47" s="14">
        <f>0.237/10.87 + 0.7902</f>
      </c>
      <c r="M47" s="14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f>13000*10.87+D47</f>
      </c>
      <c r="E48" s="4">
        <f>D48*2.83168</f>
      </c>
      <c r="F48" s="5">
        <v>11</v>
      </c>
      <c r="G48" s="5">
        <v>11</v>
      </c>
      <c r="H48" s="5">
        <v>0</v>
      </c>
      <c r="I48" s="5">
        <v>24</v>
      </c>
      <c r="J48" s="5">
        <v>0</v>
      </c>
      <c r="K48" s="5">
        <v>6</v>
      </c>
      <c r="L48" s="14">
        <f>0.2068/10.87 + 0.7902</f>
      </c>
      <c r="M48" s="14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f>85000*10.87+D48</f>
      </c>
      <c r="E49" s="4">
        <f>D49*2.83168</f>
      </c>
      <c r="F49" s="5">
        <v>11</v>
      </c>
      <c r="G49" s="5">
        <v>11</v>
      </c>
      <c r="H49" s="5">
        <v>0</v>
      </c>
      <c r="I49" s="5">
        <v>24</v>
      </c>
      <c r="J49" s="5">
        <v>0</v>
      </c>
      <c r="K49" s="5">
        <v>6</v>
      </c>
      <c r="L49" s="14">
        <f>0.1635/10.87 + 0.7902</f>
      </c>
      <c r="M49" s="14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24</v>
      </c>
      <c r="J50" s="5">
        <v>0</v>
      </c>
      <c r="K50" s="5">
        <v>6</v>
      </c>
      <c r="L50" s="14">
        <f>0.3865/10.87 + 0.7147</f>
      </c>
      <c r="M50" s="14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f>2000*10.87</f>
      </c>
      <c r="E51" s="4">
        <f>D51*2.83168</f>
      </c>
      <c r="F51" s="5">
        <v>12</v>
      </c>
      <c r="G51" s="5">
        <v>12</v>
      </c>
      <c r="H51" s="5">
        <v>0</v>
      </c>
      <c r="I51" s="5">
        <v>24</v>
      </c>
      <c r="J51" s="5">
        <v>0</v>
      </c>
      <c r="K51" s="5">
        <v>6</v>
      </c>
      <c r="L51" s="14">
        <f>0.237/10.87  + 0.7147</f>
      </c>
      <c r="M51" s="14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f>13000*10.87+D51</f>
      </c>
      <c r="E52" s="4">
        <f>D52*2.83168</f>
      </c>
      <c r="F52" s="5">
        <v>12</v>
      </c>
      <c r="G52" s="5">
        <v>12</v>
      </c>
      <c r="H52" s="5">
        <v>0</v>
      </c>
      <c r="I52" s="5">
        <v>24</v>
      </c>
      <c r="J52" s="5">
        <v>0</v>
      </c>
      <c r="K52" s="5">
        <v>6</v>
      </c>
      <c r="L52" s="14">
        <f>0.2068/10.87  + 0.7147</f>
      </c>
      <c r="M52" s="14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f>85000*10.87+D52</f>
      </c>
      <c r="E53" s="4">
        <f>D53*2.83168</f>
      </c>
      <c r="F53" s="5">
        <v>12</v>
      </c>
      <c r="G53" s="5">
        <v>12</v>
      </c>
      <c r="H53" s="5">
        <v>0</v>
      </c>
      <c r="I53" s="5">
        <v>24</v>
      </c>
      <c r="J53" s="5">
        <v>0</v>
      </c>
      <c r="K53" s="5">
        <v>6</v>
      </c>
      <c r="L53" s="14">
        <f>0.1635/10.87  + 0.7147</f>
      </c>
      <c r="M53" s="14">
        <f>L53/2.83168</f>
      </c>
      <c r="N53" s="1" t="s">
        <v>36</v>
      </c>
      <c r="O53" s="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8.862142857142858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284.78+4.51</f>
      </c>
      <c r="M2" s="4">
        <f>284.78+4.51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0.03822</v>
      </c>
      <c r="M3" s="4">
        <v>0.03822</v>
      </c>
      <c r="N3" s="1" t="s">
        <v>26</v>
      </c>
      <c r="O3" s="1"/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2.33454</v>
      </c>
      <c r="M4" s="4">
        <v>2.33454</v>
      </c>
      <c r="N4" s="1" t="s">
        <v>19</v>
      </c>
      <c r="O4" s="1"/>
    </row>
    <row x14ac:dyDescent="0.25" r="5" customHeight="1" ht="17.25">
      <c r="A5" s="1" t="s">
        <v>34</v>
      </c>
      <c r="B5" s="23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247.28</v>
      </c>
      <c r="M5" s="4">
        <v>247.28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0</v>
      </c>
      <c r="K6" s="5">
        <v>6</v>
      </c>
      <c r="L6" s="4">
        <f>0.08199+0.47587</f>
      </c>
      <c r="M6" s="14">
        <f>L6/2.83168</f>
      </c>
      <c r="N6" s="1" t="s">
        <v>36</v>
      </c>
      <c r="O6" s="1" t="s">
        <v>85</v>
      </c>
    </row>
    <row x14ac:dyDescent="0.25" r="7" customHeight="1" ht="17.25">
      <c r="A7" s="1" t="s">
        <v>34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7</v>
      </c>
      <c r="H7" s="5">
        <v>0</v>
      </c>
      <c r="I7" s="5">
        <v>24</v>
      </c>
      <c r="J7" s="5">
        <v>0</v>
      </c>
      <c r="K7" s="5">
        <v>6</v>
      </c>
      <c r="L7" s="4">
        <f>0.08199+0.51959</f>
      </c>
      <c r="M7" s="14">
        <f>L7/2.83168</f>
      </c>
      <c r="N7" s="1" t="s">
        <v>36</v>
      </c>
      <c r="O7" s="1" t="s">
        <v>85</v>
      </c>
    </row>
    <row x14ac:dyDescent="0.25" r="8" customHeight="1" ht="17.25">
      <c r="A8" s="1" t="s">
        <v>34</v>
      </c>
      <c r="B8" s="1" t="s">
        <v>25</v>
      </c>
      <c r="C8" s="1"/>
      <c r="D8" s="5">
        <v>0</v>
      </c>
      <c r="E8" s="5">
        <v>0</v>
      </c>
      <c r="F8" s="5">
        <v>8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f>0.08199+0.61363</f>
      </c>
      <c r="M8" s="14">
        <f>L8/2.83168</f>
      </c>
      <c r="N8" s="1" t="s">
        <v>36</v>
      </c>
      <c r="O8" s="1" t="s">
        <v>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6.862142857142857" customWidth="1" bestFit="1"/>
    <col min="2" max="2" style="6" width="8.290714285714287" customWidth="1" bestFit="1"/>
    <col min="3" max="3" style="6" width="16.005" customWidth="1" bestFit="1"/>
    <col min="4" max="4" style="7" width="23.719285714285714" customWidth="1" bestFit="1"/>
    <col min="5" max="5" style="8" width="22.290714285714284" customWidth="1" bestFit="1"/>
    <col min="6" max="6" style="7" width="10.719285714285713" customWidth="1" bestFit="1"/>
    <col min="7" max="7" style="7" width="10.147857142857141" customWidth="1" bestFit="1"/>
    <col min="8" max="8" style="7" width="9.147857142857141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4.005" customWidth="1" bestFit="1"/>
    <col min="15" max="15" style="6" width="5.719285714285714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4200</v>
      </c>
      <c r="M2" s="5">
        <v>4200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12</v>
      </c>
      <c r="J3" s="5">
        <v>0</v>
      </c>
      <c r="K3" s="5">
        <v>4</v>
      </c>
      <c r="L3" s="4">
        <f>0.00622+0.10434</f>
      </c>
      <c r="M3" s="4">
        <f>0.00622+0.10434</f>
      </c>
      <c r="N3" s="1" t="s">
        <v>26</v>
      </c>
      <c r="O3" s="1" t="s">
        <v>134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12</v>
      </c>
      <c r="I4" s="5">
        <v>20</v>
      </c>
      <c r="J4" s="5">
        <v>0</v>
      </c>
      <c r="K4" s="5">
        <v>4</v>
      </c>
      <c r="L4" s="4">
        <f>0.02908+0.10846</f>
      </c>
      <c r="M4" s="4">
        <f>0.02908+0.10846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20</v>
      </c>
      <c r="I5" s="5">
        <v>24</v>
      </c>
      <c r="J5" s="5">
        <v>0</v>
      </c>
      <c r="K5" s="5">
        <v>4</v>
      </c>
      <c r="L5" s="4">
        <f>0.00622+0.10434</f>
      </c>
      <c r="M5" s="4">
        <f>0.00622+0.10434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5</v>
      </c>
      <c r="K6" s="5">
        <v>6</v>
      </c>
      <c r="L6" s="4">
        <f>0.00622+0.10434</f>
      </c>
      <c r="M6" s="4">
        <f>0.00622+0.10434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0</v>
      </c>
      <c r="I7" s="5">
        <v>12</v>
      </c>
      <c r="J7" s="5">
        <v>0</v>
      </c>
      <c r="K7" s="5">
        <v>4</v>
      </c>
      <c r="L7" s="4">
        <f>0.00622+0.10308</f>
      </c>
      <c r="M7" s="4">
        <f>0.00622+0.10308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2</v>
      </c>
      <c r="H8" s="5">
        <v>12</v>
      </c>
      <c r="I8" s="5">
        <v>20</v>
      </c>
      <c r="J8" s="5">
        <v>0</v>
      </c>
      <c r="K8" s="5">
        <v>4</v>
      </c>
      <c r="L8" s="4">
        <f>0.02908+0.10544</f>
      </c>
      <c r="M8" s="4">
        <f>0.02908+0.10544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2</v>
      </c>
      <c r="G9" s="5">
        <v>2</v>
      </c>
      <c r="H9" s="5">
        <v>20</v>
      </c>
      <c r="I9" s="5">
        <v>24</v>
      </c>
      <c r="J9" s="5">
        <v>0</v>
      </c>
      <c r="K9" s="5">
        <v>4</v>
      </c>
      <c r="L9" s="4">
        <f>0.00622+0.10308</f>
      </c>
      <c r="M9" s="4">
        <f>0.00622+0.10308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2</v>
      </c>
      <c r="H10" s="5">
        <v>0</v>
      </c>
      <c r="I10" s="5">
        <v>24</v>
      </c>
      <c r="J10" s="5">
        <v>5</v>
      </c>
      <c r="K10" s="5">
        <v>6</v>
      </c>
      <c r="L10" s="4">
        <f>0.00622+0.10308</f>
      </c>
      <c r="M10" s="4">
        <f>0.00622+0.10308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3</v>
      </c>
      <c r="H11" s="5">
        <v>0</v>
      </c>
      <c r="I11" s="5">
        <v>12</v>
      </c>
      <c r="J11" s="5">
        <v>0</v>
      </c>
      <c r="K11" s="5">
        <v>4</v>
      </c>
      <c r="L11" s="4">
        <f>0.00622+0.08725</f>
      </c>
      <c r="M11" s="4">
        <f>0.00622+0.08725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3</v>
      </c>
      <c r="G12" s="5">
        <v>3</v>
      </c>
      <c r="H12" s="5">
        <v>12</v>
      </c>
      <c r="I12" s="5">
        <v>20</v>
      </c>
      <c r="J12" s="5">
        <v>0</v>
      </c>
      <c r="K12" s="5">
        <v>4</v>
      </c>
      <c r="L12" s="4">
        <f>0.02908+0.08588</f>
      </c>
      <c r="M12" s="4">
        <f>0.02908+0.08588</f>
      </c>
      <c r="N12" s="1" t="s">
        <v>26</v>
      </c>
      <c r="O12" s="1" t="s">
        <v>135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3</v>
      </c>
      <c r="G13" s="5">
        <v>3</v>
      </c>
      <c r="H13" s="5">
        <v>20</v>
      </c>
      <c r="I13" s="5">
        <v>24</v>
      </c>
      <c r="J13" s="5">
        <v>0</v>
      </c>
      <c r="K13" s="5">
        <v>4</v>
      </c>
      <c r="L13" s="4">
        <f>0.00622+0.08725</f>
      </c>
      <c r="M13" s="4">
        <f>0.00622+0.08725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3</v>
      </c>
      <c r="G14" s="5">
        <v>3</v>
      </c>
      <c r="H14" s="5">
        <v>0</v>
      </c>
      <c r="I14" s="5">
        <v>24</v>
      </c>
      <c r="J14" s="5">
        <v>5</v>
      </c>
      <c r="K14" s="5">
        <v>6</v>
      </c>
      <c r="L14" s="4">
        <f>0.00622+0.08725</f>
      </c>
      <c r="M14" s="4">
        <f>0.00622+0.08725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4</v>
      </c>
      <c r="G15" s="5">
        <v>4</v>
      </c>
      <c r="H15" s="5">
        <v>0</v>
      </c>
      <c r="I15" s="5">
        <v>12</v>
      </c>
      <c r="J15" s="5">
        <v>0</v>
      </c>
      <c r="K15" s="5">
        <v>4</v>
      </c>
      <c r="L15" s="4">
        <f>0.00622+0.0725</f>
      </c>
      <c r="M15" s="4">
        <f>0.00622+0.0725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4</v>
      </c>
      <c r="G16" s="5">
        <v>4</v>
      </c>
      <c r="H16" s="5">
        <v>12</v>
      </c>
      <c r="I16" s="5">
        <v>20</v>
      </c>
      <c r="J16" s="5">
        <v>0</v>
      </c>
      <c r="K16" s="5">
        <v>4</v>
      </c>
      <c r="L16" s="4">
        <f>0.02908+0.06478</f>
      </c>
      <c r="M16" s="4">
        <f>0.02908+0.06478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4</v>
      </c>
      <c r="G17" s="5">
        <v>4</v>
      </c>
      <c r="H17" s="5">
        <v>20</v>
      </c>
      <c r="I17" s="5">
        <v>24</v>
      </c>
      <c r="J17" s="5">
        <v>0</v>
      </c>
      <c r="K17" s="5">
        <v>4</v>
      </c>
      <c r="L17" s="4">
        <f>0.00622+0.0725</f>
      </c>
      <c r="M17" s="4">
        <f>0.00622+0.0725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4</v>
      </c>
      <c r="G18" s="5">
        <v>4</v>
      </c>
      <c r="H18" s="5">
        <v>0</v>
      </c>
      <c r="I18" s="5">
        <v>24</v>
      </c>
      <c r="J18" s="5">
        <v>5</v>
      </c>
      <c r="K18" s="5">
        <v>6</v>
      </c>
      <c r="L18" s="4">
        <f>0.00622+0.0725</f>
      </c>
      <c r="M18" s="4">
        <f>0.00622+0.0725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5</v>
      </c>
      <c r="G19" s="5">
        <v>5</v>
      </c>
      <c r="H19" s="5">
        <v>0</v>
      </c>
      <c r="I19" s="5">
        <v>12</v>
      </c>
      <c r="J19" s="5">
        <v>0</v>
      </c>
      <c r="K19" s="5">
        <v>4</v>
      </c>
      <c r="L19" s="4">
        <f>0.00622+0.06323</f>
      </c>
      <c r="M19" s="4">
        <f>0.00622+0.06323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5</v>
      </c>
      <c r="G20" s="5">
        <v>5</v>
      </c>
      <c r="H20" s="5">
        <v>12</v>
      </c>
      <c r="I20" s="5">
        <v>20</v>
      </c>
      <c r="J20" s="5">
        <v>0</v>
      </c>
      <c r="K20" s="5">
        <v>4</v>
      </c>
      <c r="L20" s="4">
        <f>0.02908+0.06074</f>
      </c>
      <c r="M20" s="4">
        <f>0.02908+0.06074</f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5</v>
      </c>
      <c r="G21" s="5">
        <v>5</v>
      </c>
      <c r="H21" s="5">
        <v>20</v>
      </c>
      <c r="I21" s="5">
        <v>24</v>
      </c>
      <c r="J21" s="5">
        <v>0</v>
      </c>
      <c r="K21" s="5">
        <v>4</v>
      </c>
      <c r="L21" s="4">
        <f>0.00622+0.06323</f>
      </c>
      <c r="M21" s="4">
        <f>0.00622+0.06323</f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5</v>
      </c>
      <c r="K22" s="5">
        <v>6</v>
      </c>
      <c r="L22" s="4">
        <f>0.00622+0.06323</f>
      </c>
      <c r="M22" s="4">
        <f>0.00622+0.06323</f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6</v>
      </c>
      <c r="G23" s="5">
        <v>6</v>
      </c>
      <c r="H23" s="5">
        <v>0</v>
      </c>
      <c r="I23" s="5">
        <v>12</v>
      </c>
      <c r="J23" s="5">
        <v>0</v>
      </c>
      <c r="K23" s="5">
        <v>4</v>
      </c>
      <c r="L23" s="4">
        <f>0.00622+0.05557</f>
      </c>
      <c r="M23" s="4">
        <f>0.00622+0.05557</f>
      </c>
      <c r="N23" s="1" t="s">
        <v>26</v>
      </c>
      <c r="O23" s="1"/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6</v>
      </c>
      <c r="G24" s="5">
        <v>6</v>
      </c>
      <c r="H24" s="5">
        <v>12</v>
      </c>
      <c r="I24" s="5">
        <v>20</v>
      </c>
      <c r="J24" s="5">
        <v>0</v>
      </c>
      <c r="K24" s="5">
        <v>4</v>
      </c>
      <c r="L24" s="4">
        <f>0.02908+0.06386</f>
      </c>
      <c r="M24" s="4">
        <f>0.02908+0.06386</f>
      </c>
      <c r="N24" s="1" t="s">
        <v>26</v>
      </c>
      <c r="O24" s="1"/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6</v>
      </c>
      <c r="G25" s="5">
        <v>6</v>
      </c>
      <c r="H25" s="5">
        <v>20</v>
      </c>
      <c r="I25" s="5">
        <v>24</v>
      </c>
      <c r="J25" s="5">
        <v>0</v>
      </c>
      <c r="K25" s="5">
        <v>4</v>
      </c>
      <c r="L25" s="4">
        <f>0.00622+0.05557</f>
      </c>
      <c r="M25" s="4">
        <f>0.00622+0.05557</f>
      </c>
      <c r="N25" s="1" t="s">
        <v>26</v>
      </c>
      <c r="O25" s="1"/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6</v>
      </c>
      <c r="G26" s="5">
        <v>6</v>
      </c>
      <c r="H26" s="5">
        <v>0</v>
      </c>
      <c r="I26" s="5">
        <v>24</v>
      </c>
      <c r="J26" s="5">
        <v>5</v>
      </c>
      <c r="K26" s="5">
        <v>6</v>
      </c>
      <c r="L26" s="4">
        <f>0.00622+0.05557</f>
      </c>
      <c r="M26" s="4">
        <f>0.00622+0.05557</f>
      </c>
      <c r="N26" s="1" t="s">
        <v>26</v>
      </c>
      <c r="O26" s="1"/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7</v>
      </c>
      <c r="G27" s="5">
        <v>7</v>
      </c>
      <c r="H27" s="5">
        <v>0</v>
      </c>
      <c r="I27" s="5">
        <v>12</v>
      </c>
      <c r="J27" s="5">
        <v>0</v>
      </c>
      <c r="K27" s="5">
        <v>4</v>
      </c>
      <c r="L27" s="4">
        <f>0.00622+0.05264</f>
      </c>
      <c r="M27" s="4">
        <f>0.00622+0.05264</f>
      </c>
      <c r="N27" s="1" t="s">
        <v>26</v>
      </c>
      <c r="O27" s="1"/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7</v>
      </c>
      <c r="G28" s="5">
        <v>7</v>
      </c>
      <c r="H28" s="5">
        <v>12</v>
      </c>
      <c r="I28" s="5">
        <v>20</v>
      </c>
      <c r="J28" s="5">
        <v>0</v>
      </c>
      <c r="K28" s="5">
        <v>4</v>
      </c>
      <c r="L28" s="4">
        <f>0.02908+0.07521</f>
      </c>
      <c r="M28" s="4">
        <f>0.02908+0.07521</f>
      </c>
      <c r="N28" s="1" t="s">
        <v>26</v>
      </c>
      <c r="O28" s="1"/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7</v>
      </c>
      <c r="G29" s="5">
        <v>7</v>
      </c>
      <c r="H29" s="5">
        <v>20</v>
      </c>
      <c r="I29" s="5">
        <v>24</v>
      </c>
      <c r="J29" s="5">
        <v>0</v>
      </c>
      <c r="K29" s="5">
        <v>4</v>
      </c>
      <c r="L29" s="4">
        <f>0.00622+0.05264</f>
      </c>
      <c r="M29" s="4">
        <f>0.00622+0.05264</f>
      </c>
      <c r="N29" s="1" t="s">
        <v>26</v>
      </c>
      <c r="O29" s="1"/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7</v>
      </c>
      <c r="G30" s="5">
        <v>7</v>
      </c>
      <c r="H30" s="5">
        <v>0</v>
      </c>
      <c r="I30" s="5">
        <v>24</v>
      </c>
      <c r="J30" s="5">
        <v>5</v>
      </c>
      <c r="K30" s="5">
        <v>6</v>
      </c>
      <c r="L30" s="4">
        <f>0.00622+0.05264</f>
      </c>
      <c r="M30" s="4">
        <f>0.00622+0.05264</f>
      </c>
      <c r="N30" s="1" t="s">
        <v>26</v>
      </c>
      <c r="O30" s="1"/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8</v>
      </c>
      <c r="G31" s="5">
        <v>8</v>
      </c>
      <c r="H31" s="5">
        <v>0</v>
      </c>
      <c r="I31" s="5">
        <v>12</v>
      </c>
      <c r="J31" s="5">
        <v>0</v>
      </c>
      <c r="K31" s="5">
        <v>4</v>
      </c>
      <c r="L31" s="4">
        <f>0.00622+0.05123</f>
      </c>
      <c r="M31" s="4">
        <f>0.00622+0.05123</f>
      </c>
      <c r="N31" s="1" t="s">
        <v>26</v>
      </c>
      <c r="O31" s="1"/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8</v>
      </c>
      <c r="G32" s="5">
        <v>8</v>
      </c>
      <c r="H32" s="5">
        <v>12</v>
      </c>
      <c r="I32" s="5">
        <v>20</v>
      </c>
      <c r="J32" s="5">
        <v>0</v>
      </c>
      <c r="K32" s="5">
        <v>4</v>
      </c>
      <c r="L32" s="4">
        <f>0.02908+0.07138</f>
      </c>
      <c r="M32" s="4">
        <f>0.02908+0.07138</f>
      </c>
      <c r="N32" s="1" t="s">
        <v>26</v>
      </c>
      <c r="O32" s="1"/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8</v>
      </c>
      <c r="G33" s="5">
        <v>8</v>
      </c>
      <c r="H33" s="5">
        <v>20</v>
      </c>
      <c r="I33" s="5">
        <v>24</v>
      </c>
      <c r="J33" s="5">
        <v>0</v>
      </c>
      <c r="K33" s="5">
        <v>4</v>
      </c>
      <c r="L33" s="4">
        <f>0.00622+0.05123</f>
      </c>
      <c r="M33" s="4">
        <f>0.00622+0.05123</f>
      </c>
      <c r="N33" s="1" t="s">
        <v>26</v>
      </c>
      <c r="O33" s="1"/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8</v>
      </c>
      <c r="G34" s="5">
        <v>8</v>
      </c>
      <c r="H34" s="5">
        <v>0</v>
      </c>
      <c r="I34" s="5">
        <v>24</v>
      </c>
      <c r="J34" s="5">
        <v>5</v>
      </c>
      <c r="K34" s="5">
        <v>6</v>
      </c>
      <c r="L34" s="4">
        <f>0.00622+0.05123</f>
      </c>
      <c r="M34" s="4">
        <f>0.00622+0.05123</f>
      </c>
      <c r="N34" s="1" t="s">
        <v>26</v>
      </c>
      <c r="O34" s="1"/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9</v>
      </c>
      <c r="G35" s="5">
        <v>9</v>
      </c>
      <c r="H35" s="5">
        <v>0</v>
      </c>
      <c r="I35" s="5">
        <v>12</v>
      </c>
      <c r="J35" s="5">
        <v>0</v>
      </c>
      <c r="K35" s="5">
        <v>4</v>
      </c>
      <c r="L35" s="4">
        <f>0.00622+0.05032</f>
      </c>
      <c r="M35" s="4">
        <f>0.00622+0.05032</f>
      </c>
      <c r="N35" s="1" t="s">
        <v>26</v>
      </c>
      <c r="O35" s="1"/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9</v>
      </c>
      <c r="G36" s="5">
        <v>9</v>
      </c>
      <c r="H36" s="5">
        <v>12</v>
      </c>
      <c r="I36" s="5">
        <v>20</v>
      </c>
      <c r="J36" s="5">
        <v>0</v>
      </c>
      <c r="K36" s="5">
        <v>4</v>
      </c>
      <c r="L36" s="4">
        <f>0.02908+0.0632</f>
      </c>
      <c r="M36" s="4">
        <f>0.02908+0.0632</f>
      </c>
      <c r="N36" s="1" t="s">
        <v>26</v>
      </c>
      <c r="O36" s="1" t="s">
        <v>135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9</v>
      </c>
      <c r="G37" s="5">
        <v>9</v>
      </c>
      <c r="H37" s="5">
        <v>20</v>
      </c>
      <c r="I37" s="5">
        <v>24</v>
      </c>
      <c r="J37" s="5">
        <v>0</v>
      </c>
      <c r="K37" s="5">
        <v>4</v>
      </c>
      <c r="L37" s="4">
        <f>0.00622+0.05032</f>
      </c>
      <c r="M37" s="4">
        <f>0.00622+0.05032</f>
      </c>
      <c r="N37" s="1" t="s">
        <v>26</v>
      </c>
      <c r="O37" s="1"/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9</v>
      </c>
      <c r="G38" s="5">
        <v>9</v>
      </c>
      <c r="H38" s="5">
        <v>0</v>
      </c>
      <c r="I38" s="5">
        <v>24</v>
      </c>
      <c r="J38" s="5">
        <v>5</v>
      </c>
      <c r="K38" s="5">
        <v>6</v>
      </c>
      <c r="L38" s="4">
        <f>0.00622+0.05032</f>
      </c>
      <c r="M38" s="4">
        <f>0.00622+0.05032</f>
      </c>
      <c r="N38" s="1" t="s">
        <v>26</v>
      </c>
      <c r="O38" s="1"/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10</v>
      </c>
      <c r="G39" s="5">
        <v>10</v>
      </c>
      <c r="H39" s="5">
        <v>0</v>
      </c>
      <c r="I39" s="5">
        <v>12</v>
      </c>
      <c r="J39" s="5">
        <v>0</v>
      </c>
      <c r="K39" s="5">
        <v>4</v>
      </c>
      <c r="L39" s="4">
        <f>0.00622+0.06389</f>
      </c>
      <c r="M39" s="4">
        <f>0.00622+0.06389</f>
      </c>
      <c r="N39" s="1" t="s">
        <v>26</v>
      </c>
      <c r="O39" s="1"/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10</v>
      </c>
      <c r="G40" s="5">
        <v>10</v>
      </c>
      <c r="H40" s="5">
        <v>12</v>
      </c>
      <c r="I40" s="5">
        <v>20</v>
      </c>
      <c r="J40" s="5">
        <v>0</v>
      </c>
      <c r="K40" s="5">
        <v>4</v>
      </c>
      <c r="L40" s="4">
        <f>0.02908+0.07184</f>
      </c>
      <c r="M40" s="4">
        <f>0.02908+0.07184</f>
      </c>
      <c r="N40" s="1" t="s">
        <v>26</v>
      </c>
      <c r="O40" s="1"/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10</v>
      </c>
      <c r="G41" s="5">
        <v>10</v>
      </c>
      <c r="H41" s="5">
        <v>20</v>
      </c>
      <c r="I41" s="5">
        <v>24</v>
      </c>
      <c r="J41" s="5">
        <v>0</v>
      </c>
      <c r="K41" s="5">
        <v>4</v>
      </c>
      <c r="L41" s="4">
        <f>0.00622+0.06389</f>
      </c>
      <c r="M41" s="4">
        <f>0.00622+0.06389</f>
      </c>
      <c r="N41" s="1" t="s">
        <v>26</v>
      </c>
      <c r="O41" s="1"/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10</v>
      </c>
      <c r="G42" s="5">
        <v>10</v>
      </c>
      <c r="H42" s="5">
        <v>0</v>
      </c>
      <c r="I42" s="5">
        <v>24</v>
      </c>
      <c r="J42" s="5">
        <v>5</v>
      </c>
      <c r="K42" s="5">
        <v>6</v>
      </c>
      <c r="L42" s="4">
        <f>0.00622+0.06389</f>
      </c>
      <c r="M42" s="4">
        <f>0.00622+0.06389</f>
      </c>
      <c r="N42" s="1" t="s">
        <v>26</v>
      </c>
      <c r="O42" s="1"/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11</v>
      </c>
      <c r="G43" s="5">
        <v>11</v>
      </c>
      <c r="H43" s="5">
        <v>0</v>
      </c>
      <c r="I43" s="5">
        <v>12</v>
      </c>
      <c r="J43" s="5">
        <v>0</v>
      </c>
      <c r="K43" s="5">
        <v>4</v>
      </c>
      <c r="L43" s="4">
        <f>0.00622+0.0761</f>
      </c>
      <c r="M43" s="4">
        <f>0.00622+0.0761</f>
      </c>
      <c r="N43" s="1" t="s">
        <v>26</v>
      </c>
      <c r="O43" s="1"/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11</v>
      </c>
      <c r="G44" s="5">
        <v>11</v>
      </c>
      <c r="H44" s="5">
        <v>12</v>
      </c>
      <c r="I44" s="5">
        <v>20</v>
      </c>
      <c r="J44" s="5">
        <v>0</v>
      </c>
      <c r="K44" s="5">
        <v>4</v>
      </c>
      <c r="L44" s="4">
        <f>0.02908+0.08491</f>
      </c>
      <c r="M44" s="4">
        <f>0.02908+0.08491</f>
      </c>
      <c r="N44" s="1" t="s">
        <v>26</v>
      </c>
      <c r="O44" s="1"/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11</v>
      </c>
      <c r="G45" s="5">
        <v>11</v>
      </c>
      <c r="H45" s="5">
        <v>20</v>
      </c>
      <c r="I45" s="5">
        <v>24</v>
      </c>
      <c r="J45" s="5">
        <v>0</v>
      </c>
      <c r="K45" s="5">
        <v>4</v>
      </c>
      <c r="L45" s="4">
        <f>0.00622+0.0761</f>
      </c>
      <c r="M45" s="4">
        <f>0.00622+0.0761</f>
      </c>
      <c r="N45" s="1" t="s">
        <v>26</v>
      </c>
      <c r="O45" s="1"/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11</v>
      </c>
      <c r="G46" s="5">
        <v>11</v>
      </c>
      <c r="H46" s="5">
        <v>0</v>
      </c>
      <c r="I46" s="5">
        <v>24</v>
      </c>
      <c r="J46" s="5">
        <v>5</v>
      </c>
      <c r="K46" s="5">
        <v>6</v>
      </c>
      <c r="L46" s="4">
        <f>0.00622+0.0761</f>
      </c>
      <c r="M46" s="4">
        <f>0.00622+0.0761</f>
      </c>
      <c r="N46" s="1" t="s">
        <v>26</v>
      </c>
      <c r="O46" s="1"/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12</v>
      </c>
      <c r="G47" s="5">
        <v>12</v>
      </c>
      <c r="H47" s="5">
        <v>0</v>
      </c>
      <c r="I47" s="5">
        <v>12</v>
      </c>
      <c r="J47" s="5">
        <v>0</v>
      </c>
      <c r="K47" s="5">
        <v>4</v>
      </c>
      <c r="L47" s="4">
        <f>0.00622+0.10132</f>
      </c>
      <c r="M47" s="4">
        <f>0.00622+0.10132</f>
      </c>
      <c r="N47" s="1" t="s">
        <v>26</v>
      </c>
      <c r="O47" s="1"/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12</v>
      </c>
      <c r="G48" s="5">
        <v>12</v>
      </c>
      <c r="H48" s="5">
        <v>12</v>
      </c>
      <c r="I48" s="5">
        <v>20</v>
      </c>
      <c r="J48" s="5">
        <v>0</v>
      </c>
      <c r="K48" s="5">
        <v>4</v>
      </c>
      <c r="L48" s="4">
        <f>0.02908+0.11438</f>
      </c>
      <c r="M48" s="4">
        <f>0.02908+0.11438</f>
      </c>
      <c r="N48" s="1" t="s">
        <v>26</v>
      </c>
      <c r="O48" s="1"/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12</v>
      </c>
      <c r="G49" s="5">
        <v>12</v>
      </c>
      <c r="H49" s="5">
        <v>20</v>
      </c>
      <c r="I49" s="5">
        <v>24</v>
      </c>
      <c r="J49" s="5">
        <v>0</v>
      </c>
      <c r="K49" s="5">
        <v>4</v>
      </c>
      <c r="L49" s="4">
        <f>0.00622+0.10132</f>
      </c>
      <c r="M49" s="4">
        <f>0.00622+0.10132</f>
      </c>
      <c r="N49" s="1" t="s">
        <v>26</v>
      </c>
      <c r="O49" s="1"/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12</v>
      </c>
      <c r="G50" s="5">
        <v>12</v>
      </c>
      <c r="H50" s="5">
        <v>0</v>
      </c>
      <c r="I50" s="5">
        <v>24</v>
      </c>
      <c r="J50" s="5">
        <v>5</v>
      </c>
      <c r="K50" s="5">
        <v>6</v>
      </c>
      <c r="L50" s="4">
        <f>0.00622+0.10132</f>
      </c>
      <c r="M50" s="4">
        <f>0.00622+0.10132</f>
      </c>
      <c r="N50" s="1" t="s">
        <v>26</v>
      </c>
      <c r="O50" s="1"/>
    </row>
    <row x14ac:dyDescent="0.25" r="51" customHeight="1" ht="17.25">
      <c r="A51" s="1" t="s">
        <v>13</v>
      </c>
      <c r="B51" s="1" t="s">
        <v>17</v>
      </c>
      <c r="C51" s="1" t="s">
        <v>24</v>
      </c>
      <c r="D51" s="5">
        <v>0</v>
      </c>
      <c r="E51" s="5">
        <v>0</v>
      </c>
      <c r="F51" s="5">
        <v>1</v>
      </c>
      <c r="G51" s="5">
        <v>12</v>
      </c>
      <c r="H51" s="5">
        <v>0</v>
      </c>
      <c r="I51" s="5">
        <v>24</v>
      </c>
      <c r="J51" s="5">
        <v>0</v>
      </c>
      <c r="K51" s="5">
        <v>6</v>
      </c>
      <c r="L51" s="4">
        <f>10.5+0.55+7.53-0.51</f>
      </c>
      <c r="M51" s="4">
        <f>10.5+0.55+7.53-0.51</f>
      </c>
      <c r="N51" s="1" t="s">
        <v>19</v>
      </c>
      <c r="O51" s="1" t="s">
        <v>136</v>
      </c>
    </row>
    <row x14ac:dyDescent="0.25" r="52" customHeight="1" ht="17.25">
      <c r="A52" s="1" t="s">
        <v>34</v>
      </c>
      <c r="B52" s="1" t="s">
        <v>14</v>
      </c>
      <c r="C52" s="1"/>
      <c r="D52" s="2"/>
      <c r="E52" s="3"/>
      <c r="F52" s="2"/>
      <c r="G52" s="2"/>
      <c r="H52" s="2"/>
      <c r="I52" s="2"/>
      <c r="J52" s="2"/>
      <c r="K52" s="2"/>
      <c r="L52" s="5">
        <v>350</v>
      </c>
      <c r="M52" s="5">
        <v>350</v>
      </c>
      <c r="N52" s="1" t="s">
        <v>15</v>
      </c>
      <c r="O52" s="1"/>
    </row>
    <row x14ac:dyDescent="0.25" r="53" customHeight="1" ht="17.25">
      <c r="A53" s="1" t="s">
        <v>34</v>
      </c>
      <c r="B53" s="1" t="s">
        <v>17</v>
      </c>
      <c r="C53" s="1" t="s">
        <v>24</v>
      </c>
      <c r="D53" s="5">
        <v>0</v>
      </c>
      <c r="E53" s="5">
        <v>0</v>
      </c>
      <c r="F53" s="5">
        <v>1</v>
      </c>
      <c r="G53" s="5">
        <v>12</v>
      </c>
      <c r="H53" s="5">
        <v>0</v>
      </c>
      <c r="I53" s="5">
        <v>24</v>
      </c>
      <c r="J53" s="5">
        <v>0</v>
      </c>
      <c r="K53" s="5">
        <v>6</v>
      </c>
      <c r="L53" s="4">
        <v>1.164</v>
      </c>
      <c r="M53" s="14">
        <f>L53/2.83168</f>
      </c>
      <c r="N53" s="1" t="s">
        <v>35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0</v>
      </c>
      <c r="E54" s="5">
        <v>0</v>
      </c>
      <c r="F54" s="5">
        <v>1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f>0.0155+0.4994</f>
      </c>
      <c r="M54" s="14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5000</v>
      </c>
      <c r="E55" s="4">
        <f>D55*2.83168</f>
      </c>
      <c r="F55" s="5">
        <v>1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4">
        <f>0.0057+0.4994</f>
      </c>
      <c r="M55" s="14">
        <f>L55/2.83168</f>
      </c>
      <c r="N55" s="1" t="s">
        <v>36</v>
      </c>
      <c r="O55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10.84*30</f>
      </c>
      <c r="M2" s="4">
        <f>10.84*30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0.02662</v>
      </c>
      <c r="M3" s="4">
        <v>0.02662</v>
      </c>
      <c r="N3" s="1" t="s">
        <v>26</v>
      </c>
      <c r="O3" s="1"/>
    </row>
    <row x14ac:dyDescent="0.25" r="4" customHeight="1" ht="17.25">
      <c r="A4" s="1" t="s">
        <v>13</v>
      </c>
      <c r="B4" s="1" t="s">
        <v>17</v>
      </c>
      <c r="C4" s="1" t="s">
        <v>51</v>
      </c>
      <c r="D4" s="5">
        <v>0</v>
      </c>
      <c r="E4" s="5">
        <v>0</v>
      </c>
      <c r="F4" s="5">
        <v>1</v>
      </c>
      <c r="G4" s="5">
        <v>4</v>
      </c>
      <c r="H4" s="5">
        <v>6</v>
      </c>
      <c r="I4" s="5">
        <v>22</v>
      </c>
      <c r="J4" s="5">
        <v>0</v>
      </c>
      <c r="K4" s="5">
        <v>4</v>
      </c>
      <c r="L4" s="4">
        <v>7.49</v>
      </c>
      <c r="M4" s="4">
        <v>7.49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90</v>
      </c>
      <c r="D5" s="5">
        <v>0</v>
      </c>
      <c r="E5" s="5">
        <v>0</v>
      </c>
      <c r="F5" s="5">
        <v>1</v>
      </c>
      <c r="G5" s="5">
        <v>4</v>
      </c>
      <c r="H5" s="5">
        <v>6</v>
      </c>
      <c r="I5" s="5">
        <v>12</v>
      </c>
      <c r="J5" s="5">
        <v>0</v>
      </c>
      <c r="K5" s="5">
        <v>4</v>
      </c>
      <c r="L5" s="4">
        <v>9.78</v>
      </c>
      <c r="M5" s="4">
        <v>9.78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52</v>
      </c>
      <c r="D6" s="5">
        <v>0</v>
      </c>
      <c r="E6" s="5">
        <v>0</v>
      </c>
      <c r="F6" s="5">
        <v>1</v>
      </c>
      <c r="G6" s="5">
        <v>5</v>
      </c>
      <c r="H6" s="5">
        <v>0</v>
      </c>
      <c r="I6" s="5">
        <v>24</v>
      </c>
      <c r="J6" s="5">
        <v>0</v>
      </c>
      <c r="K6" s="5">
        <v>6</v>
      </c>
      <c r="L6" s="4">
        <v>2.45</v>
      </c>
      <c r="M6" s="4">
        <v>2.45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53</v>
      </c>
      <c r="D7" s="5">
        <v>0</v>
      </c>
      <c r="E7" s="5">
        <v>0</v>
      </c>
      <c r="F7" s="5">
        <v>6</v>
      </c>
      <c r="G7" s="5">
        <v>9</v>
      </c>
      <c r="H7" s="5">
        <v>10</v>
      </c>
      <c r="I7" s="5">
        <v>22</v>
      </c>
      <c r="J7" s="5">
        <v>0</v>
      </c>
      <c r="K7" s="5">
        <v>4</v>
      </c>
      <c r="L7" s="4">
        <v>7.49</v>
      </c>
      <c r="M7" s="4">
        <v>7.49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54</v>
      </c>
      <c r="D8" s="5">
        <v>0</v>
      </c>
      <c r="E8" s="5">
        <v>0</v>
      </c>
      <c r="F8" s="5">
        <v>6</v>
      </c>
      <c r="G8" s="5">
        <v>9</v>
      </c>
      <c r="H8" s="5">
        <v>13</v>
      </c>
      <c r="I8" s="5">
        <v>19</v>
      </c>
      <c r="J8" s="5">
        <v>0</v>
      </c>
      <c r="K8" s="5">
        <v>4</v>
      </c>
      <c r="L8" s="4">
        <v>9.78</v>
      </c>
      <c r="M8" s="4">
        <v>9.78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55</v>
      </c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24</v>
      </c>
      <c r="J9" s="5">
        <v>0</v>
      </c>
      <c r="K9" s="5">
        <v>6</v>
      </c>
      <c r="L9" s="4">
        <v>2.45</v>
      </c>
      <c r="M9" s="4">
        <v>2.45</v>
      </c>
      <c r="N9" s="1" t="s">
        <v>19</v>
      </c>
      <c r="O9" s="1"/>
    </row>
    <row x14ac:dyDescent="0.25" r="10" customHeight="1" ht="17.25">
      <c r="A10" s="1" t="s">
        <v>13</v>
      </c>
      <c r="B10" s="1" t="s">
        <v>17</v>
      </c>
      <c r="C10" s="1" t="s">
        <v>56</v>
      </c>
      <c r="D10" s="5">
        <v>0</v>
      </c>
      <c r="E10" s="5">
        <v>0</v>
      </c>
      <c r="F10" s="5">
        <v>10</v>
      </c>
      <c r="G10" s="5">
        <v>12</v>
      </c>
      <c r="H10" s="5">
        <v>6</v>
      </c>
      <c r="I10" s="5">
        <v>22</v>
      </c>
      <c r="J10" s="5">
        <v>0</v>
      </c>
      <c r="K10" s="5">
        <v>4</v>
      </c>
      <c r="L10" s="4">
        <v>7.49</v>
      </c>
      <c r="M10" s="4">
        <v>7.49</v>
      </c>
      <c r="N10" s="1" t="s">
        <v>19</v>
      </c>
      <c r="O10" s="1"/>
    </row>
    <row x14ac:dyDescent="0.25" r="11" customHeight="1" ht="17.25">
      <c r="A11" s="1" t="s">
        <v>13</v>
      </c>
      <c r="B11" s="1" t="s">
        <v>17</v>
      </c>
      <c r="C11" s="1" t="s">
        <v>91</v>
      </c>
      <c r="D11" s="5">
        <v>0</v>
      </c>
      <c r="E11" s="5">
        <v>0</v>
      </c>
      <c r="F11" s="5">
        <v>10</v>
      </c>
      <c r="G11" s="5">
        <v>12</v>
      </c>
      <c r="H11" s="5">
        <v>6</v>
      </c>
      <c r="I11" s="5">
        <v>12</v>
      </c>
      <c r="J11" s="5">
        <v>0</v>
      </c>
      <c r="K11" s="5">
        <v>4</v>
      </c>
      <c r="L11" s="4">
        <v>9.78</v>
      </c>
      <c r="M11" s="4">
        <v>9.78</v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57</v>
      </c>
      <c r="D12" s="5">
        <v>0</v>
      </c>
      <c r="E12" s="5">
        <v>0</v>
      </c>
      <c r="F12" s="5">
        <v>10</v>
      </c>
      <c r="G12" s="5">
        <v>12</v>
      </c>
      <c r="H12" s="5">
        <v>0</v>
      </c>
      <c r="I12" s="5">
        <v>24</v>
      </c>
      <c r="J12" s="5">
        <v>0</v>
      </c>
      <c r="K12" s="5">
        <v>6</v>
      </c>
      <c r="L12" s="4">
        <v>2.45</v>
      </c>
      <c r="M12" s="4">
        <v>2.45</v>
      </c>
      <c r="N12" s="1" t="s">
        <v>19</v>
      </c>
      <c r="O12" s="1"/>
    </row>
    <row x14ac:dyDescent="0.25" r="13" customHeight="1" ht="17.25">
      <c r="A13" s="1" t="s">
        <v>34</v>
      </c>
      <c r="B13" s="1" t="s">
        <v>14</v>
      </c>
      <c r="C13" s="1"/>
      <c r="D13" s="2"/>
      <c r="E13" s="2"/>
      <c r="F13" s="2"/>
      <c r="G13" s="2"/>
      <c r="H13" s="2"/>
      <c r="I13" s="2"/>
      <c r="J13" s="2"/>
      <c r="K13" s="2"/>
      <c r="L13" s="22">
        <v>24.64</v>
      </c>
      <c r="M13" s="22">
        <v>24.64</v>
      </c>
      <c r="N13" s="1" t="s">
        <v>15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4">
        <f>0.73056</f>
      </c>
      <c r="M14" s="14">
        <f>L14/2.83168</f>
      </c>
      <c r="N14" s="1" t="s">
        <v>36</v>
      </c>
      <c r="O14" s="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f>11 *30</f>
      </c>
      <c r="M2" s="5">
        <f>11 *30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6</v>
      </c>
      <c r="J3" s="5">
        <v>0</v>
      </c>
      <c r="K3" s="5">
        <v>5</v>
      </c>
      <c r="L3" s="4">
        <v>0.0602</v>
      </c>
      <c r="M3" s="4">
        <v>0.0602</v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12</v>
      </c>
      <c r="H4" s="5">
        <v>6</v>
      </c>
      <c r="I4" s="5">
        <v>22</v>
      </c>
      <c r="J4" s="5">
        <v>0</v>
      </c>
      <c r="K4" s="5">
        <v>5</v>
      </c>
      <c r="L4" s="4">
        <v>0.0913</v>
      </c>
      <c r="M4" s="4">
        <v>0.0913</v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12</v>
      </c>
      <c r="H5" s="5">
        <v>22</v>
      </c>
      <c r="I5" s="5">
        <v>24</v>
      </c>
      <c r="J5" s="5">
        <v>0</v>
      </c>
      <c r="K5" s="5">
        <v>5</v>
      </c>
      <c r="L5" s="4">
        <v>0.0602</v>
      </c>
      <c r="M5" s="4">
        <v>0.0602</v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6</v>
      </c>
      <c r="K6" s="5">
        <v>6</v>
      </c>
      <c r="L6" s="4">
        <v>0.0602</v>
      </c>
      <c r="M6" s="4">
        <v>0.0602</v>
      </c>
      <c r="N6" s="1" t="s">
        <v>26</v>
      </c>
      <c r="O6" s="1"/>
    </row>
    <row x14ac:dyDescent="0.25" r="7" customHeight="1" ht="17.25">
      <c r="A7" s="1" t="s">
        <v>13</v>
      </c>
      <c r="B7" s="1" t="s">
        <v>17</v>
      </c>
      <c r="C7" s="1" t="s">
        <v>39</v>
      </c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24</v>
      </c>
      <c r="J7" s="5">
        <v>0</v>
      </c>
      <c r="K7" s="5">
        <v>5</v>
      </c>
      <c r="L7" s="4">
        <v>0.27</v>
      </c>
      <c r="M7" s="4">
        <v>0.27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40</v>
      </c>
      <c r="D8" s="5">
        <v>0</v>
      </c>
      <c r="E8" s="5">
        <v>0</v>
      </c>
      <c r="F8" s="5">
        <v>1</v>
      </c>
      <c r="G8" s="5">
        <v>12</v>
      </c>
      <c r="H8" s="5">
        <v>6</v>
      </c>
      <c r="I8" s="5">
        <v>22</v>
      </c>
      <c r="J8" s="5">
        <v>0</v>
      </c>
      <c r="K8" s="5">
        <v>5</v>
      </c>
      <c r="L8" s="4">
        <v>3.85</v>
      </c>
      <c r="M8" s="4">
        <v>3.85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39</v>
      </c>
      <c r="D9" s="5">
        <v>0</v>
      </c>
      <c r="E9" s="5">
        <v>0</v>
      </c>
      <c r="F9" s="5">
        <v>1</v>
      </c>
      <c r="G9" s="5">
        <v>12</v>
      </c>
      <c r="H9" s="5">
        <v>22</v>
      </c>
      <c r="I9" s="5">
        <v>24</v>
      </c>
      <c r="J9" s="5">
        <v>0</v>
      </c>
      <c r="K9" s="5">
        <v>5</v>
      </c>
      <c r="L9" s="4">
        <v>0.27</v>
      </c>
      <c r="M9" s="4">
        <v>0.27</v>
      </c>
      <c r="N9" s="1" t="s">
        <v>19</v>
      </c>
      <c r="O9" s="1"/>
    </row>
    <row x14ac:dyDescent="0.25" r="10" customHeight="1" ht="17.25">
      <c r="A10" s="1" t="s">
        <v>13</v>
      </c>
      <c r="B10" s="1" t="s">
        <v>17</v>
      </c>
      <c r="C10" s="1" t="s">
        <v>39</v>
      </c>
      <c r="D10" s="5">
        <v>0</v>
      </c>
      <c r="E10" s="5">
        <v>0</v>
      </c>
      <c r="F10" s="5">
        <v>1</v>
      </c>
      <c r="G10" s="5">
        <v>12</v>
      </c>
      <c r="H10" s="5">
        <v>0</v>
      </c>
      <c r="I10" s="5">
        <v>24</v>
      </c>
      <c r="J10" s="5">
        <v>6</v>
      </c>
      <c r="K10" s="5">
        <v>6</v>
      </c>
      <c r="L10" s="4">
        <v>0.27</v>
      </c>
      <c r="M10" s="4">
        <v>0.27</v>
      </c>
      <c r="N10" s="1" t="s">
        <v>19</v>
      </c>
      <c r="O10" s="1"/>
    </row>
    <row x14ac:dyDescent="0.25" r="11" customHeight="1" ht="17.25">
      <c r="A11" s="1" t="s">
        <v>34</v>
      </c>
      <c r="B11" s="1" t="s">
        <v>14</v>
      </c>
      <c r="C11" s="1"/>
      <c r="D11" s="2"/>
      <c r="E11" s="2"/>
      <c r="F11" s="2"/>
      <c r="G11" s="2"/>
      <c r="H11" s="2"/>
      <c r="I11" s="2"/>
      <c r="J11" s="2"/>
      <c r="K11" s="2"/>
      <c r="L11" s="4">
        <v>33.84</v>
      </c>
      <c r="M11" s="4">
        <v>33.84</v>
      </c>
      <c r="N11" s="1" t="s">
        <v>15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12</v>
      </c>
      <c r="H12" s="5">
        <v>0</v>
      </c>
      <c r="I12" s="5">
        <v>24</v>
      </c>
      <c r="J12" s="5">
        <v>0</v>
      </c>
      <c r="K12" s="5">
        <v>6</v>
      </c>
      <c r="L12" s="4">
        <v>0.91728</v>
      </c>
      <c r="M12" s="14">
        <f>L12/2.83168</f>
      </c>
      <c r="N12" s="1" t="s">
        <v>36</v>
      </c>
      <c r="O12" s="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0"/>
      <c r="F2" s="2"/>
      <c r="G2" s="2"/>
      <c r="H2" s="2"/>
      <c r="I2" s="2"/>
      <c r="J2" s="2"/>
      <c r="K2" s="2"/>
      <c r="L2" s="4">
        <f>323.82+21.08</f>
      </c>
      <c r="M2" s="4">
        <f>323.82+21.08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10</v>
      </c>
      <c r="J3" s="5">
        <v>0</v>
      </c>
      <c r="K3" s="5">
        <v>4</v>
      </c>
      <c r="L3" s="4">
        <f>0.03-0.0018-0.00183</f>
      </c>
      <c r="M3" s="4">
        <f>0.03-0.0018-0.00183</f>
      </c>
      <c r="N3" s="1" t="s">
        <v>26</v>
      </c>
      <c r="O3" s="1" t="s">
        <v>88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10</v>
      </c>
      <c r="I4" s="5">
        <v>22</v>
      </c>
      <c r="J4" s="5">
        <v>0</v>
      </c>
      <c r="K4" s="5">
        <v>4</v>
      </c>
      <c r="L4" s="4">
        <f>0.03+0.0029-0.00183</f>
      </c>
      <c r="M4" s="4">
        <f>0.03+0.0029-0.00183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22</v>
      </c>
      <c r="I5" s="5">
        <v>24</v>
      </c>
      <c r="J5" s="5">
        <v>0</v>
      </c>
      <c r="K5" s="5">
        <v>4</v>
      </c>
      <c r="L5" s="4">
        <f>0.03-0.0018-0.00183</f>
      </c>
      <c r="M5" s="4">
        <f>0.03-0.0018-0.00183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5</v>
      </c>
      <c r="K6" s="5">
        <v>6</v>
      </c>
      <c r="L6" s="4">
        <f>0.03-0.0018-0.00183</f>
      </c>
      <c r="M6" s="4">
        <f>0.03-0.0018-0.00183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5</v>
      </c>
      <c r="H7" s="5">
        <v>0</v>
      </c>
      <c r="I7" s="5">
        <v>10</v>
      </c>
      <c r="J7" s="5">
        <v>0</v>
      </c>
      <c r="K7" s="5">
        <v>4</v>
      </c>
      <c r="L7" s="4">
        <f>0.03-0.0018+0.00025</f>
      </c>
      <c r="M7" s="4">
        <f>0.03-0.0018+0.00025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5</v>
      </c>
      <c r="H8" s="5">
        <v>10</v>
      </c>
      <c r="I8" s="5">
        <v>22</v>
      </c>
      <c r="J8" s="5">
        <v>0</v>
      </c>
      <c r="K8" s="5">
        <v>4</v>
      </c>
      <c r="L8" s="4">
        <f>0.03+0.0029+0.00025</f>
      </c>
      <c r="M8" s="4">
        <f>0.03+0.0029+0.00025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2</v>
      </c>
      <c r="G9" s="5">
        <v>5</v>
      </c>
      <c r="H9" s="5">
        <v>22</v>
      </c>
      <c r="I9" s="5">
        <v>24</v>
      </c>
      <c r="J9" s="5">
        <v>0</v>
      </c>
      <c r="K9" s="5">
        <v>4</v>
      </c>
      <c r="L9" s="4">
        <f>0.03-0.0018+0.00025</f>
      </c>
      <c r="M9" s="4">
        <f>0.03-0.0018+0.00025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5</v>
      </c>
      <c r="H10" s="5">
        <v>0</v>
      </c>
      <c r="I10" s="5">
        <v>24</v>
      </c>
      <c r="J10" s="5">
        <v>5</v>
      </c>
      <c r="K10" s="5">
        <v>6</v>
      </c>
      <c r="L10" s="4">
        <f>0.03-0.0018+0.00025</f>
      </c>
      <c r="M10" s="4">
        <f>0.03-0.0018+0.00025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0</v>
      </c>
      <c r="I11" s="5">
        <v>10</v>
      </c>
      <c r="J11" s="5">
        <v>0</v>
      </c>
      <c r="K11" s="5">
        <v>4</v>
      </c>
      <c r="L11" s="4">
        <f>0.0328-0.0035+0.00298</f>
      </c>
      <c r="M11" s="4">
        <f>0.0328-0.0035+0.00298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10</v>
      </c>
      <c r="I12" s="5">
        <v>22</v>
      </c>
      <c r="J12" s="5">
        <v>0</v>
      </c>
      <c r="K12" s="5">
        <v>4</v>
      </c>
      <c r="L12" s="4">
        <f>0.0328-0.0035+0.00298</f>
      </c>
      <c r="M12" s="4">
        <f>0.0328-0.0035+0.00298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22</v>
      </c>
      <c r="I13" s="5">
        <v>24</v>
      </c>
      <c r="J13" s="5">
        <v>0</v>
      </c>
      <c r="K13" s="5">
        <v>4</v>
      </c>
      <c r="L13" s="4">
        <f>0.0328+0.0064+0.00298</f>
      </c>
      <c r="M13" s="4">
        <f>0.0328+0.0064+0.00298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9</v>
      </c>
      <c r="H14" s="5">
        <v>0</v>
      </c>
      <c r="I14" s="5">
        <v>24</v>
      </c>
      <c r="J14" s="5">
        <v>5</v>
      </c>
      <c r="K14" s="5">
        <v>6</v>
      </c>
      <c r="L14" s="4">
        <f>0.0328-0.0035+0.00298</f>
      </c>
      <c r="M14" s="4">
        <f>0.0328-0.0035+0.00298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0</v>
      </c>
      <c r="I15" s="5">
        <v>10</v>
      </c>
      <c r="J15" s="5">
        <v>0</v>
      </c>
      <c r="K15" s="5">
        <v>4</v>
      </c>
      <c r="L15" s="4">
        <f>0.03-0.0018+0.00401</f>
      </c>
      <c r="M15" s="4">
        <f>0.03-0.0018+0.00401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10</v>
      </c>
      <c r="I16" s="5">
        <v>22</v>
      </c>
      <c r="J16" s="5">
        <v>0</v>
      </c>
      <c r="K16" s="5">
        <v>4</v>
      </c>
      <c r="L16" s="4">
        <f>0.03+0.0029+0.00401</f>
      </c>
      <c r="M16" s="4">
        <f>0.03+0.0029+0.00401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22</v>
      </c>
      <c r="I17" s="5">
        <v>24</v>
      </c>
      <c r="J17" s="5">
        <v>0</v>
      </c>
      <c r="K17" s="5">
        <v>4</v>
      </c>
      <c r="L17" s="4">
        <f>0.03-0.0018+0.00401</f>
      </c>
      <c r="M17" s="4">
        <f>0.03-0.0018+0.00401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0</v>
      </c>
      <c r="I18" s="5">
        <v>24</v>
      </c>
      <c r="J18" s="5">
        <v>5</v>
      </c>
      <c r="K18" s="5">
        <v>6</v>
      </c>
      <c r="L18" s="4">
        <f>0.03-0.0018+0.00401</f>
      </c>
      <c r="M18" s="4">
        <f>0.03-0.0018+0.00401</f>
      </c>
      <c r="N18" s="1" t="s">
        <v>26</v>
      </c>
      <c r="O18" s="1"/>
    </row>
    <row x14ac:dyDescent="0.25" r="19" customHeight="1" ht="17.25">
      <c r="A19" s="1" t="s">
        <v>13</v>
      </c>
      <c r="B19" s="1" t="s">
        <v>17</v>
      </c>
      <c r="C19" s="1" t="s">
        <v>50</v>
      </c>
      <c r="D19" s="5">
        <v>0</v>
      </c>
      <c r="E19" s="5">
        <v>0</v>
      </c>
      <c r="F19" s="5">
        <v>1</v>
      </c>
      <c r="G19" s="5">
        <v>5</v>
      </c>
      <c r="H19" s="5">
        <v>10</v>
      </c>
      <c r="I19" s="5">
        <v>22</v>
      </c>
      <c r="J19" s="5">
        <v>0</v>
      </c>
      <c r="K19" s="5">
        <v>6</v>
      </c>
      <c r="L19" s="4">
        <v>8.58</v>
      </c>
      <c r="M19" s="4">
        <v>8.58</v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53</v>
      </c>
      <c r="D20" s="5">
        <v>0</v>
      </c>
      <c r="E20" s="5">
        <v>0</v>
      </c>
      <c r="F20" s="5">
        <v>6</v>
      </c>
      <c r="G20" s="5">
        <v>9</v>
      </c>
      <c r="H20" s="5">
        <v>10</v>
      </c>
      <c r="I20" s="5">
        <v>22</v>
      </c>
      <c r="J20" s="5">
        <v>0</v>
      </c>
      <c r="K20" s="5">
        <v>6</v>
      </c>
      <c r="L20" s="4">
        <v>19.27</v>
      </c>
      <c r="M20" s="4">
        <v>19.27</v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10</v>
      </c>
      <c r="G21" s="5">
        <v>12</v>
      </c>
      <c r="H21" s="5">
        <v>10</v>
      </c>
      <c r="I21" s="5">
        <v>22</v>
      </c>
      <c r="J21" s="5">
        <v>0</v>
      </c>
      <c r="K21" s="5">
        <v>6</v>
      </c>
      <c r="L21" s="4">
        <v>8.58</v>
      </c>
      <c r="M21" s="4">
        <v>8.58</v>
      </c>
      <c r="N21" s="1" t="s">
        <v>19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20"/>
      <c r="F22" s="2"/>
      <c r="G22" s="2"/>
      <c r="H22" s="2"/>
      <c r="I22" s="2"/>
      <c r="J22" s="2"/>
      <c r="K22" s="2"/>
      <c r="L22" s="4">
        <v>1063.73</v>
      </c>
      <c r="M22" s="4">
        <v>1063.73</v>
      </c>
      <c r="N22" s="1" t="s">
        <v>15</v>
      </c>
      <c r="O22" s="1"/>
    </row>
    <row x14ac:dyDescent="0.25" r="23" customHeight="1" ht="17.25">
      <c r="A23" s="1" t="s">
        <v>34</v>
      </c>
      <c r="B23" s="1" t="s">
        <v>17</v>
      </c>
      <c r="C23" s="1" t="s">
        <v>24</v>
      </c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1.12*24</f>
      </c>
      <c r="M23" s="14">
        <f>L23/2.83168</f>
      </c>
      <c r="N23" s="1" t="s">
        <v>35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10</v>
      </c>
      <c r="H24" s="5">
        <v>0</v>
      </c>
      <c r="I24" s="5">
        <v>24</v>
      </c>
      <c r="J24" s="5">
        <v>0</v>
      </c>
      <c r="K24" s="5">
        <v>6</v>
      </c>
      <c r="L24" s="4">
        <f>0.03008+0.37</f>
      </c>
      <c r="M24" s="14">
        <f>L24/2.83168</f>
      </c>
      <c r="N24" s="1" t="s">
        <v>36</v>
      </c>
      <c r="O24" s="1" t="s">
        <v>89</v>
      </c>
    </row>
    <row x14ac:dyDescent="0.25" r="25" customHeight="1" ht="17.25">
      <c r="A25" s="1" t="s">
        <v>34</v>
      </c>
      <c r="B25" s="1" t="s">
        <v>25</v>
      </c>
      <c r="C25" s="1"/>
      <c r="D25" s="5">
        <v>36000</v>
      </c>
      <c r="E25" s="21">
        <f>D25*2.83168</f>
      </c>
      <c r="F25" s="5">
        <v>1</v>
      </c>
      <c r="G25" s="5">
        <v>10</v>
      </c>
      <c r="H25" s="5">
        <v>0</v>
      </c>
      <c r="I25" s="5">
        <v>24</v>
      </c>
      <c r="J25" s="5">
        <v>0</v>
      </c>
      <c r="K25" s="5">
        <v>6</v>
      </c>
      <c r="L25" s="4">
        <f>0.00882+0.37</f>
      </c>
      <c r="M25" s="14">
        <f>L25/2.83168</f>
      </c>
      <c r="N25" s="1" t="s">
        <v>36</v>
      </c>
      <c r="O25" s="1" t="s">
        <v>89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11</v>
      </c>
      <c r="G26" s="5">
        <v>12</v>
      </c>
      <c r="H26" s="5">
        <v>0</v>
      </c>
      <c r="I26" s="5">
        <v>24</v>
      </c>
      <c r="J26" s="5">
        <v>0</v>
      </c>
      <c r="K26" s="5">
        <v>6</v>
      </c>
      <c r="L26" s="4">
        <f>0.03008+0.59</f>
      </c>
      <c r="M26" s="14">
        <f>L26/2.83168</f>
      </c>
      <c r="N26" s="1" t="s">
        <v>36</v>
      </c>
      <c r="O26" s="1" t="s">
        <v>89</v>
      </c>
    </row>
    <row x14ac:dyDescent="0.25" r="27" customHeight="1" ht="17.25">
      <c r="A27" s="1" t="s">
        <v>34</v>
      </c>
      <c r="B27" s="1" t="s">
        <v>25</v>
      </c>
      <c r="C27" s="1"/>
      <c r="D27" s="5">
        <v>36000</v>
      </c>
      <c r="E27" s="21">
        <f>D27*2.83168</f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f>0.00882+0.59</f>
      </c>
      <c r="M27" s="14">
        <f>L27/2.83168</f>
      </c>
      <c r="N27" s="1" t="s">
        <v>36</v>
      </c>
      <c r="O27" s="1" t="s">
        <v>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0"/>
      <c r="F2" s="2"/>
      <c r="G2" s="2"/>
      <c r="H2" s="2"/>
      <c r="I2" s="2"/>
      <c r="J2" s="2"/>
      <c r="K2" s="2"/>
      <c r="L2" s="4">
        <f>323.82+21.08</f>
      </c>
      <c r="M2" s="4">
        <f>323.82+21.08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10</v>
      </c>
      <c r="J3" s="5">
        <v>0</v>
      </c>
      <c r="K3" s="5">
        <v>4</v>
      </c>
      <c r="L3" s="4">
        <f>0.03-0.0018-0.00183</f>
      </c>
      <c r="M3" s="4">
        <f>0.03-0.0018-0.00183</f>
      </c>
      <c r="N3" s="1" t="s">
        <v>26</v>
      </c>
      <c r="O3" s="1" t="s">
        <v>88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10</v>
      </c>
      <c r="I4" s="5">
        <v>22</v>
      </c>
      <c r="J4" s="5">
        <v>0</v>
      </c>
      <c r="K4" s="5">
        <v>4</v>
      </c>
      <c r="L4" s="4">
        <f>0.03+0.0029-0.00183</f>
      </c>
      <c r="M4" s="4">
        <f>0.03+0.0029-0.00183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22</v>
      </c>
      <c r="I5" s="5">
        <v>24</v>
      </c>
      <c r="J5" s="5">
        <v>0</v>
      </c>
      <c r="K5" s="5">
        <v>4</v>
      </c>
      <c r="L5" s="4">
        <f>0.03-0.0018-0.00183</f>
      </c>
      <c r="M5" s="4">
        <f>0.03-0.0018-0.00183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5</v>
      </c>
      <c r="K6" s="5">
        <v>6</v>
      </c>
      <c r="L6" s="4">
        <f>0.03-0.0018-0.00183</f>
      </c>
      <c r="M6" s="4">
        <f>0.03-0.0018-0.00183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5</v>
      </c>
      <c r="H7" s="5">
        <v>0</v>
      </c>
      <c r="I7" s="5">
        <v>10</v>
      </c>
      <c r="J7" s="5">
        <v>0</v>
      </c>
      <c r="K7" s="5">
        <v>4</v>
      </c>
      <c r="L7" s="4">
        <f>0.03-0.0018+0.00025</f>
      </c>
      <c r="M7" s="4">
        <f>0.03-0.0018+0.00025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2</v>
      </c>
      <c r="G8" s="5">
        <v>5</v>
      </c>
      <c r="H8" s="5">
        <v>10</v>
      </c>
      <c r="I8" s="5">
        <v>22</v>
      </c>
      <c r="J8" s="5">
        <v>0</v>
      </c>
      <c r="K8" s="5">
        <v>4</v>
      </c>
      <c r="L8" s="4">
        <f>0.03+0.0029+0.00025</f>
      </c>
      <c r="M8" s="4">
        <f>0.03+0.0029+0.00025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2</v>
      </c>
      <c r="G9" s="5">
        <v>5</v>
      </c>
      <c r="H9" s="5">
        <v>22</v>
      </c>
      <c r="I9" s="5">
        <v>24</v>
      </c>
      <c r="J9" s="5">
        <v>0</v>
      </c>
      <c r="K9" s="5">
        <v>4</v>
      </c>
      <c r="L9" s="4">
        <f>0.03-0.0018+0.00025</f>
      </c>
      <c r="M9" s="4">
        <f>0.03-0.0018+0.00025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5</v>
      </c>
      <c r="H10" s="5">
        <v>0</v>
      </c>
      <c r="I10" s="5">
        <v>24</v>
      </c>
      <c r="J10" s="5">
        <v>5</v>
      </c>
      <c r="K10" s="5">
        <v>6</v>
      </c>
      <c r="L10" s="4">
        <f>0.03-0.0018+0.00025</f>
      </c>
      <c r="M10" s="4">
        <f>0.03-0.0018+0.00025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0</v>
      </c>
      <c r="I11" s="5">
        <v>10</v>
      </c>
      <c r="J11" s="5">
        <v>0</v>
      </c>
      <c r="K11" s="5">
        <v>4</v>
      </c>
      <c r="L11" s="4">
        <f>0.0328-0.0035+0.00298</f>
      </c>
      <c r="M11" s="4">
        <f>0.0328-0.0035+0.00298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10</v>
      </c>
      <c r="I12" s="5">
        <v>22</v>
      </c>
      <c r="J12" s="5">
        <v>0</v>
      </c>
      <c r="K12" s="5">
        <v>4</v>
      </c>
      <c r="L12" s="4">
        <f>0.0328-0.0035+0.00298</f>
      </c>
      <c r="M12" s="4">
        <f>0.0328-0.0035+0.00298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22</v>
      </c>
      <c r="I13" s="5">
        <v>24</v>
      </c>
      <c r="J13" s="5">
        <v>0</v>
      </c>
      <c r="K13" s="5">
        <v>4</v>
      </c>
      <c r="L13" s="4">
        <f>0.0328+0.0064+0.00298</f>
      </c>
      <c r="M13" s="4">
        <f>0.0328+0.0064+0.00298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9</v>
      </c>
      <c r="H14" s="5">
        <v>0</v>
      </c>
      <c r="I14" s="5">
        <v>24</v>
      </c>
      <c r="J14" s="5">
        <v>5</v>
      </c>
      <c r="K14" s="5">
        <v>6</v>
      </c>
      <c r="L14" s="4">
        <f>0.0328-0.0035+0.00298</f>
      </c>
      <c r="M14" s="4">
        <f>0.0328-0.0035+0.00298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0</v>
      </c>
      <c r="I15" s="5">
        <v>10</v>
      </c>
      <c r="J15" s="5">
        <v>0</v>
      </c>
      <c r="K15" s="5">
        <v>4</v>
      </c>
      <c r="L15" s="4">
        <f>0.03-0.0018+0.00401</f>
      </c>
      <c r="M15" s="4">
        <f>0.03-0.0018+0.00401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10</v>
      </c>
      <c r="I16" s="5">
        <v>22</v>
      </c>
      <c r="J16" s="5">
        <v>0</v>
      </c>
      <c r="K16" s="5">
        <v>4</v>
      </c>
      <c r="L16" s="4">
        <f>0.03+0.0029+0.00401</f>
      </c>
      <c r="M16" s="4">
        <f>0.03+0.0029+0.00401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22</v>
      </c>
      <c r="I17" s="5">
        <v>24</v>
      </c>
      <c r="J17" s="5">
        <v>0</v>
      </c>
      <c r="K17" s="5">
        <v>4</v>
      </c>
      <c r="L17" s="4">
        <f>0.03-0.0018+0.00401</f>
      </c>
      <c r="M17" s="4">
        <f>0.03-0.0018+0.00401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0</v>
      </c>
      <c r="I18" s="5">
        <v>24</v>
      </c>
      <c r="J18" s="5">
        <v>5</v>
      </c>
      <c r="K18" s="5">
        <v>6</v>
      </c>
      <c r="L18" s="4">
        <f>0.03-0.0018+0.00401</f>
      </c>
      <c r="M18" s="4">
        <f>0.03-0.0018+0.00401</f>
      </c>
      <c r="N18" s="1" t="s">
        <v>26</v>
      </c>
      <c r="O18" s="1"/>
    </row>
    <row x14ac:dyDescent="0.25" r="19" customHeight="1" ht="17.25">
      <c r="A19" s="1" t="s">
        <v>13</v>
      </c>
      <c r="B19" s="1" t="s">
        <v>17</v>
      </c>
      <c r="C19" s="1" t="s">
        <v>50</v>
      </c>
      <c r="D19" s="5">
        <v>0</v>
      </c>
      <c r="E19" s="5">
        <v>0</v>
      </c>
      <c r="F19" s="5">
        <v>1</v>
      </c>
      <c r="G19" s="5">
        <v>5</v>
      </c>
      <c r="H19" s="5">
        <v>10</v>
      </c>
      <c r="I19" s="5">
        <v>22</v>
      </c>
      <c r="J19" s="5">
        <v>0</v>
      </c>
      <c r="K19" s="5">
        <v>6</v>
      </c>
      <c r="L19" s="4">
        <v>8.58</v>
      </c>
      <c r="M19" s="4">
        <v>8.58</v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53</v>
      </c>
      <c r="D20" s="5">
        <v>0</v>
      </c>
      <c r="E20" s="5">
        <v>0</v>
      </c>
      <c r="F20" s="5">
        <v>6</v>
      </c>
      <c r="G20" s="5">
        <v>9</v>
      </c>
      <c r="H20" s="5">
        <v>10</v>
      </c>
      <c r="I20" s="5">
        <v>22</v>
      </c>
      <c r="J20" s="5">
        <v>0</v>
      </c>
      <c r="K20" s="5">
        <v>6</v>
      </c>
      <c r="L20" s="4">
        <v>19.27</v>
      </c>
      <c r="M20" s="4">
        <v>19.27</v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10</v>
      </c>
      <c r="G21" s="5">
        <v>12</v>
      </c>
      <c r="H21" s="5">
        <v>10</v>
      </c>
      <c r="I21" s="5">
        <v>22</v>
      </c>
      <c r="J21" s="5">
        <v>0</v>
      </c>
      <c r="K21" s="5">
        <v>6</v>
      </c>
      <c r="L21" s="4">
        <v>8.58</v>
      </c>
      <c r="M21" s="4">
        <v>8.58</v>
      </c>
      <c r="N21" s="1" t="s">
        <v>19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20"/>
      <c r="F22" s="2"/>
      <c r="G22" s="2"/>
      <c r="H22" s="2"/>
      <c r="I22" s="2"/>
      <c r="J22" s="2"/>
      <c r="K22" s="2"/>
      <c r="L22" s="4">
        <v>1063.73</v>
      </c>
      <c r="M22" s="4">
        <v>1063.73</v>
      </c>
      <c r="N22" s="1" t="s">
        <v>15</v>
      </c>
      <c r="O22" s="1"/>
    </row>
    <row x14ac:dyDescent="0.25" r="23" customHeight="1" ht="17.25">
      <c r="A23" s="1" t="s">
        <v>34</v>
      </c>
      <c r="B23" s="1" t="s">
        <v>17</v>
      </c>
      <c r="C23" s="1" t="s">
        <v>24</v>
      </c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1.12*24</f>
      </c>
      <c r="M23" s="14">
        <f>L23/2.83168</f>
      </c>
      <c r="N23" s="1" t="s">
        <v>35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10</v>
      </c>
      <c r="H24" s="5">
        <v>0</v>
      </c>
      <c r="I24" s="5">
        <v>24</v>
      </c>
      <c r="J24" s="5">
        <v>0</v>
      </c>
      <c r="K24" s="5">
        <v>6</v>
      </c>
      <c r="L24" s="4">
        <f>0.03008+0.37</f>
      </c>
      <c r="M24" s="14">
        <f>L24/2.83168</f>
      </c>
      <c r="N24" s="1" t="s">
        <v>36</v>
      </c>
      <c r="O24" s="1" t="s">
        <v>89</v>
      </c>
    </row>
    <row x14ac:dyDescent="0.25" r="25" customHeight="1" ht="17.25">
      <c r="A25" s="1" t="s">
        <v>34</v>
      </c>
      <c r="B25" s="1" t="s">
        <v>25</v>
      </c>
      <c r="C25" s="1"/>
      <c r="D25" s="5">
        <v>36000</v>
      </c>
      <c r="E25" s="21">
        <f>D25*2.83168</f>
      </c>
      <c r="F25" s="5">
        <v>1</v>
      </c>
      <c r="G25" s="5">
        <v>10</v>
      </c>
      <c r="H25" s="5">
        <v>0</v>
      </c>
      <c r="I25" s="5">
        <v>24</v>
      </c>
      <c r="J25" s="5">
        <v>0</v>
      </c>
      <c r="K25" s="5">
        <v>6</v>
      </c>
      <c r="L25" s="4">
        <f>0.00882+0.37</f>
      </c>
      <c r="M25" s="14">
        <f>L25/2.83168</f>
      </c>
      <c r="N25" s="1" t="s">
        <v>36</v>
      </c>
      <c r="O25" s="1" t="s">
        <v>89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11</v>
      </c>
      <c r="G26" s="5">
        <v>12</v>
      </c>
      <c r="H26" s="5">
        <v>0</v>
      </c>
      <c r="I26" s="5">
        <v>24</v>
      </c>
      <c r="J26" s="5">
        <v>0</v>
      </c>
      <c r="K26" s="5">
        <v>6</v>
      </c>
      <c r="L26" s="4">
        <f>0.03008+0.59</f>
      </c>
      <c r="M26" s="14">
        <f>L26/2.83168</f>
      </c>
      <c r="N26" s="1" t="s">
        <v>36</v>
      </c>
      <c r="O26" s="1" t="s">
        <v>89</v>
      </c>
    </row>
    <row x14ac:dyDescent="0.25" r="27" customHeight="1" ht="17.25">
      <c r="A27" s="1" t="s">
        <v>34</v>
      </c>
      <c r="B27" s="1" t="s">
        <v>25</v>
      </c>
      <c r="C27" s="1"/>
      <c r="D27" s="5">
        <v>36000</v>
      </c>
      <c r="E27" s="21">
        <f>D27*2.83168</f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f>0.00882+0.59</f>
      </c>
      <c r="M27" s="14">
        <f>L27/2.83168</f>
      </c>
      <c r="N27" s="1" t="s">
        <v>36</v>
      </c>
      <c r="O27" s="1" t="s">
        <v>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120</v>
      </c>
      <c r="M2" s="5">
        <v>120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2</v>
      </c>
      <c r="H3" s="5">
        <v>0</v>
      </c>
      <c r="I3" s="5">
        <v>24</v>
      </c>
      <c r="J3" s="5">
        <v>0</v>
      </c>
      <c r="K3" s="5">
        <v>6</v>
      </c>
      <c r="L3" s="4">
        <f>0.036204-0.008576</f>
      </c>
      <c r="M3" s="4">
        <f>0.036204-0.008576</f>
      </c>
      <c r="N3" s="1" t="s">
        <v>26</v>
      </c>
      <c r="O3" s="1" t="s">
        <v>86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3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f>0.036204-0.003725</f>
      </c>
      <c r="M4" s="4">
        <f>0.036204-0.003725</f>
      </c>
      <c r="N4" s="1" t="s">
        <v>26</v>
      </c>
      <c r="O4" s="1" t="s">
        <v>86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8</v>
      </c>
      <c r="H5" s="5">
        <v>0</v>
      </c>
      <c r="I5" s="5">
        <v>24</v>
      </c>
      <c r="J5" s="5">
        <v>0</v>
      </c>
      <c r="K5" s="5">
        <v>6</v>
      </c>
      <c r="L5" s="4">
        <f>0.036204-0.006178</f>
      </c>
      <c r="M5" s="4">
        <f>0.036204-0.006178</f>
      </c>
      <c r="N5" s="1" t="s">
        <v>26</v>
      </c>
      <c r="O5" s="1" t="s">
        <v>86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9</v>
      </c>
      <c r="G6" s="5">
        <v>11</v>
      </c>
      <c r="H6" s="5">
        <v>0</v>
      </c>
      <c r="I6" s="5">
        <v>24</v>
      </c>
      <c r="J6" s="5">
        <v>0</v>
      </c>
      <c r="K6" s="5">
        <v>6</v>
      </c>
      <c r="L6" s="4">
        <f>0.036204-0.000036</f>
      </c>
      <c r="M6" s="4">
        <f>0.036204-0.000036</f>
      </c>
      <c r="N6" s="1" t="s">
        <v>26</v>
      </c>
      <c r="O6" s="1" t="s">
        <v>86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12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f>0.036204+0.00535</f>
      </c>
      <c r="M7" s="4">
        <f>0.036204+0.00535</f>
      </c>
      <c r="N7" s="1" t="s">
        <v>26</v>
      </c>
      <c r="O7" s="1" t="s">
        <v>86</v>
      </c>
    </row>
    <row x14ac:dyDescent="0.25" r="8" customHeight="1" ht="17.25">
      <c r="A8" s="1" t="s">
        <v>13</v>
      </c>
      <c r="B8" s="1" t="s">
        <v>17</v>
      </c>
      <c r="C8" s="1" t="s">
        <v>24</v>
      </c>
      <c r="D8" s="5">
        <v>0</v>
      </c>
      <c r="E8" s="5">
        <v>0</v>
      </c>
      <c r="F8" s="5">
        <v>1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v>23.23</v>
      </c>
      <c r="M8" s="4">
        <v>23.23</v>
      </c>
      <c r="N8" s="1" t="s">
        <v>19</v>
      </c>
      <c r="O8" s="1"/>
    </row>
    <row x14ac:dyDescent="0.25" r="9" customHeight="1" ht="17.25">
      <c r="A9" s="1" t="s">
        <v>34</v>
      </c>
      <c r="B9" s="1" t="s">
        <v>14</v>
      </c>
      <c r="C9" s="1"/>
      <c r="D9" s="2"/>
      <c r="E9" s="2"/>
      <c r="F9" s="2"/>
      <c r="G9" s="2"/>
      <c r="H9" s="2"/>
      <c r="I9" s="2"/>
      <c r="J9" s="2"/>
      <c r="K9" s="2"/>
      <c r="L9" s="5">
        <v>300</v>
      </c>
      <c r="M9" s="5">
        <v>300</v>
      </c>
      <c r="N9" s="1" t="s">
        <v>15</v>
      </c>
      <c r="O9" s="1"/>
    </row>
    <row x14ac:dyDescent="0.25" r="10" customHeight="1" ht="17.25">
      <c r="A10" s="1" t="s">
        <v>34</v>
      </c>
      <c r="B10" s="1" t="s">
        <v>17</v>
      </c>
      <c r="C10" s="1" t="s">
        <v>24</v>
      </c>
      <c r="D10" s="5">
        <v>0</v>
      </c>
      <c r="E10" s="5">
        <v>0</v>
      </c>
      <c r="F10" s="5">
        <v>1</v>
      </c>
      <c r="G10" s="5">
        <v>12</v>
      </c>
      <c r="H10" s="5">
        <v>0</v>
      </c>
      <c r="I10" s="5">
        <v>24</v>
      </c>
      <c r="J10" s="5">
        <v>0</v>
      </c>
      <c r="K10" s="5">
        <v>6</v>
      </c>
      <c r="L10" s="4">
        <f>0.65*24</f>
      </c>
      <c r="M10" s="14">
        <f>L10/2.83168</f>
      </c>
      <c r="N10" s="1" t="s">
        <v>35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0</v>
      </c>
      <c r="I11" s="5">
        <v>24</v>
      </c>
      <c r="J11" s="5">
        <v>0</v>
      </c>
      <c r="K11" s="5">
        <v>6</v>
      </c>
      <c r="L11" s="4">
        <f>0.0528+0.3012</f>
      </c>
      <c r="M11" s="14">
        <f>L11/2.83168</f>
      </c>
      <c r="N11" s="1" t="s">
        <v>36</v>
      </c>
      <c r="O11" s="1" t="s">
        <v>87</v>
      </c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2</v>
      </c>
      <c r="G12" s="5">
        <v>2</v>
      </c>
      <c r="H12" s="5">
        <v>0</v>
      </c>
      <c r="I12" s="5">
        <v>24</v>
      </c>
      <c r="J12" s="5">
        <v>0</v>
      </c>
      <c r="K12" s="5">
        <v>6</v>
      </c>
      <c r="L12" s="4">
        <f>0.0528+0.3521</f>
      </c>
      <c r="M12" s="14">
        <f>L12/2.83168</f>
      </c>
      <c r="N12" s="1" t="s">
        <v>36</v>
      </c>
      <c r="O12" s="1" t="s">
        <v>87</v>
      </c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3</v>
      </c>
      <c r="G13" s="5">
        <v>3</v>
      </c>
      <c r="H13" s="5">
        <v>0</v>
      </c>
      <c r="I13" s="5">
        <v>24</v>
      </c>
      <c r="J13" s="5">
        <v>0</v>
      </c>
      <c r="K13" s="5">
        <v>6</v>
      </c>
      <c r="L13" s="4">
        <f>0.0528+0.2687</f>
      </c>
      <c r="M13" s="14">
        <f>L13/2.83168</f>
      </c>
      <c r="N13" s="1" t="s">
        <v>36</v>
      </c>
      <c r="O13" s="1" t="s">
        <v>87</v>
      </c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4</v>
      </c>
      <c r="G14" s="5">
        <v>4</v>
      </c>
      <c r="H14" s="5">
        <v>0</v>
      </c>
      <c r="I14" s="5">
        <v>24</v>
      </c>
      <c r="J14" s="5">
        <v>0</v>
      </c>
      <c r="K14" s="5">
        <v>6</v>
      </c>
      <c r="L14" s="4">
        <f>0.0528+0.2619</f>
      </c>
      <c r="M14" s="14">
        <f>L14/2.83168</f>
      </c>
      <c r="N14" s="1" t="s">
        <v>36</v>
      </c>
      <c r="O14" s="1" t="s">
        <v>87</v>
      </c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5</v>
      </c>
      <c r="G15" s="5">
        <v>5</v>
      </c>
      <c r="H15" s="5">
        <v>0</v>
      </c>
      <c r="I15" s="5">
        <v>24</v>
      </c>
      <c r="J15" s="5">
        <v>0</v>
      </c>
      <c r="K15" s="5">
        <v>6</v>
      </c>
      <c r="L15" s="4">
        <f>0.0528+0.2595</f>
      </c>
      <c r="M15" s="14">
        <f>L15/2.83168</f>
      </c>
      <c r="N15" s="1" t="s">
        <v>36</v>
      </c>
      <c r="O15" s="1" t="s">
        <v>87</v>
      </c>
    </row>
    <row x14ac:dyDescent="0.25" r="16" customHeight="1" ht="17.25">
      <c r="A16" s="1" t="s">
        <v>34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6</v>
      </c>
      <c r="H16" s="5">
        <v>0</v>
      </c>
      <c r="I16" s="5">
        <v>24</v>
      </c>
      <c r="J16" s="5">
        <v>0</v>
      </c>
      <c r="K16" s="5">
        <v>6</v>
      </c>
      <c r="L16" s="4">
        <f>0.0528+0.364</f>
      </c>
      <c r="M16" s="14">
        <f>L16/2.83168</f>
      </c>
      <c r="N16" s="1" t="s">
        <v>36</v>
      </c>
      <c r="O16" s="1" t="s">
        <v>87</v>
      </c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7</v>
      </c>
      <c r="G17" s="5">
        <v>7</v>
      </c>
      <c r="H17" s="5">
        <v>0</v>
      </c>
      <c r="I17" s="5">
        <v>24</v>
      </c>
      <c r="J17" s="5">
        <v>0</v>
      </c>
      <c r="K17" s="5">
        <v>6</v>
      </c>
      <c r="L17" s="4">
        <f>0.0528+0.2687</f>
      </c>
      <c r="M17" s="14">
        <f>L17/2.83168</f>
      </c>
      <c r="N17" s="1" t="s">
        <v>36</v>
      </c>
      <c r="O17" s="1" t="s">
        <v>87</v>
      </c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8</v>
      </c>
      <c r="G18" s="5">
        <v>8</v>
      </c>
      <c r="H18" s="5">
        <v>0</v>
      </c>
      <c r="I18" s="5">
        <v>24</v>
      </c>
      <c r="J18" s="5">
        <v>0</v>
      </c>
      <c r="K18" s="5">
        <v>6</v>
      </c>
      <c r="L18" s="4">
        <f>0.2712+0.0528</f>
      </c>
      <c r="M18" s="14">
        <f>L18/2.83168</f>
      </c>
      <c r="N18" s="1" t="s">
        <v>36</v>
      </c>
      <c r="O18" s="1" t="s">
        <v>87</v>
      </c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9</v>
      </c>
      <c r="G19" s="5">
        <v>9</v>
      </c>
      <c r="H19" s="5">
        <v>0</v>
      </c>
      <c r="I19" s="5">
        <v>24</v>
      </c>
      <c r="J19" s="5">
        <v>0</v>
      </c>
      <c r="K19" s="5">
        <v>6</v>
      </c>
      <c r="L19" s="4">
        <f>0.2925+0.0528</f>
      </c>
      <c r="M19" s="14">
        <f>L19/2.83168</f>
      </c>
      <c r="N19" s="1" t="s">
        <v>36</v>
      </c>
      <c r="O19" s="1" t="s">
        <v>87</v>
      </c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10</v>
      </c>
      <c r="G20" s="5">
        <v>10</v>
      </c>
      <c r="H20" s="5">
        <v>0</v>
      </c>
      <c r="I20" s="5">
        <v>24</v>
      </c>
      <c r="J20" s="5">
        <v>0</v>
      </c>
      <c r="K20" s="5">
        <v>6</v>
      </c>
      <c r="L20" s="4">
        <f>0.3104+0.0528</f>
      </c>
      <c r="M20" s="14">
        <f>L20/2.83168</f>
      </c>
      <c r="N20" s="1" t="s">
        <v>36</v>
      </c>
      <c r="O20" s="1" t="s">
        <v>87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11</v>
      </c>
      <c r="G21" s="5">
        <v>11</v>
      </c>
      <c r="H21" s="5">
        <v>0</v>
      </c>
      <c r="I21" s="5">
        <v>24</v>
      </c>
      <c r="J21" s="5">
        <v>0</v>
      </c>
      <c r="K21" s="5">
        <v>6</v>
      </c>
      <c r="L21" s="4">
        <f>0.0528+0.3115</f>
      </c>
      <c r="M21" s="14">
        <f>L21/2.83168</f>
      </c>
      <c r="N21" s="1" t="s">
        <v>36</v>
      </c>
      <c r="O21" s="1" t="s">
        <v>87</v>
      </c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12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0.0528+0.364</f>
      </c>
      <c r="M22" s="14">
        <f>L22/2.83168</f>
      </c>
      <c r="N22" s="1" t="s">
        <v>36</v>
      </c>
      <c r="O22" s="1" t="s">
        <v>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6.005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14.576428571428572" customWidth="1" bestFit="1"/>
    <col min="10" max="10" style="7" width="13.719285714285713" customWidth="1" bestFit="1"/>
    <col min="11" max="11" style="7" width="14.147857142857141" customWidth="1" bestFit="1"/>
    <col min="12" max="12" style="8" width="12.862142857142858" customWidth="1" bestFit="1"/>
    <col min="13" max="13" style="8" width="12.4335714285714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4">
        <f>32.9+0.551098</f>
      </c>
      <c r="M58" s="15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3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0.9223+0.551098</f>
      </c>
      <c r="M59" s="15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90</v>
      </c>
      <c r="E60" s="4">
        <f>D60*2.83168</f>
      </c>
      <c r="F60" s="5">
        <v>1</v>
      </c>
      <c r="G60" s="5">
        <v>1</v>
      </c>
      <c r="H60" s="5">
        <v>0</v>
      </c>
      <c r="I60" s="5">
        <v>24</v>
      </c>
      <c r="J60" s="5">
        <v>0</v>
      </c>
      <c r="K60" s="5">
        <v>6</v>
      </c>
      <c r="L60" s="4">
        <f>0.484+0.551098</f>
      </c>
      <c r="M60" s="15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3000</v>
      </c>
      <c r="E61" s="4">
        <f>D61*2.83168</f>
      </c>
      <c r="F61" s="5">
        <v>1</v>
      </c>
      <c r="G61" s="5">
        <v>1</v>
      </c>
      <c r="H61" s="5">
        <v>0</v>
      </c>
      <c r="I61" s="5">
        <v>24</v>
      </c>
      <c r="J61" s="5">
        <v>0</v>
      </c>
      <c r="K61" s="5">
        <v>6</v>
      </c>
      <c r="L61" s="4">
        <f>0.3335+0.551098</f>
      </c>
      <c r="M61" s="15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2</v>
      </c>
      <c r="G62" s="5">
        <v>2</v>
      </c>
      <c r="H62" s="5">
        <v>0</v>
      </c>
      <c r="I62" s="5">
        <v>24</v>
      </c>
      <c r="J62" s="5">
        <v>0</v>
      </c>
      <c r="K62" s="5">
        <v>6</v>
      </c>
      <c r="L62" s="4">
        <f>32.9+0.536697</f>
      </c>
      <c r="M62" s="15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3</v>
      </c>
      <c r="E63" s="4">
        <f>D63*2.83168</f>
      </c>
      <c r="F63" s="5">
        <v>2</v>
      </c>
      <c r="G63" s="5">
        <v>2</v>
      </c>
      <c r="H63" s="5">
        <v>0</v>
      </c>
      <c r="I63" s="5">
        <v>24</v>
      </c>
      <c r="J63" s="5">
        <v>0</v>
      </c>
      <c r="K63" s="5">
        <v>6</v>
      </c>
      <c r="L63" s="4">
        <f>0.9223+0.536697</f>
      </c>
      <c r="M63" s="15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90</v>
      </c>
      <c r="E64" s="4">
        <f>D64*2.83168</f>
      </c>
      <c r="F64" s="5">
        <v>2</v>
      </c>
      <c r="G64" s="5">
        <v>2</v>
      </c>
      <c r="H64" s="5">
        <v>0</v>
      </c>
      <c r="I64" s="5">
        <v>24</v>
      </c>
      <c r="J64" s="5">
        <v>0</v>
      </c>
      <c r="K64" s="5">
        <v>6</v>
      </c>
      <c r="L64" s="4">
        <f>0.484+0.536697</f>
      </c>
      <c r="M64" s="15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3000</v>
      </c>
      <c r="E65" s="4">
        <f>D65*2.83168</f>
      </c>
      <c r="F65" s="5">
        <v>2</v>
      </c>
      <c r="G65" s="5">
        <v>2</v>
      </c>
      <c r="H65" s="5">
        <v>0</v>
      </c>
      <c r="I65" s="5">
        <v>24</v>
      </c>
      <c r="J65" s="5">
        <v>0</v>
      </c>
      <c r="K65" s="5">
        <v>6</v>
      </c>
      <c r="L65" s="4">
        <f>0.3335+0.536697</f>
      </c>
      <c r="M65" s="15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3</v>
      </c>
      <c r="G66" s="5">
        <v>3</v>
      </c>
      <c r="H66" s="5">
        <v>0</v>
      </c>
      <c r="I66" s="5">
        <v>24</v>
      </c>
      <c r="J66" s="5">
        <v>0</v>
      </c>
      <c r="K66" s="5">
        <v>6</v>
      </c>
      <c r="L66" s="4">
        <f>32.9+0.518574</f>
      </c>
      <c r="M66" s="15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3</v>
      </c>
      <c r="E67" s="4">
        <f>D67*2.83168</f>
      </c>
      <c r="F67" s="5">
        <v>3</v>
      </c>
      <c r="G67" s="5">
        <v>3</v>
      </c>
      <c r="H67" s="5">
        <v>0</v>
      </c>
      <c r="I67" s="5">
        <v>24</v>
      </c>
      <c r="J67" s="5">
        <v>0</v>
      </c>
      <c r="K67" s="5">
        <v>6</v>
      </c>
      <c r="L67" s="4">
        <f>0.9223+0.518574</f>
      </c>
      <c r="M67" s="15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90</v>
      </c>
      <c r="E68" s="4">
        <f>D68*2.83168</f>
      </c>
      <c r="F68" s="5">
        <v>3</v>
      </c>
      <c r="G68" s="5">
        <v>3</v>
      </c>
      <c r="H68" s="5">
        <v>0</v>
      </c>
      <c r="I68" s="5">
        <v>24</v>
      </c>
      <c r="J68" s="5">
        <v>0</v>
      </c>
      <c r="K68" s="5">
        <v>6</v>
      </c>
      <c r="L68" s="4">
        <f>0.484+0.518574</f>
      </c>
      <c r="M68" s="15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3000</v>
      </c>
      <c r="E69" s="4">
        <f>D69*2.83168</f>
      </c>
      <c r="F69" s="5">
        <v>3</v>
      </c>
      <c r="G69" s="5">
        <v>3</v>
      </c>
      <c r="H69" s="5">
        <v>0</v>
      </c>
      <c r="I69" s="5">
        <v>24</v>
      </c>
      <c r="J69" s="5">
        <v>0</v>
      </c>
      <c r="K69" s="5">
        <v>6</v>
      </c>
      <c r="L69" s="4">
        <f>0.3335+0.518574</f>
      </c>
      <c r="M69" s="15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4</v>
      </c>
      <c r="G70" s="5">
        <v>4</v>
      </c>
      <c r="H70" s="5">
        <v>0</v>
      </c>
      <c r="I70" s="5">
        <v>24</v>
      </c>
      <c r="J70" s="5">
        <v>0</v>
      </c>
      <c r="K70" s="5">
        <v>6</v>
      </c>
      <c r="L70" s="4">
        <f>32.9+0.479056</f>
      </c>
      <c r="M70" s="15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3</v>
      </c>
      <c r="E71" s="4">
        <f>D71*2.83168</f>
      </c>
      <c r="F71" s="5">
        <v>4</v>
      </c>
      <c r="G71" s="5">
        <v>4</v>
      </c>
      <c r="H71" s="5">
        <v>0</v>
      </c>
      <c r="I71" s="5">
        <v>24</v>
      </c>
      <c r="J71" s="5">
        <v>0</v>
      </c>
      <c r="K71" s="5">
        <v>6</v>
      </c>
      <c r="L71" s="4">
        <f>0.9223+0.479056</f>
      </c>
      <c r="M71" s="15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90</v>
      </c>
      <c r="E72" s="4">
        <f>D72*2.83168</f>
      </c>
      <c r="F72" s="5">
        <v>4</v>
      </c>
      <c r="G72" s="5">
        <v>4</v>
      </c>
      <c r="H72" s="5">
        <v>0</v>
      </c>
      <c r="I72" s="5">
        <v>24</v>
      </c>
      <c r="J72" s="5">
        <v>0</v>
      </c>
      <c r="K72" s="5">
        <v>6</v>
      </c>
      <c r="L72" s="4">
        <f>0.484+0.479056</f>
      </c>
      <c r="M72" s="15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3000</v>
      </c>
      <c r="E73" s="4">
        <f>D73*2.83168</f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0.3335+0.479056</f>
      </c>
      <c r="M73" s="15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5</v>
      </c>
      <c r="G74" s="5">
        <v>5</v>
      </c>
      <c r="H74" s="5">
        <v>0</v>
      </c>
      <c r="I74" s="5">
        <v>24</v>
      </c>
      <c r="J74" s="5">
        <v>0</v>
      </c>
      <c r="K74" s="5">
        <v>6</v>
      </c>
      <c r="L74" s="4">
        <f>32.9+0.421929</f>
      </c>
      <c r="M74" s="15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3</v>
      </c>
      <c r="E75" s="4">
        <f>D75*2.83168</f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0.9223+0.421929</f>
      </c>
      <c r="M75" s="15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90</v>
      </c>
      <c r="E76" s="4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0.484+0.421929</f>
      </c>
      <c r="M76" s="15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3000</v>
      </c>
      <c r="E77" s="4">
        <f>D77*2.83168</f>
      </c>
      <c r="F77" s="5">
        <v>5</v>
      </c>
      <c r="G77" s="5">
        <v>5</v>
      </c>
      <c r="H77" s="5">
        <v>0</v>
      </c>
      <c r="I77" s="5">
        <v>24</v>
      </c>
      <c r="J77" s="5">
        <v>0</v>
      </c>
      <c r="K77" s="5">
        <v>6</v>
      </c>
      <c r="L77" s="4">
        <f>0.3335+0.421929</f>
      </c>
      <c r="M77" s="15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32.9+0.490438</f>
      </c>
      <c r="M78" s="15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3</v>
      </c>
      <c r="E79" s="4">
        <f>D79*2.83168</f>
      </c>
      <c r="F79" s="5">
        <v>6</v>
      </c>
      <c r="G79" s="5">
        <v>6</v>
      </c>
      <c r="H79" s="5">
        <v>0</v>
      </c>
      <c r="I79" s="5">
        <v>24</v>
      </c>
      <c r="J79" s="5">
        <v>0</v>
      </c>
      <c r="K79" s="5">
        <v>6</v>
      </c>
      <c r="L79" s="4">
        <f>0.9223+0.490438</f>
      </c>
      <c r="M79" s="15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90</v>
      </c>
      <c r="E80" s="4">
        <f>D80*2.83168</f>
      </c>
      <c r="F80" s="5">
        <v>6</v>
      </c>
      <c r="G80" s="5">
        <v>6</v>
      </c>
      <c r="H80" s="5">
        <v>0</v>
      </c>
      <c r="I80" s="5">
        <v>24</v>
      </c>
      <c r="J80" s="5">
        <v>0</v>
      </c>
      <c r="K80" s="5">
        <v>6</v>
      </c>
      <c r="L80" s="4">
        <f>0.484+0.490438</f>
      </c>
      <c r="M80" s="15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3000</v>
      </c>
      <c r="E81" s="4">
        <f>D81*2.83168</f>
      </c>
      <c r="F81" s="5">
        <v>6</v>
      </c>
      <c r="G81" s="5">
        <v>6</v>
      </c>
      <c r="H81" s="5">
        <v>0</v>
      </c>
      <c r="I81" s="5">
        <v>24</v>
      </c>
      <c r="J81" s="5">
        <v>0</v>
      </c>
      <c r="K81" s="5">
        <v>6</v>
      </c>
      <c r="L81" s="4">
        <f>0.3335+0.490438</f>
      </c>
      <c r="M81" s="15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0</v>
      </c>
      <c r="E82" s="5">
        <v>0</v>
      </c>
      <c r="F82" s="5">
        <v>7</v>
      </c>
      <c r="G82" s="5">
        <v>7</v>
      </c>
      <c r="H82" s="5">
        <v>0</v>
      </c>
      <c r="I82" s="5">
        <v>24</v>
      </c>
      <c r="J82" s="5">
        <v>0</v>
      </c>
      <c r="K82" s="5">
        <v>6</v>
      </c>
      <c r="L82" s="4">
        <f>32.9+0.510338</f>
      </c>
      <c r="M82" s="15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3</v>
      </c>
      <c r="E83" s="4">
        <f>D83*2.83168</f>
      </c>
      <c r="F83" s="5">
        <v>7</v>
      </c>
      <c r="G83" s="5">
        <v>7</v>
      </c>
      <c r="H83" s="5">
        <v>0</v>
      </c>
      <c r="I83" s="5">
        <v>24</v>
      </c>
      <c r="J83" s="5">
        <v>0</v>
      </c>
      <c r="K83" s="5">
        <v>6</v>
      </c>
      <c r="L83" s="4">
        <f>0.9223+0.510338</f>
      </c>
      <c r="M83" s="15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90</v>
      </c>
      <c r="E84" s="4">
        <f>D84*2.83168</f>
      </c>
      <c r="F84" s="5">
        <v>7</v>
      </c>
      <c r="G84" s="5">
        <v>7</v>
      </c>
      <c r="H84" s="5">
        <v>0</v>
      </c>
      <c r="I84" s="5">
        <v>24</v>
      </c>
      <c r="J84" s="5">
        <v>0</v>
      </c>
      <c r="K84" s="5">
        <v>6</v>
      </c>
      <c r="L84" s="4">
        <f>0.484+0.510338</f>
      </c>
      <c r="M84" s="15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3000</v>
      </c>
      <c r="E85" s="4">
        <f>D85*2.83168</f>
      </c>
      <c r="F85" s="5">
        <v>7</v>
      </c>
      <c r="G85" s="5">
        <v>7</v>
      </c>
      <c r="H85" s="5">
        <v>0</v>
      </c>
      <c r="I85" s="5">
        <v>24</v>
      </c>
      <c r="J85" s="5">
        <v>0</v>
      </c>
      <c r="K85" s="5">
        <v>6</v>
      </c>
      <c r="L85" s="4">
        <f>0.3335+0.510338</f>
      </c>
      <c r="M85" s="15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0</v>
      </c>
      <c r="E86" s="5">
        <v>0</v>
      </c>
      <c r="F86" s="5">
        <v>8</v>
      </c>
      <c r="G86" s="5">
        <v>8</v>
      </c>
      <c r="H86" s="5">
        <v>0</v>
      </c>
      <c r="I86" s="5">
        <v>24</v>
      </c>
      <c r="J86" s="5">
        <v>0</v>
      </c>
      <c r="K86" s="5">
        <v>6</v>
      </c>
      <c r="L86" s="4">
        <f>32.9+0.595963</f>
      </c>
      <c r="M86" s="15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3</v>
      </c>
      <c r="E87" s="4">
        <f>D87*2.83168</f>
      </c>
      <c r="F87" s="5">
        <v>8</v>
      </c>
      <c r="G87" s="5">
        <v>8</v>
      </c>
      <c r="H87" s="5">
        <v>0</v>
      </c>
      <c r="I87" s="5">
        <v>24</v>
      </c>
      <c r="J87" s="5">
        <v>0</v>
      </c>
      <c r="K87" s="5">
        <v>6</v>
      </c>
      <c r="L87" s="4">
        <f>0.9223+0.595963</f>
      </c>
      <c r="M87" s="15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90</v>
      </c>
      <c r="E88" s="4">
        <f>D88*2.83168</f>
      </c>
      <c r="F88" s="5">
        <v>8</v>
      </c>
      <c r="G88" s="5">
        <v>8</v>
      </c>
      <c r="H88" s="5">
        <v>0</v>
      </c>
      <c r="I88" s="5">
        <v>24</v>
      </c>
      <c r="J88" s="5">
        <v>0</v>
      </c>
      <c r="K88" s="5">
        <v>6</v>
      </c>
      <c r="L88" s="4">
        <f>0.484+0.595963</f>
      </c>
      <c r="M88" s="15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3000</v>
      </c>
      <c r="E89" s="4">
        <f>D89*2.83168</f>
      </c>
      <c r="F89" s="5">
        <v>8</v>
      </c>
      <c r="G89" s="5">
        <v>8</v>
      </c>
      <c r="H89" s="5">
        <v>0</v>
      </c>
      <c r="I89" s="5">
        <v>24</v>
      </c>
      <c r="J89" s="5">
        <v>0</v>
      </c>
      <c r="K89" s="5">
        <v>6</v>
      </c>
      <c r="L89" s="4">
        <f>0.3335+0.595963</f>
      </c>
      <c r="M89" s="15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0</v>
      </c>
      <c r="E90" s="5">
        <v>0</v>
      </c>
      <c r="F90" s="5">
        <v>9</v>
      </c>
      <c r="G90" s="5">
        <v>9</v>
      </c>
      <c r="H90" s="5">
        <v>0</v>
      </c>
      <c r="I90" s="5">
        <v>24</v>
      </c>
      <c r="J90" s="5">
        <v>0</v>
      </c>
      <c r="K90" s="5">
        <v>6</v>
      </c>
      <c r="L90" s="4">
        <f>32.9+0.574746</f>
      </c>
      <c r="M90" s="15">
        <f>L90/2.83168</f>
      </c>
      <c r="N90" s="1" t="s">
        <v>36</v>
      </c>
      <c r="O90" s="1"/>
    </row>
    <row x14ac:dyDescent="0.25" r="91" customHeight="1" ht="17.25">
      <c r="A91" s="1" t="s">
        <v>34</v>
      </c>
      <c r="B91" s="1" t="s">
        <v>25</v>
      </c>
      <c r="C91" s="1"/>
      <c r="D91" s="5">
        <v>3</v>
      </c>
      <c r="E91" s="4">
        <f>D91*2.83168</f>
      </c>
      <c r="F91" s="5">
        <v>9</v>
      </c>
      <c r="G91" s="5">
        <v>9</v>
      </c>
      <c r="H91" s="5">
        <v>0</v>
      </c>
      <c r="I91" s="5">
        <v>24</v>
      </c>
      <c r="J91" s="5">
        <v>0</v>
      </c>
      <c r="K91" s="5">
        <v>6</v>
      </c>
      <c r="L91" s="4">
        <f>0.9223+0.574746</f>
      </c>
      <c r="M91" s="15">
        <f>L91/2.83168</f>
      </c>
      <c r="N91" s="1" t="s">
        <v>36</v>
      </c>
      <c r="O91" s="1"/>
    </row>
    <row x14ac:dyDescent="0.25" r="92" customHeight="1" ht="17.25">
      <c r="A92" s="1" t="s">
        <v>34</v>
      </c>
      <c r="B92" s="1" t="s">
        <v>25</v>
      </c>
      <c r="C92" s="1"/>
      <c r="D92" s="5">
        <v>90</v>
      </c>
      <c r="E92" s="4">
        <f>D92*2.83168</f>
      </c>
      <c r="F92" s="5">
        <v>9</v>
      </c>
      <c r="G92" s="5">
        <v>9</v>
      </c>
      <c r="H92" s="5">
        <v>0</v>
      </c>
      <c r="I92" s="5">
        <v>24</v>
      </c>
      <c r="J92" s="5">
        <v>0</v>
      </c>
      <c r="K92" s="5">
        <v>6</v>
      </c>
      <c r="L92" s="4">
        <f>0.484+0.574746</f>
      </c>
      <c r="M92" s="15">
        <f>L92/2.83168</f>
      </c>
      <c r="N92" s="1" t="s">
        <v>36</v>
      </c>
      <c r="O92" s="1"/>
    </row>
    <row x14ac:dyDescent="0.25" r="93" customHeight="1" ht="17.25">
      <c r="A93" s="1" t="s">
        <v>34</v>
      </c>
      <c r="B93" s="1" t="s">
        <v>25</v>
      </c>
      <c r="C93" s="1"/>
      <c r="D93" s="5">
        <v>3000</v>
      </c>
      <c r="E93" s="4">
        <f>D93*2.83168</f>
      </c>
      <c r="F93" s="5">
        <v>9</v>
      </c>
      <c r="G93" s="5">
        <v>9</v>
      </c>
      <c r="H93" s="5">
        <v>0</v>
      </c>
      <c r="I93" s="5">
        <v>24</v>
      </c>
      <c r="J93" s="5">
        <v>0</v>
      </c>
      <c r="K93" s="5">
        <v>6</v>
      </c>
      <c r="L93" s="4">
        <f>0.3335+0.574746</f>
      </c>
      <c r="M93" s="15">
        <f>L93/2.83168</f>
      </c>
      <c r="N93" s="1" t="s">
        <v>36</v>
      </c>
      <c r="O93" s="1"/>
    </row>
    <row x14ac:dyDescent="0.25" r="94" customHeight="1" ht="17.25">
      <c r="A94" s="1" t="s">
        <v>34</v>
      </c>
      <c r="B94" s="1" t="s">
        <v>25</v>
      </c>
      <c r="C94" s="1"/>
      <c r="D94" s="5">
        <v>0</v>
      </c>
      <c r="E94" s="5">
        <v>0</v>
      </c>
      <c r="F94" s="5">
        <v>10</v>
      </c>
      <c r="G94" s="5">
        <v>10</v>
      </c>
      <c r="H94" s="5">
        <v>0</v>
      </c>
      <c r="I94" s="5">
        <v>24</v>
      </c>
      <c r="J94" s="5">
        <v>0</v>
      </c>
      <c r="K94" s="5">
        <v>6</v>
      </c>
      <c r="L94" s="4">
        <f>32.9+0.658035</f>
      </c>
      <c r="M94" s="15">
        <f>L94/2.83168</f>
      </c>
      <c r="N94" s="1" t="s">
        <v>36</v>
      </c>
      <c r="O94" s="1"/>
    </row>
    <row x14ac:dyDescent="0.25" r="95" customHeight="1" ht="17.25">
      <c r="A95" s="1" t="s">
        <v>34</v>
      </c>
      <c r="B95" s="1" t="s">
        <v>25</v>
      </c>
      <c r="C95" s="1"/>
      <c r="D95" s="5">
        <v>3</v>
      </c>
      <c r="E95" s="4">
        <f>D95*2.83168</f>
      </c>
      <c r="F95" s="5">
        <v>10</v>
      </c>
      <c r="G95" s="5">
        <v>10</v>
      </c>
      <c r="H95" s="5">
        <v>0</v>
      </c>
      <c r="I95" s="5">
        <v>24</v>
      </c>
      <c r="J95" s="5">
        <v>0</v>
      </c>
      <c r="K95" s="5">
        <v>6</v>
      </c>
      <c r="L95" s="4">
        <f>0.9223+0.658035</f>
      </c>
      <c r="M95" s="15">
        <f>L95/2.83168</f>
      </c>
      <c r="N95" s="1" t="s">
        <v>36</v>
      </c>
      <c r="O95" s="1"/>
    </row>
    <row x14ac:dyDescent="0.25" r="96" customHeight="1" ht="17.25">
      <c r="A96" s="1" t="s">
        <v>34</v>
      </c>
      <c r="B96" s="1" t="s">
        <v>25</v>
      </c>
      <c r="C96" s="1"/>
      <c r="D96" s="5">
        <v>90</v>
      </c>
      <c r="E96" s="4">
        <f>D96*2.83168</f>
      </c>
      <c r="F96" s="5">
        <v>10</v>
      </c>
      <c r="G96" s="5">
        <v>10</v>
      </c>
      <c r="H96" s="5">
        <v>0</v>
      </c>
      <c r="I96" s="5">
        <v>24</v>
      </c>
      <c r="J96" s="5">
        <v>0</v>
      </c>
      <c r="K96" s="5">
        <v>6</v>
      </c>
      <c r="L96" s="4">
        <f>0.484+0.658035</f>
      </c>
      <c r="M96" s="15">
        <f>L96/2.83168</f>
      </c>
      <c r="N96" s="1" t="s">
        <v>36</v>
      </c>
      <c r="O96" s="1"/>
    </row>
    <row x14ac:dyDescent="0.25" r="97" customHeight="1" ht="17.25">
      <c r="A97" s="1" t="s">
        <v>34</v>
      </c>
      <c r="B97" s="1" t="s">
        <v>25</v>
      </c>
      <c r="C97" s="1"/>
      <c r="D97" s="5">
        <v>3000</v>
      </c>
      <c r="E97" s="4">
        <f>D97*2.83168</f>
      </c>
      <c r="F97" s="5">
        <v>10</v>
      </c>
      <c r="G97" s="5">
        <v>10</v>
      </c>
      <c r="H97" s="5">
        <v>0</v>
      </c>
      <c r="I97" s="5">
        <v>24</v>
      </c>
      <c r="J97" s="5">
        <v>0</v>
      </c>
      <c r="K97" s="5">
        <v>6</v>
      </c>
      <c r="L97" s="4">
        <f>0.3335+0.658035</f>
      </c>
      <c r="M97" s="15">
        <f>L97/2.83168</f>
      </c>
      <c r="N97" s="1" t="s">
        <v>36</v>
      </c>
      <c r="O97" s="1"/>
    </row>
    <row x14ac:dyDescent="0.25" r="98" customHeight="1" ht="17.25">
      <c r="A98" s="1" t="s">
        <v>34</v>
      </c>
      <c r="B98" s="1" t="s">
        <v>25</v>
      </c>
      <c r="C98" s="1"/>
      <c r="D98" s="5">
        <v>0</v>
      </c>
      <c r="E98" s="5">
        <v>0</v>
      </c>
      <c r="F98" s="5">
        <v>11</v>
      </c>
      <c r="G98" s="5">
        <v>11</v>
      </c>
      <c r="H98" s="5">
        <v>0</v>
      </c>
      <c r="I98" s="5">
        <v>24</v>
      </c>
      <c r="J98" s="5">
        <v>0</v>
      </c>
      <c r="K98" s="5">
        <v>6</v>
      </c>
      <c r="L98" s="4">
        <f>32.9+0.659757</f>
      </c>
      <c r="M98" s="15">
        <f>L98/2.83168</f>
      </c>
      <c r="N98" s="1" t="s">
        <v>36</v>
      </c>
      <c r="O98" s="1"/>
    </row>
    <row x14ac:dyDescent="0.25" r="99" customHeight="1" ht="17.25">
      <c r="A99" s="1" t="s">
        <v>34</v>
      </c>
      <c r="B99" s="1" t="s">
        <v>25</v>
      </c>
      <c r="C99" s="1"/>
      <c r="D99" s="5">
        <v>3</v>
      </c>
      <c r="E99" s="4">
        <f>D99*2.83168</f>
      </c>
      <c r="F99" s="5">
        <v>11</v>
      </c>
      <c r="G99" s="5">
        <v>11</v>
      </c>
      <c r="H99" s="5">
        <v>0</v>
      </c>
      <c r="I99" s="5">
        <v>24</v>
      </c>
      <c r="J99" s="5">
        <v>0</v>
      </c>
      <c r="K99" s="5">
        <v>6</v>
      </c>
      <c r="L99" s="4">
        <f>0.9223+0.659757</f>
      </c>
      <c r="M99" s="15">
        <f>L99/2.83168</f>
      </c>
      <c r="N99" s="1" t="s">
        <v>36</v>
      </c>
      <c r="O99" s="1"/>
    </row>
    <row x14ac:dyDescent="0.25" r="100" customHeight="1" ht="17.25">
      <c r="A100" s="1" t="s">
        <v>34</v>
      </c>
      <c r="B100" s="1" t="s">
        <v>25</v>
      </c>
      <c r="C100" s="1"/>
      <c r="D100" s="5">
        <v>90</v>
      </c>
      <c r="E100" s="4">
        <f>D100*2.83168</f>
      </c>
      <c r="F100" s="5">
        <v>11</v>
      </c>
      <c r="G100" s="5">
        <v>11</v>
      </c>
      <c r="H100" s="5">
        <v>0</v>
      </c>
      <c r="I100" s="5">
        <v>24</v>
      </c>
      <c r="J100" s="5">
        <v>0</v>
      </c>
      <c r="K100" s="5">
        <v>6</v>
      </c>
      <c r="L100" s="4">
        <f>0.484+0.659757</f>
      </c>
      <c r="M100" s="15">
        <f>L100/2.83168</f>
      </c>
      <c r="N100" s="1" t="s">
        <v>36</v>
      </c>
      <c r="O100" s="1"/>
    </row>
    <row x14ac:dyDescent="0.25" r="101" customHeight="1" ht="17.25">
      <c r="A101" s="1" t="s">
        <v>34</v>
      </c>
      <c r="B101" s="1" t="s">
        <v>25</v>
      </c>
      <c r="C101" s="1"/>
      <c r="D101" s="5">
        <v>3000</v>
      </c>
      <c r="E101" s="4">
        <f>D101*2.83168</f>
      </c>
      <c r="F101" s="5">
        <v>11</v>
      </c>
      <c r="G101" s="5">
        <v>11</v>
      </c>
      <c r="H101" s="5">
        <v>0</v>
      </c>
      <c r="I101" s="5">
        <v>24</v>
      </c>
      <c r="J101" s="5">
        <v>0</v>
      </c>
      <c r="K101" s="5">
        <v>6</v>
      </c>
      <c r="L101" s="4">
        <f>0.3335+0.659757</f>
      </c>
      <c r="M101" s="15">
        <f>L101/2.83168</f>
      </c>
      <c r="N101" s="1" t="s">
        <v>36</v>
      </c>
      <c r="O101" s="1"/>
    </row>
    <row x14ac:dyDescent="0.25" r="102" customHeight="1" ht="17.25">
      <c r="A102" s="1" t="s">
        <v>34</v>
      </c>
      <c r="B102" s="1" t="s">
        <v>25</v>
      </c>
      <c r="C102" s="1"/>
      <c r="D102" s="5">
        <v>0</v>
      </c>
      <c r="E102" s="5">
        <v>0</v>
      </c>
      <c r="F102" s="5">
        <v>12</v>
      </c>
      <c r="G102" s="5">
        <v>12</v>
      </c>
      <c r="H102" s="5">
        <v>0</v>
      </c>
      <c r="I102" s="5">
        <v>24</v>
      </c>
      <c r="J102" s="5">
        <v>0</v>
      </c>
      <c r="K102" s="5">
        <v>6</v>
      </c>
      <c r="L102" s="4">
        <f>32.9+0.690801</f>
      </c>
      <c r="M102" s="15">
        <f>L102/2.83168</f>
      </c>
      <c r="N102" s="1" t="s">
        <v>36</v>
      </c>
      <c r="O102" s="1"/>
    </row>
    <row x14ac:dyDescent="0.25" r="103" customHeight="1" ht="17.25">
      <c r="A103" s="1" t="s">
        <v>34</v>
      </c>
      <c r="B103" s="1" t="s">
        <v>25</v>
      </c>
      <c r="C103" s="1"/>
      <c r="D103" s="5">
        <v>3</v>
      </c>
      <c r="E103" s="4">
        <f>D103*2.83168</f>
      </c>
      <c r="F103" s="5">
        <v>12</v>
      </c>
      <c r="G103" s="5">
        <v>12</v>
      </c>
      <c r="H103" s="5">
        <v>0</v>
      </c>
      <c r="I103" s="5">
        <v>24</v>
      </c>
      <c r="J103" s="5">
        <v>0</v>
      </c>
      <c r="K103" s="5">
        <v>6</v>
      </c>
      <c r="L103" s="4">
        <f>0.9223+0.690801</f>
      </c>
      <c r="M103" s="15">
        <f>L103/2.83168</f>
      </c>
      <c r="N103" s="1" t="s">
        <v>36</v>
      </c>
      <c r="O103" s="1"/>
    </row>
    <row x14ac:dyDescent="0.25" r="104" customHeight="1" ht="17.25">
      <c r="A104" s="1" t="s">
        <v>34</v>
      </c>
      <c r="B104" s="1" t="s">
        <v>25</v>
      </c>
      <c r="C104" s="1"/>
      <c r="D104" s="5">
        <v>90</v>
      </c>
      <c r="E104" s="4">
        <f>D104*2.83168</f>
      </c>
      <c r="F104" s="5">
        <v>12</v>
      </c>
      <c r="G104" s="5">
        <v>12</v>
      </c>
      <c r="H104" s="5">
        <v>0</v>
      </c>
      <c r="I104" s="5">
        <v>24</v>
      </c>
      <c r="J104" s="5">
        <v>0</v>
      </c>
      <c r="K104" s="5">
        <v>6</v>
      </c>
      <c r="L104" s="4">
        <f>0.484+0.690801</f>
      </c>
      <c r="M104" s="15">
        <f>L104/2.83168</f>
      </c>
      <c r="N104" s="1" t="s">
        <v>36</v>
      </c>
      <c r="O104" s="1"/>
    </row>
    <row x14ac:dyDescent="0.25" r="105" customHeight="1" ht="17.25">
      <c r="A105" s="1" t="s">
        <v>34</v>
      </c>
      <c r="B105" s="1" t="s">
        <v>25</v>
      </c>
      <c r="C105" s="1"/>
      <c r="D105" s="5">
        <v>3000</v>
      </c>
      <c r="E105" s="4">
        <f>D105*2.83168</f>
      </c>
      <c r="F105" s="5">
        <v>12</v>
      </c>
      <c r="G105" s="5">
        <v>12</v>
      </c>
      <c r="H105" s="5">
        <v>0</v>
      </c>
      <c r="I105" s="5">
        <v>24</v>
      </c>
      <c r="J105" s="5">
        <v>0</v>
      </c>
      <c r="K105" s="5">
        <v>6</v>
      </c>
      <c r="L105" s="4">
        <f>0.3335+0.690801</f>
      </c>
      <c r="M105" s="15">
        <f>L105/2.83168</f>
      </c>
      <c r="N105" s="1" t="s">
        <v>36</v>
      </c>
      <c r="O105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15.57+36.15</f>
      </c>
      <c r="M2" s="4">
        <f>15.57+36.15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3.795846+1.779077</f>
      </c>
      <c r="M3" s="4">
        <f>3.795846+1.779077</f>
      </c>
      <c r="N3" s="1" t="s">
        <v>19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0.0708</v>
      </c>
      <c r="M4" s="4">
        <v>0.0708</v>
      </c>
      <c r="N4" s="1" t="s">
        <v>26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970.75</v>
      </c>
      <c r="M5" s="4">
        <v>970.75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8</v>
      </c>
      <c r="H6" s="5">
        <v>0</v>
      </c>
      <c r="I6" s="5">
        <v>24</v>
      </c>
      <c r="J6" s="5">
        <v>0</v>
      </c>
      <c r="K6" s="5">
        <v>6</v>
      </c>
      <c r="L6" s="4">
        <f>0.02846+0.6379</f>
      </c>
      <c r="M6" s="11">
        <f>L6/2.83168</f>
      </c>
      <c r="N6" s="1" t="s">
        <v>36</v>
      </c>
      <c r="O6" s="1"/>
    </row>
    <row x14ac:dyDescent="0.25" r="7" customHeight="1" ht="17.25">
      <c r="A7" s="1" t="s">
        <v>34</v>
      </c>
      <c r="B7" s="1" t="s">
        <v>25</v>
      </c>
      <c r="C7" s="1"/>
      <c r="D7" s="5">
        <v>15000</v>
      </c>
      <c r="E7" s="4">
        <f>D7*2.83168</f>
      </c>
      <c r="F7" s="5">
        <v>1</v>
      </c>
      <c r="G7" s="5">
        <v>8</v>
      </c>
      <c r="H7" s="5">
        <v>0</v>
      </c>
      <c r="I7" s="5">
        <v>24</v>
      </c>
      <c r="J7" s="5">
        <v>0</v>
      </c>
      <c r="K7" s="5">
        <v>6</v>
      </c>
      <c r="L7" s="4">
        <f>0.02075+0.6379</f>
      </c>
      <c r="M7" s="11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50000</v>
      </c>
      <c r="E8" s="5">
        <f>D8*2.83168</f>
      </c>
      <c r="F8" s="5">
        <v>1</v>
      </c>
      <c r="G8" s="5">
        <v>8</v>
      </c>
      <c r="H8" s="5">
        <v>0</v>
      </c>
      <c r="I8" s="5">
        <v>24</v>
      </c>
      <c r="J8" s="5">
        <v>0</v>
      </c>
      <c r="K8" s="5">
        <v>6</v>
      </c>
      <c r="L8" s="4">
        <f>0.00327+0.6379</f>
      </c>
      <c r="M8" s="11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9</v>
      </c>
      <c r="G9" s="5">
        <v>9</v>
      </c>
      <c r="H9" s="5">
        <v>0</v>
      </c>
      <c r="I9" s="5">
        <v>24</v>
      </c>
      <c r="J9" s="5">
        <v>0</v>
      </c>
      <c r="K9" s="5">
        <v>6</v>
      </c>
      <c r="L9" s="4">
        <f>0.02846+0.6378</f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15000</v>
      </c>
      <c r="E10" s="4">
        <f>D10*2.83168</f>
      </c>
      <c r="F10" s="5">
        <v>9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f>0.02075+0.6378</f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50000</v>
      </c>
      <c r="E11" s="5">
        <f>D11*2.83168</f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0.00327+0.6378</f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f>0.02846+0.7816</f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15000</v>
      </c>
      <c r="E13" s="4">
        <f>D13*2.83168</f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4">
        <f>0.02075+0.7816</f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50000</v>
      </c>
      <c r="E14" s="5">
        <f>D14*2.83168</f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f>0.00327+0.7816</f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11</v>
      </c>
      <c r="H15" s="5">
        <v>0</v>
      </c>
      <c r="I15" s="5">
        <v>24</v>
      </c>
      <c r="J15" s="5">
        <v>0</v>
      </c>
      <c r="K15" s="5">
        <v>6</v>
      </c>
      <c r="L15" s="4">
        <f>0.02846+0.7825</f>
      </c>
      <c r="M15" s="11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15000</v>
      </c>
      <c r="E16" s="4">
        <f>D16*2.83168</f>
      </c>
      <c r="F16" s="5">
        <v>11</v>
      </c>
      <c r="G16" s="5">
        <v>11</v>
      </c>
      <c r="H16" s="5">
        <v>0</v>
      </c>
      <c r="I16" s="5">
        <v>24</v>
      </c>
      <c r="J16" s="5">
        <v>0</v>
      </c>
      <c r="K16" s="5">
        <v>6</v>
      </c>
      <c r="L16" s="4">
        <f>0.02075+0.7825</f>
      </c>
      <c r="M16" s="11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50000</v>
      </c>
      <c r="E17" s="5">
        <f>D17*2.83168</f>
      </c>
      <c r="F17" s="5">
        <v>11</v>
      </c>
      <c r="G17" s="5">
        <v>11</v>
      </c>
      <c r="H17" s="5">
        <v>0</v>
      </c>
      <c r="I17" s="5">
        <v>24</v>
      </c>
      <c r="J17" s="5">
        <v>0</v>
      </c>
      <c r="K17" s="5">
        <v>6</v>
      </c>
      <c r="L17" s="4">
        <f>0.00327+0.7825</f>
      </c>
      <c r="M17" s="11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12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0.02846+0.7751</f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15000</v>
      </c>
      <c r="E19" s="4">
        <f>D19*2.83168</f>
      </c>
      <c r="F19" s="5">
        <v>12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0.02075+0.7751</f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50000</v>
      </c>
      <c r="E20" s="5">
        <f>D20*2.83168</f>
      </c>
      <c r="F20" s="5">
        <v>12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0.00327+0.7751</f>
      </c>
      <c r="M20" s="11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283.03</v>
      </c>
      <c r="M2" s="4">
        <v>283.03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3</v>
      </c>
      <c r="H3" s="5">
        <v>0</v>
      </c>
      <c r="I3" s="5">
        <v>6</v>
      </c>
      <c r="J3" s="5">
        <v>0</v>
      </c>
      <c r="K3" s="5">
        <v>4</v>
      </c>
      <c r="L3" s="4">
        <f>0.00999+0.00114+0.02635</f>
      </c>
      <c r="M3" s="4">
        <f>0.00999+0.00114+0.02635</f>
      </c>
      <c r="N3" s="1" t="s">
        <v>26</v>
      </c>
      <c r="O3" s="1" t="s">
        <v>83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10</v>
      </c>
      <c r="J4" s="5">
        <v>0</v>
      </c>
      <c r="K4" s="5">
        <v>4</v>
      </c>
      <c r="L4" s="4">
        <f>0.01007+0.00114+0.03229</f>
      </c>
      <c r="M4" s="4">
        <f>0.01007+0.00114+0.03229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3</v>
      </c>
      <c r="H5" s="5">
        <v>10</v>
      </c>
      <c r="I5" s="5">
        <v>18</v>
      </c>
      <c r="J5" s="5">
        <v>0</v>
      </c>
      <c r="K5" s="5">
        <v>4</v>
      </c>
      <c r="L5" s="4">
        <f>0.00999+0.00114+0.02635</f>
      </c>
      <c r="M5" s="4">
        <f>0.00999+0.00114+0.02635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18</v>
      </c>
      <c r="I6" s="5">
        <v>22</v>
      </c>
      <c r="J6" s="5">
        <v>0</v>
      </c>
      <c r="K6" s="5">
        <v>4</v>
      </c>
      <c r="L6" s="4">
        <f>0.01007+0.00114+0.03229</f>
      </c>
      <c r="M6" s="4">
        <f>0.01007+0.00114+0.03229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22</v>
      </c>
      <c r="I7" s="5">
        <v>24</v>
      </c>
      <c r="J7" s="5">
        <v>0</v>
      </c>
      <c r="K7" s="5">
        <v>4</v>
      </c>
      <c r="L7" s="4">
        <f>0.00999+0.00114+0.02635</f>
      </c>
      <c r="M7" s="4">
        <f>0.00999+0.00114+0.02635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10</v>
      </c>
      <c r="H8" s="5">
        <v>0</v>
      </c>
      <c r="I8" s="5">
        <v>12</v>
      </c>
      <c r="J8" s="5">
        <v>0</v>
      </c>
      <c r="K8" s="5">
        <v>4</v>
      </c>
      <c r="L8" s="4">
        <f>0.00999+0.00114+0.02635</f>
      </c>
      <c r="M8" s="4">
        <f>0.00999+0.00114+0.02635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10</v>
      </c>
      <c r="H9" s="5">
        <v>12</v>
      </c>
      <c r="I9" s="5">
        <v>21</v>
      </c>
      <c r="J9" s="5">
        <v>0</v>
      </c>
      <c r="K9" s="5">
        <v>4</v>
      </c>
      <c r="L9" s="4">
        <f>0.01007+0.00114+0.03229</f>
      </c>
      <c r="M9" s="4">
        <f>0.01007+0.00114+0.03229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10</v>
      </c>
      <c r="H10" s="5">
        <v>21</v>
      </c>
      <c r="I10" s="5">
        <v>24</v>
      </c>
      <c r="J10" s="5">
        <v>0</v>
      </c>
      <c r="K10" s="5">
        <v>4</v>
      </c>
      <c r="L10" s="4">
        <f>0.00999+0.00114+0.02635</f>
      </c>
      <c r="M10" s="4">
        <f>0.00999+0.00114+0.02635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11</v>
      </c>
      <c r="G11" s="5">
        <v>12</v>
      </c>
      <c r="H11" s="5">
        <v>0</v>
      </c>
      <c r="I11" s="5">
        <v>6</v>
      </c>
      <c r="J11" s="5">
        <v>0</v>
      </c>
      <c r="K11" s="5">
        <v>4</v>
      </c>
      <c r="L11" s="4">
        <f>0.00999+0.00114+0.02635</f>
      </c>
      <c r="M11" s="4">
        <f>0.00999+0.00114+0.02635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11</v>
      </c>
      <c r="G12" s="5">
        <v>12</v>
      </c>
      <c r="H12" s="5">
        <v>6</v>
      </c>
      <c r="I12" s="5">
        <v>10</v>
      </c>
      <c r="J12" s="5">
        <v>0</v>
      </c>
      <c r="K12" s="5">
        <v>4</v>
      </c>
      <c r="L12" s="4">
        <f>0.01007+0.00114+0.03229</f>
      </c>
      <c r="M12" s="4">
        <f>0.01007+0.00114+0.03229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12</v>
      </c>
      <c r="H13" s="5">
        <v>10</v>
      </c>
      <c r="I13" s="5">
        <v>18</v>
      </c>
      <c r="J13" s="5">
        <v>0</v>
      </c>
      <c r="K13" s="5">
        <v>4</v>
      </c>
      <c r="L13" s="4">
        <f>0.00999+0.00114+0.02635</f>
      </c>
      <c r="M13" s="4">
        <f>0.00999+0.00114+0.02635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12</v>
      </c>
      <c r="H14" s="5">
        <v>18</v>
      </c>
      <c r="I14" s="5">
        <v>22</v>
      </c>
      <c r="J14" s="5">
        <v>0</v>
      </c>
      <c r="K14" s="5">
        <v>4</v>
      </c>
      <c r="L14" s="4">
        <f>0.01007+0.00114+0.03229</f>
      </c>
      <c r="M14" s="4">
        <f>0.01007+0.00114+0.03229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22</v>
      </c>
      <c r="I15" s="5">
        <v>24</v>
      </c>
      <c r="J15" s="5">
        <v>0</v>
      </c>
      <c r="K15" s="5">
        <v>4</v>
      </c>
      <c r="L15" s="4">
        <f>0.00999+0.00114+0.02635</f>
      </c>
      <c r="M15" s="4">
        <f>0.00999+0.00114+0.02635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12</v>
      </c>
      <c r="H16" s="5">
        <v>0</v>
      </c>
      <c r="I16" s="5">
        <v>24</v>
      </c>
      <c r="J16" s="5">
        <v>5</v>
      </c>
      <c r="K16" s="5">
        <v>6</v>
      </c>
      <c r="L16" s="4">
        <f>0.00999+0.00114+0.02635</f>
      </c>
      <c r="M16" s="4">
        <f>0.00999+0.00114+0.02635</f>
      </c>
      <c r="N16" s="1" t="s">
        <v>26</v>
      </c>
      <c r="O16" s="1"/>
    </row>
    <row x14ac:dyDescent="0.25" r="17" customHeight="1" ht="17.25">
      <c r="A17" s="1" t="s">
        <v>13</v>
      </c>
      <c r="B17" s="1" t="s">
        <v>17</v>
      </c>
      <c r="C17" s="1" t="s">
        <v>51</v>
      </c>
      <c r="D17" s="5">
        <v>0</v>
      </c>
      <c r="E17" s="5">
        <v>0</v>
      </c>
      <c r="F17" s="5">
        <v>1</v>
      </c>
      <c r="G17" s="5">
        <v>3</v>
      </c>
      <c r="H17" s="5">
        <v>6</v>
      </c>
      <c r="I17" s="5">
        <v>10</v>
      </c>
      <c r="J17" s="5">
        <v>0</v>
      </c>
      <c r="K17" s="5">
        <v>4</v>
      </c>
      <c r="L17" s="4">
        <f>12.89+0.57+0.73+0.15</f>
      </c>
      <c r="M17" s="4">
        <f>12.89+0.57+0.73+0.15</f>
      </c>
      <c r="N17" s="1" t="s">
        <v>19</v>
      </c>
      <c r="O17" s="1" t="s">
        <v>84</v>
      </c>
    </row>
    <row x14ac:dyDescent="0.25" r="18" customHeight="1" ht="17.25">
      <c r="A18" s="1" t="s">
        <v>13</v>
      </c>
      <c r="B18" s="1" t="s">
        <v>17</v>
      </c>
      <c r="C18" s="1" t="s">
        <v>51</v>
      </c>
      <c r="D18" s="5">
        <v>0</v>
      </c>
      <c r="E18" s="5">
        <v>0</v>
      </c>
      <c r="F18" s="5">
        <v>1</v>
      </c>
      <c r="G18" s="5">
        <v>3</v>
      </c>
      <c r="H18" s="5">
        <v>18</v>
      </c>
      <c r="I18" s="5">
        <v>22</v>
      </c>
      <c r="J18" s="5">
        <v>0</v>
      </c>
      <c r="K18" s="5">
        <v>4</v>
      </c>
      <c r="L18" s="4">
        <f>12.89+0.57+0.73+0.15</f>
      </c>
      <c r="M18" s="4">
        <f>12.89+0.57+0.73+0.15</f>
      </c>
      <c r="N18" s="1" t="s">
        <v>19</v>
      </c>
      <c r="O18" s="1"/>
    </row>
    <row x14ac:dyDescent="0.25" r="19" customHeight="1" ht="17.25">
      <c r="A19" s="1" t="s">
        <v>13</v>
      </c>
      <c r="B19" s="1" t="s">
        <v>17</v>
      </c>
      <c r="C19" s="1" t="s">
        <v>53</v>
      </c>
      <c r="D19" s="5">
        <v>0</v>
      </c>
      <c r="E19" s="5">
        <v>0</v>
      </c>
      <c r="F19" s="5">
        <v>4</v>
      </c>
      <c r="G19" s="5">
        <v>10</v>
      </c>
      <c r="H19" s="5">
        <v>12</v>
      </c>
      <c r="I19" s="5">
        <v>21</v>
      </c>
      <c r="J19" s="5">
        <v>0</v>
      </c>
      <c r="K19" s="5">
        <v>4</v>
      </c>
      <c r="L19" s="4">
        <f>12.89+0.57+0.73+0.15</f>
      </c>
      <c r="M19" s="4">
        <f>12.89+0.57+0.73+0.15</f>
      </c>
      <c r="N19" s="1" t="s">
        <v>19</v>
      </c>
      <c r="O19" s="1"/>
    </row>
    <row x14ac:dyDescent="0.25" r="20" customHeight="1" ht="17.25">
      <c r="A20" s="1" t="s">
        <v>13</v>
      </c>
      <c r="B20" s="1" t="s">
        <v>17</v>
      </c>
      <c r="C20" s="1" t="s">
        <v>56</v>
      </c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10</v>
      </c>
      <c r="J20" s="5">
        <v>0</v>
      </c>
      <c r="K20" s="5">
        <v>4</v>
      </c>
      <c r="L20" s="4">
        <f>12.89+0.57+0.73+0.15</f>
      </c>
      <c r="M20" s="4">
        <f>12.89+0.57+0.73+0.15</f>
      </c>
      <c r="N20" s="1" t="s">
        <v>19</v>
      </c>
      <c r="O20" s="1"/>
    </row>
    <row x14ac:dyDescent="0.25" r="21" customHeight="1" ht="17.25">
      <c r="A21" s="1" t="s">
        <v>13</v>
      </c>
      <c r="B21" s="1" t="s">
        <v>17</v>
      </c>
      <c r="C21" s="1" t="s">
        <v>56</v>
      </c>
      <c r="D21" s="5">
        <v>0</v>
      </c>
      <c r="E21" s="5">
        <v>0</v>
      </c>
      <c r="F21" s="5">
        <v>11</v>
      </c>
      <c r="G21" s="5">
        <v>12</v>
      </c>
      <c r="H21" s="5">
        <v>18</v>
      </c>
      <c r="I21" s="5">
        <v>22</v>
      </c>
      <c r="J21" s="5">
        <v>0</v>
      </c>
      <c r="K21" s="5">
        <v>4</v>
      </c>
      <c r="L21" s="4">
        <f>12.89+0.57+0.73+0.15</f>
      </c>
      <c r="M21" s="4">
        <f>12.89+0.57+0.73+0.15</f>
      </c>
      <c r="N21" s="1" t="s">
        <v>19</v>
      </c>
      <c r="O21" s="1"/>
    </row>
    <row x14ac:dyDescent="0.25" r="22" customHeight="1" ht="17.25">
      <c r="A22" s="1" t="s">
        <v>13</v>
      </c>
      <c r="B22" s="1" t="s">
        <v>17</v>
      </c>
      <c r="C22" s="1" t="s">
        <v>24</v>
      </c>
      <c r="D22" s="5">
        <v>0</v>
      </c>
      <c r="E22" s="5">
        <v>0</v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2.74</v>
      </c>
      <c r="M22" s="4">
        <v>2.74</v>
      </c>
      <c r="N22" s="1" t="s">
        <v>19</v>
      </c>
      <c r="O22" s="1"/>
    </row>
    <row x14ac:dyDescent="0.25" r="23" customHeight="1" ht="17.25">
      <c r="A23" s="1" t="s">
        <v>34</v>
      </c>
      <c r="B23" s="1" t="s">
        <v>14</v>
      </c>
      <c r="C23" s="1"/>
      <c r="D23" s="2"/>
      <c r="E23" s="2"/>
      <c r="F23" s="2"/>
      <c r="G23" s="2"/>
      <c r="H23" s="2"/>
      <c r="I23" s="2"/>
      <c r="J23" s="2"/>
      <c r="K23" s="2"/>
      <c r="L23" s="5">
        <v>300</v>
      </c>
      <c r="M23" s="5">
        <v>300</v>
      </c>
      <c r="N23" s="1" t="s">
        <v>15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0.19379+0.71354</f>
      </c>
      <c r="M24" s="14">
        <f>L24/2.83168</f>
      </c>
      <c r="N24" s="1" t="s">
        <v>36</v>
      </c>
      <c r="O24" s="1" t="s">
        <v>85</v>
      </c>
    </row>
    <row x14ac:dyDescent="0.25" r="25" customHeight="1" ht="17.25">
      <c r="A25" s="1" t="s">
        <v>34</v>
      </c>
      <c r="B25" s="1" t="s">
        <v>17</v>
      </c>
      <c r="C25" s="1" t="s">
        <v>24</v>
      </c>
      <c r="D25" s="5">
        <v>0</v>
      </c>
      <c r="E25" s="5">
        <v>0</v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0.575*24</f>
      </c>
      <c r="M25" s="14">
        <f>L25/2.83168</f>
      </c>
      <c r="N25" s="1" t="s">
        <v>35</v>
      </c>
      <c r="O25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8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14.576428571428572" customWidth="1" bestFit="1"/>
    <col min="10" max="10" style="7" width="13.719285714285713" customWidth="1" bestFit="1"/>
    <col min="11" max="11" style="7" width="14.147857142857141" customWidth="1" bestFit="1"/>
    <col min="12" max="12" style="8" width="12.862142857142858" customWidth="1" bestFit="1"/>
    <col min="13" max="13" style="8" width="12.43357142857143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25</v>
      </c>
      <c r="C2" s="1"/>
      <c r="D2" s="5">
        <v>0</v>
      </c>
      <c r="E2" s="5">
        <v>0</v>
      </c>
      <c r="F2" s="5">
        <v>1</v>
      </c>
      <c r="G2" s="5">
        <v>5</v>
      </c>
      <c r="H2" s="5">
        <v>0</v>
      </c>
      <c r="I2" s="5">
        <v>24</v>
      </c>
      <c r="J2" s="5">
        <v>0</v>
      </c>
      <c r="K2" s="5">
        <v>6</v>
      </c>
      <c r="L2" s="5">
        <v>0</v>
      </c>
      <c r="M2" s="5">
        <v>0</v>
      </c>
      <c r="N2" s="1" t="s">
        <v>26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115</v>
      </c>
      <c r="E3" s="5">
        <v>115</v>
      </c>
      <c r="F3" s="5">
        <v>1</v>
      </c>
      <c r="G3" s="5">
        <v>5</v>
      </c>
      <c r="H3" s="5">
        <v>0</v>
      </c>
      <c r="I3" s="5">
        <v>24</v>
      </c>
      <c r="J3" s="5">
        <v>0</v>
      </c>
      <c r="K3" s="5">
        <v>6</v>
      </c>
      <c r="L3" s="4">
        <v>0.0092</v>
      </c>
      <c r="M3" s="4">
        <v>0.0092</v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305</v>
      </c>
      <c r="E4" s="5">
        <v>305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0.0053</v>
      </c>
      <c r="M4" s="4">
        <v>0.0053</v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6</v>
      </c>
      <c r="G5" s="5">
        <v>10</v>
      </c>
      <c r="H5" s="5">
        <v>0</v>
      </c>
      <c r="I5" s="5">
        <v>24</v>
      </c>
      <c r="J5" s="5">
        <v>0</v>
      </c>
      <c r="K5" s="5">
        <v>6</v>
      </c>
      <c r="L5" s="5">
        <v>0</v>
      </c>
      <c r="M5" s="5">
        <v>0</v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115</v>
      </c>
      <c r="E6" s="5">
        <v>115</v>
      </c>
      <c r="F6" s="5">
        <v>6</v>
      </c>
      <c r="G6" s="5">
        <v>10</v>
      </c>
      <c r="H6" s="5">
        <v>0</v>
      </c>
      <c r="I6" s="5">
        <v>24</v>
      </c>
      <c r="J6" s="5">
        <v>0</v>
      </c>
      <c r="K6" s="5">
        <v>6</v>
      </c>
      <c r="L6" s="4">
        <v>0.0115</v>
      </c>
      <c r="M6" s="4">
        <v>0.0115</v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305</v>
      </c>
      <c r="E7" s="5">
        <v>305</v>
      </c>
      <c r="F7" s="5">
        <v>6</v>
      </c>
      <c r="G7" s="5">
        <v>10</v>
      </c>
      <c r="H7" s="5">
        <v>0</v>
      </c>
      <c r="I7" s="5">
        <v>24</v>
      </c>
      <c r="J7" s="5">
        <v>0</v>
      </c>
      <c r="K7" s="5">
        <v>6</v>
      </c>
      <c r="L7" s="4">
        <v>0.005</v>
      </c>
      <c r="M7" s="4">
        <v>0.005</v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11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5">
        <v>0</v>
      </c>
      <c r="M8" s="5">
        <v>0</v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115</v>
      </c>
      <c r="E9" s="5">
        <v>115</v>
      </c>
      <c r="F9" s="5">
        <v>11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0.0092</v>
      </c>
      <c r="M9" s="4">
        <v>0.0092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305</v>
      </c>
      <c r="E10" s="5">
        <v>305</v>
      </c>
      <c r="F10" s="5">
        <v>11</v>
      </c>
      <c r="G10" s="5">
        <v>12</v>
      </c>
      <c r="H10" s="5">
        <v>0</v>
      </c>
      <c r="I10" s="5">
        <v>24</v>
      </c>
      <c r="J10" s="5">
        <v>0</v>
      </c>
      <c r="K10" s="5">
        <v>6</v>
      </c>
      <c r="L10" s="4">
        <v>0.0053</v>
      </c>
      <c r="M10" s="4">
        <v>0.0053</v>
      </c>
      <c r="N10" s="1" t="s">
        <v>26</v>
      </c>
      <c r="O10" s="1"/>
    </row>
    <row x14ac:dyDescent="0.25" r="11" customHeight="1" ht="17.25">
      <c r="A11" s="1" t="s">
        <v>13</v>
      </c>
      <c r="B11" s="1" t="s">
        <v>17</v>
      </c>
      <c r="C11" s="1" t="s">
        <v>46</v>
      </c>
      <c r="D11" s="5">
        <v>0</v>
      </c>
      <c r="E11" s="5">
        <v>0</v>
      </c>
      <c r="F11" s="5">
        <v>1</v>
      </c>
      <c r="G11" s="5">
        <v>5</v>
      </c>
      <c r="H11" s="5">
        <v>0</v>
      </c>
      <c r="I11" s="5">
        <v>24</v>
      </c>
      <c r="J11" s="5">
        <v>0</v>
      </c>
      <c r="K11" s="5">
        <v>6</v>
      </c>
      <c r="L11" s="4">
        <v>7.35</v>
      </c>
      <c r="M11" s="4">
        <v>7.35</v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47</v>
      </c>
      <c r="D12" s="5">
        <v>0</v>
      </c>
      <c r="E12" s="5">
        <v>0</v>
      </c>
      <c r="F12" s="5">
        <v>6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v>8.15</v>
      </c>
      <c r="M12" s="4">
        <v>8.15</v>
      </c>
      <c r="N12" s="1" t="s">
        <v>19</v>
      </c>
      <c r="O12" s="1"/>
    </row>
    <row x14ac:dyDescent="0.25" r="13" customHeight="1" ht="17.25">
      <c r="A13" s="1" t="s">
        <v>13</v>
      </c>
      <c r="B13" s="1" t="s">
        <v>17</v>
      </c>
      <c r="C13" s="1" t="s">
        <v>48</v>
      </c>
      <c r="D13" s="5">
        <v>0</v>
      </c>
      <c r="E13" s="5">
        <v>0</v>
      </c>
      <c r="F13" s="5">
        <v>11</v>
      </c>
      <c r="G13" s="5">
        <v>12</v>
      </c>
      <c r="H13" s="5">
        <v>0</v>
      </c>
      <c r="I13" s="5">
        <v>24</v>
      </c>
      <c r="J13" s="5">
        <v>0</v>
      </c>
      <c r="K13" s="5">
        <v>6</v>
      </c>
      <c r="L13" s="4">
        <v>7.35</v>
      </c>
      <c r="M13" s="4">
        <v>7.35</v>
      </c>
      <c r="N13" s="1" t="s">
        <v>19</v>
      </c>
      <c r="O13" s="1"/>
    </row>
    <row x14ac:dyDescent="0.25" r="14" customHeight="1" ht="17.25">
      <c r="A14" s="1" t="s">
        <v>13</v>
      </c>
      <c r="B14" s="1" t="s">
        <v>17</v>
      </c>
      <c r="C14" s="1" t="s">
        <v>46</v>
      </c>
      <c r="D14" s="5">
        <v>10000</v>
      </c>
      <c r="E14" s="5">
        <v>10000</v>
      </c>
      <c r="F14" s="5">
        <v>1</v>
      </c>
      <c r="G14" s="5">
        <v>5</v>
      </c>
      <c r="H14" s="5">
        <v>0</v>
      </c>
      <c r="I14" s="5">
        <v>24</v>
      </c>
      <c r="J14" s="5">
        <v>0</v>
      </c>
      <c r="K14" s="5">
        <v>6</v>
      </c>
      <c r="L14" s="4">
        <v>7.09</v>
      </c>
      <c r="M14" s="4">
        <v>7.09</v>
      </c>
      <c r="N14" s="1" t="s">
        <v>19</v>
      </c>
      <c r="O14" s="1"/>
    </row>
    <row x14ac:dyDescent="0.25" r="15" customHeight="1" ht="17.25">
      <c r="A15" s="1" t="s">
        <v>13</v>
      </c>
      <c r="B15" s="1" t="s">
        <v>17</v>
      </c>
      <c r="C15" s="1" t="s">
        <v>47</v>
      </c>
      <c r="D15" s="5">
        <v>10000</v>
      </c>
      <c r="E15" s="5">
        <v>10000</v>
      </c>
      <c r="F15" s="5">
        <v>6</v>
      </c>
      <c r="G15" s="5">
        <v>10</v>
      </c>
      <c r="H15" s="5">
        <v>0</v>
      </c>
      <c r="I15" s="5">
        <v>24</v>
      </c>
      <c r="J15" s="5">
        <v>0</v>
      </c>
      <c r="K15" s="5">
        <v>6</v>
      </c>
      <c r="L15" s="4">
        <v>7.85</v>
      </c>
      <c r="M15" s="4">
        <v>7.85</v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48</v>
      </c>
      <c r="D16" s="5">
        <v>10000</v>
      </c>
      <c r="E16" s="5">
        <v>10000</v>
      </c>
      <c r="F16" s="5">
        <v>11</v>
      </c>
      <c r="G16" s="5">
        <v>12</v>
      </c>
      <c r="H16" s="5">
        <v>0</v>
      </c>
      <c r="I16" s="5">
        <v>24</v>
      </c>
      <c r="J16" s="5">
        <v>0</v>
      </c>
      <c r="K16" s="5">
        <v>6</v>
      </c>
      <c r="L16" s="4">
        <v>7.09</v>
      </c>
      <c r="M16" s="4">
        <v>7.09</v>
      </c>
      <c r="N16" s="1" t="s">
        <v>19</v>
      </c>
      <c r="O16" s="1"/>
    </row>
    <row x14ac:dyDescent="0.25" r="17" customHeight="1" ht="17.25">
      <c r="A17" s="1" t="s">
        <v>34</v>
      </c>
      <c r="B17" s="1" t="s">
        <v>14</v>
      </c>
      <c r="C17" s="1"/>
      <c r="D17" s="2"/>
      <c r="E17" s="3"/>
      <c r="F17" s="2"/>
      <c r="G17" s="2"/>
      <c r="H17" s="2"/>
      <c r="I17" s="2"/>
      <c r="J17" s="2"/>
      <c r="K17" s="2"/>
      <c r="L17" s="5">
        <v>60</v>
      </c>
      <c r="M17" s="5">
        <v>60</v>
      </c>
      <c r="N17" s="1" t="s">
        <v>15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(1.25+5.597)/10.37</f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f>100*10.37</f>
      </c>
      <c r="E19" s="4">
        <f>D19*2.83168</f>
      </c>
      <c r="F19" s="5">
        <v>1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(0.97+5.597)/10.37</f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f>500*10.37</f>
      </c>
      <c r="E20" s="4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(0.82+5.597)/10.37</f>
      </c>
      <c r="M20" s="11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719285714285714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1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1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1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1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1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1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15.57+36.15</f>
      </c>
      <c r="M2" s="4">
        <f>15.57+36.15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0.0708</v>
      </c>
      <c r="M3" s="4">
        <v>0.0708</v>
      </c>
      <c r="N3" s="1" t="s">
        <v>26</v>
      </c>
      <c r="O3" s="1" t="s">
        <v>77</v>
      </c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f>3.795846+1.779077</f>
      </c>
      <c r="M4" s="4">
        <f>3.795846+1.779077</f>
      </c>
      <c r="N4" s="1" t="s">
        <v>19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970.75</v>
      </c>
      <c r="M5" s="4">
        <v>970.75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8</v>
      </c>
      <c r="H6" s="5">
        <v>0</v>
      </c>
      <c r="I6" s="5">
        <v>24</v>
      </c>
      <c r="J6" s="5">
        <v>0</v>
      </c>
      <c r="K6" s="5">
        <v>6</v>
      </c>
      <c r="L6" s="4">
        <f>0.02846+0.6379</f>
      </c>
      <c r="M6" s="11">
        <f>L6/2.83168</f>
      </c>
      <c r="N6" s="1" t="s">
        <v>36</v>
      </c>
      <c r="O6" s="1" t="s">
        <v>82</v>
      </c>
    </row>
    <row x14ac:dyDescent="0.25" r="7" customHeight="1" ht="17.25">
      <c r="A7" s="1" t="s">
        <v>34</v>
      </c>
      <c r="B7" s="1" t="s">
        <v>25</v>
      </c>
      <c r="C7" s="1"/>
      <c r="D7" s="5">
        <v>15000</v>
      </c>
      <c r="E7" s="4">
        <f>D7*2.83168</f>
      </c>
      <c r="F7" s="5">
        <v>1</v>
      </c>
      <c r="G7" s="5">
        <v>8</v>
      </c>
      <c r="H7" s="5">
        <v>0</v>
      </c>
      <c r="I7" s="5">
        <v>24</v>
      </c>
      <c r="J7" s="5">
        <v>0</v>
      </c>
      <c r="K7" s="5">
        <v>6</v>
      </c>
      <c r="L7" s="4">
        <f>0.02075+0.6379</f>
      </c>
      <c r="M7" s="11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50000</v>
      </c>
      <c r="E8" s="5">
        <f>D8*2.83168</f>
      </c>
      <c r="F8" s="5">
        <v>1</v>
      </c>
      <c r="G8" s="5">
        <v>8</v>
      </c>
      <c r="H8" s="5">
        <v>0</v>
      </c>
      <c r="I8" s="5">
        <v>24</v>
      </c>
      <c r="J8" s="5">
        <v>0</v>
      </c>
      <c r="K8" s="5">
        <v>6</v>
      </c>
      <c r="L8" s="4">
        <f>0.00327+0.6379</f>
      </c>
      <c r="M8" s="11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9</v>
      </c>
      <c r="G9" s="5">
        <v>9</v>
      </c>
      <c r="H9" s="5">
        <v>0</v>
      </c>
      <c r="I9" s="5">
        <v>24</v>
      </c>
      <c r="J9" s="5">
        <v>0</v>
      </c>
      <c r="K9" s="5">
        <v>6</v>
      </c>
      <c r="L9" s="4">
        <f>0.02846+0.6378</f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15000</v>
      </c>
      <c r="E10" s="4">
        <f>D10*2.83168</f>
      </c>
      <c r="F10" s="5">
        <v>9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f>0.02075+0.6378</f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50000</v>
      </c>
      <c r="E11" s="5">
        <f>D11*2.83168</f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0.00327+0.6378</f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f>0.02846+0.7816</f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15000</v>
      </c>
      <c r="E13" s="4">
        <f>D13*2.83168</f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4">
        <f>0.02075+0.7816</f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50000</v>
      </c>
      <c r="E14" s="5">
        <f>D14*2.83168</f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f>0.00327+0.7816</f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11</v>
      </c>
      <c r="H15" s="5">
        <v>0</v>
      </c>
      <c r="I15" s="5">
        <v>24</v>
      </c>
      <c r="J15" s="5">
        <v>0</v>
      </c>
      <c r="K15" s="5">
        <v>6</v>
      </c>
      <c r="L15" s="4">
        <f>0.02846+0.7825</f>
      </c>
      <c r="M15" s="11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15000</v>
      </c>
      <c r="E16" s="4">
        <f>D16*2.83168</f>
      </c>
      <c r="F16" s="5">
        <v>11</v>
      </c>
      <c r="G16" s="5">
        <v>11</v>
      </c>
      <c r="H16" s="5">
        <v>0</v>
      </c>
      <c r="I16" s="5">
        <v>24</v>
      </c>
      <c r="J16" s="5">
        <v>0</v>
      </c>
      <c r="K16" s="5">
        <v>6</v>
      </c>
      <c r="L16" s="4">
        <f>0.02075+0.7825</f>
      </c>
      <c r="M16" s="11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50000</v>
      </c>
      <c r="E17" s="5">
        <f>D17*2.83168</f>
      </c>
      <c r="F17" s="5">
        <v>11</v>
      </c>
      <c r="G17" s="5">
        <v>11</v>
      </c>
      <c r="H17" s="5">
        <v>0</v>
      </c>
      <c r="I17" s="5">
        <v>24</v>
      </c>
      <c r="J17" s="5">
        <v>0</v>
      </c>
      <c r="K17" s="5">
        <v>6</v>
      </c>
      <c r="L17" s="4">
        <f>0.00327+0.7825</f>
      </c>
      <c r="M17" s="11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12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0.02846+0.7751</f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15000</v>
      </c>
      <c r="E19" s="4">
        <f>D19*2.83168</f>
      </c>
      <c r="F19" s="5">
        <v>12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0.02075+0.7751</f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50000</v>
      </c>
      <c r="E20" s="5">
        <f>D20*2.83168</f>
      </c>
      <c r="F20" s="5">
        <v>12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0.00327+0.7751</f>
      </c>
      <c r="M20" s="11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807.57</v>
      </c>
      <c r="M2" s="4">
        <v>807.57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4</v>
      </c>
      <c r="H3" s="5">
        <v>5</v>
      </c>
      <c r="I3" s="5">
        <v>9</v>
      </c>
      <c r="J3" s="5">
        <v>0</v>
      </c>
      <c r="K3" s="5">
        <v>4</v>
      </c>
      <c r="L3" s="4">
        <f>1.77</f>
      </c>
      <c r="M3" s="4">
        <f>1.77</f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80</v>
      </c>
      <c r="D4" s="5">
        <v>0</v>
      </c>
      <c r="E4" s="5">
        <v>0</v>
      </c>
      <c r="F4" s="5">
        <v>5</v>
      </c>
      <c r="G4" s="5">
        <v>6</v>
      </c>
      <c r="H4" s="5">
        <v>14</v>
      </c>
      <c r="I4" s="5">
        <v>19</v>
      </c>
      <c r="J4" s="5">
        <v>0</v>
      </c>
      <c r="K4" s="5">
        <v>6</v>
      </c>
      <c r="L4" s="4">
        <f>6.53</f>
      </c>
      <c r="M4" s="4">
        <f>6.53</f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54</v>
      </c>
      <c r="D5" s="5">
        <v>0</v>
      </c>
      <c r="E5" s="5">
        <v>0</v>
      </c>
      <c r="F5" s="5">
        <v>7</v>
      </c>
      <c r="G5" s="5">
        <v>8</v>
      </c>
      <c r="H5" s="5">
        <v>14</v>
      </c>
      <c r="I5" s="5">
        <v>19</v>
      </c>
      <c r="J5" s="5">
        <v>0</v>
      </c>
      <c r="K5" s="5">
        <v>6</v>
      </c>
      <c r="L5" s="4">
        <f>10.13</f>
      </c>
      <c r="M5" s="4">
        <f>10.13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81</v>
      </c>
      <c r="D6" s="5">
        <v>0</v>
      </c>
      <c r="E6" s="5">
        <v>0</v>
      </c>
      <c r="F6" s="5">
        <v>9</v>
      </c>
      <c r="G6" s="5">
        <v>10</v>
      </c>
      <c r="H6" s="5">
        <v>14</v>
      </c>
      <c r="I6" s="5">
        <v>19</v>
      </c>
      <c r="J6" s="5">
        <v>0</v>
      </c>
      <c r="K6" s="5">
        <v>6</v>
      </c>
      <c r="L6" s="4">
        <f>6.53</f>
      </c>
      <c r="M6" s="4">
        <f>6.53</f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56</v>
      </c>
      <c r="D7" s="5">
        <v>0</v>
      </c>
      <c r="E7" s="5">
        <v>0</v>
      </c>
      <c r="F7" s="5">
        <v>11</v>
      </c>
      <c r="G7" s="5">
        <v>12</v>
      </c>
      <c r="H7" s="5">
        <v>5</v>
      </c>
      <c r="I7" s="5">
        <v>9</v>
      </c>
      <c r="J7" s="5">
        <v>0</v>
      </c>
      <c r="K7" s="5">
        <v>4</v>
      </c>
      <c r="L7" s="4">
        <f>1.77</f>
      </c>
      <c r="M7" s="4">
        <f>1.77</f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24</v>
      </c>
      <c r="D8" s="5">
        <v>0</v>
      </c>
      <c r="E8" s="5">
        <v>0</v>
      </c>
      <c r="F8" s="5">
        <v>1</v>
      </c>
      <c r="G8" s="5">
        <v>12</v>
      </c>
      <c r="H8" s="5">
        <v>0</v>
      </c>
      <c r="I8" s="5">
        <v>24</v>
      </c>
      <c r="J8" s="5">
        <v>0</v>
      </c>
      <c r="K8" s="5">
        <v>6</v>
      </c>
      <c r="L8" s="4">
        <v>2.49</v>
      </c>
      <c r="M8" s="4">
        <v>2.49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4</v>
      </c>
      <c r="H9" s="5">
        <v>0</v>
      </c>
      <c r="I9" s="5">
        <v>5</v>
      </c>
      <c r="J9" s="5">
        <v>0</v>
      </c>
      <c r="K9" s="5">
        <v>4</v>
      </c>
      <c r="L9" s="4">
        <v>0.0469</v>
      </c>
      <c r="M9" s="4">
        <v>0.0469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4</v>
      </c>
      <c r="H10" s="5">
        <v>5</v>
      </c>
      <c r="I10" s="5">
        <v>9</v>
      </c>
      <c r="J10" s="5">
        <v>0</v>
      </c>
      <c r="K10" s="5">
        <v>4</v>
      </c>
      <c r="L10" s="4">
        <v>0.0701</v>
      </c>
      <c r="M10" s="4">
        <v>0.0701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4</v>
      </c>
      <c r="H11" s="5">
        <v>9</v>
      </c>
      <c r="I11" s="5">
        <v>17</v>
      </c>
      <c r="J11" s="5">
        <v>0</v>
      </c>
      <c r="K11" s="5">
        <v>4</v>
      </c>
      <c r="L11" s="4">
        <v>0.0469</v>
      </c>
      <c r="M11" s="4">
        <v>0.0469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4</v>
      </c>
      <c r="H12" s="5">
        <v>17</v>
      </c>
      <c r="I12" s="5">
        <v>21</v>
      </c>
      <c r="J12" s="5">
        <v>0</v>
      </c>
      <c r="K12" s="5">
        <v>4</v>
      </c>
      <c r="L12" s="4">
        <v>0.0672</v>
      </c>
      <c r="M12" s="4">
        <v>0.0672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4</v>
      </c>
      <c r="H13" s="5">
        <v>21</v>
      </c>
      <c r="I13" s="5">
        <v>24</v>
      </c>
      <c r="J13" s="5">
        <v>0</v>
      </c>
      <c r="K13" s="5">
        <v>4</v>
      </c>
      <c r="L13" s="4">
        <v>0.0469</v>
      </c>
      <c r="M13" s="4">
        <v>0.0469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4</v>
      </c>
      <c r="H14" s="5">
        <v>0</v>
      </c>
      <c r="I14" s="5">
        <v>24</v>
      </c>
      <c r="J14" s="5">
        <v>5</v>
      </c>
      <c r="K14" s="5">
        <v>6</v>
      </c>
      <c r="L14" s="4">
        <v>0.0469</v>
      </c>
      <c r="M14" s="4">
        <v>0.0469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5</v>
      </c>
      <c r="G15" s="5">
        <v>6</v>
      </c>
      <c r="H15" s="5">
        <v>0</v>
      </c>
      <c r="I15" s="5">
        <v>11</v>
      </c>
      <c r="J15" s="5">
        <v>0</v>
      </c>
      <c r="K15" s="5">
        <v>6</v>
      </c>
      <c r="L15" s="4">
        <v>0.0478</v>
      </c>
      <c r="M15" s="4">
        <v>0.0478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5</v>
      </c>
      <c r="G16" s="5">
        <v>6</v>
      </c>
      <c r="H16" s="5">
        <v>11</v>
      </c>
      <c r="I16" s="5">
        <v>14</v>
      </c>
      <c r="J16" s="5">
        <v>0</v>
      </c>
      <c r="K16" s="5">
        <v>6</v>
      </c>
      <c r="L16" s="4">
        <v>0.0721</v>
      </c>
      <c r="M16" s="4">
        <v>0.0721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5</v>
      </c>
      <c r="G17" s="5">
        <v>6</v>
      </c>
      <c r="H17" s="5">
        <v>14</v>
      </c>
      <c r="I17" s="5">
        <v>19</v>
      </c>
      <c r="J17" s="5">
        <v>0</v>
      </c>
      <c r="K17" s="5">
        <v>6</v>
      </c>
      <c r="L17" s="4">
        <v>0.0821</v>
      </c>
      <c r="M17" s="4">
        <v>0.0821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5</v>
      </c>
      <c r="G18" s="5">
        <v>6</v>
      </c>
      <c r="H18" s="5">
        <v>19</v>
      </c>
      <c r="I18" s="5">
        <v>23</v>
      </c>
      <c r="J18" s="5">
        <v>0</v>
      </c>
      <c r="K18" s="5">
        <v>6</v>
      </c>
      <c r="L18" s="4">
        <v>0.0721</v>
      </c>
      <c r="M18" s="4">
        <v>0.0721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5</v>
      </c>
      <c r="G19" s="5">
        <v>6</v>
      </c>
      <c r="H19" s="5">
        <v>23</v>
      </c>
      <c r="I19" s="5">
        <v>24</v>
      </c>
      <c r="J19" s="5">
        <v>0</v>
      </c>
      <c r="K19" s="5">
        <v>6</v>
      </c>
      <c r="L19" s="4">
        <v>0.0478</v>
      </c>
      <c r="M19" s="4">
        <v>0.0478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8</v>
      </c>
      <c r="H20" s="5">
        <v>0</v>
      </c>
      <c r="I20" s="5">
        <v>11</v>
      </c>
      <c r="J20" s="5">
        <v>0</v>
      </c>
      <c r="K20" s="5">
        <v>6</v>
      </c>
      <c r="L20" s="4">
        <v>0.0576</v>
      </c>
      <c r="M20" s="4">
        <v>0.0576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8</v>
      </c>
      <c r="H21" s="5">
        <v>11</v>
      </c>
      <c r="I21" s="5">
        <v>14</v>
      </c>
      <c r="J21" s="5">
        <v>0</v>
      </c>
      <c r="K21" s="5">
        <v>6</v>
      </c>
      <c r="L21" s="4">
        <v>0.0929</v>
      </c>
      <c r="M21" s="4">
        <v>0.0929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8</v>
      </c>
      <c r="H22" s="5">
        <v>14</v>
      </c>
      <c r="I22" s="5">
        <v>19</v>
      </c>
      <c r="J22" s="5">
        <v>0</v>
      </c>
      <c r="K22" s="5">
        <v>6</v>
      </c>
      <c r="L22" s="4">
        <v>0.1141</v>
      </c>
      <c r="M22" s="4">
        <v>0.1141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7</v>
      </c>
      <c r="G23" s="5">
        <v>8</v>
      </c>
      <c r="H23" s="5">
        <v>19</v>
      </c>
      <c r="I23" s="5">
        <v>23</v>
      </c>
      <c r="J23" s="5">
        <v>0</v>
      </c>
      <c r="K23" s="5">
        <v>6</v>
      </c>
      <c r="L23" s="4">
        <v>0.0929</v>
      </c>
      <c r="M23" s="4">
        <v>0.0929</v>
      </c>
      <c r="N23" s="1" t="s">
        <v>26</v>
      </c>
      <c r="O23" s="1"/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8</v>
      </c>
      <c r="H24" s="5">
        <v>23</v>
      </c>
      <c r="I24" s="5">
        <v>24</v>
      </c>
      <c r="J24" s="5">
        <v>0</v>
      </c>
      <c r="K24" s="5">
        <v>6</v>
      </c>
      <c r="L24" s="4">
        <v>0.0576</v>
      </c>
      <c r="M24" s="4">
        <v>0.0576</v>
      </c>
      <c r="N24" s="1" t="s">
        <v>26</v>
      </c>
      <c r="O24" s="1"/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9</v>
      </c>
      <c r="G25" s="5">
        <v>10</v>
      </c>
      <c r="H25" s="5">
        <v>0</v>
      </c>
      <c r="I25" s="5">
        <v>11</v>
      </c>
      <c r="J25" s="5">
        <v>0</v>
      </c>
      <c r="K25" s="5">
        <v>6</v>
      </c>
      <c r="L25" s="4">
        <v>0.0478</v>
      </c>
      <c r="M25" s="4">
        <v>0.0478</v>
      </c>
      <c r="N25" s="1" t="s">
        <v>26</v>
      </c>
      <c r="O25" s="1"/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9</v>
      </c>
      <c r="G26" s="5">
        <v>10</v>
      </c>
      <c r="H26" s="5">
        <v>11</v>
      </c>
      <c r="I26" s="5">
        <v>14</v>
      </c>
      <c r="J26" s="5">
        <v>0</v>
      </c>
      <c r="K26" s="5">
        <v>6</v>
      </c>
      <c r="L26" s="4">
        <v>0.0721</v>
      </c>
      <c r="M26" s="4">
        <v>0.0721</v>
      </c>
      <c r="N26" s="1" t="s">
        <v>26</v>
      </c>
      <c r="O26" s="1"/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9</v>
      </c>
      <c r="G27" s="5">
        <v>10</v>
      </c>
      <c r="H27" s="5">
        <v>14</v>
      </c>
      <c r="I27" s="5">
        <v>19</v>
      </c>
      <c r="J27" s="5">
        <v>0</v>
      </c>
      <c r="K27" s="5">
        <v>6</v>
      </c>
      <c r="L27" s="4">
        <v>0.0821</v>
      </c>
      <c r="M27" s="4">
        <v>0.0821</v>
      </c>
      <c r="N27" s="1" t="s">
        <v>26</v>
      </c>
      <c r="O27" s="1"/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10</v>
      </c>
      <c r="H28" s="5">
        <v>19</v>
      </c>
      <c r="I28" s="5">
        <v>23</v>
      </c>
      <c r="J28" s="5">
        <v>0</v>
      </c>
      <c r="K28" s="5">
        <v>6</v>
      </c>
      <c r="L28" s="4">
        <v>0.0721</v>
      </c>
      <c r="M28" s="4">
        <v>0.0721</v>
      </c>
      <c r="N28" s="1" t="s">
        <v>26</v>
      </c>
      <c r="O28" s="1"/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10</v>
      </c>
      <c r="H29" s="5">
        <v>23</v>
      </c>
      <c r="I29" s="5">
        <v>24</v>
      </c>
      <c r="J29" s="5">
        <v>0</v>
      </c>
      <c r="K29" s="5">
        <v>6</v>
      </c>
      <c r="L29" s="4">
        <v>0.0478</v>
      </c>
      <c r="M29" s="4">
        <v>0.0478</v>
      </c>
      <c r="N29" s="1" t="s">
        <v>26</v>
      </c>
      <c r="O29" s="1"/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11</v>
      </c>
      <c r="G30" s="5">
        <v>12</v>
      </c>
      <c r="H30" s="5">
        <v>0</v>
      </c>
      <c r="I30" s="5">
        <v>5</v>
      </c>
      <c r="J30" s="5">
        <v>0</v>
      </c>
      <c r="K30" s="5">
        <v>4</v>
      </c>
      <c r="L30" s="4">
        <v>0.0469</v>
      </c>
      <c r="M30" s="4">
        <v>0.0469</v>
      </c>
      <c r="N30" s="1" t="s">
        <v>26</v>
      </c>
      <c r="O30" s="1"/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11</v>
      </c>
      <c r="G31" s="5">
        <v>12</v>
      </c>
      <c r="H31" s="5">
        <v>5</v>
      </c>
      <c r="I31" s="5">
        <v>9</v>
      </c>
      <c r="J31" s="5">
        <v>0</v>
      </c>
      <c r="K31" s="5">
        <v>4</v>
      </c>
      <c r="L31" s="4">
        <v>0.0701</v>
      </c>
      <c r="M31" s="4">
        <v>0.0701</v>
      </c>
      <c r="N31" s="1" t="s">
        <v>26</v>
      </c>
      <c r="O31" s="1"/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11</v>
      </c>
      <c r="G32" s="5">
        <v>12</v>
      </c>
      <c r="H32" s="5">
        <v>9</v>
      </c>
      <c r="I32" s="5">
        <v>17</v>
      </c>
      <c r="J32" s="5">
        <v>0</v>
      </c>
      <c r="K32" s="5">
        <v>4</v>
      </c>
      <c r="L32" s="4">
        <v>0.0469</v>
      </c>
      <c r="M32" s="4">
        <v>0.0469</v>
      </c>
      <c r="N32" s="1" t="s">
        <v>26</v>
      </c>
      <c r="O32" s="1"/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11</v>
      </c>
      <c r="G33" s="5">
        <v>12</v>
      </c>
      <c r="H33" s="5">
        <v>17</v>
      </c>
      <c r="I33" s="5">
        <v>21</v>
      </c>
      <c r="J33" s="5">
        <v>0</v>
      </c>
      <c r="K33" s="5">
        <v>4</v>
      </c>
      <c r="L33" s="4">
        <v>0.0672</v>
      </c>
      <c r="M33" s="4">
        <v>0.0672</v>
      </c>
      <c r="N33" s="1" t="s">
        <v>26</v>
      </c>
      <c r="O33" s="1"/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11</v>
      </c>
      <c r="G34" s="5">
        <v>12</v>
      </c>
      <c r="H34" s="5">
        <v>21</v>
      </c>
      <c r="I34" s="5">
        <v>24</v>
      </c>
      <c r="J34" s="5">
        <v>0</v>
      </c>
      <c r="K34" s="5">
        <v>4</v>
      </c>
      <c r="L34" s="4">
        <v>0.0469</v>
      </c>
      <c r="M34" s="4">
        <v>0.0469</v>
      </c>
      <c r="N34" s="1" t="s">
        <v>26</v>
      </c>
      <c r="O34" s="1"/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12</v>
      </c>
      <c r="H35" s="5">
        <v>0</v>
      </c>
      <c r="I35" s="5">
        <v>24</v>
      </c>
      <c r="J35" s="5">
        <v>5</v>
      </c>
      <c r="K35" s="5">
        <v>6</v>
      </c>
      <c r="L35" s="4">
        <v>0.0469</v>
      </c>
      <c r="M35" s="4">
        <v>0.0469</v>
      </c>
      <c r="N35" s="1" t="s">
        <v>26</v>
      </c>
      <c r="O35" s="1"/>
    </row>
    <row x14ac:dyDescent="0.25" r="36" customHeight="1" ht="17.25">
      <c r="A36" s="1" t="s">
        <v>34</v>
      </c>
      <c r="B36" s="1" t="s">
        <v>14</v>
      </c>
      <c r="C36" s="1"/>
      <c r="D36" s="2"/>
      <c r="E36" s="2"/>
      <c r="F36" s="2"/>
      <c r="G36" s="2"/>
      <c r="H36" s="2"/>
      <c r="I36" s="2"/>
      <c r="J36" s="2"/>
      <c r="K36" s="2"/>
      <c r="L36" s="5">
        <v>950</v>
      </c>
      <c r="M36" s="5">
        <v>950</v>
      </c>
      <c r="N36" s="1" t="s">
        <v>15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v>0</v>
      </c>
      <c r="E37" s="5">
        <v>0</v>
      </c>
      <c r="F37" s="5">
        <v>1</v>
      </c>
      <c r="G37" s="5">
        <v>12</v>
      </c>
      <c r="H37" s="5">
        <v>0</v>
      </c>
      <c r="I37" s="5">
        <v>24</v>
      </c>
      <c r="J37" s="5">
        <v>0</v>
      </c>
      <c r="K37" s="5">
        <v>6</v>
      </c>
      <c r="L37" s="4">
        <v>0.62851</v>
      </c>
      <c r="M37" s="11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17</v>
      </c>
      <c r="C38" s="1" t="s">
        <v>24</v>
      </c>
      <c r="D38" s="5">
        <v>0</v>
      </c>
      <c r="E38" s="5">
        <v>0</v>
      </c>
      <c r="F38" s="5">
        <v>1</v>
      </c>
      <c r="G38" s="5">
        <v>12</v>
      </c>
      <c r="H38" s="5">
        <v>0</v>
      </c>
      <c r="I38" s="5">
        <v>24</v>
      </c>
      <c r="J38" s="5">
        <v>0</v>
      </c>
      <c r="K38" s="5">
        <v>6</v>
      </c>
      <c r="L38" s="4">
        <f>0.086705*24</f>
      </c>
      <c r="M38" s="11">
        <f>L38/2.83168</f>
      </c>
      <c r="N38" s="1" t="s">
        <v>35</v>
      </c>
      <c r="O38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2000</v>
      </c>
      <c r="M2" s="5">
        <v>2000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10.77</v>
      </c>
      <c r="M3" s="4">
        <v>10.77</v>
      </c>
      <c r="N3" s="1" t="s">
        <v>19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24</v>
      </c>
      <c r="J4" s="5">
        <v>0</v>
      </c>
      <c r="K4" s="5">
        <v>6</v>
      </c>
      <c r="L4" s="11">
        <v>0.0308795161290322</v>
      </c>
      <c r="M4" s="11">
        <v>0.0308795161290322</v>
      </c>
      <c r="N4" s="1" t="s">
        <v>26</v>
      </c>
      <c r="O4" s="1" t="s">
        <v>79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24</v>
      </c>
      <c r="J5" s="5">
        <v>0</v>
      </c>
      <c r="K5" s="5">
        <v>6</v>
      </c>
      <c r="L5" s="11">
        <v>0.0337538839285714</v>
      </c>
      <c r="M5" s="11">
        <v>0.0337538839285714</v>
      </c>
      <c r="N5" s="1" t="s">
        <v>26</v>
      </c>
      <c r="O5" s="1" t="s">
        <v>79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3</v>
      </c>
      <c r="G6" s="5">
        <v>3</v>
      </c>
      <c r="H6" s="5">
        <v>0</v>
      </c>
      <c r="I6" s="5">
        <v>24</v>
      </c>
      <c r="J6" s="5">
        <v>0</v>
      </c>
      <c r="K6" s="5">
        <v>6</v>
      </c>
      <c r="L6" s="11">
        <v>0.0232793817204301</v>
      </c>
      <c r="M6" s="11">
        <v>0.0232793817204301</v>
      </c>
      <c r="N6" s="1" t="s">
        <v>26</v>
      </c>
      <c r="O6" s="1" t="s">
        <v>79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4</v>
      </c>
      <c r="G7" s="5">
        <v>4</v>
      </c>
      <c r="H7" s="5">
        <v>0</v>
      </c>
      <c r="I7" s="5">
        <v>24</v>
      </c>
      <c r="J7" s="5">
        <v>0</v>
      </c>
      <c r="K7" s="5">
        <v>6</v>
      </c>
      <c r="L7" s="11">
        <v>0.0254625833333333</v>
      </c>
      <c r="M7" s="11">
        <v>0.0254625833333333</v>
      </c>
      <c r="N7" s="1" t="s">
        <v>26</v>
      </c>
      <c r="O7" s="1" t="s">
        <v>79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5</v>
      </c>
      <c r="G8" s="5">
        <v>5</v>
      </c>
      <c r="H8" s="5">
        <v>0</v>
      </c>
      <c r="I8" s="5">
        <v>24</v>
      </c>
      <c r="J8" s="5">
        <v>0</v>
      </c>
      <c r="K8" s="5">
        <v>6</v>
      </c>
      <c r="L8" s="11">
        <v>0.0278861962365591</v>
      </c>
      <c r="M8" s="11">
        <v>0.0278861962365591</v>
      </c>
      <c r="N8" s="1" t="s">
        <v>26</v>
      </c>
      <c r="O8" s="1" t="s">
        <v>79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6</v>
      </c>
      <c r="H9" s="5">
        <v>0</v>
      </c>
      <c r="I9" s="5">
        <v>24</v>
      </c>
      <c r="J9" s="5">
        <v>0</v>
      </c>
      <c r="K9" s="5">
        <v>6</v>
      </c>
      <c r="L9" s="11">
        <v>0.0322299583333333</v>
      </c>
      <c r="M9" s="11">
        <v>0.0322299583333333</v>
      </c>
      <c r="N9" s="1" t="s">
        <v>26</v>
      </c>
      <c r="O9" s="1" t="s">
        <v>79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7</v>
      </c>
      <c r="G10" s="5">
        <v>7</v>
      </c>
      <c r="H10" s="5">
        <v>0</v>
      </c>
      <c r="I10" s="5">
        <v>24</v>
      </c>
      <c r="J10" s="5">
        <v>0</v>
      </c>
      <c r="K10" s="5">
        <v>6</v>
      </c>
      <c r="L10" s="11">
        <v>0.0397892876344086</v>
      </c>
      <c r="M10" s="11">
        <v>0.0397892876344086</v>
      </c>
      <c r="N10" s="1" t="s">
        <v>26</v>
      </c>
      <c r="O10" s="1" t="s">
        <v>79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8</v>
      </c>
      <c r="G11" s="5">
        <v>8</v>
      </c>
      <c r="H11" s="5">
        <v>0</v>
      </c>
      <c r="I11" s="5">
        <v>24</v>
      </c>
      <c r="J11" s="5">
        <v>0</v>
      </c>
      <c r="K11" s="5">
        <v>6</v>
      </c>
      <c r="L11" s="11">
        <v>0.0464667741935483</v>
      </c>
      <c r="M11" s="11">
        <v>0.0464667741935483</v>
      </c>
      <c r="N11" s="1" t="s">
        <v>26</v>
      </c>
      <c r="O11" s="1" t="s">
        <v>79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9</v>
      </c>
      <c r="G12" s="5">
        <v>9</v>
      </c>
      <c r="H12" s="5">
        <v>0</v>
      </c>
      <c r="I12" s="5">
        <v>24</v>
      </c>
      <c r="J12" s="5">
        <v>0</v>
      </c>
      <c r="K12" s="5">
        <v>6</v>
      </c>
      <c r="L12" s="11">
        <v>0.0428153194444444</v>
      </c>
      <c r="M12" s="11">
        <v>0.0428153194444444</v>
      </c>
      <c r="N12" s="1" t="s">
        <v>26</v>
      </c>
      <c r="O12" s="1" t="s">
        <v>79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11">
        <v>0.0476527822580645</v>
      </c>
      <c r="M13" s="11">
        <v>0.0476527822580645</v>
      </c>
      <c r="N13" s="1" t="s">
        <v>26</v>
      </c>
      <c r="O13" s="1" t="s">
        <v>79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11</v>
      </c>
      <c r="G14" s="5">
        <v>11</v>
      </c>
      <c r="H14" s="5">
        <v>0</v>
      </c>
      <c r="I14" s="5">
        <v>24</v>
      </c>
      <c r="J14" s="5">
        <v>0</v>
      </c>
      <c r="K14" s="5">
        <v>6</v>
      </c>
      <c r="L14" s="11">
        <v>0.0379686527777777</v>
      </c>
      <c r="M14" s="11">
        <v>0.0379686527777777</v>
      </c>
      <c r="N14" s="1" t="s">
        <v>26</v>
      </c>
      <c r="O14" s="1" t="s">
        <v>79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12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11">
        <v>0.0389751344086021</v>
      </c>
      <c r="M15" s="11">
        <v>0.0389751344086021</v>
      </c>
      <c r="N15" s="1" t="s">
        <v>26</v>
      </c>
      <c r="O15" s="1" t="s">
        <v>79</v>
      </c>
    </row>
    <row x14ac:dyDescent="0.25" r="16" customHeight="1" ht="17.25">
      <c r="A16" s="1" t="s">
        <v>34</v>
      </c>
      <c r="B16" s="1" t="s">
        <v>14</v>
      </c>
      <c r="C16" s="1"/>
      <c r="D16" s="2"/>
      <c r="E16" s="3"/>
      <c r="F16" s="2"/>
      <c r="G16" s="2"/>
      <c r="H16" s="2"/>
      <c r="I16" s="2"/>
      <c r="J16" s="2"/>
      <c r="K16" s="2"/>
      <c r="L16" s="5">
        <v>781</v>
      </c>
      <c r="M16" s="5">
        <v>781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100</v>
      </c>
      <c r="E17" s="4">
        <f>D17*2.83168</f>
      </c>
      <c r="F17" s="5">
        <v>1</v>
      </c>
      <c r="G17" s="5">
        <v>1</v>
      </c>
      <c r="H17" s="5">
        <v>0</v>
      </c>
      <c r="I17" s="5">
        <v>24</v>
      </c>
      <c r="J17" s="5">
        <v>0</v>
      </c>
      <c r="K17" s="5">
        <v>6</v>
      </c>
      <c r="L17" s="4">
        <f>0.11265+0.25963</f>
      </c>
      <c r="M17" s="14">
        <f>L17/2.83168</f>
      </c>
      <c r="N17" s="1" t="s">
        <v>36</v>
      </c>
      <c r="O17" s="1" t="s">
        <v>37</v>
      </c>
    </row>
    <row x14ac:dyDescent="0.25" r="18" customHeight="1" ht="17.25">
      <c r="A18" s="1" t="s">
        <v>34</v>
      </c>
      <c r="B18" s="1" t="s">
        <v>25</v>
      </c>
      <c r="C18" s="1"/>
      <c r="D18" s="5">
        <v>100</v>
      </c>
      <c r="E18" s="4">
        <f>D18*2.83168</f>
      </c>
      <c r="F18" s="5">
        <v>2</v>
      </c>
      <c r="G18" s="5">
        <v>2</v>
      </c>
      <c r="H18" s="5">
        <v>0</v>
      </c>
      <c r="I18" s="5">
        <v>24</v>
      </c>
      <c r="J18" s="5">
        <v>0</v>
      </c>
      <c r="K18" s="5">
        <v>6</v>
      </c>
      <c r="L18" s="4">
        <f>0.11265+0.34446</f>
      </c>
      <c r="M18" s="14">
        <f>L18/2.83168</f>
      </c>
      <c r="N18" s="1" t="s">
        <v>36</v>
      </c>
      <c r="O18" s="1" t="s">
        <v>37</v>
      </c>
    </row>
    <row x14ac:dyDescent="0.25" r="19" customHeight="1" ht="17.25">
      <c r="A19" s="1" t="s">
        <v>34</v>
      </c>
      <c r="B19" s="1" t="s">
        <v>25</v>
      </c>
      <c r="C19" s="1"/>
      <c r="D19" s="5">
        <v>100</v>
      </c>
      <c r="E19" s="4">
        <f>D19*2.83168</f>
      </c>
      <c r="F19" s="5">
        <v>3</v>
      </c>
      <c r="G19" s="5">
        <v>3</v>
      </c>
      <c r="H19" s="5">
        <v>0</v>
      </c>
      <c r="I19" s="5">
        <v>24</v>
      </c>
      <c r="J19" s="5">
        <v>0</v>
      </c>
      <c r="K19" s="5">
        <v>6</v>
      </c>
      <c r="L19" s="4">
        <f>0.11265+0.33725</f>
      </c>
      <c r="M19" s="14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100</v>
      </c>
      <c r="E20" s="4">
        <f>D20*2.83168</f>
      </c>
      <c r="F20" s="5">
        <v>4</v>
      </c>
      <c r="G20" s="5">
        <v>4</v>
      </c>
      <c r="H20" s="5">
        <v>0</v>
      </c>
      <c r="I20" s="5">
        <v>24</v>
      </c>
      <c r="J20" s="5">
        <v>0</v>
      </c>
      <c r="K20" s="5">
        <v>6</v>
      </c>
      <c r="L20" s="4">
        <f>0.11265+0.32633</f>
      </c>
      <c r="M20" s="14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100</v>
      </c>
      <c r="E21" s="4">
        <f>D21*2.83168</f>
      </c>
      <c r="F21" s="5">
        <v>5</v>
      </c>
      <c r="G21" s="5">
        <v>5</v>
      </c>
      <c r="H21" s="5">
        <v>0</v>
      </c>
      <c r="I21" s="5">
        <v>24</v>
      </c>
      <c r="J21" s="5">
        <v>0</v>
      </c>
      <c r="K21" s="5">
        <v>6</v>
      </c>
      <c r="L21" s="4">
        <f>0.11265+0.3532</f>
      </c>
      <c r="M21" s="14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100</v>
      </c>
      <c r="E22" s="4">
        <f>D22*2.83168</f>
      </c>
      <c r="F22" s="5">
        <v>6</v>
      </c>
      <c r="G22" s="5">
        <v>6</v>
      </c>
      <c r="H22" s="5">
        <v>0</v>
      </c>
      <c r="I22" s="5">
        <v>24</v>
      </c>
      <c r="J22" s="5">
        <v>0</v>
      </c>
      <c r="K22" s="5">
        <v>6</v>
      </c>
      <c r="L22" s="4">
        <f>0.11265+0.37028</f>
      </c>
      <c r="M22" s="14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100</v>
      </c>
      <c r="E23" s="4">
        <f>D23*2.83168</f>
      </c>
      <c r="F23" s="5">
        <v>7</v>
      </c>
      <c r="G23" s="5">
        <v>7</v>
      </c>
      <c r="H23" s="5">
        <v>0</v>
      </c>
      <c r="I23" s="5">
        <v>24</v>
      </c>
      <c r="J23" s="5">
        <v>0</v>
      </c>
      <c r="K23" s="5">
        <v>6</v>
      </c>
      <c r="L23" s="4">
        <f>0.11265+0.41565</f>
      </c>
      <c r="M23" s="14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100</v>
      </c>
      <c r="E24" s="4">
        <f>D24*2.83168</f>
      </c>
      <c r="F24" s="5">
        <v>8</v>
      </c>
      <c r="G24" s="5">
        <v>8</v>
      </c>
      <c r="H24" s="5">
        <v>0</v>
      </c>
      <c r="I24" s="5">
        <v>24</v>
      </c>
      <c r="J24" s="5">
        <v>0</v>
      </c>
      <c r="K24" s="5">
        <v>6</v>
      </c>
      <c r="L24" s="4">
        <f>0.11265+0.38839</f>
      </c>
      <c r="M24" s="14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100</v>
      </c>
      <c r="E25" s="4">
        <f>D25*2.83168</f>
      </c>
      <c r="F25" s="5">
        <v>9</v>
      </c>
      <c r="G25" s="5">
        <v>9</v>
      </c>
      <c r="H25" s="5">
        <v>0</v>
      </c>
      <c r="I25" s="5">
        <v>24</v>
      </c>
      <c r="J25" s="5">
        <v>0</v>
      </c>
      <c r="K25" s="5">
        <v>6</v>
      </c>
      <c r="L25" s="4">
        <f>0.11265+0.44301</f>
      </c>
      <c r="M25" s="14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100</v>
      </c>
      <c r="E26" s="4">
        <f>D26*2.83168</f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f>0.11265+0.55893</f>
      </c>
      <c r="M26" s="14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100</v>
      </c>
      <c r="E27" s="4">
        <f>D27*2.83168</f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4">
        <f>0.11265+0.57933</f>
      </c>
      <c r="M27" s="14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100</v>
      </c>
      <c r="E28" s="4">
        <f>D28*2.83168</f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4">
        <f>0.11265+0.55188</f>
      </c>
      <c r="M28" s="14">
        <f>L28/2.83168</f>
      </c>
      <c r="N28" s="1" t="s">
        <v>36</v>
      </c>
      <c r="O28" s="1" t="s">
        <v>37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9"/>
      <c r="D2" s="10"/>
      <c r="E2" s="2"/>
      <c r="F2" s="2"/>
      <c r="G2" s="10"/>
      <c r="H2" s="10"/>
      <c r="I2" s="10"/>
      <c r="J2" s="10"/>
      <c r="K2" s="10"/>
      <c r="L2" s="5">
        <v>100</v>
      </c>
      <c r="M2" s="5">
        <v>100</v>
      </c>
      <c r="N2" s="1" t="s">
        <v>15</v>
      </c>
      <c r="O2" s="9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0.034675</v>
      </c>
      <c r="M3" s="4">
        <v>0.034675</v>
      </c>
      <c r="N3" s="1" t="s">
        <v>26</v>
      </c>
      <c r="O3" s="1" t="s">
        <v>78</v>
      </c>
    </row>
    <row x14ac:dyDescent="0.25" r="4" customHeight="1" ht="17.25">
      <c r="A4" s="1" t="s">
        <v>13</v>
      </c>
      <c r="B4" s="1" t="s">
        <v>17</v>
      </c>
      <c r="C4" s="1" t="s">
        <v>24</v>
      </c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4.5704</v>
      </c>
      <c r="M4" s="4">
        <v>4.5704</v>
      </c>
      <c r="N4" s="1" t="s">
        <v>19</v>
      </c>
      <c r="O4" s="1"/>
    </row>
    <row x14ac:dyDescent="0.25" r="5" customHeight="1" ht="17.25">
      <c r="A5" s="1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226.64</v>
      </c>
      <c r="M5" s="4">
        <v>226.64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24</v>
      </c>
      <c r="J6" s="5">
        <v>0</v>
      </c>
      <c r="K6" s="5">
        <v>6</v>
      </c>
      <c r="L6" s="4">
        <f>0.3293+0.139784</f>
      </c>
      <c r="M6" s="11">
        <f>L6/2.83168</f>
      </c>
      <c r="N6" s="1" t="s">
        <v>36</v>
      </c>
      <c r="O6" s="1"/>
    </row>
    <row x14ac:dyDescent="0.25" r="7" customHeight="1" ht="17.25">
      <c r="A7" s="1" t="s">
        <v>34</v>
      </c>
      <c r="B7" s="1" t="s">
        <v>25</v>
      </c>
      <c r="C7" s="1"/>
      <c r="D7" s="5">
        <v>0</v>
      </c>
      <c r="E7" s="5">
        <v>0</v>
      </c>
      <c r="F7" s="5">
        <v>2</v>
      </c>
      <c r="G7" s="5">
        <v>2</v>
      </c>
      <c r="H7" s="5">
        <v>0</v>
      </c>
      <c r="I7" s="5">
        <v>24</v>
      </c>
      <c r="J7" s="5">
        <v>0</v>
      </c>
      <c r="K7" s="5">
        <v>6</v>
      </c>
      <c r="L7" s="4">
        <f>0.3294+0.139784</f>
      </c>
      <c r="M7" s="11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0</v>
      </c>
      <c r="E8" s="5">
        <v>0</v>
      </c>
      <c r="F8" s="5">
        <v>3</v>
      </c>
      <c r="G8" s="5">
        <v>3</v>
      </c>
      <c r="H8" s="5">
        <v>0</v>
      </c>
      <c r="I8" s="5">
        <v>24</v>
      </c>
      <c r="J8" s="5">
        <v>0</v>
      </c>
      <c r="K8" s="5">
        <v>6</v>
      </c>
      <c r="L8" s="4">
        <f>0.3895+0.139784</f>
      </c>
      <c r="M8" s="11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4</v>
      </c>
      <c r="H9" s="5">
        <v>0</v>
      </c>
      <c r="I9" s="5">
        <v>24</v>
      </c>
      <c r="J9" s="5">
        <v>0</v>
      </c>
      <c r="K9" s="5">
        <v>6</v>
      </c>
      <c r="L9" s="4">
        <f>0.3944+0.139784</f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5</v>
      </c>
      <c r="G10" s="5">
        <v>5</v>
      </c>
      <c r="H10" s="5">
        <v>0</v>
      </c>
      <c r="I10" s="5">
        <v>24</v>
      </c>
      <c r="J10" s="5">
        <v>0</v>
      </c>
      <c r="K10" s="5">
        <v>6</v>
      </c>
      <c r="L10" s="4">
        <f>0.3748+0.139784</f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6</v>
      </c>
      <c r="H11" s="5">
        <v>0</v>
      </c>
      <c r="I11" s="5">
        <v>24</v>
      </c>
      <c r="J11" s="5">
        <v>0</v>
      </c>
      <c r="K11" s="5">
        <v>6</v>
      </c>
      <c r="L11" s="4">
        <f>0.5565+0.139784</f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7</v>
      </c>
      <c r="G12" s="5">
        <v>7</v>
      </c>
      <c r="H12" s="5">
        <v>0</v>
      </c>
      <c r="I12" s="5">
        <v>24</v>
      </c>
      <c r="J12" s="5">
        <v>0</v>
      </c>
      <c r="K12" s="5">
        <v>6</v>
      </c>
      <c r="L12" s="4">
        <f>0.5786+0.139784</f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8</v>
      </c>
      <c r="G13" s="5">
        <v>8</v>
      </c>
      <c r="H13" s="5">
        <v>0</v>
      </c>
      <c r="I13" s="5">
        <v>24</v>
      </c>
      <c r="J13" s="5">
        <v>0</v>
      </c>
      <c r="K13" s="5">
        <v>6</v>
      </c>
      <c r="L13" s="4">
        <f>0.6433+0.139784</f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9</v>
      </c>
      <c r="G14" s="5">
        <v>9</v>
      </c>
      <c r="H14" s="5">
        <v>0</v>
      </c>
      <c r="I14" s="5">
        <v>24</v>
      </c>
      <c r="J14" s="5">
        <v>0</v>
      </c>
      <c r="K14" s="5">
        <v>6</v>
      </c>
      <c r="L14" s="4">
        <f>0.6644+0.139784</f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10</v>
      </c>
      <c r="H15" s="5">
        <v>0</v>
      </c>
      <c r="I15" s="5">
        <v>24</v>
      </c>
      <c r="J15" s="5">
        <v>0</v>
      </c>
      <c r="K15" s="5">
        <v>6</v>
      </c>
      <c r="L15" s="4">
        <f>0.713+0.139784</f>
      </c>
      <c r="M15" s="11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0</v>
      </c>
      <c r="E16" s="5">
        <v>0</v>
      </c>
      <c r="F16" s="5">
        <v>11</v>
      </c>
      <c r="G16" s="5">
        <v>11</v>
      </c>
      <c r="H16" s="5">
        <v>0</v>
      </c>
      <c r="I16" s="5">
        <v>24</v>
      </c>
      <c r="J16" s="5">
        <v>0</v>
      </c>
      <c r="K16" s="5">
        <v>6</v>
      </c>
      <c r="L16" s="4">
        <f>0.7899+0.139784</f>
      </c>
      <c r="M16" s="11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12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0.6817+0.139784</f>
      </c>
      <c r="M17" s="11">
        <f>L17/2.83168</f>
      </c>
      <c r="N17" s="1" t="s">
        <v>36</v>
      </c>
      <c r="O17" s="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f>0.49315*30</f>
      </c>
      <c r="M19" s="4">
        <f>0.49315*30</f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9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15.57+36.15</f>
      </c>
      <c r="M2" s="4">
        <f>15.57+36.15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3.795846+1.779077</f>
      </c>
      <c r="M3" s="4">
        <f>3.795846+1.779077</f>
      </c>
      <c r="N3" s="1" t="s">
        <v>19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12</v>
      </c>
      <c r="H4" s="5">
        <v>0</v>
      </c>
      <c r="I4" s="5">
        <v>24</v>
      </c>
      <c r="J4" s="5">
        <v>0</v>
      </c>
      <c r="K4" s="5">
        <v>6</v>
      </c>
      <c r="L4" s="4">
        <v>0.0708</v>
      </c>
      <c r="M4" s="4">
        <v>0.0708</v>
      </c>
      <c r="N4" s="1" t="s">
        <v>26</v>
      </c>
      <c r="O4" s="1" t="s">
        <v>77</v>
      </c>
    </row>
    <row x14ac:dyDescent="0.25" r="5" customHeight="1" ht="17.25">
      <c r="A5" s="1" t="s">
        <v>34</v>
      </c>
      <c r="B5" s="1" t="s">
        <v>14</v>
      </c>
      <c r="C5" s="1"/>
      <c r="D5" s="2"/>
      <c r="E5" s="2"/>
      <c r="F5" s="2"/>
      <c r="G5" s="2"/>
      <c r="H5" s="2"/>
      <c r="I5" s="2"/>
      <c r="J5" s="2"/>
      <c r="K5" s="2"/>
      <c r="L5" s="4">
        <v>970.75</v>
      </c>
      <c r="M5" s="4">
        <v>970.75</v>
      </c>
      <c r="N5" s="1" t="s">
        <v>15</v>
      </c>
      <c r="O5" s="1"/>
    </row>
    <row x14ac:dyDescent="0.25" r="6" customHeight="1" ht="17.25">
      <c r="A6" s="1" t="s">
        <v>34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8</v>
      </c>
      <c r="H6" s="5">
        <v>0</v>
      </c>
      <c r="I6" s="5">
        <v>24</v>
      </c>
      <c r="J6" s="5">
        <v>0</v>
      </c>
      <c r="K6" s="5">
        <v>6</v>
      </c>
      <c r="L6" s="4">
        <f>0.02846+0.6379</f>
      </c>
      <c r="M6" s="11">
        <f>L6/2.83168</f>
      </c>
      <c r="N6" s="1" t="s">
        <v>36</v>
      </c>
      <c r="O6" s="1"/>
    </row>
    <row x14ac:dyDescent="0.25" r="7" customHeight="1" ht="17.25">
      <c r="A7" s="1" t="s">
        <v>34</v>
      </c>
      <c r="B7" s="1" t="s">
        <v>25</v>
      </c>
      <c r="C7" s="1"/>
      <c r="D7" s="5">
        <v>15000</v>
      </c>
      <c r="E7" s="4">
        <f>D7*2.83168</f>
      </c>
      <c r="F7" s="5">
        <v>1</v>
      </c>
      <c r="G7" s="5">
        <v>8</v>
      </c>
      <c r="H7" s="5">
        <v>0</v>
      </c>
      <c r="I7" s="5">
        <v>24</v>
      </c>
      <c r="J7" s="5">
        <v>0</v>
      </c>
      <c r="K7" s="5">
        <v>6</v>
      </c>
      <c r="L7" s="4">
        <f>0.02075+0.6379</f>
      </c>
      <c r="M7" s="11">
        <f>L7/2.83168</f>
      </c>
      <c r="N7" s="1" t="s">
        <v>36</v>
      </c>
      <c r="O7" s="1"/>
    </row>
    <row x14ac:dyDescent="0.25" r="8" customHeight="1" ht="17.25">
      <c r="A8" s="1" t="s">
        <v>34</v>
      </c>
      <c r="B8" s="1" t="s">
        <v>25</v>
      </c>
      <c r="C8" s="1"/>
      <c r="D8" s="5">
        <v>50000</v>
      </c>
      <c r="E8" s="5">
        <f>D8*2.83168</f>
      </c>
      <c r="F8" s="5">
        <v>1</v>
      </c>
      <c r="G8" s="5">
        <v>8</v>
      </c>
      <c r="H8" s="5">
        <v>0</v>
      </c>
      <c r="I8" s="5">
        <v>24</v>
      </c>
      <c r="J8" s="5">
        <v>0</v>
      </c>
      <c r="K8" s="5">
        <v>6</v>
      </c>
      <c r="L8" s="4">
        <f>0.00327+0.6379</f>
      </c>
      <c r="M8" s="11">
        <f>L8/2.83168</f>
      </c>
      <c r="N8" s="1" t="s">
        <v>36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9</v>
      </c>
      <c r="G9" s="5">
        <v>9</v>
      </c>
      <c r="H9" s="5">
        <v>0</v>
      </c>
      <c r="I9" s="5">
        <v>24</v>
      </c>
      <c r="J9" s="5">
        <v>0</v>
      </c>
      <c r="K9" s="5">
        <v>6</v>
      </c>
      <c r="L9" s="4">
        <f>0.02846+0.6378</f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15000</v>
      </c>
      <c r="E10" s="4">
        <f>D10*2.83168</f>
      </c>
      <c r="F10" s="5">
        <v>9</v>
      </c>
      <c r="G10" s="5">
        <v>9</v>
      </c>
      <c r="H10" s="5">
        <v>0</v>
      </c>
      <c r="I10" s="5">
        <v>24</v>
      </c>
      <c r="J10" s="5">
        <v>0</v>
      </c>
      <c r="K10" s="5">
        <v>6</v>
      </c>
      <c r="L10" s="4">
        <f>0.02075+0.6378</f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50000</v>
      </c>
      <c r="E11" s="5">
        <f>D11*2.83168</f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0.00327+0.6378</f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f>0.02846+0.7816</f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15000</v>
      </c>
      <c r="E13" s="4">
        <f>D13*2.83168</f>
      </c>
      <c r="F13" s="5">
        <v>10</v>
      </c>
      <c r="G13" s="5">
        <v>10</v>
      </c>
      <c r="H13" s="5">
        <v>0</v>
      </c>
      <c r="I13" s="5">
        <v>24</v>
      </c>
      <c r="J13" s="5">
        <v>0</v>
      </c>
      <c r="K13" s="5">
        <v>6</v>
      </c>
      <c r="L13" s="4">
        <f>0.02075+0.7816</f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50000</v>
      </c>
      <c r="E14" s="5">
        <f>D14*2.83168</f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f>0.00327+0.7816</f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11</v>
      </c>
      <c r="H15" s="5">
        <v>0</v>
      </c>
      <c r="I15" s="5">
        <v>24</v>
      </c>
      <c r="J15" s="5">
        <v>0</v>
      </c>
      <c r="K15" s="5">
        <v>6</v>
      </c>
      <c r="L15" s="4">
        <f>0.02846+0.7825</f>
      </c>
      <c r="M15" s="11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15000</v>
      </c>
      <c r="E16" s="4">
        <f>D16*2.83168</f>
      </c>
      <c r="F16" s="5">
        <v>11</v>
      </c>
      <c r="G16" s="5">
        <v>11</v>
      </c>
      <c r="H16" s="5">
        <v>0</v>
      </c>
      <c r="I16" s="5">
        <v>24</v>
      </c>
      <c r="J16" s="5">
        <v>0</v>
      </c>
      <c r="K16" s="5">
        <v>6</v>
      </c>
      <c r="L16" s="4">
        <f>0.02075+0.7825</f>
      </c>
      <c r="M16" s="11">
        <f>L16/2.83168</f>
      </c>
      <c r="N16" s="1" t="s">
        <v>36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50000</v>
      </c>
      <c r="E17" s="5">
        <f>D17*2.83168</f>
      </c>
      <c r="F17" s="5">
        <v>11</v>
      </c>
      <c r="G17" s="5">
        <v>11</v>
      </c>
      <c r="H17" s="5">
        <v>0</v>
      </c>
      <c r="I17" s="5">
        <v>24</v>
      </c>
      <c r="J17" s="5">
        <v>0</v>
      </c>
      <c r="K17" s="5">
        <v>6</v>
      </c>
      <c r="L17" s="4">
        <f>0.00327+0.7825</f>
      </c>
      <c r="M17" s="11">
        <f>L17/2.83168</f>
      </c>
      <c r="N17" s="1" t="s">
        <v>36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12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f>0.02846+0.7751</f>
      </c>
      <c r="M18" s="11">
        <f>L18/2.83168</f>
      </c>
      <c r="N18" s="1" t="s">
        <v>36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15000</v>
      </c>
      <c r="E19" s="4">
        <f>D19*2.83168</f>
      </c>
      <c r="F19" s="5">
        <v>12</v>
      </c>
      <c r="G19" s="5">
        <v>12</v>
      </c>
      <c r="H19" s="5">
        <v>0</v>
      </c>
      <c r="I19" s="5">
        <v>24</v>
      </c>
      <c r="J19" s="5">
        <v>0</v>
      </c>
      <c r="K19" s="5">
        <v>6</v>
      </c>
      <c r="L19" s="4">
        <f>0.02075+0.7751</f>
      </c>
      <c r="M19" s="11">
        <f>L19/2.83168</f>
      </c>
      <c r="N19" s="1" t="s">
        <v>36</v>
      </c>
      <c r="O19" s="1"/>
    </row>
    <row x14ac:dyDescent="0.25" r="20" customHeight="1" ht="17.25">
      <c r="A20" s="1" t="s">
        <v>34</v>
      </c>
      <c r="B20" s="1" t="s">
        <v>25</v>
      </c>
      <c r="C20" s="1"/>
      <c r="D20" s="5">
        <v>50000</v>
      </c>
      <c r="E20" s="5">
        <f>D20*2.83168</f>
      </c>
      <c r="F20" s="5">
        <v>12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f>0.00327+0.7751</f>
      </c>
      <c r="M20" s="11">
        <f>L20/2.83168</f>
      </c>
      <c r="N20" s="1" t="s">
        <v>36</v>
      </c>
      <c r="O20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6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346.29</v>
      </c>
      <c r="M2" s="4">
        <v>346.29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13</v>
      </c>
      <c r="J3" s="5">
        <v>0</v>
      </c>
      <c r="K3" s="5">
        <v>4</v>
      </c>
      <c r="L3" s="4">
        <f>0.02325+0.00458</f>
      </c>
      <c r="M3" s="4">
        <f>0.02325+0.00458</f>
      </c>
      <c r="N3" s="1" t="s">
        <v>26</v>
      </c>
      <c r="O3" s="1" t="s">
        <v>75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12</v>
      </c>
      <c r="H4" s="5">
        <v>13</v>
      </c>
      <c r="I4" s="5">
        <v>19</v>
      </c>
      <c r="J4" s="5">
        <v>0</v>
      </c>
      <c r="K4" s="5">
        <v>4</v>
      </c>
      <c r="L4" s="4">
        <f>0.04069+0.00458</f>
      </c>
      <c r="M4" s="4">
        <f>0.04069+0.00458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12</v>
      </c>
      <c r="H5" s="5">
        <v>19</v>
      </c>
      <c r="I5" s="5">
        <v>24</v>
      </c>
      <c r="J5" s="5">
        <v>0</v>
      </c>
      <c r="K5" s="5">
        <v>4</v>
      </c>
      <c r="L5" s="4">
        <f>0.02325+0.00458</f>
      </c>
      <c r="M5" s="4">
        <f>0.02325+0.00458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5</v>
      </c>
      <c r="K6" s="5">
        <v>6</v>
      </c>
      <c r="L6" s="4">
        <f>0.02325+0.00458</f>
      </c>
      <c r="M6" s="4">
        <f>0.02325+0.00458</f>
      </c>
      <c r="N6" s="1" t="s">
        <v>26</v>
      </c>
      <c r="O6" s="1"/>
    </row>
    <row x14ac:dyDescent="0.25" r="7" customHeight="1" ht="17.25">
      <c r="A7" s="1" t="s">
        <v>13</v>
      </c>
      <c r="B7" s="1" t="s">
        <v>17</v>
      </c>
      <c r="C7" s="1" t="s">
        <v>46</v>
      </c>
      <c r="D7" s="5">
        <v>0</v>
      </c>
      <c r="E7" s="5">
        <v>0</v>
      </c>
      <c r="F7" s="5">
        <v>1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4">
        <v>9.55</v>
      </c>
      <c r="M7" s="4">
        <v>9.55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47</v>
      </c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24</v>
      </c>
      <c r="J8" s="5">
        <v>0</v>
      </c>
      <c r="K8" s="5">
        <v>6</v>
      </c>
      <c r="L8" s="4">
        <v>14.26</v>
      </c>
      <c r="M8" s="4">
        <v>14.26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48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9.55</v>
      </c>
      <c r="M9" s="4">
        <v>9.55</v>
      </c>
      <c r="N9" s="1" t="s">
        <v>19</v>
      </c>
      <c r="O9" s="1"/>
    </row>
    <row x14ac:dyDescent="0.25" r="10" customHeight="1" ht="17.25">
      <c r="A10" s="1" t="s">
        <v>13</v>
      </c>
      <c r="B10" s="1" t="s">
        <v>17</v>
      </c>
      <c r="C10" s="1" t="s">
        <v>24</v>
      </c>
      <c r="D10" s="5">
        <v>0</v>
      </c>
      <c r="E10" s="5">
        <v>0</v>
      </c>
      <c r="F10" s="5">
        <v>1</v>
      </c>
      <c r="G10" s="5">
        <v>12</v>
      </c>
      <c r="H10" s="5">
        <v>0</v>
      </c>
      <c r="I10" s="5">
        <v>24</v>
      </c>
      <c r="J10" s="5">
        <v>0</v>
      </c>
      <c r="K10" s="5">
        <v>6</v>
      </c>
      <c r="L10" s="4">
        <f>3.86+0.53+0.31+1.18</f>
      </c>
      <c r="M10" s="4">
        <f>3.86+0.53+0.31+1.18</f>
      </c>
      <c r="N10" s="1" t="s">
        <v>19</v>
      </c>
      <c r="O10" s="1" t="s">
        <v>76</v>
      </c>
    </row>
    <row x14ac:dyDescent="0.25" r="11" customHeight="1" ht="17.25">
      <c r="A11" s="1" t="s">
        <v>34</v>
      </c>
      <c r="B11" s="1" t="s">
        <v>14</v>
      </c>
      <c r="C11" s="1"/>
      <c r="D11" s="2"/>
      <c r="E11" s="2"/>
      <c r="F11" s="2"/>
      <c r="G11" s="2"/>
      <c r="H11" s="2"/>
      <c r="I11" s="2"/>
      <c r="J11" s="2"/>
      <c r="K11" s="2"/>
      <c r="L11" s="4">
        <v>136.22</v>
      </c>
      <c r="M11" s="4">
        <v>136.22</v>
      </c>
      <c r="N11" s="1" t="s">
        <v>15</v>
      </c>
      <c r="O11" s="1"/>
    </row>
    <row x14ac:dyDescent="0.25" r="12" customHeight="1" ht="17.25">
      <c r="A12" s="1" t="s">
        <v>34</v>
      </c>
      <c r="B12" s="1" t="s">
        <v>17</v>
      </c>
      <c r="C12" s="1" t="s">
        <v>24</v>
      </c>
      <c r="D12" s="5">
        <v>0</v>
      </c>
      <c r="E12" s="5">
        <v>0</v>
      </c>
      <c r="F12" s="5">
        <v>1</v>
      </c>
      <c r="G12" s="5">
        <v>12</v>
      </c>
      <c r="H12" s="5">
        <v>0</v>
      </c>
      <c r="I12" s="5">
        <v>24</v>
      </c>
      <c r="J12" s="5">
        <v>0</v>
      </c>
      <c r="K12" s="5">
        <v>6</v>
      </c>
      <c r="L12" s="4">
        <f>1.1*24</f>
      </c>
      <c r="M12" s="19">
        <f>L12/2.83168</f>
      </c>
      <c r="N12" s="1" t="s">
        <v>35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3</v>
      </c>
      <c r="H13" s="5">
        <v>0</v>
      </c>
      <c r="I13" s="5">
        <v>24</v>
      </c>
      <c r="J13" s="5">
        <v>0</v>
      </c>
      <c r="K13" s="5">
        <v>6</v>
      </c>
      <c r="L13" s="4">
        <f>0.02759+0.3</f>
      </c>
      <c r="M13" s="14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4</v>
      </c>
      <c r="G14" s="5">
        <v>6</v>
      </c>
      <c r="H14" s="5">
        <v>0</v>
      </c>
      <c r="I14" s="5">
        <v>24</v>
      </c>
      <c r="J14" s="5">
        <v>0</v>
      </c>
      <c r="K14" s="5">
        <v>6</v>
      </c>
      <c r="L14" s="4">
        <f>0.02759+0.3327</f>
      </c>
      <c r="M14" s="14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9</v>
      </c>
      <c r="H15" s="5">
        <v>0</v>
      </c>
      <c r="I15" s="5">
        <v>24</v>
      </c>
      <c r="J15" s="5">
        <v>0</v>
      </c>
      <c r="K15" s="5">
        <v>6</v>
      </c>
      <c r="L15" s="4">
        <f>0.02759+0.4057</f>
      </c>
      <c r="M15" s="14">
        <f>L15/2.83168</f>
      </c>
      <c r="N15" s="1" t="s">
        <v>36</v>
      </c>
      <c r="O15" s="1"/>
    </row>
    <row x14ac:dyDescent="0.25" r="16" customHeight="1" ht="17.25">
      <c r="A16" s="1" t="s">
        <v>34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24</v>
      </c>
      <c r="J16" s="5">
        <v>0</v>
      </c>
      <c r="K16" s="5">
        <v>6</v>
      </c>
      <c r="L16" s="4">
        <f>0.02759+0.5254</f>
      </c>
      <c r="M16" s="14">
        <f>L16/2.83168</f>
      </c>
      <c r="N16" s="1" t="s">
        <v>36</v>
      </c>
      <c r="O16" s="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600</v>
      </c>
      <c r="M2" s="5">
        <v>600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7</v>
      </c>
      <c r="J3" s="5">
        <v>0</v>
      </c>
      <c r="K3" s="5">
        <v>4</v>
      </c>
      <c r="L3" s="4">
        <f>0.00566+0.05161</f>
      </c>
      <c r="M3" s="4">
        <f>0.00566+0.05161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7</v>
      </c>
      <c r="I4" s="5">
        <v>11</v>
      </c>
      <c r="J4" s="5">
        <v>0</v>
      </c>
      <c r="K4" s="5">
        <v>4</v>
      </c>
      <c r="L4" s="4">
        <f>0.00566+0.08101</f>
      </c>
      <c r="M4" s="4">
        <f>0.00566+0.08101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11</v>
      </c>
      <c r="I5" s="5">
        <v>17</v>
      </c>
      <c r="J5" s="5">
        <v>0</v>
      </c>
      <c r="K5" s="5">
        <v>4</v>
      </c>
      <c r="L5" s="4">
        <f>0.00566+0.07322</f>
      </c>
      <c r="M5" s="4">
        <f>0.00566+0.07322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17</v>
      </c>
      <c r="I6" s="5">
        <v>21</v>
      </c>
      <c r="J6" s="5">
        <v>0</v>
      </c>
      <c r="K6" s="5">
        <v>4</v>
      </c>
      <c r="L6" s="4">
        <f>0.00566+0.08101</f>
      </c>
      <c r="M6" s="4">
        <f>0.00566+0.08101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21</v>
      </c>
      <c r="I7" s="5">
        <v>24</v>
      </c>
      <c r="J7" s="5">
        <v>0</v>
      </c>
      <c r="K7" s="5">
        <v>4</v>
      </c>
      <c r="L7" s="4">
        <f>0.00566+0.05161</f>
      </c>
      <c r="M7" s="4">
        <f>0.00566+0.05161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0</v>
      </c>
      <c r="I8" s="5">
        <v>24</v>
      </c>
      <c r="J8" s="5">
        <v>5</v>
      </c>
      <c r="K8" s="5">
        <v>6</v>
      </c>
      <c r="L8" s="4">
        <f>0.00566+0.05161</f>
      </c>
      <c r="M8" s="4">
        <f>0.00566+0.05161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7</v>
      </c>
      <c r="J9" s="5">
        <v>0</v>
      </c>
      <c r="K9" s="5">
        <v>4</v>
      </c>
      <c r="L9" s="4">
        <f>0.00566+0.05161</f>
      </c>
      <c r="M9" s="4">
        <f>0.00566+0.05161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7</v>
      </c>
      <c r="I10" s="5">
        <v>10</v>
      </c>
      <c r="J10" s="5">
        <v>0</v>
      </c>
      <c r="K10" s="5">
        <v>4</v>
      </c>
      <c r="L10" s="4">
        <f>0.00566+0.07322</f>
      </c>
      <c r="M10" s="4">
        <f>0.00566+0.07322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10</v>
      </c>
      <c r="I11" s="5">
        <v>20</v>
      </c>
      <c r="J11" s="5">
        <v>0</v>
      </c>
      <c r="K11" s="5">
        <v>4</v>
      </c>
      <c r="L11" s="4">
        <f>0.00566+0.08101</f>
      </c>
      <c r="M11" s="4">
        <f>0.00566+0.08101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20</v>
      </c>
      <c r="I12" s="5">
        <v>23</v>
      </c>
      <c r="J12" s="5">
        <v>0</v>
      </c>
      <c r="K12" s="5">
        <v>4</v>
      </c>
      <c r="L12" s="4">
        <f>0.00566+0.07322</f>
      </c>
      <c r="M12" s="4">
        <f>0.00566+0.07322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4</v>
      </c>
      <c r="L13" s="4">
        <f>0.00566+0.05161</f>
      </c>
      <c r="M13" s="4">
        <f>0.00566+0.05161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9</v>
      </c>
      <c r="H14" s="5">
        <v>0</v>
      </c>
      <c r="I14" s="5">
        <v>24</v>
      </c>
      <c r="J14" s="5">
        <v>5</v>
      </c>
      <c r="K14" s="5">
        <v>6</v>
      </c>
      <c r="L14" s="4">
        <f>0.00566+0.05161</f>
      </c>
      <c r="M14" s="4">
        <f>0.00566+0.05161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0</v>
      </c>
      <c r="I15" s="5">
        <v>7</v>
      </c>
      <c r="J15" s="5">
        <v>0</v>
      </c>
      <c r="K15" s="5">
        <v>4</v>
      </c>
      <c r="L15" s="4">
        <f>0.00566+0.05161</f>
      </c>
      <c r="M15" s="4">
        <f>0.00566+0.05161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7</v>
      </c>
      <c r="I16" s="5">
        <v>11</v>
      </c>
      <c r="J16" s="5">
        <v>0</v>
      </c>
      <c r="K16" s="5">
        <v>4</v>
      </c>
      <c r="L16" s="4">
        <f>0.00566+0.07322</f>
      </c>
      <c r="M16" s="4">
        <f>0.00566+0.07322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11</v>
      </c>
      <c r="I17" s="5">
        <v>17</v>
      </c>
      <c r="J17" s="5">
        <v>0</v>
      </c>
      <c r="K17" s="5">
        <v>4</v>
      </c>
      <c r="L17" s="4">
        <f>0.00566+0.08101</f>
      </c>
      <c r="M17" s="4">
        <f>0.00566+0.08101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17</v>
      </c>
      <c r="I18" s="5">
        <v>21</v>
      </c>
      <c r="J18" s="5">
        <v>0</v>
      </c>
      <c r="K18" s="5">
        <v>4</v>
      </c>
      <c r="L18" s="4">
        <f>0.00566+0.07322</f>
      </c>
      <c r="M18" s="4">
        <f>0.00566+0.07322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10</v>
      </c>
      <c r="G19" s="5">
        <v>12</v>
      </c>
      <c r="H19" s="5">
        <v>21</v>
      </c>
      <c r="I19" s="5">
        <v>24</v>
      </c>
      <c r="J19" s="5">
        <v>0</v>
      </c>
      <c r="K19" s="5">
        <v>4</v>
      </c>
      <c r="L19" s="4">
        <f>0.00566+0.05161</f>
      </c>
      <c r="M19" s="4">
        <f>0.00566+0.05161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10</v>
      </c>
      <c r="G20" s="5">
        <v>12</v>
      </c>
      <c r="H20" s="5">
        <v>0</v>
      </c>
      <c r="I20" s="5">
        <v>24</v>
      </c>
      <c r="J20" s="5">
        <v>5</v>
      </c>
      <c r="K20" s="5">
        <v>6</v>
      </c>
      <c r="L20" s="4">
        <f>0.00566+0.05161</f>
      </c>
      <c r="M20" s="4">
        <f>0.00566+0.05161</f>
      </c>
      <c r="N20" s="1" t="s">
        <v>26</v>
      </c>
      <c r="O20" s="1"/>
    </row>
    <row x14ac:dyDescent="0.25" r="21" customHeight="1" ht="17.25">
      <c r="A21" s="1" t="s">
        <v>13</v>
      </c>
      <c r="B21" s="1" t="s">
        <v>17</v>
      </c>
      <c r="C21" s="1" t="s">
        <v>24</v>
      </c>
      <c r="D21" s="5">
        <v>0</v>
      </c>
      <c r="E21" s="5">
        <v>0</v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3.11+3.93</f>
      </c>
      <c r="M21" s="4">
        <f>3.11+3.93</f>
      </c>
      <c r="N21" s="1" t="s">
        <v>19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3"/>
      <c r="F22" s="2"/>
      <c r="G22" s="2"/>
      <c r="H22" s="2"/>
      <c r="I22" s="2"/>
      <c r="J22" s="2"/>
      <c r="K22" s="2"/>
      <c r="L22" s="4">
        <f>36.3+65</f>
      </c>
      <c r="M22" s="4">
        <f>36.3+65</f>
      </c>
      <c r="N22" s="1" t="s">
        <v>15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0.5357+0.0006</f>
      </c>
      <c r="M23" s="14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v>10000</v>
      </c>
      <c r="E24" s="4">
        <f>D24*2.83168</f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0.2845+0.0006</f>
      </c>
      <c r="M24" s="14">
        <f>L24/2.83168</f>
      </c>
      <c r="N24" s="1" t="s">
        <v>36</v>
      </c>
      <c r="O24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1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6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9"/>
      <c r="D2" s="10"/>
      <c r="E2" s="10"/>
      <c r="F2" s="10"/>
      <c r="G2" s="10"/>
      <c r="H2" s="10"/>
      <c r="I2" s="10"/>
      <c r="J2" s="10"/>
      <c r="K2" s="10"/>
      <c r="L2" s="5">
        <v>41800</v>
      </c>
      <c r="M2" s="5">
        <v>41800</v>
      </c>
      <c r="N2" s="1" t="s">
        <v>15</v>
      </c>
      <c r="O2" s="9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v>0.0238981338</v>
      </c>
      <c r="M3" s="11">
        <v>0.0238981338</v>
      </c>
      <c r="N3" s="1" t="s">
        <v>26</v>
      </c>
      <c r="O3" s="1" t="s">
        <v>49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v>0.03604653134</v>
      </c>
      <c r="M4" s="11">
        <v>0.03604653134</v>
      </c>
      <c r="N4" s="1" t="s">
        <v>26</v>
      </c>
      <c r="O4" s="1" t="s">
        <v>49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v>0.02447091375</v>
      </c>
      <c r="M5" s="11">
        <v>0.02447091375</v>
      </c>
      <c r="N5" s="1" t="s">
        <v>26</v>
      </c>
      <c r="O5" s="1" t="s">
        <v>49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v>0.02544539507</v>
      </c>
      <c r="M6" s="11">
        <v>0.02544539507</v>
      </c>
      <c r="N6" s="1" t="s">
        <v>26</v>
      </c>
      <c r="O6" s="1" t="s">
        <v>49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v>0.02708647666</v>
      </c>
      <c r="M7" s="11">
        <v>0.02708647666</v>
      </c>
      <c r="N7" s="1" t="s">
        <v>26</v>
      </c>
      <c r="O7" s="1" t="s">
        <v>49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v>0.03223785575</v>
      </c>
      <c r="M8" s="11">
        <v>0.03223785575</v>
      </c>
      <c r="N8" s="1" t="s">
        <v>26</v>
      </c>
      <c r="O8" s="1" t="s">
        <v>49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1">
        <v>0.03445694988</v>
      </c>
      <c r="M9" s="11">
        <v>0.03445694988</v>
      </c>
      <c r="N9" s="1" t="s">
        <v>26</v>
      </c>
      <c r="O9" s="1" t="s">
        <v>49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v>0.04288218833</v>
      </c>
      <c r="M10" s="11">
        <v>0.04288218833</v>
      </c>
      <c r="N10" s="1" t="s">
        <v>26</v>
      </c>
      <c r="O10" s="1" t="s">
        <v>49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v>0.04568178738</v>
      </c>
      <c r="M11" s="11">
        <v>0.04568178738</v>
      </c>
      <c r="N11" s="1" t="s">
        <v>26</v>
      </c>
      <c r="O11" s="1" t="s">
        <v>49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v>0.0585827337</v>
      </c>
      <c r="M12" s="11">
        <v>0.0585827337</v>
      </c>
      <c r="N12" s="1" t="s">
        <v>26</v>
      </c>
      <c r="O12" s="1" t="s">
        <v>49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v>0.06501762056</v>
      </c>
      <c r="M13" s="11">
        <v>0.06501762056</v>
      </c>
      <c r="N13" s="1" t="s">
        <v>26</v>
      </c>
      <c r="O13" s="1" t="s">
        <v>49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v>0.03645729468</v>
      </c>
      <c r="M14" s="11">
        <v>0.03645729468</v>
      </c>
      <c r="N14" s="1" t="s">
        <v>26</v>
      </c>
      <c r="O14" s="1" t="s">
        <v>49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5">
        <v>0</v>
      </c>
      <c r="M15" s="5">
        <v>0</v>
      </c>
      <c r="N15" s="1" t="s">
        <v>19</v>
      </c>
      <c r="O15" s="1" t="s">
        <v>74</v>
      </c>
    </row>
    <row x14ac:dyDescent="0.25" r="16" customHeight="1" ht="17.25">
      <c r="A16" s="1" t="s">
        <v>13</v>
      </c>
      <c r="B16" s="1" t="s">
        <v>17</v>
      </c>
      <c r="C16" s="1" t="s">
        <v>24</v>
      </c>
      <c r="D16" s="5">
        <v>5000</v>
      </c>
      <c r="E16" s="5">
        <v>5000</v>
      </c>
      <c r="F16" s="5">
        <v>1</v>
      </c>
      <c r="G16" s="5">
        <v>12</v>
      </c>
      <c r="H16" s="5">
        <v>0</v>
      </c>
      <c r="I16" s="5">
        <v>24</v>
      </c>
      <c r="J16" s="5">
        <v>0</v>
      </c>
      <c r="K16" s="5">
        <v>6</v>
      </c>
      <c r="L16" s="4">
        <v>16.63</v>
      </c>
      <c r="M16" s="4">
        <v>16.63</v>
      </c>
      <c r="N16" s="1" t="s">
        <v>19</v>
      </c>
      <c r="O16" s="1"/>
    </row>
    <row x14ac:dyDescent="0.25" r="17" customHeight="1" ht="17.25">
      <c r="A17" s="1" t="s">
        <v>34</v>
      </c>
      <c r="B17" s="1" t="s">
        <v>14</v>
      </c>
      <c r="C17" s="1"/>
      <c r="D17" s="2"/>
      <c r="E17" s="2"/>
      <c r="F17" s="2"/>
      <c r="G17" s="2"/>
      <c r="H17" s="2"/>
      <c r="I17" s="2"/>
      <c r="J17" s="2"/>
      <c r="K17" s="2"/>
      <c r="L17" s="17">
        <v>1104</v>
      </c>
      <c r="M17" s="17">
        <v>1104</v>
      </c>
      <c r="N17" s="1" t="s">
        <v>15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12</v>
      </c>
      <c r="H18" s="5">
        <v>0</v>
      </c>
      <c r="I18" s="5">
        <v>24</v>
      </c>
      <c r="J18" s="5">
        <v>0</v>
      </c>
      <c r="K18" s="5">
        <v>6</v>
      </c>
      <c r="L18" s="4">
        <v>0.77109</v>
      </c>
      <c r="M18" s="14">
        <f>L18/2.83168</f>
      </c>
      <c r="N18" s="1" t="s">
        <v>36</v>
      </c>
      <c r="O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3074.01</v>
      </c>
      <c r="M2" s="4">
        <v>3074.01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72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20</v>
      </c>
      <c r="J3" s="5">
        <v>0</v>
      </c>
      <c r="K3" s="5">
        <v>4</v>
      </c>
      <c r="L3" s="4">
        <v>11.56</v>
      </c>
      <c r="M3" s="4">
        <v>11.56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18</v>
      </c>
      <c r="D4" s="5">
        <v>0</v>
      </c>
      <c r="E4" s="5">
        <v>0</v>
      </c>
      <c r="F4" s="5">
        <v>6</v>
      </c>
      <c r="G4" s="5">
        <v>8</v>
      </c>
      <c r="H4" s="5">
        <v>8</v>
      </c>
      <c r="I4" s="5">
        <v>20</v>
      </c>
      <c r="J4" s="5">
        <v>0</v>
      </c>
      <c r="K4" s="5">
        <v>4</v>
      </c>
      <c r="L4" s="4">
        <v>19.03</v>
      </c>
      <c r="M4" s="4">
        <v>19.03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73</v>
      </c>
      <c r="D5" s="5">
        <v>0</v>
      </c>
      <c r="E5" s="5">
        <v>0</v>
      </c>
      <c r="F5" s="5">
        <v>9</v>
      </c>
      <c r="G5" s="5">
        <v>12</v>
      </c>
      <c r="H5" s="5">
        <v>8</v>
      </c>
      <c r="I5" s="5">
        <v>20</v>
      </c>
      <c r="J5" s="5">
        <v>0</v>
      </c>
      <c r="K5" s="5">
        <v>4</v>
      </c>
      <c r="L5" s="4">
        <v>11.56</v>
      </c>
      <c r="M5" s="4">
        <v>11.56</v>
      </c>
      <c r="N5" s="1" t="s">
        <v>19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3</v>
      </c>
      <c r="H6" s="5">
        <v>0</v>
      </c>
      <c r="I6" s="5">
        <v>8</v>
      </c>
      <c r="J6" s="5">
        <v>0</v>
      </c>
      <c r="K6" s="5">
        <v>4</v>
      </c>
      <c r="L6" s="4">
        <f>0.0146972+0.0232865</f>
      </c>
      <c r="M6" s="4">
        <f>0.0146972+0.0232865</f>
      </c>
      <c r="N6" s="1" t="s">
        <v>26</v>
      </c>
      <c r="O6" s="1" t="s">
        <v>132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3</v>
      </c>
      <c r="H7" s="5">
        <v>8</v>
      </c>
      <c r="I7" s="5">
        <v>20</v>
      </c>
      <c r="J7" s="5">
        <v>0</v>
      </c>
      <c r="K7" s="5">
        <v>4</v>
      </c>
      <c r="L7" s="4">
        <f>0.0236715+0.0232865</f>
      </c>
      <c r="M7" s="4">
        <f>0.0236715+0.0232865</f>
      </c>
      <c r="N7" s="1" t="s">
        <v>26</v>
      </c>
      <c r="O7" s="1" t="s">
        <v>132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3</v>
      </c>
      <c r="H8" s="5">
        <v>20</v>
      </c>
      <c r="I8" s="5">
        <v>24</v>
      </c>
      <c r="J8" s="5">
        <v>0</v>
      </c>
      <c r="K8" s="5">
        <v>4</v>
      </c>
      <c r="L8" s="4">
        <f>0.0146972+0.0232865</f>
      </c>
      <c r="M8" s="4">
        <f>0.0146972+0.0232865</f>
      </c>
      <c r="N8" s="1" t="s">
        <v>26</v>
      </c>
      <c r="O8" s="1" t="s">
        <v>132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3</v>
      </c>
      <c r="H9" s="5">
        <v>0</v>
      </c>
      <c r="I9" s="5">
        <v>24</v>
      </c>
      <c r="J9" s="5">
        <v>5</v>
      </c>
      <c r="K9" s="5">
        <v>6</v>
      </c>
      <c r="L9" s="4">
        <f>0.0146972+0.0232865</f>
      </c>
      <c r="M9" s="4">
        <f>0.0146972+0.0232865</f>
      </c>
      <c r="N9" s="1" t="s">
        <v>26</v>
      </c>
      <c r="O9" s="1" t="s">
        <v>132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5</v>
      </c>
      <c r="H10" s="5">
        <v>0</v>
      </c>
      <c r="I10" s="5">
        <v>8</v>
      </c>
      <c r="J10" s="5">
        <v>0</v>
      </c>
      <c r="K10" s="5">
        <v>4</v>
      </c>
      <c r="L10" s="4">
        <f>0.0146972+0.0295023</f>
      </c>
      <c r="M10" s="4">
        <f>0.0146972+0.0295023</f>
      </c>
      <c r="N10" s="1" t="s">
        <v>26</v>
      </c>
      <c r="O10" s="1" t="s">
        <v>132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4</v>
      </c>
      <c r="G11" s="5">
        <v>5</v>
      </c>
      <c r="H11" s="5">
        <v>8</v>
      </c>
      <c r="I11" s="5">
        <v>20</v>
      </c>
      <c r="J11" s="5">
        <v>0</v>
      </c>
      <c r="K11" s="5">
        <v>4</v>
      </c>
      <c r="L11" s="4">
        <f>0.0236715+0.0295023</f>
      </c>
      <c r="M11" s="4">
        <f>0.0236715+0.0295023</f>
      </c>
      <c r="N11" s="1" t="s">
        <v>26</v>
      </c>
      <c r="O11" s="1" t="s">
        <v>132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4</v>
      </c>
      <c r="G12" s="5">
        <v>5</v>
      </c>
      <c r="H12" s="5">
        <v>20</v>
      </c>
      <c r="I12" s="5">
        <v>24</v>
      </c>
      <c r="J12" s="5">
        <v>0</v>
      </c>
      <c r="K12" s="5">
        <v>4</v>
      </c>
      <c r="L12" s="4">
        <f>0.0146972+0.0295023</f>
      </c>
      <c r="M12" s="4">
        <f>0.0146972+0.0295023</f>
      </c>
      <c r="N12" s="1" t="s">
        <v>26</v>
      </c>
      <c r="O12" s="1" t="s">
        <v>132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4</v>
      </c>
      <c r="G13" s="5">
        <v>5</v>
      </c>
      <c r="H13" s="5">
        <v>0</v>
      </c>
      <c r="I13" s="5">
        <v>24</v>
      </c>
      <c r="J13" s="5">
        <v>5</v>
      </c>
      <c r="K13" s="5">
        <v>6</v>
      </c>
      <c r="L13" s="4">
        <f>0.0146972+0.0295023</f>
      </c>
      <c r="M13" s="4">
        <f>0.0146972+0.0295023</f>
      </c>
      <c r="N13" s="1" t="s">
        <v>26</v>
      </c>
      <c r="O13" s="1" t="s">
        <v>132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6</v>
      </c>
      <c r="H14" s="5">
        <v>0</v>
      </c>
      <c r="I14" s="5">
        <v>8</v>
      </c>
      <c r="J14" s="5">
        <v>0</v>
      </c>
      <c r="K14" s="5">
        <v>4</v>
      </c>
      <c r="L14" s="4">
        <f>0.0146972+0.0295023</f>
      </c>
      <c r="M14" s="4">
        <f>0.0146972+0.0295023</f>
      </c>
      <c r="N14" s="1" t="s">
        <v>26</v>
      </c>
      <c r="O14" s="1" t="s">
        <v>132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6</v>
      </c>
      <c r="G15" s="5">
        <v>6</v>
      </c>
      <c r="H15" s="5">
        <v>8</v>
      </c>
      <c r="I15" s="5">
        <v>20</v>
      </c>
      <c r="J15" s="5">
        <v>0</v>
      </c>
      <c r="K15" s="5">
        <v>4</v>
      </c>
      <c r="L15" s="4">
        <f>0.0331658+0.0295023</f>
      </c>
      <c r="M15" s="4">
        <f>0.0331658+0.0295023</f>
      </c>
      <c r="N15" s="1" t="s">
        <v>26</v>
      </c>
      <c r="O15" s="1" t="s">
        <v>132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6</v>
      </c>
      <c r="H16" s="5">
        <v>20</v>
      </c>
      <c r="I16" s="5">
        <v>24</v>
      </c>
      <c r="J16" s="5">
        <v>0</v>
      </c>
      <c r="K16" s="5">
        <v>4</v>
      </c>
      <c r="L16" s="4">
        <f>0.0146972+0.0295023</f>
      </c>
      <c r="M16" s="4">
        <f>0.0146972+0.0295023</f>
      </c>
      <c r="N16" s="1" t="s">
        <v>26</v>
      </c>
      <c r="O16" s="1" t="s">
        <v>132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0</v>
      </c>
      <c r="I17" s="5">
        <v>24</v>
      </c>
      <c r="J17" s="5">
        <v>5</v>
      </c>
      <c r="K17" s="5">
        <v>6</v>
      </c>
      <c r="L17" s="4">
        <f>0.0146972+0.0295023</f>
      </c>
      <c r="M17" s="4">
        <f>0.0146972+0.0295023</f>
      </c>
      <c r="N17" s="1" t="s">
        <v>26</v>
      </c>
      <c r="O17" s="1" t="s">
        <v>132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7</v>
      </c>
      <c r="G18" s="5">
        <v>8</v>
      </c>
      <c r="H18" s="5">
        <v>0</v>
      </c>
      <c r="I18" s="5">
        <v>8</v>
      </c>
      <c r="J18" s="5">
        <v>0</v>
      </c>
      <c r="K18" s="5">
        <v>4</v>
      </c>
      <c r="L18" s="4">
        <f>0.0146972+0.0315661</f>
      </c>
      <c r="M18" s="4">
        <f>0.0146972+0.0315661</f>
      </c>
      <c r="N18" s="1" t="s">
        <v>26</v>
      </c>
      <c r="O18" s="1" t="s">
        <v>132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7</v>
      </c>
      <c r="G19" s="5">
        <v>8</v>
      </c>
      <c r="H19" s="5">
        <v>8</v>
      </c>
      <c r="I19" s="5">
        <v>20</v>
      </c>
      <c r="J19" s="5">
        <v>0</v>
      </c>
      <c r="K19" s="5">
        <v>4</v>
      </c>
      <c r="L19" s="4">
        <f>0.0331658+0.0315661</f>
      </c>
      <c r="M19" s="4">
        <f>0.0331658+0.0315661</f>
      </c>
      <c r="N19" s="1" t="s">
        <v>26</v>
      </c>
      <c r="O19" s="1" t="s">
        <v>132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8</v>
      </c>
      <c r="H20" s="5">
        <v>20</v>
      </c>
      <c r="I20" s="5">
        <v>24</v>
      </c>
      <c r="J20" s="5">
        <v>0</v>
      </c>
      <c r="K20" s="5">
        <v>4</v>
      </c>
      <c r="L20" s="4">
        <f>0.0146972+0.0315661</f>
      </c>
      <c r="M20" s="4">
        <f>0.0146972+0.0315661</f>
      </c>
      <c r="N20" s="1" t="s">
        <v>26</v>
      </c>
      <c r="O20" s="1" t="s">
        <v>132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8</v>
      </c>
      <c r="H21" s="5">
        <v>0</v>
      </c>
      <c r="I21" s="5">
        <v>24</v>
      </c>
      <c r="J21" s="5">
        <v>5</v>
      </c>
      <c r="K21" s="5">
        <v>6</v>
      </c>
      <c r="L21" s="4">
        <f>0.0146972+0.0315661</f>
      </c>
      <c r="M21" s="4">
        <f>0.0146972+0.0315661</f>
      </c>
      <c r="N21" s="1" t="s">
        <v>26</v>
      </c>
      <c r="O21" s="1" t="s">
        <v>132</v>
      </c>
    </row>
    <row x14ac:dyDescent="0.25" r="22" customHeight="1" ht="17.25">
      <c r="A22" s="1" t="s">
        <v>13</v>
      </c>
      <c r="B22" s="1" t="s">
        <v>25</v>
      </c>
      <c r="C22" s="11"/>
      <c r="D22" s="5">
        <v>0</v>
      </c>
      <c r="E22" s="5">
        <v>0</v>
      </c>
      <c r="F22" s="5">
        <v>9</v>
      </c>
      <c r="G22" s="5">
        <v>9</v>
      </c>
      <c r="H22" s="5">
        <v>0</v>
      </c>
      <c r="I22" s="5">
        <v>8</v>
      </c>
      <c r="J22" s="5">
        <v>0</v>
      </c>
      <c r="K22" s="5">
        <v>4</v>
      </c>
      <c r="L22" s="4">
        <f>0.0146972+0.0315661</f>
      </c>
      <c r="M22" s="4">
        <f>0.0146972+0.0315661</f>
      </c>
      <c r="N22" s="1" t="s">
        <v>26</v>
      </c>
      <c r="O22" s="1" t="s">
        <v>132</v>
      </c>
    </row>
    <row x14ac:dyDescent="0.25" r="23" customHeight="1" ht="17.25">
      <c r="A23" s="1" t="s">
        <v>13</v>
      </c>
      <c r="B23" s="1" t="s">
        <v>25</v>
      </c>
      <c r="C23" s="11"/>
      <c r="D23" s="5">
        <v>0</v>
      </c>
      <c r="E23" s="5">
        <v>0</v>
      </c>
      <c r="F23" s="5">
        <v>9</v>
      </c>
      <c r="G23" s="5">
        <v>9</v>
      </c>
      <c r="H23" s="5">
        <v>8</v>
      </c>
      <c r="I23" s="5">
        <v>20</v>
      </c>
      <c r="J23" s="5">
        <v>0</v>
      </c>
      <c r="K23" s="5">
        <v>4</v>
      </c>
      <c r="L23" s="4">
        <f>0.0236715+0.0315661</f>
      </c>
      <c r="M23" s="4">
        <f>0.0236715+0.0315661</f>
      </c>
      <c r="N23" s="1" t="s">
        <v>26</v>
      </c>
      <c r="O23" s="1" t="s">
        <v>132</v>
      </c>
    </row>
    <row x14ac:dyDescent="0.25" r="24" customHeight="1" ht="17.25">
      <c r="A24" s="1" t="s">
        <v>13</v>
      </c>
      <c r="B24" s="1" t="s">
        <v>25</v>
      </c>
      <c r="C24" s="11"/>
      <c r="D24" s="5">
        <v>0</v>
      </c>
      <c r="E24" s="5">
        <v>0</v>
      </c>
      <c r="F24" s="5">
        <v>9</v>
      </c>
      <c r="G24" s="5">
        <v>9</v>
      </c>
      <c r="H24" s="5">
        <v>20</v>
      </c>
      <c r="I24" s="5">
        <v>24</v>
      </c>
      <c r="J24" s="5">
        <v>0</v>
      </c>
      <c r="K24" s="5">
        <v>4</v>
      </c>
      <c r="L24" s="4">
        <f>0.0146972+0.0315661</f>
      </c>
      <c r="M24" s="4">
        <f>0.0146972+0.0315661</f>
      </c>
      <c r="N24" s="1" t="s">
        <v>26</v>
      </c>
      <c r="O24" s="1" t="s">
        <v>132</v>
      </c>
    </row>
    <row x14ac:dyDescent="0.25" r="25" customHeight="1" ht="17.25">
      <c r="A25" s="1" t="s">
        <v>13</v>
      </c>
      <c r="B25" s="1" t="s">
        <v>25</v>
      </c>
      <c r="C25" s="11"/>
      <c r="D25" s="5">
        <v>0</v>
      </c>
      <c r="E25" s="5">
        <v>0</v>
      </c>
      <c r="F25" s="5">
        <v>9</v>
      </c>
      <c r="G25" s="5">
        <v>9</v>
      </c>
      <c r="H25" s="5">
        <v>0</v>
      </c>
      <c r="I25" s="5">
        <v>24</v>
      </c>
      <c r="J25" s="5">
        <v>5</v>
      </c>
      <c r="K25" s="5">
        <v>6</v>
      </c>
      <c r="L25" s="4">
        <f>0.0146972+0.0315661</f>
      </c>
      <c r="M25" s="4">
        <f>0.0146972+0.0315661</f>
      </c>
      <c r="N25" s="1" t="s">
        <v>26</v>
      </c>
      <c r="O25" s="1" t="s">
        <v>132</v>
      </c>
    </row>
    <row x14ac:dyDescent="0.25" r="26" customHeight="1" ht="17.25">
      <c r="A26" s="1" t="s">
        <v>13</v>
      </c>
      <c r="B26" s="1" t="s">
        <v>25</v>
      </c>
      <c r="C26" s="11"/>
      <c r="D26" s="5">
        <v>0</v>
      </c>
      <c r="E26" s="5">
        <v>0</v>
      </c>
      <c r="F26" s="5">
        <v>10</v>
      </c>
      <c r="G26" s="5">
        <v>12</v>
      </c>
      <c r="H26" s="5">
        <v>0</v>
      </c>
      <c r="I26" s="5">
        <v>8</v>
      </c>
      <c r="J26" s="5">
        <v>0</v>
      </c>
      <c r="K26" s="5">
        <v>4</v>
      </c>
      <c r="L26" s="4">
        <f>0.0146972+0.0371873</f>
      </c>
      <c r="M26" s="4">
        <f>0.0146972+0.0371873</f>
      </c>
      <c r="N26" s="1" t="s">
        <v>26</v>
      </c>
      <c r="O26" s="1" t="s">
        <v>132</v>
      </c>
    </row>
    <row x14ac:dyDescent="0.25" r="27" customHeight="1" ht="17.25">
      <c r="A27" s="1" t="s">
        <v>13</v>
      </c>
      <c r="B27" s="1" t="s">
        <v>25</v>
      </c>
      <c r="C27" s="11"/>
      <c r="D27" s="5">
        <v>0</v>
      </c>
      <c r="E27" s="5">
        <v>0</v>
      </c>
      <c r="F27" s="5">
        <v>10</v>
      </c>
      <c r="G27" s="5">
        <v>12</v>
      </c>
      <c r="H27" s="5">
        <v>8</v>
      </c>
      <c r="I27" s="5">
        <v>20</v>
      </c>
      <c r="J27" s="5">
        <v>0</v>
      </c>
      <c r="K27" s="5">
        <v>4</v>
      </c>
      <c r="L27" s="4">
        <f>0.0236715+0.0371873</f>
      </c>
      <c r="M27" s="4">
        <f>0.0236715+0.0371873</f>
      </c>
      <c r="N27" s="1" t="s">
        <v>26</v>
      </c>
      <c r="O27" s="1" t="s">
        <v>132</v>
      </c>
    </row>
    <row x14ac:dyDescent="0.25" r="28" customHeight="1" ht="17.25">
      <c r="A28" s="1" t="s">
        <v>13</v>
      </c>
      <c r="B28" s="1" t="s">
        <v>25</v>
      </c>
      <c r="C28" s="11"/>
      <c r="D28" s="5">
        <v>0</v>
      </c>
      <c r="E28" s="5">
        <v>0</v>
      </c>
      <c r="F28" s="5">
        <v>10</v>
      </c>
      <c r="G28" s="5">
        <v>12</v>
      </c>
      <c r="H28" s="5">
        <v>20</v>
      </c>
      <c r="I28" s="5">
        <v>24</v>
      </c>
      <c r="J28" s="5">
        <v>0</v>
      </c>
      <c r="K28" s="5">
        <v>4</v>
      </c>
      <c r="L28" s="4">
        <f>0.0146972+0.0371873</f>
      </c>
      <c r="M28" s="4">
        <f>0.0146972+0.0371873</f>
      </c>
      <c r="N28" s="1" t="s">
        <v>26</v>
      </c>
      <c r="O28" s="1" t="s">
        <v>132</v>
      </c>
    </row>
    <row x14ac:dyDescent="0.25" r="29" customHeight="1" ht="17.25">
      <c r="A29" s="1" t="s">
        <v>13</v>
      </c>
      <c r="B29" s="1" t="s">
        <v>25</v>
      </c>
      <c r="C29" s="11"/>
      <c r="D29" s="5">
        <v>0</v>
      </c>
      <c r="E29" s="5">
        <v>0</v>
      </c>
      <c r="F29" s="5">
        <v>10</v>
      </c>
      <c r="G29" s="5">
        <v>12</v>
      </c>
      <c r="H29" s="5">
        <v>0</v>
      </c>
      <c r="I29" s="5">
        <v>24</v>
      </c>
      <c r="J29" s="5">
        <v>5</v>
      </c>
      <c r="K29" s="5">
        <v>6</v>
      </c>
      <c r="L29" s="4">
        <f>0.0146972+0.0371873</f>
      </c>
      <c r="M29" s="4">
        <f>0.0146972+0.0371873</f>
      </c>
      <c r="N29" s="1" t="s">
        <v>26</v>
      </c>
      <c r="O29" s="1" t="s">
        <v>132</v>
      </c>
    </row>
    <row x14ac:dyDescent="0.25" r="30" customHeight="1" ht="17.25">
      <c r="A30" s="1" t="s">
        <v>34</v>
      </c>
      <c r="B30" s="1" t="s">
        <v>14</v>
      </c>
      <c r="C30" s="11"/>
      <c r="D30" s="2"/>
      <c r="E30" s="2"/>
      <c r="F30" s="2"/>
      <c r="G30" s="2"/>
      <c r="H30" s="2"/>
      <c r="I30" s="2"/>
      <c r="J30" s="2"/>
      <c r="K30" s="2"/>
      <c r="L30" s="5">
        <v>55</v>
      </c>
      <c r="M30" s="5">
        <v>55</v>
      </c>
      <c r="N30" s="1" t="s">
        <v>15</v>
      </c>
      <c r="O30" s="1"/>
    </row>
    <row x14ac:dyDescent="0.25" r="31" customHeight="1" ht="17.25">
      <c r="A31" s="1" t="s">
        <v>34</v>
      </c>
      <c r="B31" s="1" t="s">
        <v>25</v>
      </c>
      <c r="C31" s="11"/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24</v>
      </c>
      <c r="J31" s="5">
        <v>0</v>
      </c>
      <c r="K31" s="5">
        <v>6</v>
      </c>
      <c r="L31" s="4">
        <f>0.3081+0.0337</f>
      </c>
      <c r="M31" s="11">
        <f>L31/2.83168</f>
      </c>
      <c r="N31" s="1" t="s">
        <v>36</v>
      </c>
      <c r="O31" s="1" t="s">
        <v>133</v>
      </c>
    </row>
    <row x14ac:dyDescent="0.25" r="32" customHeight="1" ht="17.25">
      <c r="A32" s="1" t="s">
        <v>34</v>
      </c>
      <c r="B32" s="1" t="s">
        <v>25</v>
      </c>
      <c r="C32" s="1"/>
      <c r="D32" s="5">
        <v>0</v>
      </c>
      <c r="E32" s="5">
        <v>0</v>
      </c>
      <c r="F32" s="5">
        <v>2</v>
      </c>
      <c r="G32" s="5">
        <v>2</v>
      </c>
      <c r="H32" s="5">
        <v>0</v>
      </c>
      <c r="I32" s="5">
        <v>24</v>
      </c>
      <c r="J32" s="5">
        <v>0</v>
      </c>
      <c r="K32" s="5">
        <v>6</v>
      </c>
      <c r="L32" s="4">
        <f>0.3124+0.0337</f>
      </c>
      <c r="M32" s="11">
        <f>L32/2.83168</f>
      </c>
      <c r="N32" s="1" t="s">
        <v>36</v>
      </c>
      <c r="O32" s="1" t="s">
        <v>133</v>
      </c>
    </row>
    <row x14ac:dyDescent="0.25" r="33" customHeight="1" ht="17.25">
      <c r="A33" s="1" t="s">
        <v>34</v>
      </c>
      <c r="B33" s="1" t="s">
        <v>25</v>
      </c>
      <c r="C33" s="1"/>
      <c r="D33" s="5">
        <v>0</v>
      </c>
      <c r="E33" s="5">
        <v>0</v>
      </c>
      <c r="F33" s="5">
        <v>3</v>
      </c>
      <c r="G33" s="5">
        <v>3</v>
      </c>
      <c r="H33" s="5">
        <v>0</v>
      </c>
      <c r="I33" s="5">
        <v>24</v>
      </c>
      <c r="J33" s="5">
        <v>0</v>
      </c>
      <c r="K33" s="5">
        <v>6</v>
      </c>
      <c r="L33" s="4">
        <f>0.2499+0.0337</f>
      </c>
      <c r="M33" s="11">
        <f>L33/2.83168</f>
      </c>
      <c r="N33" s="1" t="s">
        <v>36</v>
      </c>
      <c r="O33" s="1" t="s">
        <v>133</v>
      </c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4</v>
      </c>
      <c r="G34" s="5">
        <v>4</v>
      </c>
      <c r="H34" s="5">
        <v>0</v>
      </c>
      <c r="I34" s="5">
        <v>24</v>
      </c>
      <c r="J34" s="5">
        <v>0</v>
      </c>
      <c r="K34" s="5">
        <v>6</v>
      </c>
      <c r="L34" s="4">
        <f>0.0409+0.0337</f>
      </c>
      <c r="M34" s="11">
        <f>L34/2.83168</f>
      </c>
      <c r="N34" s="1" t="s">
        <v>36</v>
      </c>
      <c r="O34" s="1" t="s">
        <v>133</v>
      </c>
    </row>
    <row x14ac:dyDescent="0.25" r="35" customHeight="1" ht="17.25">
      <c r="A35" s="1" t="s">
        <v>34</v>
      </c>
      <c r="B35" s="1" t="s">
        <v>25</v>
      </c>
      <c r="C35" s="1"/>
      <c r="D35" s="5">
        <v>0</v>
      </c>
      <c r="E35" s="5">
        <v>0</v>
      </c>
      <c r="F35" s="5">
        <v>5</v>
      </c>
      <c r="G35" s="5">
        <v>5</v>
      </c>
      <c r="H35" s="5">
        <v>0</v>
      </c>
      <c r="I35" s="5">
        <v>24</v>
      </c>
      <c r="J35" s="5">
        <v>0</v>
      </c>
      <c r="K35" s="5">
        <v>6</v>
      </c>
      <c r="L35" s="4">
        <f>0.1001+0.0337</f>
      </c>
      <c r="M35" s="11">
        <f>L35/2.83168</f>
      </c>
      <c r="N35" s="1" t="s">
        <v>36</v>
      </c>
      <c r="O35" s="1" t="s">
        <v>133</v>
      </c>
    </row>
    <row x14ac:dyDescent="0.25" r="36" customHeight="1" ht="17.25">
      <c r="A36" s="1" t="s">
        <v>34</v>
      </c>
      <c r="B36" s="1" t="s">
        <v>25</v>
      </c>
      <c r="C36" s="1"/>
      <c r="D36" s="5">
        <v>0</v>
      </c>
      <c r="E36" s="5">
        <v>0</v>
      </c>
      <c r="F36" s="5">
        <v>6</v>
      </c>
      <c r="G36" s="5">
        <v>6</v>
      </c>
      <c r="H36" s="5">
        <v>0</v>
      </c>
      <c r="I36" s="5">
        <v>24</v>
      </c>
      <c r="J36" s="5">
        <v>0</v>
      </c>
      <c r="K36" s="5">
        <v>6</v>
      </c>
      <c r="L36" s="4">
        <f>0.2154+0.0337</f>
      </c>
      <c r="M36" s="11">
        <f>L36/2.83168</f>
      </c>
      <c r="N36" s="1" t="s">
        <v>36</v>
      </c>
      <c r="O36" s="1" t="s">
        <v>133</v>
      </c>
    </row>
    <row x14ac:dyDescent="0.25" r="37" customHeight="1" ht="17.25">
      <c r="A37" s="1" t="s">
        <v>34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0</v>
      </c>
      <c r="K37" s="5">
        <v>6</v>
      </c>
      <c r="L37" s="4">
        <f>0.2531+0.0337</f>
      </c>
      <c r="M37" s="11">
        <f>L37/2.83168</f>
      </c>
      <c r="N37" s="1" t="s">
        <v>36</v>
      </c>
      <c r="O37" s="1" t="s">
        <v>133</v>
      </c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24</v>
      </c>
      <c r="J38" s="5">
        <v>0</v>
      </c>
      <c r="K38" s="5">
        <v>6</v>
      </c>
      <c r="L38" s="4">
        <f>0.2576+0.0337</f>
      </c>
      <c r="M38" s="11">
        <f>L38/2.83168</f>
      </c>
      <c r="N38" s="1" t="s">
        <v>36</v>
      </c>
      <c r="O38" s="1" t="s">
        <v>133</v>
      </c>
    </row>
    <row x14ac:dyDescent="0.25" r="39" customHeight="1" ht="17.25">
      <c r="A39" s="1" t="s">
        <v>34</v>
      </c>
      <c r="B39" s="1" t="s">
        <v>25</v>
      </c>
      <c r="C39" s="1"/>
      <c r="D39" s="5">
        <v>0</v>
      </c>
      <c r="E39" s="5">
        <v>0</v>
      </c>
      <c r="F39" s="5">
        <v>9</v>
      </c>
      <c r="G39" s="5">
        <v>9</v>
      </c>
      <c r="H39" s="5">
        <v>0</v>
      </c>
      <c r="I39" s="5">
        <v>24</v>
      </c>
      <c r="J39" s="5">
        <v>0</v>
      </c>
      <c r="K39" s="5">
        <v>6</v>
      </c>
      <c r="L39" s="4">
        <f>0.2572+0.0337</f>
      </c>
      <c r="M39" s="11">
        <f>L39/2.83168</f>
      </c>
      <c r="N39" s="1" t="s">
        <v>36</v>
      </c>
      <c r="O39" s="1" t="s">
        <v>133</v>
      </c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10</v>
      </c>
      <c r="G40" s="5">
        <v>10</v>
      </c>
      <c r="H40" s="5">
        <v>0</v>
      </c>
      <c r="I40" s="5">
        <v>24</v>
      </c>
      <c r="J40" s="5">
        <v>0</v>
      </c>
      <c r="K40" s="5">
        <v>6</v>
      </c>
      <c r="L40" s="4">
        <f>0.2474+0.0337</f>
      </c>
      <c r="M40" s="11">
        <f>L40/2.83168</f>
      </c>
      <c r="N40" s="1" t="s">
        <v>36</v>
      </c>
      <c r="O40" s="1" t="s">
        <v>133</v>
      </c>
    </row>
    <row x14ac:dyDescent="0.25" r="41" customHeight="1" ht="17.25">
      <c r="A41" s="1" t="s">
        <v>34</v>
      </c>
      <c r="B41" s="1" t="s">
        <v>25</v>
      </c>
      <c r="C41" s="1"/>
      <c r="D41" s="5">
        <v>0</v>
      </c>
      <c r="E41" s="5">
        <v>0</v>
      </c>
      <c r="F41" s="5">
        <v>11</v>
      </c>
      <c r="G41" s="5">
        <v>11</v>
      </c>
      <c r="H41" s="5">
        <v>0</v>
      </c>
      <c r="I41" s="5">
        <v>24</v>
      </c>
      <c r="J41" s="5">
        <v>0</v>
      </c>
      <c r="K41" s="5">
        <v>6</v>
      </c>
      <c r="L41" s="4">
        <f>0.2962+0.0337</f>
      </c>
      <c r="M41" s="11">
        <f>L41/2.83168</f>
      </c>
      <c r="N41" s="1" t="s">
        <v>36</v>
      </c>
      <c r="O41" s="1" t="s">
        <v>133</v>
      </c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12</v>
      </c>
      <c r="G42" s="5">
        <v>12</v>
      </c>
      <c r="H42" s="5">
        <v>0</v>
      </c>
      <c r="I42" s="5">
        <v>24</v>
      </c>
      <c r="J42" s="5">
        <v>0</v>
      </c>
      <c r="K42" s="5">
        <v>6</v>
      </c>
      <c r="L42" s="4">
        <f>0.3558+0.0337</f>
      </c>
      <c r="M42" s="11">
        <f>L42/2.83168</f>
      </c>
      <c r="N42" s="1" t="s">
        <v>36</v>
      </c>
      <c r="O42" s="1" t="s">
        <v>133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5.005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9.576428571428572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0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5.005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50.48874*30</f>
      </c>
      <c r="M2" s="4">
        <f>50.48874*30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6</v>
      </c>
      <c r="L3" s="4">
        <v>26.8</v>
      </c>
      <c r="M3" s="4">
        <v>26.8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71</v>
      </c>
      <c r="D4" s="5">
        <v>0</v>
      </c>
      <c r="E4" s="5">
        <v>0</v>
      </c>
      <c r="F4" s="5">
        <v>6</v>
      </c>
      <c r="G4" s="5">
        <v>9</v>
      </c>
      <c r="H4" s="5">
        <v>14</v>
      </c>
      <c r="I4" s="5">
        <v>16</v>
      </c>
      <c r="J4" s="5">
        <v>0</v>
      </c>
      <c r="K4" s="5">
        <v>6</v>
      </c>
      <c r="L4" s="4">
        <v>5.32</v>
      </c>
      <c r="M4" s="4">
        <v>5.32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71</v>
      </c>
      <c r="D5" s="5">
        <v>0</v>
      </c>
      <c r="E5" s="5">
        <v>0</v>
      </c>
      <c r="F5" s="5">
        <v>6</v>
      </c>
      <c r="G5" s="5">
        <v>9</v>
      </c>
      <c r="H5" s="5">
        <v>21</v>
      </c>
      <c r="I5" s="5">
        <v>23</v>
      </c>
      <c r="J5" s="5">
        <v>0</v>
      </c>
      <c r="K5" s="5">
        <v>6</v>
      </c>
      <c r="L5" s="4">
        <v>5.32</v>
      </c>
      <c r="M5" s="4">
        <v>5.32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20.7</v>
      </c>
      <c r="M6" s="4">
        <v>20.7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72</v>
      </c>
      <c r="D7" s="5">
        <v>0</v>
      </c>
      <c r="E7" s="5">
        <v>0</v>
      </c>
      <c r="F7" s="5">
        <v>1</v>
      </c>
      <c r="G7" s="5">
        <v>5</v>
      </c>
      <c r="H7" s="5">
        <v>16</v>
      </c>
      <c r="I7" s="5">
        <v>21</v>
      </c>
      <c r="J7" s="5">
        <v>0</v>
      </c>
      <c r="K7" s="5">
        <v>6</v>
      </c>
      <c r="L7" s="4">
        <v>1.78</v>
      </c>
      <c r="M7" s="4">
        <v>1.78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73</v>
      </c>
      <c r="D8" s="5">
        <v>0</v>
      </c>
      <c r="E8" s="5">
        <v>0</v>
      </c>
      <c r="F8" s="5">
        <v>10</v>
      </c>
      <c r="G8" s="5">
        <v>12</v>
      </c>
      <c r="H8" s="5">
        <v>16</v>
      </c>
      <c r="I8" s="5">
        <v>21</v>
      </c>
      <c r="J8" s="5">
        <v>0</v>
      </c>
      <c r="K8" s="5">
        <v>6</v>
      </c>
      <c r="L8" s="4">
        <v>1.78</v>
      </c>
      <c r="M8" s="4">
        <v>1.78</v>
      </c>
      <c r="N8" s="1" t="s">
        <v>19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0</v>
      </c>
      <c r="I9" s="5">
        <v>14</v>
      </c>
      <c r="J9" s="5">
        <v>0</v>
      </c>
      <c r="K9" s="5">
        <v>6</v>
      </c>
      <c r="L9" s="4">
        <v>0.09816</v>
      </c>
      <c r="M9" s="4">
        <v>0.09816</v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14</v>
      </c>
      <c r="I10" s="5">
        <v>16</v>
      </c>
      <c r="J10" s="5">
        <v>0</v>
      </c>
      <c r="K10" s="5">
        <v>6</v>
      </c>
      <c r="L10" s="4">
        <v>0.11735</v>
      </c>
      <c r="M10" s="4">
        <v>0.11735</v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9</v>
      </c>
      <c r="H11" s="5">
        <v>16</v>
      </c>
      <c r="I11" s="5">
        <v>21</v>
      </c>
      <c r="J11" s="5">
        <v>0</v>
      </c>
      <c r="K11" s="5">
        <v>6</v>
      </c>
      <c r="L11" s="4">
        <v>0.14484</v>
      </c>
      <c r="M11" s="4">
        <v>0.14484</v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9</v>
      </c>
      <c r="H12" s="5">
        <v>21</v>
      </c>
      <c r="I12" s="5">
        <v>23</v>
      </c>
      <c r="J12" s="5">
        <v>0</v>
      </c>
      <c r="K12" s="5">
        <v>6</v>
      </c>
      <c r="L12" s="4">
        <v>0.11735</v>
      </c>
      <c r="M12" s="4">
        <v>0.11735</v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9</v>
      </c>
      <c r="H13" s="5">
        <v>23</v>
      </c>
      <c r="I13" s="5">
        <v>24</v>
      </c>
      <c r="J13" s="5">
        <v>0</v>
      </c>
      <c r="K13" s="5">
        <v>6</v>
      </c>
      <c r="L13" s="4">
        <v>0.09816</v>
      </c>
      <c r="M13" s="4">
        <v>0.09816</v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2</v>
      </c>
      <c r="H14" s="5">
        <v>0</v>
      </c>
      <c r="I14" s="5">
        <v>16</v>
      </c>
      <c r="J14" s="5">
        <v>0</v>
      </c>
      <c r="K14" s="5">
        <v>6</v>
      </c>
      <c r="L14" s="4">
        <v>0.09822</v>
      </c>
      <c r="M14" s="4">
        <v>0.09822</v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</v>
      </c>
      <c r="G15" s="5">
        <v>2</v>
      </c>
      <c r="H15" s="5">
        <v>21</v>
      </c>
      <c r="I15" s="5">
        <v>24</v>
      </c>
      <c r="J15" s="5">
        <v>0</v>
      </c>
      <c r="K15" s="5">
        <v>6</v>
      </c>
      <c r="L15" s="4">
        <v>0.09822</v>
      </c>
      <c r="M15" s="4">
        <v>0.09822</v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</v>
      </c>
      <c r="G16" s="5">
        <v>5</v>
      </c>
      <c r="H16" s="5">
        <v>16</v>
      </c>
      <c r="I16" s="5">
        <v>21</v>
      </c>
      <c r="J16" s="5">
        <v>0</v>
      </c>
      <c r="K16" s="5">
        <v>6</v>
      </c>
      <c r="L16" s="4">
        <v>0.12734</v>
      </c>
      <c r="M16" s="4">
        <v>0.12734</v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5</v>
      </c>
      <c r="H17" s="5">
        <v>0</v>
      </c>
      <c r="I17" s="5">
        <v>9</v>
      </c>
      <c r="J17" s="5">
        <v>0</v>
      </c>
      <c r="K17" s="5">
        <v>6</v>
      </c>
      <c r="L17" s="4">
        <v>0.09822</v>
      </c>
      <c r="M17" s="4">
        <v>0.09822</v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5</v>
      </c>
      <c r="H18" s="5">
        <v>9</v>
      </c>
      <c r="I18" s="5">
        <v>14</v>
      </c>
      <c r="J18" s="5">
        <v>0</v>
      </c>
      <c r="K18" s="5">
        <v>6</v>
      </c>
      <c r="L18" s="4">
        <v>0.0569</v>
      </c>
      <c r="M18" s="4">
        <v>0.0569</v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5</v>
      </c>
      <c r="H19" s="5">
        <v>14</v>
      </c>
      <c r="I19" s="5">
        <v>16</v>
      </c>
      <c r="J19" s="5">
        <v>0</v>
      </c>
      <c r="K19" s="5">
        <v>6</v>
      </c>
      <c r="L19" s="4">
        <v>0.09822</v>
      </c>
      <c r="M19" s="4">
        <v>0.09822</v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5</v>
      </c>
      <c r="H20" s="5">
        <v>21</v>
      </c>
      <c r="I20" s="5">
        <v>24</v>
      </c>
      <c r="J20" s="5">
        <v>0</v>
      </c>
      <c r="K20" s="5">
        <v>6</v>
      </c>
      <c r="L20" s="4">
        <v>0.09822</v>
      </c>
      <c r="M20" s="4">
        <v>0.09822</v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10</v>
      </c>
      <c r="G21" s="5">
        <v>12</v>
      </c>
      <c r="H21" s="5">
        <v>0</v>
      </c>
      <c r="I21" s="5">
        <v>16</v>
      </c>
      <c r="J21" s="5">
        <v>0</v>
      </c>
      <c r="K21" s="5">
        <v>6</v>
      </c>
      <c r="L21" s="4">
        <v>0.09822</v>
      </c>
      <c r="M21" s="4">
        <v>0.09822</v>
      </c>
      <c r="N21" s="1" t="s">
        <v>26</v>
      </c>
      <c r="O21" s="1"/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10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v>0.09822</v>
      </c>
      <c r="M22" s="4">
        <v>0.09822</v>
      </c>
      <c r="N22" s="1" t="s">
        <v>26</v>
      </c>
      <c r="O22" s="1"/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10</v>
      </c>
      <c r="G23" s="5">
        <v>12</v>
      </c>
      <c r="H23" s="5">
        <v>16</v>
      </c>
      <c r="I23" s="5">
        <v>21</v>
      </c>
      <c r="J23" s="5">
        <v>0</v>
      </c>
      <c r="K23" s="5">
        <v>6</v>
      </c>
      <c r="L23" s="4">
        <v>0.12734</v>
      </c>
      <c r="M23" s="4">
        <v>0.12734</v>
      </c>
      <c r="N23" s="1" t="s">
        <v>26</v>
      </c>
      <c r="O23" s="1"/>
    </row>
    <row x14ac:dyDescent="0.25" r="24" customHeight="1" ht="17.25">
      <c r="A24" s="1" t="s">
        <v>34</v>
      </c>
      <c r="B24" s="1" t="s">
        <v>14</v>
      </c>
      <c r="C24" s="1"/>
      <c r="D24" s="2"/>
      <c r="E24" s="3"/>
      <c r="F24" s="2"/>
      <c r="G24" s="2"/>
      <c r="H24" s="2"/>
      <c r="I24" s="2"/>
      <c r="J24" s="2"/>
      <c r="K24" s="2"/>
      <c r="L24" s="4">
        <v>148.6554</v>
      </c>
      <c r="M24" s="4">
        <v>148.6554</v>
      </c>
      <c r="N24" s="1" t="s">
        <v>15</v>
      </c>
      <c r="O24" s="1" t="s">
        <v>60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1</v>
      </c>
      <c r="G25" s="5">
        <v>3</v>
      </c>
      <c r="H25" s="5">
        <v>0</v>
      </c>
      <c r="I25" s="5">
        <v>24</v>
      </c>
      <c r="J25" s="5">
        <v>0</v>
      </c>
      <c r="K25" s="5">
        <v>6</v>
      </c>
      <c r="L25" s="4">
        <v>1.68736</v>
      </c>
      <c r="M25" s="14">
        <f>L25/2.83168</f>
      </c>
      <c r="N25" s="1" t="s">
        <v>36</v>
      </c>
      <c r="O25" s="1"/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4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4">
        <v>1.54031</v>
      </c>
      <c r="M26" s="14">
        <f>L26/2.83168</f>
      </c>
      <c r="N26" s="1" t="s">
        <v>36</v>
      </c>
      <c r="O26" s="1"/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12</v>
      </c>
      <c r="H27" s="5">
        <v>0</v>
      </c>
      <c r="I27" s="5">
        <v>24</v>
      </c>
      <c r="J27" s="5">
        <v>0</v>
      </c>
      <c r="K27" s="5">
        <v>6</v>
      </c>
      <c r="L27" s="4">
        <v>1.68736</v>
      </c>
      <c r="M27" s="14">
        <f>L27/2.83168</f>
      </c>
      <c r="N27" s="1" t="s">
        <v>36</v>
      </c>
      <c r="O27" s="1"/>
    </row>
    <row x14ac:dyDescent="0.25" r="28" customHeight="1" ht="17.25">
      <c r="A28" s="1" t="s">
        <v>34</v>
      </c>
      <c r="B28" s="1" t="s">
        <v>25</v>
      </c>
      <c r="C28" s="1"/>
      <c r="D28" s="5">
        <v>4000</v>
      </c>
      <c r="E28" s="4">
        <f>D28*2.83168</f>
      </c>
      <c r="F28" s="5">
        <v>1</v>
      </c>
      <c r="G28" s="5">
        <v>3</v>
      </c>
      <c r="H28" s="5">
        <v>0</v>
      </c>
      <c r="I28" s="5">
        <v>24</v>
      </c>
      <c r="J28" s="5">
        <v>0</v>
      </c>
      <c r="K28" s="5">
        <v>6</v>
      </c>
      <c r="L28" s="4">
        <v>1.3126</v>
      </c>
      <c r="M28" s="14">
        <f>L28/2.83168</f>
      </c>
      <c r="N28" s="1" t="s">
        <v>36</v>
      </c>
      <c r="O28" s="1"/>
    </row>
    <row x14ac:dyDescent="0.25" r="29" customHeight="1" ht="17.25">
      <c r="A29" s="1" t="s">
        <v>34</v>
      </c>
      <c r="B29" s="1" t="s">
        <v>25</v>
      </c>
      <c r="C29" s="1"/>
      <c r="D29" s="5">
        <v>4000</v>
      </c>
      <c r="E29" s="4">
        <f>D29*2.83168</f>
      </c>
      <c r="F29" s="5">
        <v>4</v>
      </c>
      <c r="G29" s="5">
        <v>10</v>
      </c>
      <c r="H29" s="5">
        <v>0</v>
      </c>
      <c r="I29" s="5">
        <v>24</v>
      </c>
      <c r="J29" s="5">
        <v>0</v>
      </c>
      <c r="K29" s="5">
        <v>6</v>
      </c>
      <c r="L29" s="4">
        <v>1.22418</v>
      </c>
      <c r="M29" s="14">
        <f>L29/2.83168</f>
      </c>
      <c r="N29" s="1" t="s">
        <v>36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4000</v>
      </c>
      <c r="E30" s="4">
        <f>D30*2.83168</f>
      </c>
      <c r="F30" s="5">
        <v>11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1.3126</v>
      </c>
      <c r="M30" s="14">
        <f>L30/2.83168</f>
      </c>
      <c r="N30" s="1" t="s">
        <v>36</v>
      </c>
      <c r="O30" s="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6.005" customWidth="1" bestFit="1"/>
    <col min="4" max="4" style="7" width="23.719285714285714" customWidth="1" bestFit="1"/>
    <col min="5" max="5" style="7" width="22.290714285714284" customWidth="1" bestFit="1"/>
    <col min="6" max="6" style="7" width="10.719285714285713" customWidth="1" bestFit="1"/>
    <col min="7" max="7" style="7" width="11.576428571428572" customWidth="1" bestFit="1"/>
    <col min="8" max="8" style="7" width="9.147857142857141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4">
        <f>32.9+0.551098</f>
      </c>
      <c r="M58" s="15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3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0.9223+0.551098</f>
      </c>
      <c r="M59" s="15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90</v>
      </c>
      <c r="E60" s="4">
        <f>D60*2.83168</f>
      </c>
      <c r="F60" s="5">
        <v>1</v>
      </c>
      <c r="G60" s="5">
        <v>1</v>
      </c>
      <c r="H60" s="5">
        <v>0</v>
      </c>
      <c r="I60" s="5">
        <v>24</v>
      </c>
      <c r="J60" s="5">
        <v>0</v>
      </c>
      <c r="K60" s="5">
        <v>6</v>
      </c>
      <c r="L60" s="4">
        <f>0.484+0.551098</f>
      </c>
      <c r="M60" s="15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3000</v>
      </c>
      <c r="E61" s="4">
        <f>D61*2.83168</f>
      </c>
      <c r="F61" s="5">
        <v>1</v>
      </c>
      <c r="G61" s="5">
        <v>1</v>
      </c>
      <c r="H61" s="5">
        <v>0</v>
      </c>
      <c r="I61" s="5">
        <v>24</v>
      </c>
      <c r="J61" s="5">
        <v>0</v>
      </c>
      <c r="K61" s="5">
        <v>6</v>
      </c>
      <c r="L61" s="4">
        <f>0.3335+0.551098</f>
      </c>
      <c r="M61" s="15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2</v>
      </c>
      <c r="G62" s="5">
        <v>2</v>
      </c>
      <c r="H62" s="5">
        <v>0</v>
      </c>
      <c r="I62" s="5">
        <v>24</v>
      </c>
      <c r="J62" s="5">
        <v>0</v>
      </c>
      <c r="K62" s="5">
        <v>6</v>
      </c>
      <c r="L62" s="4">
        <f>32.9+0.536697</f>
      </c>
      <c r="M62" s="15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3</v>
      </c>
      <c r="E63" s="4">
        <f>D63*2.83168</f>
      </c>
      <c r="F63" s="5">
        <v>2</v>
      </c>
      <c r="G63" s="5">
        <v>2</v>
      </c>
      <c r="H63" s="5">
        <v>0</v>
      </c>
      <c r="I63" s="5">
        <v>24</v>
      </c>
      <c r="J63" s="5">
        <v>0</v>
      </c>
      <c r="K63" s="5">
        <v>6</v>
      </c>
      <c r="L63" s="4">
        <f>0.9223+0.536697</f>
      </c>
      <c r="M63" s="15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90</v>
      </c>
      <c r="E64" s="4">
        <f>D64*2.83168</f>
      </c>
      <c r="F64" s="5">
        <v>2</v>
      </c>
      <c r="G64" s="5">
        <v>2</v>
      </c>
      <c r="H64" s="5">
        <v>0</v>
      </c>
      <c r="I64" s="5">
        <v>24</v>
      </c>
      <c r="J64" s="5">
        <v>0</v>
      </c>
      <c r="K64" s="5">
        <v>6</v>
      </c>
      <c r="L64" s="4">
        <f>0.484+0.536697</f>
      </c>
      <c r="M64" s="15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3000</v>
      </c>
      <c r="E65" s="4">
        <f>D65*2.83168</f>
      </c>
      <c r="F65" s="5">
        <v>2</v>
      </c>
      <c r="G65" s="5">
        <v>2</v>
      </c>
      <c r="H65" s="5">
        <v>0</v>
      </c>
      <c r="I65" s="5">
        <v>24</v>
      </c>
      <c r="J65" s="5">
        <v>0</v>
      </c>
      <c r="K65" s="5">
        <v>6</v>
      </c>
      <c r="L65" s="4">
        <f>0.3335+0.536697</f>
      </c>
      <c r="M65" s="15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3</v>
      </c>
      <c r="G66" s="5">
        <v>3</v>
      </c>
      <c r="H66" s="5">
        <v>0</v>
      </c>
      <c r="I66" s="5">
        <v>24</v>
      </c>
      <c r="J66" s="5">
        <v>0</v>
      </c>
      <c r="K66" s="5">
        <v>6</v>
      </c>
      <c r="L66" s="4">
        <f>32.9+0.518574</f>
      </c>
      <c r="M66" s="15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3</v>
      </c>
      <c r="E67" s="4">
        <f>D67*2.83168</f>
      </c>
      <c r="F67" s="5">
        <v>3</v>
      </c>
      <c r="G67" s="5">
        <v>3</v>
      </c>
      <c r="H67" s="5">
        <v>0</v>
      </c>
      <c r="I67" s="5">
        <v>24</v>
      </c>
      <c r="J67" s="5">
        <v>0</v>
      </c>
      <c r="K67" s="5">
        <v>6</v>
      </c>
      <c r="L67" s="4">
        <f>0.9223+0.518574</f>
      </c>
      <c r="M67" s="15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90</v>
      </c>
      <c r="E68" s="4">
        <f>D68*2.83168</f>
      </c>
      <c r="F68" s="5">
        <v>3</v>
      </c>
      <c r="G68" s="5">
        <v>3</v>
      </c>
      <c r="H68" s="5">
        <v>0</v>
      </c>
      <c r="I68" s="5">
        <v>24</v>
      </c>
      <c r="J68" s="5">
        <v>0</v>
      </c>
      <c r="K68" s="5">
        <v>6</v>
      </c>
      <c r="L68" s="4">
        <f>0.484+0.518574</f>
      </c>
      <c r="M68" s="15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3000</v>
      </c>
      <c r="E69" s="4">
        <f>D69*2.83168</f>
      </c>
      <c r="F69" s="5">
        <v>3</v>
      </c>
      <c r="G69" s="5">
        <v>3</v>
      </c>
      <c r="H69" s="5">
        <v>0</v>
      </c>
      <c r="I69" s="5">
        <v>24</v>
      </c>
      <c r="J69" s="5">
        <v>0</v>
      </c>
      <c r="K69" s="5">
        <v>6</v>
      </c>
      <c r="L69" s="4">
        <f>0.3335+0.518574</f>
      </c>
      <c r="M69" s="15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4</v>
      </c>
      <c r="G70" s="5">
        <v>4</v>
      </c>
      <c r="H70" s="5">
        <v>0</v>
      </c>
      <c r="I70" s="5">
        <v>24</v>
      </c>
      <c r="J70" s="5">
        <v>0</v>
      </c>
      <c r="K70" s="5">
        <v>6</v>
      </c>
      <c r="L70" s="4">
        <f>32.9+0.479056</f>
      </c>
      <c r="M70" s="15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3</v>
      </c>
      <c r="E71" s="4">
        <f>D71*2.83168</f>
      </c>
      <c r="F71" s="5">
        <v>4</v>
      </c>
      <c r="G71" s="5">
        <v>4</v>
      </c>
      <c r="H71" s="5">
        <v>0</v>
      </c>
      <c r="I71" s="5">
        <v>24</v>
      </c>
      <c r="J71" s="5">
        <v>0</v>
      </c>
      <c r="K71" s="5">
        <v>6</v>
      </c>
      <c r="L71" s="4">
        <f>0.9223+0.479056</f>
      </c>
      <c r="M71" s="15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90</v>
      </c>
      <c r="E72" s="4">
        <f>D72*2.83168</f>
      </c>
      <c r="F72" s="5">
        <v>4</v>
      </c>
      <c r="G72" s="5">
        <v>4</v>
      </c>
      <c r="H72" s="5">
        <v>0</v>
      </c>
      <c r="I72" s="5">
        <v>24</v>
      </c>
      <c r="J72" s="5">
        <v>0</v>
      </c>
      <c r="K72" s="5">
        <v>6</v>
      </c>
      <c r="L72" s="4">
        <f>0.484+0.479056</f>
      </c>
      <c r="M72" s="15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3000</v>
      </c>
      <c r="E73" s="4">
        <f>D73*2.83168</f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0.3335+0.479056</f>
      </c>
      <c r="M73" s="15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5</v>
      </c>
      <c r="G74" s="5">
        <v>5</v>
      </c>
      <c r="H74" s="5">
        <v>0</v>
      </c>
      <c r="I74" s="5">
        <v>24</v>
      </c>
      <c r="J74" s="5">
        <v>0</v>
      </c>
      <c r="K74" s="5">
        <v>6</v>
      </c>
      <c r="L74" s="4">
        <f>32.9+0.421929</f>
      </c>
      <c r="M74" s="15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3</v>
      </c>
      <c r="E75" s="4">
        <f>D75*2.83168</f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0.9223+0.421929</f>
      </c>
      <c r="M75" s="15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90</v>
      </c>
      <c r="E76" s="4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0.484+0.421929</f>
      </c>
      <c r="M76" s="15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3000</v>
      </c>
      <c r="E77" s="4">
        <f>D77*2.83168</f>
      </c>
      <c r="F77" s="5">
        <v>5</v>
      </c>
      <c r="G77" s="5">
        <v>5</v>
      </c>
      <c r="H77" s="5">
        <v>0</v>
      </c>
      <c r="I77" s="5">
        <v>24</v>
      </c>
      <c r="J77" s="5">
        <v>0</v>
      </c>
      <c r="K77" s="5">
        <v>6</v>
      </c>
      <c r="L77" s="4">
        <f>0.3335+0.421929</f>
      </c>
      <c r="M77" s="15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32.9+0.490438</f>
      </c>
      <c r="M78" s="15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3</v>
      </c>
      <c r="E79" s="4">
        <f>D79*2.83168</f>
      </c>
      <c r="F79" s="5">
        <v>6</v>
      </c>
      <c r="G79" s="5">
        <v>6</v>
      </c>
      <c r="H79" s="5">
        <v>0</v>
      </c>
      <c r="I79" s="5">
        <v>24</v>
      </c>
      <c r="J79" s="5">
        <v>0</v>
      </c>
      <c r="K79" s="5">
        <v>6</v>
      </c>
      <c r="L79" s="4">
        <f>0.9223+0.490438</f>
      </c>
      <c r="M79" s="15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90</v>
      </c>
      <c r="E80" s="4">
        <f>D80*2.83168</f>
      </c>
      <c r="F80" s="5">
        <v>6</v>
      </c>
      <c r="G80" s="5">
        <v>6</v>
      </c>
      <c r="H80" s="5">
        <v>0</v>
      </c>
      <c r="I80" s="5">
        <v>24</v>
      </c>
      <c r="J80" s="5">
        <v>0</v>
      </c>
      <c r="K80" s="5">
        <v>6</v>
      </c>
      <c r="L80" s="4">
        <f>0.484+0.490438</f>
      </c>
      <c r="M80" s="15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3000</v>
      </c>
      <c r="E81" s="4">
        <f>D81*2.83168</f>
      </c>
      <c r="F81" s="5">
        <v>6</v>
      </c>
      <c r="G81" s="5">
        <v>6</v>
      </c>
      <c r="H81" s="5">
        <v>0</v>
      </c>
      <c r="I81" s="5">
        <v>24</v>
      </c>
      <c r="J81" s="5">
        <v>0</v>
      </c>
      <c r="K81" s="5">
        <v>6</v>
      </c>
      <c r="L81" s="4">
        <f>0.3335+0.490438</f>
      </c>
      <c r="M81" s="15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0</v>
      </c>
      <c r="E82" s="5">
        <v>0</v>
      </c>
      <c r="F82" s="5">
        <v>7</v>
      </c>
      <c r="G82" s="5">
        <v>7</v>
      </c>
      <c r="H82" s="5">
        <v>0</v>
      </c>
      <c r="I82" s="5">
        <v>24</v>
      </c>
      <c r="J82" s="5">
        <v>0</v>
      </c>
      <c r="K82" s="5">
        <v>6</v>
      </c>
      <c r="L82" s="4">
        <f>32.9+0.510338</f>
      </c>
      <c r="M82" s="15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3</v>
      </c>
      <c r="E83" s="4">
        <f>D83*2.83168</f>
      </c>
      <c r="F83" s="5">
        <v>7</v>
      </c>
      <c r="G83" s="5">
        <v>7</v>
      </c>
      <c r="H83" s="5">
        <v>0</v>
      </c>
      <c r="I83" s="5">
        <v>24</v>
      </c>
      <c r="J83" s="5">
        <v>0</v>
      </c>
      <c r="K83" s="5">
        <v>6</v>
      </c>
      <c r="L83" s="4">
        <f>0.9223+0.510338</f>
      </c>
      <c r="M83" s="15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90</v>
      </c>
      <c r="E84" s="4">
        <f>D84*2.83168</f>
      </c>
      <c r="F84" s="5">
        <v>7</v>
      </c>
      <c r="G84" s="5">
        <v>7</v>
      </c>
      <c r="H84" s="5">
        <v>0</v>
      </c>
      <c r="I84" s="5">
        <v>24</v>
      </c>
      <c r="J84" s="5">
        <v>0</v>
      </c>
      <c r="K84" s="5">
        <v>6</v>
      </c>
      <c r="L84" s="4">
        <f>0.484+0.510338</f>
      </c>
      <c r="M84" s="15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3000</v>
      </c>
      <c r="E85" s="4">
        <f>D85*2.83168</f>
      </c>
      <c r="F85" s="5">
        <v>7</v>
      </c>
      <c r="G85" s="5">
        <v>7</v>
      </c>
      <c r="H85" s="5">
        <v>0</v>
      </c>
      <c r="I85" s="5">
        <v>24</v>
      </c>
      <c r="J85" s="5">
        <v>0</v>
      </c>
      <c r="K85" s="5">
        <v>6</v>
      </c>
      <c r="L85" s="4">
        <f>0.3335+0.510338</f>
      </c>
      <c r="M85" s="15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0</v>
      </c>
      <c r="E86" s="5">
        <v>0</v>
      </c>
      <c r="F86" s="5">
        <v>8</v>
      </c>
      <c r="G86" s="5">
        <v>8</v>
      </c>
      <c r="H86" s="5">
        <v>0</v>
      </c>
      <c r="I86" s="5">
        <v>24</v>
      </c>
      <c r="J86" s="5">
        <v>0</v>
      </c>
      <c r="K86" s="5">
        <v>6</v>
      </c>
      <c r="L86" s="4">
        <f>32.9+0.595963</f>
      </c>
      <c r="M86" s="15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3</v>
      </c>
      <c r="E87" s="4">
        <f>D87*2.83168</f>
      </c>
      <c r="F87" s="5">
        <v>8</v>
      </c>
      <c r="G87" s="5">
        <v>8</v>
      </c>
      <c r="H87" s="5">
        <v>0</v>
      </c>
      <c r="I87" s="5">
        <v>24</v>
      </c>
      <c r="J87" s="5">
        <v>0</v>
      </c>
      <c r="K87" s="5">
        <v>6</v>
      </c>
      <c r="L87" s="4">
        <f>0.9223+0.595963</f>
      </c>
      <c r="M87" s="15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90</v>
      </c>
      <c r="E88" s="4">
        <f>D88*2.83168</f>
      </c>
      <c r="F88" s="5">
        <v>8</v>
      </c>
      <c r="G88" s="5">
        <v>8</v>
      </c>
      <c r="H88" s="5">
        <v>0</v>
      </c>
      <c r="I88" s="5">
        <v>24</v>
      </c>
      <c r="J88" s="5">
        <v>0</v>
      </c>
      <c r="K88" s="5">
        <v>6</v>
      </c>
      <c r="L88" s="4">
        <f>0.484+0.595963</f>
      </c>
      <c r="M88" s="15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3000</v>
      </c>
      <c r="E89" s="4">
        <f>D89*2.83168</f>
      </c>
      <c r="F89" s="5">
        <v>8</v>
      </c>
      <c r="G89" s="5">
        <v>8</v>
      </c>
      <c r="H89" s="5">
        <v>0</v>
      </c>
      <c r="I89" s="5">
        <v>24</v>
      </c>
      <c r="J89" s="5">
        <v>0</v>
      </c>
      <c r="K89" s="5">
        <v>6</v>
      </c>
      <c r="L89" s="4">
        <f>0.3335+0.595963</f>
      </c>
      <c r="M89" s="15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0</v>
      </c>
      <c r="E90" s="5">
        <v>0</v>
      </c>
      <c r="F90" s="5">
        <v>9</v>
      </c>
      <c r="G90" s="5">
        <v>9</v>
      </c>
      <c r="H90" s="5">
        <v>0</v>
      </c>
      <c r="I90" s="5">
        <v>24</v>
      </c>
      <c r="J90" s="5">
        <v>0</v>
      </c>
      <c r="K90" s="5">
        <v>6</v>
      </c>
      <c r="L90" s="4">
        <f>32.9+0.574746</f>
      </c>
      <c r="M90" s="15">
        <f>L90/2.83168</f>
      </c>
      <c r="N90" s="1" t="s">
        <v>36</v>
      </c>
      <c r="O90" s="1"/>
    </row>
    <row x14ac:dyDescent="0.25" r="91" customHeight="1" ht="17.25">
      <c r="A91" s="1" t="s">
        <v>34</v>
      </c>
      <c r="B91" s="1" t="s">
        <v>25</v>
      </c>
      <c r="C91" s="1"/>
      <c r="D91" s="5">
        <v>3</v>
      </c>
      <c r="E91" s="4">
        <f>D91*2.83168</f>
      </c>
      <c r="F91" s="5">
        <v>9</v>
      </c>
      <c r="G91" s="5">
        <v>9</v>
      </c>
      <c r="H91" s="5">
        <v>0</v>
      </c>
      <c r="I91" s="5">
        <v>24</v>
      </c>
      <c r="J91" s="5">
        <v>0</v>
      </c>
      <c r="K91" s="5">
        <v>6</v>
      </c>
      <c r="L91" s="4">
        <f>0.9223+0.574746</f>
      </c>
      <c r="M91" s="15">
        <f>L91/2.83168</f>
      </c>
      <c r="N91" s="1" t="s">
        <v>36</v>
      </c>
      <c r="O91" s="1"/>
    </row>
    <row x14ac:dyDescent="0.25" r="92" customHeight="1" ht="17.25">
      <c r="A92" s="1" t="s">
        <v>34</v>
      </c>
      <c r="B92" s="1" t="s">
        <v>25</v>
      </c>
      <c r="C92" s="1"/>
      <c r="D92" s="5">
        <v>90</v>
      </c>
      <c r="E92" s="4">
        <f>D92*2.83168</f>
      </c>
      <c r="F92" s="5">
        <v>9</v>
      </c>
      <c r="G92" s="5">
        <v>9</v>
      </c>
      <c r="H92" s="5">
        <v>0</v>
      </c>
      <c r="I92" s="5">
        <v>24</v>
      </c>
      <c r="J92" s="5">
        <v>0</v>
      </c>
      <c r="K92" s="5">
        <v>6</v>
      </c>
      <c r="L92" s="4">
        <f>0.484+0.574746</f>
      </c>
      <c r="M92" s="15">
        <f>L92/2.83168</f>
      </c>
      <c r="N92" s="1" t="s">
        <v>36</v>
      </c>
      <c r="O92" s="1"/>
    </row>
    <row x14ac:dyDescent="0.25" r="93" customHeight="1" ht="17.25">
      <c r="A93" s="1" t="s">
        <v>34</v>
      </c>
      <c r="B93" s="1" t="s">
        <v>25</v>
      </c>
      <c r="C93" s="1"/>
      <c r="D93" s="5">
        <v>3000</v>
      </c>
      <c r="E93" s="4">
        <f>D93*2.83168</f>
      </c>
      <c r="F93" s="5">
        <v>9</v>
      </c>
      <c r="G93" s="5">
        <v>9</v>
      </c>
      <c r="H93" s="5">
        <v>0</v>
      </c>
      <c r="I93" s="5">
        <v>24</v>
      </c>
      <c r="J93" s="5">
        <v>0</v>
      </c>
      <c r="K93" s="5">
        <v>6</v>
      </c>
      <c r="L93" s="4">
        <f>0.3335+0.574746</f>
      </c>
      <c r="M93" s="15">
        <f>L93/2.83168</f>
      </c>
      <c r="N93" s="1" t="s">
        <v>36</v>
      </c>
      <c r="O93" s="1"/>
    </row>
    <row x14ac:dyDescent="0.25" r="94" customHeight="1" ht="17.25">
      <c r="A94" s="1" t="s">
        <v>34</v>
      </c>
      <c r="B94" s="1" t="s">
        <v>25</v>
      </c>
      <c r="C94" s="1"/>
      <c r="D94" s="5">
        <v>0</v>
      </c>
      <c r="E94" s="5">
        <v>0</v>
      </c>
      <c r="F94" s="5">
        <v>10</v>
      </c>
      <c r="G94" s="5">
        <v>10</v>
      </c>
      <c r="H94" s="5">
        <v>0</v>
      </c>
      <c r="I94" s="5">
        <v>24</v>
      </c>
      <c r="J94" s="5">
        <v>0</v>
      </c>
      <c r="K94" s="5">
        <v>6</v>
      </c>
      <c r="L94" s="4">
        <f>32.9+0.658035</f>
      </c>
      <c r="M94" s="15">
        <f>L94/2.83168</f>
      </c>
      <c r="N94" s="1" t="s">
        <v>36</v>
      </c>
      <c r="O94" s="1"/>
    </row>
    <row x14ac:dyDescent="0.25" r="95" customHeight="1" ht="17.25">
      <c r="A95" s="1" t="s">
        <v>34</v>
      </c>
      <c r="B95" s="1" t="s">
        <v>25</v>
      </c>
      <c r="C95" s="1"/>
      <c r="D95" s="5">
        <v>3</v>
      </c>
      <c r="E95" s="4">
        <f>D95*2.83168</f>
      </c>
      <c r="F95" s="5">
        <v>10</v>
      </c>
      <c r="G95" s="5">
        <v>10</v>
      </c>
      <c r="H95" s="5">
        <v>0</v>
      </c>
      <c r="I95" s="5">
        <v>24</v>
      </c>
      <c r="J95" s="5">
        <v>0</v>
      </c>
      <c r="K95" s="5">
        <v>6</v>
      </c>
      <c r="L95" s="4">
        <f>0.9223+0.658035</f>
      </c>
      <c r="M95" s="15">
        <f>L95/2.83168</f>
      </c>
      <c r="N95" s="1" t="s">
        <v>36</v>
      </c>
      <c r="O95" s="1"/>
    </row>
    <row x14ac:dyDescent="0.25" r="96" customHeight="1" ht="17.25">
      <c r="A96" s="1" t="s">
        <v>34</v>
      </c>
      <c r="B96" s="1" t="s">
        <v>25</v>
      </c>
      <c r="C96" s="1"/>
      <c r="D96" s="5">
        <v>90</v>
      </c>
      <c r="E96" s="4">
        <f>D96*2.83168</f>
      </c>
      <c r="F96" s="5">
        <v>10</v>
      </c>
      <c r="G96" s="5">
        <v>10</v>
      </c>
      <c r="H96" s="5">
        <v>0</v>
      </c>
      <c r="I96" s="5">
        <v>24</v>
      </c>
      <c r="J96" s="5">
        <v>0</v>
      </c>
      <c r="K96" s="5">
        <v>6</v>
      </c>
      <c r="L96" s="4">
        <f>0.484+0.658035</f>
      </c>
      <c r="M96" s="15">
        <f>L96/2.83168</f>
      </c>
      <c r="N96" s="1" t="s">
        <v>36</v>
      </c>
      <c r="O96" s="1"/>
    </row>
    <row x14ac:dyDescent="0.25" r="97" customHeight="1" ht="17.25">
      <c r="A97" s="1" t="s">
        <v>34</v>
      </c>
      <c r="B97" s="1" t="s">
        <v>25</v>
      </c>
      <c r="C97" s="1"/>
      <c r="D97" s="5">
        <v>3000</v>
      </c>
      <c r="E97" s="4">
        <f>D97*2.83168</f>
      </c>
      <c r="F97" s="5">
        <v>10</v>
      </c>
      <c r="G97" s="5">
        <v>10</v>
      </c>
      <c r="H97" s="5">
        <v>0</v>
      </c>
      <c r="I97" s="5">
        <v>24</v>
      </c>
      <c r="J97" s="5">
        <v>0</v>
      </c>
      <c r="K97" s="5">
        <v>6</v>
      </c>
      <c r="L97" s="4">
        <f>0.3335+0.658035</f>
      </c>
      <c r="M97" s="15">
        <f>L97/2.83168</f>
      </c>
      <c r="N97" s="1" t="s">
        <v>36</v>
      </c>
      <c r="O97" s="1"/>
    </row>
    <row x14ac:dyDescent="0.25" r="98" customHeight="1" ht="17.25">
      <c r="A98" s="1" t="s">
        <v>34</v>
      </c>
      <c r="B98" s="1" t="s">
        <v>25</v>
      </c>
      <c r="C98" s="1"/>
      <c r="D98" s="5">
        <v>0</v>
      </c>
      <c r="E98" s="5">
        <v>0</v>
      </c>
      <c r="F98" s="5">
        <v>11</v>
      </c>
      <c r="G98" s="5">
        <v>11</v>
      </c>
      <c r="H98" s="5">
        <v>0</v>
      </c>
      <c r="I98" s="5">
        <v>24</v>
      </c>
      <c r="J98" s="5">
        <v>0</v>
      </c>
      <c r="K98" s="5">
        <v>6</v>
      </c>
      <c r="L98" s="4">
        <f>32.9+0.659757</f>
      </c>
      <c r="M98" s="15">
        <f>L98/2.83168</f>
      </c>
      <c r="N98" s="1" t="s">
        <v>36</v>
      </c>
      <c r="O98" s="1"/>
    </row>
    <row x14ac:dyDescent="0.25" r="99" customHeight="1" ht="17.25">
      <c r="A99" s="1" t="s">
        <v>34</v>
      </c>
      <c r="B99" s="1" t="s">
        <v>25</v>
      </c>
      <c r="C99" s="1"/>
      <c r="D99" s="5">
        <v>3</v>
      </c>
      <c r="E99" s="4">
        <f>D99*2.83168</f>
      </c>
      <c r="F99" s="5">
        <v>11</v>
      </c>
      <c r="G99" s="5">
        <v>11</v>
      </c>
      <c r="H99" s="5">
        <v>0</v>
      </c>
      <c r="I99" s="5">
        <v>24</v>
      </c>
      <c r="J99" s="5">
        <v>0</v>
      </c>
      <c r="K99" s="5">
        <v>6</v>
      </c>
      <c r="L99" s="4">
        <f>0.9223+0.659757</f>
      </c>
      <c r="M99" s="15">
        <f>L99/2.83168</f>
      </c>
      <c r="N99" s="1" t="s">
        <v>36</v>
      </c>
      <c r="O99" s="1"/>
    </row>
    <row x14ac:dyDescent="0.25" r="100" customHeight="1" ht="17.25">
      <c r="A100" s="1" t="s">
        <v>34</v>
      </c>
      <c r="B100" s="1" t="s">
        <v>25</v>
      </c>
      <c r="C100" s="1"/>
      <c r="D100" s="5">
        <v>90</v>
      </c>
      <c r="E100" s="4">
        <f>D100*2.83168</f>
      </c>
      <c r="F100" s="5">
        <v>11</v>
      </c>
      <c r="G100" s="5">
        <v>11</v>
      </c>
      <c r="H100" s="5">
        <v>0</v>
      </c>
      <c r="I100" s="5">
        <v>24</v>
      </c>
      <c r="J100" s="5">
        <v>0</v>
      </c>
      <c r="K100" s="5">
        <v>6</v>
      </c>
      <c r="L100" s="4">
        <f>0.484+0.659757</f>
      </c>
      <c r="M100" s="15">
        <f>L100/2.83168</f>
      </c>
      <c r="N100" s="1" t="s">
        <v>36</v>
      </c>
      <c r="O100" s="1"/>
    </row>
    <row x14ac:dyDescent="0.25" r="101" customHeight="1" ht="17.25">
      <c r="A101" s="1" t="s">
        <v>34</v>
      </c>
      <c r="B101" s="1" t="s">
        <v>25</v>
      </c>
      <c r="C101" s="1"/>
      <c r="D101" s="5">
        <v>3000</v>
      </c>
      <c r="E101" s="4">
        <f>D101*2.83168</f>
      </c>
      <c r="F101" s="5">
        <v>11</v>
      </c>
      <c r="G101" s="5">
        <v>11</v>
      </c>
      <c r="H101" s="5">
        <v>0</v>
      </c>
      <c r="I101" s="5">
        <v>24</v>
      </c>
      <c r="J101" s="5">
        <v>0</v>
      </c>
      <c r="K101" s="5">
        <v>6</v>
      </c>
      <c r="L101" s="4">
        <f>0.3335+0.659757</f>
      </c>
      <c r="M101" s="15">
        <f>L101/2.83168</f>
      </c>
      <c r="N101" s="1" t="s">
        <v>36</v>
      </c>
      <c r="O101" s="1"/>
    </row>
    <row x14ac:dyDescent="0.25" r="102" customHeight="1" ht="17.25">
      <c r="A102" s="1" t="s">
        <v>34</v>
      </c>
      <c r="B102" s="1" t="s">
        <v>25</v>
      </c>
      <c r="C102" s="1"/>
      <c r="D102" s="5">
        <v>0</v>
      </c>
      <c r="E102" s="5">
        <v>0</v>
      </c>
      <c r="F102" s="5">
        <v>12</v>
      </c>
      <c r="G102" s="5">
        <v>12</v>
      </c>
      <c r="H102" s="5">
        <v>0</v>
      </c>
      <c r="I102" s="5">
        <v>24</v>
      </c>
      <c r="J102" s="5">
        <v>0</v>
      </c>
      <c r="K102" s="5">
        <v>6</v>
      </c>
      <c r="L102" s="4">
        <f>32.9+0.690801</f>
      </c>
      <c r="M102" s="15">
        <f>L102/2.83168</f>
      </c>
      <c r="N102" s="1" t="s">
        <v>36</v>
      </c>
      <c r="O102" s="1"/>
    </row>
    <row x14ac:dyDescent="0.25" r="103" customHeight="1" ht="17.25">
      <c r="A103" s="1" t="s">
        <v>34</v>
      </c>
      <c r="B103" s="1" t="s">
        <v>25</v>
      </c>
      <c r="C103" s="1"/>
      <c r="D103" s="5">
        <v>3</v>
      </c>
      <c r="E103" s="4">
        <f>D103*2.83168</f>
      </c>
      <c r="F103" s="5">
        <v>12</v>
      </c>
      <c r="G103" s="5">
        <v>12</v>
      </c>
      <c r="H103" s="5">
        <v>0</v>
      </c>
      <c r="I103" s="5">
        <v>24</v>
      </c>
      <c r="J103" s="5">
        <v>0</v>
      </c>
      <c r="K103" s="5">
        <v>6</v>
      </c>
      <c r="L103" s="4">
        <f>0.9223+0.690801</f>
      </c>
      <c r="M103" s="15">
        <f>L103/2.83168</f>
      </c>
      <c r="N103" s="1" t="s">
        <v>36</v>
      </c>
      <c r="O103" s="1"/>
    </row>
    <row x14ac:dyDescent="0.25" r="104" customHeight="1" ht="17.25">
      <c r="A104" s="1" t="s">
        <v>34</v>
      </c>
      <c r="B104" s="1" t="s">
        <v>25</v>
      </c>
      <c r="C104" s="1"/>
      <c r="D104" s="5">
        <v>90</v>
      </c>
      <c r="E104" s="4">
        <f>D104*2.83168</f>
      </c>
      <c r="F104" s="5">
        <v>12</v>
      </c>
      <c r="G104" s="5">
        <v>12</v>
      </c>
      <c r="H104" s="5">
        <v>0</v>
      </c>
      <c r="I104" s="5">
        <v>24</v>
      </c>
      <c r="J104" s="5">
        <v>0</v>
      </c>
      <c r="K104" s="5">
        <v>6</v>
      </c>
      <c r="L104" s="4">
        <f>0.484+0.690801</f>
      </c>
      <c r="M104" s="15">
        <f>L104/2.83168</f>
      </c>
      <c r="N104" s="1" t="s">
        <v>36</v>
      </c>
      <c r="O104" s="1"/>
    </row>
    <row x14ac:dyDescent="0.25" r="105" customHeight="1" ht="17.25">
      <c r="A105" s="1" t="s">
        <v>34</v>
      </c>
      <c r="B105" s="1" t="s">
        <v>25</v>
      </c>
      <c r="C105" s="1"/>
      <c r="D105" s="5">
        <v>3000</v>
      </c>
      <c r="E105" s="4">
        <f>D105*2.83168</f>
      </c>
      <c r="F105" s="5">
        <v>12</v>
      </c>
      <c r="G105" s="5">
        <v>12</v>
      </c>
      <c r="H105" s="5">
        <v>0</v>
      </c>
      <c r="I105" s="5">
        <v>24</v>
      </c>
      <c r="J105" s="5">
        <v>0</v>
      </c>
      <c r="K105" s="5">
        <v>6</v>
      </c>
      <c r="L105" s="4">
        <f>0.3335+0.690801</f>
      </c>
      <c r="M105" s="15">
        <f>L105/2.83168</f>
      </c>
      <c r="N105" s="1" t="s">
        <v>36</v>
      </c>
      <c r="O105" s="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5">
        <v>150</v>
      </c>
      <c r="M2" s="5">
        <v>150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f>2.405+0.7315</f>
      </c>
      <c r="M3" s="4">
        <f>2.405+0.7315</f>
      </c>
      <c r="N3" s="1" t="s">
        <v>19</v>
      </c>
      <c r="O3" s="1" t="s">
        <v>68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6</v>
      </c>
      <c r="J4" s="5">
        <v>0</v>
      </c>
      <c r="K4" s="5">
        <v>4</v>
      </c>
      <c r="L4" s="4">
        <f>0.00057+0.001623+0.012311+0.024284</f>
      </c>
      <c r="M4" s="4">
        <f>0.00057+0.001623+0.012311+0.024284</f>
      </c>
      <c r="N4" s="1" t="s">
        <v>26</v>
      </c>
      <c r="O4" s="1" t="s">
        <v>69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6</v>
      </c>
      <c r="I5" s="5">
        <v>12</v>
      </c>
      <c r="J5" s="5">
        <v>0</v>
      </c>
      <c r="K5" s="5">
        <v>4</v>
      </c>
      <c r="L5" s="4">
        <f>0.00057+0.001623+0.012311+0.037215</f>
      </c>
      <c r="M5" s="4">
        <f>0.00057+0.001623+0.012311+0.037215</f>
      </c>
      <c r="N5" s="1" t="s">
        <v>26</v>
      </c>
      <c r="O5" s="1" t="s">
        <v>70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12</v>
      </c>
      <c r="I6" s="5">
        <v>18</v>
      </c>
      <c r="J6" s="5">
        <v>0</v>
      </c>
      <c r="K6" s="5">
        <v>4</v>
      </c>
      <c r="L6" s="4">
        <f>0.00057+0.001623+0.012311+0.048567</f>
      </c>
      <c r="M6" s="4">
        <f>0.00057+0.001623+0.012311+0.048567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18</v>
      </c>
      <c r="I7" s="5">
        <v>22</v>
      </c>
      <c r="J7" s="5">
        <v>0</v>
      </c>
      <c r="K7" s="5">
        <v>4</v>
      </c>
      <c r="L7" s="4">
        <f>0.00057+0.001623+0.012311+0.037215</f>
      </c>
      <c r="M7" s="4">
        <f>0.00057+0.001623+0.012311+0.037215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22</v>
      </c>
      <c r="I8" s="5">
        <v>24</v>
      </c>
      <c r="J8" s="5">
        <v>0</v>
      </c>
      <c r="K8" s="5">
        <v>4</v>
      </c>
      <c r="L8" s="4">
        <f>0.00057+0.001623+0.012311+0.024284</f>
      </c>
      <c r="M8" s="4">
        <f>0.00057+0.001623+0.012311+0.024284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8</v>
      </c>
      <c r="H9" s="5">
        <v>0</v>
      </c>
      <c r="I9" s="5">
        <v>6</v>
      </c>
      <c r="J9" s="5">
        <v>0</v>
      </c>
      <c r="K9" s="5">
        <v>4</v>
      </c>
      <c r="L9" s="4">
        <f>0.00057+0.001623+0.012311+0.031373</f>
      </c>
      <c r="M9" s="4">
        <f>0.00057+0.001623+0.012311+0.031373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8</v>
      </c>
      <c r="H10" s="5">
        <v>6</v>
      </c>
      <c r="I10" s="5">
        <v>12</v>
      </c>
      <c r="J10" s="5">
        <v>0</v>
      </c>
      <c r="K10" s="5">
        <v>4</v>
      </c>
      <c r="L10" s="4">
        <f>0.00057+0.001623+0.012311+0.040864</f>
      </c>
      <c r="M10" s="4">
        <f>0.00057+0.001623+0.012311+0.040864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8</v>
      </c>
      <c r="H11" s="5">
        <v>12</v>
      </c>
      <c r="I11" s="5">
        <v>18</v>
      </c>
      <c r="J11" s="5">
        <v>0</v>
      </c>
      <c r="K11" s="5">
        <v>4</v>
      </c>
      <c r="L11" s="4">
        <f>0.00057+0.001623+0.012311+0.062747</f>
      </c>
      <c r="M11" s="4">
        <f>0.00057+0.001623+0.012311+0.062747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8</v>
      </c>
      <c r="H12" s="5">
        <v>18</v>
      </c>
      <c r="I12" s="5">
        <v>22</v>
      </c>
      <c r="J12" s="5">
        <v>0</v>
      </c>
      <c r="K12" s="5">
        <v>4</v>
      </c>
      <c r="L12" s="4">
        <f>0.00057+0.001623+0.012311+0.040864</f>
      </c>
      <c r="M12" s="4">
        <f>0.00057+0.001623+0.012311+0.040864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8</v>
      </c>
      <c r="H13" s="5">
        <v>22</v>
      </c>
      <c r="I13" s="5">
        <v>24</v>
      </c>
      <c r="J13" s="5">
        <v>0</v>
      </c>
      <c r="K13" s="5">
        <v>4</v>
      </c>
      <c r="L13" s="4">
        <f>0.00057+0.001623+0.012311+0.031373</f>
      </c>
      <c r="M13" s="4">
        <f>0.00057+0.001623+0.012311+0.031373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9</v>
      </c>
      <c r="G14" s="5">
        <v>12</v>
      </c>
      <c r="H14" s="5">
        <v>0</v>
      </c>
      <c r="I14" s="5">
        <v>6</v>
      </c>
      <c r="J14" s="5">
        <v>0</v>
      </c>
      <c r="K14" s="5">
        <v>4</v>
      </c>
      <c r="L14" s="4">
        <f>0.00057+0.001623+0.012311+0.024284</f>
      </c>
      <c r="M14" s="4">
        <f>0.00057+0.001623+0.012311+0.024284</f>
      </c>
      <c r="N14" s="1" t="s">
        <v>26</v>
      </c>
      <c r="O14" s="1"/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9</v>
      </c>
      <c r="G15" s="5">
        <v>12</v>
      </c>
      <c r="H15" s="5">
        <v>6</v>
      </c>
      <c r="I15" s="5">
        <v>12</v>
      </c>
      <c r="J15" s="5">
        <v>0</v>
      </c>
      <c r="K15" s="5">
        <v>4</v>
      </c>
      <c r="L15" s="4">
        <f>0.00057+0.001623+0.012311+0.037215</f>
      </c>
      <c r="M15" s="4">
        <f>0.00057+0.001623+0.012311+0.037215</f>
      </c>
      <c r="N15" s="1" t="s">
        <v>26</v>
      </c>
      <c r="O15" s="1"/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9</v>
      </c>
      <c r="G16" s="5">
        <v>12</v>
      </c>
      <c r="H16" s="5">
        <v>12</v>
      </c>
      <c r="I16" s="5">
        <v>18</v>
      </c>
      <c r="J16" s="5">
        <v>0</v>
      </c>
      <c r="K16" s="5">
        <v>4</v>
      </c>
      <c r="L16" s="4">
        <f>0.00057+0.001623+0.012311+0.048567</f>
      </c>
      <c r="M16" s="4">
        <f>0.00057+0.001623+0.012311+0.048567</f>
      </c>
      <c r="N16" s="1" t="s">
        <v>26</v>
      </c>
      <c r="O16" s="1"/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9</v>
      </c>
      <c r="G17" s="5">
        <v>12</v>
      </c>
      <c r="H17" s="5">
        <v>18</v>
      </c>
      <c r="I17" s="5">
        <v>22</v>
      </c>
      <c r="J17" s="5">
        <v>0</v>
      </c>
      <c r="K17" s="5">
        <v>4</v>
      </c>
      <c r="L17" s="4">
        <f>0.00057+0.001623+0.012311+0.037215</f>
      </c>
      <c r="M17" s="4">
        <f>0.00057+0.001623+0.012311+0.037215</f>
      </c>
      <c r="N17" s="1" t="s">
        <v>26</v>
      </c>
      <c r="O17" s="1"/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9</v>
      </c>
      <c r="G18" s="5">
        <v>12</v>
      </c>
      <c r="H18" s="5">
        <v>22</v>
      </c>
      <c r="I18" s="5">
        <v>24</v>
      </c>
      <c r="J18" s="5">
        <v>0</v>
      </c>
      <c r="K18" s="5">
        <v>4</v>
      </c>
      <c r="L18" s="4">
        <f>0.00057+0.001623+0.012311+0.024284</f>
      </c>
      <c r="M18" s="4">
        <f>0.00057+0.001623+0.012311+0.024284</f>
      </c>
      <c r="N18" s="1" t="s">
        <v>26</v>
      </c>
      <c r="O18" s="1"/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</v>
      </c>
      <c r="G19" s="5">
        <v>5</v>
      </c>
      <c r="H19" s="5">
        <v>0</v>
      </c>
      <c r="I19" s="5">
        <v>24</v>
      </c>
      <c r="J19" s="5">
        <v>5</v>
      </c>
      <c r="K19" s="5">
        <v>6</v>
      </c>
      <c r="L19" s="4">
        <f>0.00057+0.001623+0.012311+0.024284</f>
      </c>
      <c r="M19" s="4">
        <f>0.00057+0.001623+0.012311+0.024284</f>
      </c>
      <c r="N19" s="1" t="s">
        <v>26</v>
      </c>
      <c r="O19" s="1"/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6</v>
      </c>
      <c r="G20" s="5">
        <v>8</v>
      </c>
      <c r="H20" s="5">
        <v>0</v>
      </c>
      <c r="I20" s="5">
        <v>24</v>
      </c>
      <c r="J20" s="5">
        <v>5</v>
      </c>
      <c r="K20" s="5">
        <v>6</v>
      </c>
      <c r="L20" s="4">
        <f>0.00057+0.001623+0.012311+0.031373</f>
      </c>
      <c r="M20" s="4">
        <f>0.00057+0.001623+0.012311+0.031373</f>
      </c>
      <c r="N20" s="1" t="s">
        <v>26</v>
      </c>
      <c r="O20" s="1"/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9</v>
      </c>
      <c r="G21" s="5">
        <v>12</v>
      </c>
      <c r="H21" s="5">
        <v>0</v>
      </c>
      <c r="I21" s="5">
        <v>24</v>
      </c>
      <c r="J21" s="5">
        <v>5</v>
      </c>
      <c r="K21" s="5">
        <v>6</v>
      </c>
      <c r="L21" s="4">
        <f>0.00057+0.001623+0.012311+0.024284</f>
      </c>
      <c r="M21" s="4">
        <f>0.00057+0.001623+0.012311+0.024284</f>
      </c>
      <c r="N21" s="1" t="s">
        <v>26</v>
      </c>
      <c r="O21" s="1"/>
    </row>
    <row x14ac:dyDescent="0.25" r="22" customHeight="1" ht="17.25">
      <c r="A22" s="1" t="s">
        <v>34</v>
      </c>
      <c r="B22" s="1" t="s">
        <v>14</v>
      </c>
      <c r="C22" s="1"/>
      <c r="D22" s="2"/>
      <c r="E22" s="3"/>
      <c r="F22" s="2"/>
      <c r="G22" s="2"/>
      <c r="H22" s="2"/>
      <c r="I22" s="2"/>
      <c r="J22" s="2"/>
      <c r="K22" s="2"/>
      <c r="L22" s="5">
        <v>60</v>
      </c>
      <c r="M22" s="5">
        <v>60</v>
      </c>
      <c r="N22" s="1" t="s">
        <v>15</v>
      </c>
      <c r="O22" s="1"/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(1.25+5.597)/10.37</f>
      </c>
      <c r="M23" s="11">
        <f>L23/2.83168</f>
      </c>
      <c r="N23" s="1" t="s">
        <v>36</v>
      </c>
      <c r="O23" s="1"/>
    </row>
    <row x14ac:dyDescent="0.25" r="24" customHeight="1" ht="17.25">
      <c r="A24" s="1" t="s">
        <v>34</v>
      </c>
      <c r="B24" s="1" t="s">
        <v>25</v>
      </c>
      <c r="C24" s="1"/>
      <c r="D24" s="5">
        <f>100*10.37</f>
      </c>
      <c r="E24" s="4">
        <f>D24*2.83168</f>
      </c>
      <c r="F24" s="5">
        <v>1</v>
      </c>
      <c r="G24" s="5">
        <v>12</v>
      </c>
      <c r="H24" s="5">
        <v>0</v>
      </c>
      <c r="I24" s="5">
        <v>24</v>
      </c>
      <c r="J24" s="5">
        <v>0</v>
      </c>
      <c r="K24" s="5">
        <v>6</v>
      </c>
      <c r="L24" s="4">
        <f>(0.97+5.597)/10.37</f>
      </c>
      <c r="M24" s="11">
        <f>L24/2.83168</f>
      </c>
      <c r="N24" s="1" t="s">
        <v>36</v>
      </c>
      <c r="O24" s="1"/>
    </row>
    <row x14ac:dyDescent="0.25" r="25" customHeight="1" ht="17.25">
      <c r="A25" s="1" t="s">
        <v>34</v>
      </c>
      <c r="B25" s="1" t="s">
        <v>25</v>
      </c>
      <c r="C25" s="1"/>
      <c r="D25" s="5">
        <f>500*10.37</f>
      </c>
      <c r="E25" s="4">
        <f>D25*2.83168</f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f>(0.82+5.597)/10.37</f>
      </c>
      <c r="M25" s="11">
        <f>L25/2.83168</f>
      </c>
      <c r="N25" s="1" t="s">
        <v>36</v>
      </c>
      <c r="O25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52.56</v>
      </c>
      <c r="M2" s="4">
        <v>52.56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1.86</v>
      </c>
      <c r="M3" s="4">
        <v>1.86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66</v>
      </c>
      <c r="D4" s="5">
        <v>0</v>
      </c>
      <c r="E4" s="5">
        <v>0</v>
      </c>
      <c r="F4" s="5">
        <v>1</v>
      </c>
      <c r="G4" s="5">
        <v>5</v>
      </c>
      <c r="H4" s="5">
        <v>8</v>
      </c>
      <c r="I4" s="5">
        <v>20</v>
      </c>
      <c r="J4" s="5">
        <v>0</v>
      </c>
      <c r="K4" s="5">
        <v>4</v>
      </c>
      <c r="L4" s="4">
        <v>5.09</v>
      </c>
      <c r="M4" s="4">
        <v>5.09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47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20</v>
      </c>
      <c r="J5" s="5">
        <v>0</v>
      </c>
      <c r="K5" s="5">
        <v>4</v>
      </c>
      <c r="L5" s="4">
        <v>5.48</v>
      </c>
      <c r="M5" s="4">
        <v>5.48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66</v>
      </c>
      <c r="D6" s="5">
        <v>0</v>
      </c>
      <c r="E6" s="5">
        <v>0</v>
      </c>
      <c r="F6" s="5">
        <v>10</v>
      </c>
      <c r="G6" s="5">
        <v>12</v>
      </c>
      <c r="H6" s="5">
        <v>8</v>
      </c>
      <c r="I6" s="5">
        <v>20</v>
      </c>
      <c r="J6" s="5">
        <v>0</v>
      </c>
      <c r="K6" s="5">
        <v>4</v>
      </c>
      <c r="L6" s="4">
        <v>5.09</v>
      </c>
      <c r="M6" s="4">
        <v>5.09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</v>
      </c>
      <c r="H7" s="5">
        <v>0</v>
      </c>
      <c r="I7" s="5">
        <v>8</v>
      </c>
      <c r="J7" s="5">
        <v>0</v>
      </c>
      <c r="K7" s="5">
        <v>4</v>
      </c>
      <c r="L7" s="11">
        <v>0.02767121882</v>
      </c>
      <c r="M7" s="11">
        <v>0.02767121882</v>
      </c>
      <c r="N7" s="1" t="s">
        <v>26</v>
      </c>
      <c r="O7" s="1" t="s">
        <v>67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1</v>
      </c>
      <c r="H8" s="5">
        <v>20</v>
      </c>
      <c r="I8" s="5">
        <v>24</v>
      </c>
      <c r="J8" s="5">
        <v>0</v>
      </c>
      <c r="K8" s="5">
        <v>4</v>
      </c>
      <c r="L8" s="11">
        <v>0.02767121882</v>
      </c>
      <c r="M8" s="11">
        <v>0.02767121882</v>
      </c>
      <c r="N8" s="1" t="s">
        <v>26</v>
      </c>
      <c r="O8" s="1" t="s">
        <v>67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</v>
      </c>
      <c r="H9" s="5">
        <v>8</v>
      </c>
      <c r="I9" s="5">
        <v>20</v>
      </c>
      <c r="J9" s="5">
        <v>0</v>
      </c>
      <c r="K9" s="5">
        <v>4</v>
      </c>
      <c r="L9" s="11">
        <v>0.03017049378</v>
      </c>
      <c r="M9" s="11">
        <v>0.03017049378</v>
      </c>
      <c r="N9" s="1" t="s">
        <v>26</v>
      </c>
      <c r="O9" s="1" t="s">
        <v>67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24</v>
      </c>
      <c r="J10" s="5">
        <v>5</v>
      </c>
      <c r="K10" s="5">
        <v>6</v>
      </c>
      <c r="L10" s="11">
        <v>0.02767121882</v>
      </c>
      <c r="M10" s="11">
        <v>0.02767121882</v>
      </c>
      <c r="N10" s="1" t="s">
        <v>26</v>
      </c>
      <c r="O10" s="1" t="s">
        <v>67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2</v>
      </c>
      <c r="G11" s="5">
        <v>2</v>
      </c>
      <c r="H11" s="5">
        <v>0</v>
      </c>
      <c r="I11" s="5">
        <v>8</v>
      </c>
      <c r="J11" s="5">
        <v>0</v>
      </c>
      <c r="K11" s="5">
        <v>4</v>
      </c>
      <c r="L11" s="11">
        <v>0.03899305164</v>
      </c>
      <c r="M11" s="11">
        <v>0.03899305164</v>
      </c>
      <c r="N11" s="1" t="s">
        <v>26</v>
      </c>
      <c r="O11" s="1" t="s">
        <v>67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2</v>
      </c>
      <c r="G12" s="5">
        <v>2</v>
      </c>
      <c r="H12" s="5">
        <v>20</v>
      </c>
      <c r="I12" s="5">
        <v>24</v>
      </c>
      <c r="J12" s="5">
        <v>0</v>
      </c>
      <c r="K12" s="5">
        <v>4</v>
      </c>
      <c r="L12" s="11">
        <v>0.03899305164</v>
      </c>
      <c r="M12" s="11">
        <v>0.03899305164</v>
      </c>
      <c r="N12" s="1" t="s">
        <v>26</v>
      </c>
      <c r="O12" s="1" t="s">
        <v>67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2</v>
      </c>
      <c r="G13" s="5">
        <v>2</v>
      </c>
      <c r="H13" s="5">
        <v>8</v>
      </c>
      <c r="I13" s="5">
        <v>20</v>
      </c>
      <c r="J13" s="5">
        <v>0</v>
      </c>
      <c r="K13" s="5">
        <v>4</v>
      </c>
      <c r="L13" s="11">
        <v>0.04469269344</v>
      </c>
      <c r="M13" s="11">
        <v>0.04469269344</v>
      </c>
      <c r="N13" s="1" t="s">
        <v>26</v>
      </c>
      <c r="O13" s="1" t="s">
        <v>67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24</v>
      </c>
      <c r="J14" s="5">
        <v>5</v>
      </c>
      <c r="K14" s="5">
        <v>6</v>
      </c>
      <c r="L14" s="11">
        <v>0.03899305164</v>
      </c>
      <c r="M14" s="11">
        <v>0.03899305164</v>
      </c>
      <c r="N14" s="1" t="s">
        <v>26</v>
      </c>
      <c r="O14" s="1" t="s">
        <v>67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3</v>
      </c>
      <c r="G15" s="5">
        <v>3</v>
      </c>
      <c r="H15" s="5">
        <v>0</v>
      </c>
      <c r="I15" s="5">
        <v>8</v>
      </c>
      <c r="J15" s="5">
        <v>0</v>
      </c>
      <c r="K15" s="5">
        <v>4</v>
      </c>
      <c r="L15" s="11">
        <v>0.03187298452</v>
      </c>
      <c r="M15" s="11">
        <v>0.03187298452</v>
      </c>
      <c r="N15" s="1" t="s">
        <v>26</v>
      </c>
      <c r="O15" s="1" t="s">
        <v>67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3</v>
      </c>
      <c r="G16" s="5">
        <v>3</v>
      </c>
      <c r="H16" s="5">
        <v>20</v>
      </c>
      <c r="I16" s="5">
        <v>24</v>
      </c>
      <c r="J16" s="5">
        <v>0</v>
      </c>
      <c r="K16" s="5">
        <v>4</v>
      </c>
      <c r="L16" s="11">
        <v>0.03187298452</v>
      </c>
      <c r="M16" s="11">
        <v>0.03187298452</v>
      </c>
      <c r="N16" s="1" t="s">
        <v>26</v>
      </c>
      <c r="O16" s="1" t="s">
        <v>67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3</v>
      </c>
      <c r="H17" s="5">
        <v>8</v>
      </c>
      <c r="I17" s="5">
        <v>20</v>
      </c>
      <c r="J17" s="5">
        <v>0</v>
      </c>
      <c r="K17" s="5">
        <v>4</v>
      </c>
      <c r="L17" s="11">
        <v>0.03066592768</v>
      </c>
      <c r="M17" s="11">
        <v>0.03066592768</v>
      </c>
      <c r="N17" s="1" t="s">
        <v>26</v>
      </c>
      <c r="O17" s="1" t="s">
        <v>67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24</v>
      </c>
      <c r="J18" s="5">
        <v>5</v>
      </c>
      <c r="K18" s="5">
        <v>6</v>
      </c>
      <c r="L18" s="11">
        <v>0.03187298452</v>
      </c>
      <c r="M18" s="11">
        <v>0.03187298452</v>
      </c>
      <c r="N18" s="1" t="s">
        <v>26</v>
      </c>
      <c r="O18" s="1" t="s">
        <v>67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4</v>
      </c>
      <c r="G19" s="5">
        <v>4</v>
      </c>
      <c r="H19" s="5">
        <v>0</v>
      </c>
      <c r="I19" s="5">
        <v>8</v>
      </c>
      <c r="J19" s="5">
        <v>0</v>
      </c>
      <c r="K19" s="5">
        <v>4</v>
      </c>
      <c r="L19" s="11">
        <v>0.03002261833</v>
      </c>
      <c r="M19" s="11">
        <v>0.03002261833</v>
      </c>
      <c r="N19" s="1" t="s">
        <v>26</v>
      </c>
      <c r="O19" s="1" t="s">
        <v>67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4</v>
      </c>
      <c r="G20" s="5">
        <v>4</v>
      </c>
      <c r="H20" s="5">
        <v>20</v>
      </c>
      <c r="I20" s="5">
        <v>24</v>
      </c>
      <c r="J20" s="5">
        <v>0</v>
      </c>
      <c r="K20" s="5">
        <v>4</v>
      </c>
      <c r="L20" s="11">
        <v>0.03002261833</v>
      </c>
      <c r="M20" s="11">
        <v>0.03002261833</v>
      </c>
      <c r="N20" s="1" t="s">
        <v>26</v>
      </c>
      <c r="O20" s="1" t="s">
        <v>67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8</v>
      </c>
      <c r="I21" s="5">
        <v>20</v>
      </c>
      <c r="J21" s="5">
        <v>0</v>
      </c>
      <c r="K21" s="5">
        <v>4</v>
      </c>
      <c r="L21" s="11">
        <v>0.02952926205</v>
      </c>
      <c r="M21" s="11">
        <v>0.02952926205</v>
      </c>
      <c r="N21" s="1" t="s">
        <v>26</v>
      </c>
      <c r="O21" s="1" t="s">
        <v>67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24</v>
      </c>
      <c r="J22" s="5">
        <v>5</v>
      </c>
      <c r="K22" s="5">
        <v>6</v>
      </c>
      <c r="L22" s="11">
        <v>0.03002261833</v>
      </c>
      <c r="M22" s="11">
        <v>0.03002261833</v>
      </c>
      <c r="N22" s="1" t="s">
        <v>26</v>
      </c>
      <c r="O22" s="1" t="s">
        <v>67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5</v>
      </c>
      <c r="G23" s="5">
        <v>5</v>
      </c>
      <c r="H23" s="5">
        <v>0</v>
      </c>
      <c r="I23" s="5">
        <v>8</v>
      </c>
      <c r="J23" s="5">
        <v>0</v>
      </c>
      <c r="K23" s="5">
        <v>4</v>
      </c>
      <c r="L23" s="11">
        <v>0.02960447577</v>
      </c>
      <c r="M23" s="11">
        <v>0.02960447577</v>
      </c>
      <c r="N23" s="1" t="s">
        <v>26</v>
      </c>
      <c r="O23" s="1" t="s">
        <v>67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5</v>
      </c>
      <c r="G24" s="5">
        <v>5</v>
      </c>
      <c r="H24" s="5">
        <v>20</v>
      </c>
      <c r="I24" s="5">
        <v>24</v>
      </c>
      <c r="J24" s="5">
        <v>0</v>
      </c>
      <c r="K24" s="5">
        <v>4</v>
      </c>
      <c r="L24" s="11">
        <v>0.02960447577</v>
      </c>
      <c r="M24" s="11">
        <v>0.02960447577</v>
      </c>
      <c r="N24" s="1" t="s">
        <v>26</v>
      </c>
      <c r="O24" s="1" t="s">
        <v>67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5</v>
      </c>
      <c r="G25" s="5">
        <v>5</v>
      </c>
      <c r="H25" s="5">
        <v>8</v>
      </c>
      <c r="I25" s="5">
        <v>20</v>
      </c>
      <c r="J25" s="5">
        <v>0</v>
      </c>
      <c r="K25" s="5">
        <v>4</v>
      </c>
      <c r="L25" s="11">
        <v>0.03325155188</v>
      </c>
      <c r="M25" s="11">
        <v>0.03325155188</v>
      </c>
      <c r="N25" s="1" t="s">
        <v>26</v>
      </c>
      <c r="O25" s="1" t="s">
        <v>67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24</v>
      </c>
      <c r="J26" s="5">
        <v>5</v>
      </c>
      <c r="K26" s="5">
        <v>6</v>
      </c>
      <c r="L26" s="11">
        <v>0.02960447577</v>
      </c>
      <c r="M26" s="11">
        <v>0.02960447577</v>
      </c>
      <c r="N26" s="1" t="s">
        <v>26</v>
      </c>
      <c r="O26" s="1" t="s">
        <v>67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6</v>
      </c>
      <c r="G27" s="5">
        <v>6</v>
      </c>
      <c r="H27" s="5">
        <v>0</v>
      </c>
      <c r="I27" s="5">
        <v>8</v>
      </c>
      <c r="J27" s="5">
        <v>0</v>
      </c>
      <c r="K27" s="5">
        <v>4</v>
      </c>
      <c r="L27" s="11">
        <v>0.0314833944</v>
      </c>
      <c r="M27" s="11">
        <v>0.0314833944</v>
      </c>
      <c r="N27" s="1" t="s">
        <v>26</v>
      </c>
      <c r="O27" s="1" t="s">
        <v>67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6</v>
      </c>
      <c r="G28" s="5">
        <v>6</v>
      </c>
      <c r="H28" s="5">
        <v>20</v>
      </c>
      <c r="I28" s="5">
        <v>24</v>
      </c>
      <c r="J28" s="5">
        <v>0</v>
      </c>
      <c r="K28" s="5">
        <v>4</v>
      </c>
      <c r="L28" s="11">
        <v>0.0314833944</v>
      </c>
      <c r="M28" s="11">
        <v>0.0314833944</v>
      </c>
      <c r="N28" s="1" t="s">
        <v>26</v>
      </c>
      <c r="O28" s="1" t="s">
        <v>67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6</v>
      </c>
      <c r="G29" s="5">
        <v>6</v>
      </c>
      <c r="H29" s="5">
        <v>8</v>
      </c>
      <c r="I29" s="5">
        <v>20</v>
      </c>
      <c r="J29" s="5">
        <v>0</v>
      </c>
      <c r="K29" s="5">
        <v>4</v>
      </c>
      <c r="L29" s="11">
        <v>0.03706530916</v>
      </c>
      <c r="M29" s="11">
        <v>0.03706530916</v>
      </c>
      <c r="N29" s="1" t="s">
        <v>26</v>
      </c>
      <c r="O29" s="1" t="s">
        <v>67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24</v>
      </c>
      <c r="J30" s="5">
        <v>5</v>
      </c>
      <c r="K30" s="5">
        <v>6</v>
      </c>
      <c r="L30" s="11">
        <v>0.0314833944</v>
      </c>
      <c r="M30" s="11">
        <v>0.0314833944</v>
      </c>
      <c r="N30" s="1" t="s">
        <v>26</v>
      </c>
      <c r="O30" s="1" t="s">
        <v>67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7</v>
      </c>
      <c r="G31" s="5">
        <v>7</v>
      </c>
      <c r="H31" s="5">
        <v>0</v>
      </c>
      <c r="I31" s="5">
        <v>8</v>
      </c>
      <c r="J31" s="5">
        <v>0</v>
      </c>
      <c r="K31" s="5">
        <v>4</v>
      </c>
      <c r="L31" s="11">
        <v>0.03474070867</v>
      </c>
      <c r="M31" s="11">
        <v>0.03474070867</v>
      </c>
      <c r="N31" s="1" t="s">
        <v>26</v>
      </c>
      <c r="O31" s="1" t="s">
        <v>67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7</v>
      </c>
      <c r="G32" s="5">
        <v>7</v>
      </c>
      <c r="H32" s="5">
        <v>20</v>
      </c>
      <c r="I32" s="5">
        <v>24</v>
      </c>
      <c r="J32" s="5">
        <v>0</v>
      </c>
      <c r="K32" s="5">
        <v>4</v>
      </c>
      <c r="L32" s="11">
        <v>0.03474070867</v>
      </c>
      <c r="M32" s="11">
        <v>0.03474070867</v>
      </c>
      <c r="N32" s="1" t="s">
        <v>26</v>
      </c>
      <c r="O32" s="1" t="s">
        <v>67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7</v>
      </c>
      <c r="G33" s="5">
        <v>7</v>
      </c>
      <c r="H33" s="5">
        <v>8</v>
      </c>
      <c r="I33" s="5">
        <v>20</v>
      </c>
      <c r="J33" s="5">
        <v>0</v>
      </c>
      <c r="K33" s="5">
        <v>4</v>
      </c>
      <c r="L33" s="11">
        <v>0.04189489636</v>
      </c>
      <c r="M33" s="11">
        <v>0.04189489636</v>
      </c>
      <c r="N33" s="1" t="s">
        <v>26</v>
      </c>
      <c r="O33" s="1" t="s">
        <v>67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24</v>
      </c>
      <c r="J34" s="5">
        <v>5</v>
      </c>
      <c r="K34" s="5">
        <v>6</v>
      </c>
      <c r="L34" s="11">
        <v>0.03474070867</v>
      </c>
      <c r="M34" s="11">
        <v>0.03474070867</v>
      </c>
      <c r="N34" s="1" t="s">
        <v>26</v>
      </c>
      <c r="O34" s="1" t="s">
        <v>67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8</v>
      </c>
      <c r="G35" s="5">
        <v>8</v>
      </c>
      <c r="H35" s="5">
        <v>0</v>
      </c>
      <c r="I35" s="5">
        <v>8</v>
      </c>
      <c r="J35" s="5">
        <v>0</v>
      </c>
      <c r="K35" s="5">
        <v>4</v>
      </c>
      <c r="L35" s="11">
        <v>0.03882722154</v>
      </c>
      <c r="M35" s="11">
        <v>0.03882722154</v>
      </c>
      <c r="N35" s="1" t="s">
        <v>26</v>
      </c>
      <c r="O35" s="1" t="s">
        <v>67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8</v>
      </c>
      <c r="G36" s="5">
        <v>8</v>
      </c>
      <c r="H36" s="5">
        <v>20</v>
      </c>
      <c r="I36" s="5">
        <v>24</v>
      </c>
      <c r="J36" s="5">
        <v>0</v>
      </c>
      <c r="K36" s="5">
        <v>4</v>
      </c>
      <c r="L36" s="11">
        <v>0.03882722154</v>
      </c>
      <c r="M36" s="11">
        <v>0.03882722154</v>
      </c>
      <c r="N36" s="1" t="s">
        <v>26</v>
      </c>
      <c r="O36" s="1" t="s">
        <v>67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8</v>
      </c>
      <c r="G37" s="5">
        <v>8</v>
      </c>
      <c r="H37" s="5">
        <v>8</v>
      </c>
      <c r="I37" s="5">
        <v>20</v>
      </c>
      <c r="J37" s="5">
        <v>0</v>
      </c>
      <c r="K37" s="5">
        <v>4</v>
      </c>
      <c r="L37" s="11">
        <v>0.04913115831</v>
      </c>
      <c r="M37" s="11">
        <v>0.04913115831</v>
      </c>
      <c r="N37" s="1" t="s">
        <v>26</v>
      </c>
      <c r="O37" s="1" t="s">
        <v>67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24</v>
      </c>
      <c r="J38" s="5">
        <v>5</v>
      </c>
      <c r="K38" s="5">
        <v>6</v>
      </c>
      <c r="L38" s="11">
        <v>0.03882722154</v>
      </c>
      <c r="M38" s="11">
        <v>0.03882722154</v>
      </c>
      <c r="N38" s="1" t="s">
        <v>26</v>
      </c>
      <c r="O38" s="1" t="s">
        <v>67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9</v>
      </c>
      <c r="G39" s="5">
        <v>9</v>
      </c>
      <c r="H39" s="5">
        <v>0</v>
      </c>
      <c r="I39" s="5">
        <v>8</v>
      </c>
      <c r="J39" s="5">
        <v>0</v>
      </c>
      <c r="K39" s="5">
        <v>4</v>
      </c>
      <c r="L39" s="11">
        <v>0.0417026984</v>
      </c>
      <c r="M39" s="11">
        <v>0.0417026984</v>
      </c>
      <c r="N39" s="1" t="s">
        <v>26</v>
      </c>
      <c r="O39" s="1" t="s">
        <v>67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9</v>
      </c>
      <c r="G40" s="5">
        <v>9</v>
      </c>
      <c r="H40" s="5">
        <v>20</v>
      </c>
      <c r="I40" s="5">
        <v>24</v>
      </c>
      <c r="J40" s="5">
        <v>0</v>
      </c>
      <c r="K40" s="5">
        <v>4</v>
      </c>
      <c r="L40" s="11">
        <v>0.0417026984</v>
      </c>
      <c r="M40" s="11">
        <v>0.0417026984</v>
      </c>
      <c r="N40" s="1" t="s">
        <v>26</v>
      </c>
      <c r="O40" s="1" t="s">
        <v>67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9</v>
      </c>
      <c r="G41" s="5">
        <v>9</v>
      </c>
      <c r="H41" s="5">
        <v>8</v>
      </c>
      <c r="I41" s="5">
        <v>20</v>
      </c>
      <c r="J41" s="5">
        <v>0</v>
      </c>
      <c r="K41" s="5">
        <v>4</v>
      </c>
      <c r="L41" s="11">
        <v>0.05016407795</v>
      </c>
      <c r="M41" s="11">
        <v>0.05016407795</v>
      </c>
      <c r="N41" s="1" t="s">
        <v>26</v>
      </c>
      <c r="O41" s="1" t="s">
        <v>67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24</v>
      </c>
      <c r="J42" s="5">
        <v>5</v>
      </c>
      <c r="K42" s="5">
        <v>6</v>
      </c>
      <c r="L42" s="11">
        <v>0.0417026984</v>
      </c>
      <c r="M42" s="11">
        <v>0.0417026984</v>
      </c>
      <c r="N42" s="1" t="s">
        <v>26</v>
      </c>
      <c r="O42" s="1" t="s">
        <v>67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10</v>
      </c>
      <c r="G43" s="5">
        <v>10</v>
      </c>
      <c r="H43" s="5">
        <v>0</v>
      </c>
      <c r="I43" s="5">
        <v>8</v>
      </c>
      <c r="J43" s="5">
        <v>0</v>
      </c>
      <c r="K43" s="5">
        <v>4</v>
      </c>
      <c r="L43" s="11">
        <v>0.05218288189</v>
      </c>
      <c r="M43" s="11">
        <v>0.05218288189</v>
      </c>
      <c r="N43" s="1" t="s">
        <v>26</v>
      </c>
      <c r="O43" s="1" t="s">
        <v>67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10</v>
      </c>
      <c r="G44" s="5">
        <v>10</v>
      </c>
      <c r="H44" s="5">
        <v>20</v>
      </c>
      <c r="I44" s="5">
        <v>24</v>
      </c>
      <c r="J44" s="5">
        <v>0</v>
      </c>
      <c r="K44" s="5">
        <v>4</v>
      </c>
      <c r="L44" s="11">
        <v>0.05218288189</v>
      </c>
      <c r="M44" s="11">
        <v>0.05218288189</v>
      </c>
      <c r="N44" s="1" t="s">
        <v>26</v>
      </c>
      <c r="O44" s="1" t="s">
        <v>67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10</v>
      </c>
      <c r="G45" s="5">
        <v>10</v>
      </c>
      <c r="H45" s="5">
        <v>8</v>
      </c>
      <c r="I45" s="5">
        <v>20</v>
      </c>
      <c r="J45" s="5">
        <v>0</v>
      </c>
      <c r="K45" s="5">
        <v>4</v>
      </c>
      <c r="L45" s="11">
        <v>0.05645298133</v>
      </c>
      <c r="M45" s="11">
        <v>0.05645298133</v>
      </c>
      <c r="N45" s="1" t="s">
        <v>26</v>
      </c>
      <c r="O45" s="1" t="s">
        <v>67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24</v>
      </c>
      <c r="J46" s="5">
        <v>5</v>
      </c>
      <c r="K46" s="5">
        <v>6</v>
      </c>
      <c r="L46" s="11">
        <v>0.05218288189</v>
      </c>
      <c r="M46" s="11">
        <v>0.05218288189</v>
      </c>
      <c r="N46" s="1" t="s">
        <v>26</v>
      </c>
      <c r="O46" s="1" t="s">
        <v>67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11</v>
      </c>
      <c r="G47" s="5">
        <v>11</v>
      </c>
      <c r="H47" s="5">
        <v>0</v>
      </c>
      <c r="I47" s="5">
        <v>8</v>
      </c>
      <c r="J47" s="5">
        <v>0</v>
      </c>
      <c r="K47" s="5">
        <v>4</v>
      </c>
      <c r="L47" s="11">
        <v>0.05478994373</v>
      </c>
      <c r="M47" s="11">
        <v>0.05478994373</v>
      </c>
      <c r="N47" s="1" t="s">
        <v>26</v>
      </c>
      <c r="O47" s="1" t="s">
        <v>67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11</v>
      </c>
      <c r="G48" s="5">
        <v>11</v>
      </c>
      <c r="H48" s="5">
        <v>20</v>
      </c>
      <c r="I48" s="5">
        <v>24</v>
      </c>
      <c r="J48" s="5">
        <v>0</v>
      </c>
      <c r="K48" s="5">
        <v>4</v>
      </c>
      <c r="L48" s="11">
        <v>0.05478994373</v>
      </c>
      <c r="M48" s="11">
        <v>0.05478994373</v>
      </c>
      <c r="N48" s="1" t="s">
        <v>26</v>
      </c>
      <c r="O48" s="1" t="s">
        <v>67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11</v>
      </c>
      <c r="G49" s="5">
        <v>11</v>
      </c>
      <c r="H49" s="5">
        <v>8</v>
      </c>
      <c r="I49" s="5">
        <v>20</v>
      </c>
      <c r="J49" s="5">
        <v>0</v>
      </c>
      <c r="K49" s="5">
        <v>4</v>
      </c>
      <c r="L49" s="11">
        <v>0.05702492586</v>
      </c>
      <c r="M49" s="11">
        <v>0.05702492586</v>
      </c>
      <c r="N49" s="1" t="s">
        <v>26</v>
      </c>
      <c r="O49" s="1" t="s">
        <v>67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24</v>
      </c>
      <c r="J50" s="5">
        <v>5</v>
      </c>
      <c r="K50" s="5">
        <v>6</v>
      </c>
      <c r="L50" s="11">
        <v>0.05478994373</v>
      </c>
      <c r="M50" s="11">
        <v>0.05478994373</v>
      </c>
      <c r="N50" s="1" t="s">
        <v>26</v>
      </c>
      <c r="O50" s="1" t="s">
        <v>67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12</v>
      </c>
      <c r="G51" s="5">
        <v>12</v>
      </c>
      <c r="H51" s="5">
        <v>0</v>
      </c>
      <c r="I51" s="5">
        <v>8</v>
      </c>
      <c r="J51" s="5">
        <v>0</v>
      </c>
      <c r="K51" s="5">
        <v>4</v>
      </c>
      <c r="L51" s="11">
        <v>0.03706198624</v>
      </c>
      <c r="M51" s="11">
        <v>0.03706198624</v>
      </c>
      <c r="N51" s="1" t="s">
        <v>26</v>
      </c>
      <c r="O51" s="1" t="s">
        <v>67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12</v>
      </c>
      <c r="G52" s="5">
        <v>12</v>
      </c>
      <c r="H52" s="5">
        <v>20</v>
      </c>
      <c r="I52" s="5">
        <v>24</v>
      </c>
      <c r="J52" s="5">
        <v>0</v>
      </c>
      <c r="K52" s="5">
        <v>4</v>
      </c>
      <c r="L52" s="11">
        <v>0.03706198624</v>
      </c>
      <c r="M52" s="11">
        <v>0.03706198624</v>
      </c>
      <c r="N52" s="1" t="s">
        <v>26</v>
      </c>
      <c r="O52" s="1" t="s">
        <v>67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12</v>
      </c>
      <c r="G53" s="5">
        <v>12</v>
      </c>
      <c r="H53" s="5">
        <v>8</v>
      </c>
      <c r="I53" s="5">
        <v>20</v>
      </c>
      <c r="J53" s="5">
        <v>0</v>
      </c>
      <c r="K53" s="5">
        <v>4</v>
      </c>
      <c r="L53" s="11">
        <v>0.04226297984</v>
      </c>
      <c r="M53" s="11">
        <v>0.04226297984</v>
      </c>
      <c r="N53" s="1" t="s">
        <v>26</v>
      </c>
      <c r="O53" s="1" t="s">
        <v>67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24</v>
      </c>
      <c r="J54" s="5">
        <v>5</v>
      </c>
      <c r="K54" s="5">
        <v>6</v>
      </c>
      <c r="L54" s="11">
        <v>0.03706198624</v>
      </c>
      <c r="M54" s="11">
        <v>0.03706198624</v>
      </c>
      <c r="N54" s="1" t="s">
        <v>26</v>
      </c>
      <c r="O54" s="1" t="s">
        <v>67</v>
      </c>
    </row>
    <row x14ac:dyDescent="0.25" r="55" customHeight="1" ht="17.25">
      <c r="A55" s="1" t="s">
        <v>34</v>
      </c>
      <c r="B55" s="1" t="s">
        <v>14</v>
      </c>
      <c r="C55" s="1"/>
      <c r="D55" s="2"/>
      <c r="E55" s="3"/>
      <c r="F55" s="2"/>
      <c r="G55" s="2"/>
      <c r="H55" s="2"/>
      <c r="I55" s="2"/>
      <c r="J55" s="2"/>
      <c r="K55" s="2"/>
      <c r="L55" s="4">
        <v>17.75</v>
      </c>
      <c r="M55" s="4">
        <v>17.75</v>
      </c>
      <c r="N55" s="1" t="s">
        <v>15</v>
      </c>
      <c r="O55" s="1"/>
    </row>
    <row x14ac:dyDescent="0.25" r="56" customHeight="1" ht="17.25">
      <c r="A56" s="1" t="s">
        <v>34</v>
      </c>
      <c r="B56" s="1" t="s">
        <v>17</v>
      </c>
      <c r="C56" s="1" t="s">
        <v>50</v>
      </c>
      <c r="D56" s="5">
        <v>0</v>
      </c>
      <c r="E56" s="5">
        <v>0</v>
      </c>
      <c r="F56" s="5">
        <v>1</v>
      </c>
      <c r="G56" s="5">
        <v>4</v>
      </c>
      <c r="H56" s="5">
        <v>0</v>
      </c>
      <c r="I56" s="5">
        <v>24</v>
      </c>
      <c r="J56" s="5">
        <v>0</v>
      </c>
      <c r="K56" s="5">
        <v>6</v>
      </c>
      <c r="L56" s="4">
        <f>4.0632 *24</f>
      </c>
      <c r="M56" s="11">
        <f>L56/2.83168</f>
      </c>
      <c r="N56" s="1" t="s">
        <v>35</v>
      </c>
      <c r="O56" s="1"/>
    </row>
    <row x14ac:dyDescent="0.25" r="57" customHeight="1" ht="17.25">
      <c r="A57" s="1" t="s">
        <v>34</v>
      </c>
      <c r="B57" s="1" t="s">
        <v>17</v>
      </c>
      <c r="C57" s="1" t="s">
        <v>50</v>
      </c>
      <c r="D57" s="5">
        <v>0</v>
      </c>
      <c r="E57" s="5">
        <v>0</v>
      </c>
      <c r="F57" s="5">
        <v>11</v>
      </c>
      <c r="G57" s="5">
        <v>12</v>
      </c>
      <c r="H57" s="5">
        <v>0</v>
      </c>
      <c r="I57" s="5">
        <v>24</v>
      </c>
      <c r="J57" s="5">
        <v>0</v>
      </c>
      <c r="K57" s="5">
        <v>6</v>
      </c>
      <c r="L57" s="4">
        <f>4.0632 *24</f>
      </c>
      <c r="M57" s="11">
        <f>L57/2.83168</f>
      </c>
      <c r="N57" s="1" t="s">
        <v>35</v>
      </c>
      <c r="O57" s="1"/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4">
        <f>0.043725+0.472702</f>
      </c>
      <c r="M58" s="11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1000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0.043078+0.472702</f>
      </c>
      <c r="M59" s="11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4">
        <f>0.043725+0.5016</f>
      </c>
      <c r="M60" s="11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1000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0.043078+0.5016</f>
      </c>
      <c r="M61" s="11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0.043725+0.509192</f>
      </c>
      <c r="M62" s="11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1000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0.043078+0.509192</f>
      </c>
      <c r="M63" s="11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0.043725+0.479845</f>
      </c>
      <c r="M64" s="11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1000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0.043078+0.479845</f>
      </c>
      <c r="M65" s="11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0.043725+0.514437</f>
      </c>
      <c r="M66" s="11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1000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0.043078+0.514437</f>
      </c>
      <c r="M67" s="11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0.043725+0.520431</f>
      </c>
      <c r="M68" s="11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1000</v>
      </c>
      <c r="E69" s="4">
        <f>D69*2.83168</f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0.043078+0.520431</f>
      </c>
      <c r="M69" s="11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0.043725+0.580022</f>
      </c>
      <c r="M70" s="11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1000</v>
      </c>
      <c r="E71" s="4">
        <f>D71*2.83168</f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0.043078+0.580022</f>
      </c>
      <c r="M71" s="11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0.043725+0.626594</f>
      </c>
      <c r="M72" s="11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1000</v>
      </c>
      <c r="E73" s="4">
        <f>D73*2.83168</f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0.043078+0.626594</f>
      </c>
      <c r="M73" s="11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0.043725+0.658859</f>
      </c>
      <c r="M74" s="11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1000</v>
      </c>
      <c r="E75" s="4">
        <f>D75*2.83168</f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0.043078+0.658859</f>
      </c>
      <c r="M75" s="11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0.043725+0.804461</f>
      </c>
      <c r="M76" s="11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1000</v>
      </c>
      <c r="E77" s="4">
        <f>D77*2.83168</f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0.043078+0.804461</f>
      </c>
      <c r="M77" s="11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0.043725+0.853798</f>
      </c>
      <c r="M78" s="11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1000</v>
      </c>
      <c r="E79" s="4">
        <f>D79*2.83168</f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0.043078+0.853798</f>
      </c>
      <c r="M79" s="11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0.043725+0.775689</f>
      </c>
      <c r="M80" s="11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1000</v>
      </c>
      <c r="E81" s="4">
        <f>D81*2.83168</f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0.043078+0.775689</f>
      </c>
      <c r="M81" s="11">
        <f>L81/2.83168</f>
      </c>
      <c r="N81" s="1" t="s">
        <v>36</v>
      </c>
      <c r="O81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1.290714285714287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9"/>
      <c r="D2" s="10"/>
      <c r="E2" s="13"/>
      <c r="F2" s="10"/>
      <c r="G2" s="10"/>
      <c r="H2" s="10"/>
      <c r="I2" s="10"/>
      <c r="J2" s="10"/>
      <c r="K2" s="10"/>
      <c r="L2" s="4">
        <v>63.95</v>
      </c>
      <c r="M2" s="4">
        <v>63.95</v>
      </c>
      <c r="N2" s="1" t="s">
        <v>15</v>
      </c>
      <c r="O2" s="9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0</v>
      </c>
      <c r="I3" s="5">
        <v>6</v>
      </c>
      <c r="J3" s="5">
        <v>0</v>
      </c>
      <c r="K3" s="5">
        <v>4</v>
      </c>
      <c r="L3" s="4">
        <f>0.00345+0.0823</f>
      </c>
      <c r="M3" s="4">
        <f>0.00345+0.0823</f>
      </c>
      <c r="N3" s="1" t="s">
        <v>26</v>
      </c>
      <c r="O3" s="1" t="s">
        <v>65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3</v>
      </c>
      <c r="H4" s="5">
        <v>6</v>
      </c>
      <c r="I4" s="5">
        <v>16</v>
      </c>
      <c r="J4" s="5">
        <v>0</v>
      </c>
      <c r="K4" s="5">
        <v>4</v>
      </c>
      <c r="L4" s="4">
        <f>0.00345+0.10643</f>
      </c>
      <c r="M4" s="4">
        <f>0.00345+0.10643</f>
      </c>
      <c r="N4" s="1" t="s">
        <v>26</v>
      </c>
      <c r="O4" s="1" t="s">
        <v>65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16</v>
      </c>
      <c r="I5" s="5">
        <v>21</v>
      </c>
      <c r="J5" s="5">
        <v>0</v>
      </c>
      <c r="K5" s="5">
        <v>6</v>
      </c>
      <c r="L5" s="4">
        <f>0.00345+0.18969</f>
      </c>
      <c r="M5" s="4">
        <f>0.00345+0.18969</f>
      </c>
      <c r="N5" s="1" t="s">
        <v>26</v>
      </c>
      <c r="O5" s="1" t="s">
        <v>65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21</v>
      </c>
      <c r="I6" s="5">
        <v>24</v>
      </c>
      <c r="J6" s="5">
        <v>0</v>
      </c>
      <c r="K6" s="5">
        <v>6</v>
      </c>
      <c r="L6" s="4">
        <f>0.00345+0.10643</f>
      </c>
      <c r="M6" s="4">
        <f>0.00345+0.10643</f>
      </c>
      <c r="N6" s="1" t="s">
        <v>26</v>
      </c>
      <c r="O6" s="1" t="s">
        <v>65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0</v>
      </c>
      <c r="I7" s="5">
        <v>14</v>
      </c>
      <c r="J7" s="5">
        <v>5</v>
      </c>
      <c r="K7" s="5">
        <v>6</v>
      </c>
      <c r="L7" s="4">
        <f>0.00345+0.0823</f>
      </c>
      <c r="M7" s="4">
        <f>0.00345+0.0823</f>
      </c>
      <c r="N7" s="1" t="s">
        <v>26</v>
      </c>
      <c r="O7" s="1" t="s">
        <v>65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14</v>
      </c>
      <c r="I8" s="5">
        <v>16</v>
      </c>
      <c r="J8" s="5">
        <v>5</v>
      </c>
      <c r="K8" s="5">
        <v>6</v>
      </c>
      <c r="L8" s="4">
        <f>0.00345+0.10643</f>
      </c>
      <c r="M8" s="4">
        <f>0.00345+0.10643</f>
      </c>
      <c r="N8" s="1" t="s">
        <v>26</v>
      </c>
      <c r="O8" s="1" t="s">
        <v>65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3</v>
      </c>
      <c r="G9" s="5">
        <v>4</v>
      </c>
      <c r="H9" s="5">
        <v>6</v>
      </c>
      <c r="I9" s="5">
        <v>10</v>
      </c>
      <c r="J9" s="5">
        <v>0</v>
      </c>
      <c r="K9" s="5">
        <v>4</v>
      </c>
      <c r="L9" s="4">
        <f>0.00345+0.10643</f>
      </c>
      <c r="M9" s="4">
        <f>0.00345+0.10643</f>
      </c>
      <c r="N9" s="1" t="s">
        <v>26</v>
      </c>
      <c r="O9" s="1" t="s">
        <v>65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3</v>
      </c>
      <c r="G10" s="5">
        <v>4</v>
      </c>
      <c r="H10" s="5">
        <v>10</v>
      </c>
      <c r="I10" s="5">
        <v>14</v>
      </c>
      <c r="J10" s="5">
        <v>0</v>
      </c>
      <c r="K10" s="5">
        <v>4</v>
      </c>
      <c r="L10" s="4">
        <f>0.00345+0.0823</f>
      </c>
      <c r="M10" s="4">
        <f>0.00345+0.0823</f>
      </c>
      <c r="N10" s="1" t="s">
        <v>26</v>
      </c>
      <c r="O10" s="1" t="s">
        <v>65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3</v>
      </c>
      <c r="G11" s="5">
        <v>4</v>
      </c>
      <c r="H11" s="5">
        <v>14</v>
      </c>
      <c r="I11" s="5">
        <v>16</v>
      </c>
      <c r="J11" s="5">
        <v>0</v>
      </c>
      <c r="K11" s="5">
        <v>4</v>
      </c>
      <c r="L11" s="4">
        <f>0.00345+0.10643</f>
      </c>
      <c r="M11" s="4">
        <f>0.00345+0.10643</f>
      </c>
      <c r="N11" s="1" t="s">
        <v>26</v>
      </c>
      <c r="O11" s="1" t="s">
        <v>65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5</v>
      </c>
      <c r="G12" s="5">
        <v>5</v>
      </c>
      <c r="H12" s="5">
        <v>6</v>
      </c>
      <c r="I12" s="5">
        <v>16</v>
      </c>
      <c r="J12" s="5">
        <v>0</v>
      </c>
      <c r="K12" s="5">
        <v>4</v>
      </c>
      <c r="L12" s="4">
        <f>0.00345+0.10643</f>
      </c>
      <c r="M12" s="4">
        <f>0.00345+0.10643</f>
      </c>
      <c r="N12" s="1" t="s">
        <v>26</v>
      </c>
      <c r="O12" s="1" t="s">
        <v>65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10</v>
      </c>
      <c r="H13" s="5">
        <v>0</v>
      </c>
      <c r="I13" s="5">
        <v>6</v>
      </c>
      <c r="J13" s="5">
        <v>0</v>
      </c>
      <c r="K13" s="5">
        <v>4</v>
      </c>
      <c r="L13" s="4">
        <f>0.00345+0.0905</f>
      </c>
      <c r="M13" s="4">
        <f>0.00345+0.0905</f>
      </c>
      <c r="N13" s="1" t="s">
        <v>26</v>
      </c>
      <c r="O13" s="1" t="s">
        <v>65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10</v>
      </c>
      <c r="H14" s="5">
        <v>6</v>
      </c>
      <c r="I14" s="5">
        <v>16</v>
      </c>
      <c r="J14" s="5">
        <v>0</v>
      </c>
      <c r="K14" s="5">
        <v>4</v>
      </c>
      <c r="L14" s="4">
        <f>0.00345+0.10959</f>
      </c>
      <c r="M14" s="4">
        <f>0.00345+0.10959</f>
      </c>
      <c r="N14" s="1" t="s">
        <v>26</v>
      </c>
      <c r="O14" s="1" t="s">
        <v>65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6</v>
      </c>
      <c r="G15" s="5">
        <v>10</v>
      </c>
      <c r="H15" s="5">
        <v>16</v>
      </c>
      <c r="I15" s="5">
        <v>21</v>
      </c>
      <c r="J15" s="5">
        <v>0</v>
      </c>
      <c r="K15" s="5">
        <v>6</v>
      </c>
      <c r="L15" s="4">
        <f>0.00345+0.17836</f>
      </c>
      <c r="M15" s="4">
        <f>0.00345+0.17836</f>
      </c>
      <c r="N15" s="1" t="s">
        <v>26</v>
      </c>
      <c r="O15" s="1" t="s">
        <v>65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10</v>
      </c>
      <c r="H16" s="5">
        <v>21</v>
      </c>
      <c r="I16" s="5">
        <v>24</v>
      </c>
      <c r="J16" s="5">
        <v>0</v>
      </c>
      <c r="K16" s="5">
        <v>6</v>
      </c>
      <c r="L16" s="4">
        <f>0.00345+0.10959</f>
      </c>
      <c r="M16" s="4">
        <f>0.00345+0.10959</f>
      </c>
      <c r="N16" s="1" t="s">
        <v>26</v>
      </c>
      <c r="O16" s="1" t="s">
        <v>65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10</v>
      </c>
      <c r="H17" s="5">
        <v>0</v>
      </c>
      <c r="I17" s="5">
        <v>14</v>
      </c>
      <c r="J17" s="5">
        <v>5</v>
      </c>
      <c r="K17" s="5">
        <v>6</v>
      </c>
      <c r="L17" s="4">
        <f>0.00345+0.0905</f>
      </c>
      <c r="M17" s="4">
        <f>0.00345+0.0905</f>
      </c>
      <c r="N17" s="1" t="s">
        <v>26</v>
      </c>
      <c r="O17" s="1" t="s">
        <v>65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6</v>
      </c>
      <c r="G18" s="5">
        <v>10</v>
      </c>
      <c r="H18" s="5">
        <v>14</v>
      </c>
      <c r="I18" s="5">
        <v>16</v>
      </c>
      <c r="J18" s="5">
        <v>5</v>
      </c>
      <c r="K18" s="5">
        <v>6</v>
      </c>
      <c r="L18" s="4">
        <f>0.00345+0.10959</f>
      </c>
      <c r="M18" s="4">
        <f>0.00345+0.10959</f>
      </c>
      <c r="N18" s="1" t="s">
        <v>26</v>
      </c>
      <c r="O18" s="1" t="s">
        <v>65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11</v>
      </c>
      <c r="G19" s="5">
        <v>12</v>
      </c>
      <c r="H19" s="5">
        <v>0</v>
      </c>
      <c r="I19" s="5">
        <v>6</v>
      </c>
      <c r="J19" s="5">
        <v>0</v>
      </c>
      <c r="K19" s="5">
        <v>4</v>
      </c>
      <c r="L19" s="4">
        <f>0.00345+0.0823</f>
      </c>
      <c r="M19" s="4">
        <f>0.00345+0.0823</f>
      </c>
      <c r="N19" s="1" t="s">
        <v>26</v>
      </c>
      <c r="O19" s="1" t="s">
        <v>65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11</v>
      </c>
      <c r="G20" s="5">
        <v>12</v>
      </c>
      <c r="H20" s="5">
        <v>6</v>
      </c>
      <c r="I20" s="5">
        <v>16</v>
      </c>
      <c r="J20" s="5">
        <v>0</v>
      </c>
      <c r="K20" s="5">
        <v>4</v>
      </c>
      <c r="L20" s="4">
        <f>0.00345+0.10643</f>
      </c>
      <c r="M20" s="4">
        <f>0.00345+0.10643</f>
      </c>
      <c r="N20" s="1" t="s">
        <v>26</v>
      </c>
      <c r="O20" s="1" t="s">
        <v>65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11</v>
      </c>
      <c r="G21" s="5">
        <v>12</v>
      </c>
      <c r="H21" s="5">
        <v>16</v>
      </c>
      <c r="I21" s="5">
        <v>21</v>
      </c>
      <c r="J21" s="5">
        <v>0</v>
      </c>
      <c r="K21" s="5">
        <v>6</v>
      </c>
      <c r="L21" s="4">
        <f>0.00345+0.18969</f>
      </c>
      <c r="M21" s="4">
        <f>0.00345+0.18969</f>
      </c>
      <c r="N21" s="1" t="s">
        <v>26</v>
      </c>
      <c r="O21" s="1" t="s">
        <v>65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11</v>
      </c>
      <c r="G22" s="5">
        <v>12</v>
      </c>
      <c r="H22" s="5">
        <v>21</v>
      </c>
      <c r="I22" s="5">
        <v>24</v>
      </c>
      <c r="J22" s="5">
        <v>0</v>
      </c>
      <c r="K22" s="5">
        <v>6</v>
      </c>
      <c r="L22" s="4">
        <f>0.00345+0.10643</f>
      </c>
      <c r="M22" s="4">
        <f>0.00345+0.10643</f>
      </c>
      <c r="N22" s="1" t="s">
        <v>26</v>
      </c>
      <c r="O22" s="1" t="s">
        <v>65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11</v>
      </c>
      <c r="G23" s="5">
        <v>12</v>
      </c>
      <c r="H23" s="5">
        <v>0</v>
      </c>
      <c r="I23" s="5">
        <v>14</v>
      </c>
      <c r="J23" s="5">
        <v>5</v>
      </c>
      <c r="K23" s="5">
        <v>6</v>
      </c>
      <c r="L23" s="4">
        <f>0.00345+0.0823</f>
      </c>
      <c r="M23" s="4">
        <f>0.00345+0.0823</f>
      </c>
      <c r="N23" s="1" t="s">
        <v>26</v>
      </c>
      <c r="O23" s="1" t="s">
        <v>65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11</v>
      </c>
      <c r="G24" s="5">
        <v>12</v>
      </c>
      <c r="H24" s="5">
        <v>14</v>
      </c>
      <c r="I24" s="5">
        <v>16</v>
      </c>
      <c r="J24" s="5">
        <v>5</v>
      </c>
      <c r="K24" s="5">
        <v>6</v>
      </c>
      <c r="L24" s="4">
        <f>0.00345+0.10643</f>
      </c>
      <c r="M24" s="4">
        <f>0.00345+0.10643</f>
      </c>
      <c r="N24" s="1" t="s">
        <v>26</v>
      </c>
      <c r="O24" s="1" t="s">
        <v>65</v>
      </c>
    </row>
    <row x14ac:dyDescent="0.25" r="25" customHeight="1" ht="17.25">
      <c r="A25" s="1" t="s">
        <v>13</v>
      </c>
      <c r="B25" s="1" t="s">
        <v>17</v>
      </c>
      <c r="C25" s="1" t="s">
        <v>24</v>
      </c>
      <c r="D25" s="5">
        <v>0</v>
      </c>
      <c r="E25" s="5">
        <v>0</v>
      </c>
      <c r="F25" s="5">
        <v>1</v>
      </c>
      <c r="G25" s="5">
        <v>12</v>
      </c>
      <c r="H25" s="5">
        <v>0</v>
      </c>
      <c r="I25" s="5">
        <v>24</v>
      </c>
      <c r="J25" s="5">
        <v>0</v>
      </c>
      <c r="K25" s="5">
        <v>6</v>
      </c>
      <c r="L25" s="4">
        <v>27.46</v>
      </c>
      <c r="M25" s="4">
        <v>27.46</v>
      </c>
      <c r="N25" s="1" t="s">
        <v>19</v>
      </c>
      <c r="O25" s="1"/>
    </row>
    <row x14ac:dyDescent="0.25" r="26" customHeight="1" ht="17.25">
      <c r="A26" s="1" t="s">
        <v>13</v>
      </c>
      <c r="B26" s="1" t="s">
        <v>17</v>
      </c>
      <c r="C26" s="1" t="s">
        <v>53</v>
      </c>
      <c r="D26" s="5">
        <v>0</v>
      </c>
      <c r="E26" s="5">
        <v>0</v>
      </c>
      <c r="F26" s="5">
        <v>1</v>
      </c>
      <c r="G26" s="5">
        <v>5</v>
      </c>
      <c r="H26" s="5">
        <v>16</v>
      </c>
      <c r="I26" s="5">
        <v>21</v>
      </c>
      <c r="J26" s="5">
        <v>0</v>
      </c>
      <c r="K26" s="5">
        <v>6</v>
      </c>
      <c r="L26" s="4">
        <v>23.12</v>
      </c>
      <c r="M26" s="4">
        <v>23.12</v>
      </c>
      <c r="N26" s="1" t="s">
        <v>19</v>
      </c>
      <c r="O26" s="1"/>
    </row>
    <row x14ac:dyDescent="0.25" r="27" customHeight="1" ht="17.25">
      <c r="A27" s="1" t="s">
        <v>13</v>
      </c>
      <c r="B27" s="1" t="s">
        <v>17</v>
      </c>
      <c r="C27" s="1" t="s">
        <v>53</v>
      </c>
      <c r="D27" s="5">
        <v>0</v>
      </c>
      <c r="E27" s="5">
        <v>0</v>
      </c>
      <c r="F27" s="5">
        <v>6</v>
      </c>
      <c r="G27" s="5">
        <v>10</v>
      </c>
      <c r="H27" s="5">
        <v>16</v>
      </c>
      <c r="I27" s="5">
        <v>21</v>
      </c>
      <c r="J27" s="5">
        <v>0</v>
      </c>
      <c r="K27" s="5">
        <v>6</v>
      </c>
      <c r="L27" s="4">
        <f>23.26+12.55</f>
      </c>
      <c r="M27" s="4">
        <f>23.26+12.55</f>
      </c>
      <c r="N27" s="1" t="s">
        <v>19</v>
      </c>
      <c r="O27" s="1" t="s">
        <v>65</v>
      </c>
    </row>
    <row x14ac:dyDescent="0.25" r="28" customHeight="1" ht="17.25">
      <c r="A28" s="1" t="s">
        <v>13</v>
      </c>
      <c r="B28" s="1" t="s">
        <v>17</v>
      </c>
      <c r="C28" s="1" t="s">
        <v>50</v>
      </c>
      <c r="D28" s="5">
        <v>0</v>
      </c>
      <c r="E28" s="5">
        <v>0</v>
      </c>
      <c r="F28" s="5">
        <v>11</v>
      </c>
      <c r="G28" s="5">
        <v>12</v>
      </c>
      <c r="H28" s="5">
        <v>16</v>
      </c>
      <c r="I28" s="5">
        <v>21</v>
      </c>
      <c r="J28" s="5">
        <v>0</v>
      </c>
      <c r="K28" s="5">
        <v>6</v>
      </c>
      <c r="L28" s="4">
        <v>23.12</v>
      </c>
      <c r="M28" s="4">
        <v>23.12</v>
      </c>
      <c r="N28" s="1" t="s">
        <v>19</v>
      </c>
      <c r="O28" s="1"/>
    </row>
    <row x14ac:dyDescent="0.25" r="29" customHeight="1" ht="17.25">
      <c r="A29" s="1" t="s">
        <v>34</v>
      </c>
      <c r="B29" s="1" t="s">
        <v>14</v>
      </c>
      <c r="C29" s="1"/>
      <c r="D29" s="2"/>
      <c r="E29" s="3"/>
      <c r="F29" s="2"/>
      <c r="G29" s="2"/>
      <c r="H29" s="2"/>
      <c r="I29" s="2"/>
      <c r="J29" s="2"/>
      <c r="K29" s="2"/>
      <c r="L29" s="5">
        <v>10</v>
      </c>
      <c r="M29" s="5">
        <v>10</v>
      </c>
      <c r="N29" s="1" t="s">
        <v>15</v>
      </c>
      <c r="O29" s="1"/>
    </row>
    <row x14ac:dyDescent="0.25" r="30" customHeight="1" ht="17.25">
      <c r="A30" s="1" t="s">
        <v>34</v>
      </c>
      <c r="B30" s="1" t="s">
        <v>25</v>
      </c>
      <c r="C30" s="1"/>
      <c r="D30" s="5">
        <v>0</v>
      </c>
      <c r="E30" s="5">
        <v>0</v>
      </c>
      <c r="F30" s="5">
        <v>1</v>
      </c>
      <c r="G30" s="5">
        <v>12</v>
      </c>
      <c r="H30" s="5">
        <v>0</v>
      </c>
      <c r="I30" s="5">
        <v>24</v>
      </c>
      <c r="J30" s="5">
        <v>0</v>
      </c>
      <c r="K30" s="5">
        <v>6</v>
      </c>
      <c r="L30" s="4">
        <v>1.31032</v>
      </c>
      <c r="M30" s="14">
        <f>L30/2.83168</f>
      </c>
      <c r="N30" s="1" t="s">
        <v>36</v>
      </c>
      <c r="O30" s="1"/>
    </row>
    <row x14ac:dyDescent="0.25" r="31" customHeight="1" ht="17.25">
      <c r="A31" s="1" t="s">
        <v>34</v>
      </c>
      <c r="B31" s="1" t="s">
        <v>25</v>
      </c>
      <c r="C31" s="1"/>
      <c r="D31" s="5">
        <v>1000</v>
      </c>
      <c r="E31" s="4">
        <f>D31*2.83168</f>
      </c>
      <c r="F31" s="5">
        <v>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v>1.05799</v>
      </c>
      <c r="M31" s="14">
        <f>L31/2.83168</f>
      </c>
      <c r="N31" s="1" t="s">
        <v>36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v>21000</v>
      </c>
      <c r="E32" s="4">
        <f>D32*2.83168</f>
      </c>
      <c r="F32" s="5">
        <v>1</v>
      </c>
      <c r="G32" s="5">
        <v>12</v>
      </c>
      <c r="H32" s="5">
        <v>0</v>
      </c>
      <c r="I32" s="5">
        <v>24</v>
      </c>
      <c r="J32" s="5">
        <v>0</v>
      </c>
      <c r="K32" s="5">
        <v>6</v>
      </c>
      <c r="L32" s="4">
        <v>0.98671</v>
      </c>
      <c r="M32" s="14">
        <f>L32/2.83168</f>
      </c>
      <c r="N32" s="1" t="s">
        <v>36</v>
      </c>
      <c r="O32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295.95</v>
      </c>
      <c r="M2" s="4">
        <v>295.95</v>
      </c>
      <c r="N2" s="1" t="s">
        <v>15</v>
      </c>
      <c r="O2" s="1" t="s">
        <v>63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v>0.02269595392</v>
      </c>
      <c r="M3" s="11">
        <v>0.02269595392</v>
      </c>
      <c r="N3" s="1" t="s">
        <v>26</v>
      </c>
      <c r="O3" s="1" t="s">
        <v>64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v>0.03661955173</v>
      </c>
      <c r="M4" s="11">
        <v>0.03661955173</v>
      </c>
      <c r="N4" s="1" t="s">
        <v>26</v>
      </c>
      <c r="O4" s="1" t="s">
        <v>64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v>0.02124298439</v>
      </c>
      <c r="M5" s="11">
        <v>0.02124298439</v>
      </c>
      <c r="N5" s="1" t="s">
        <v>26</v>
      </c>
      <c r="O5" s="1" t="s">
        <v>64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v>0.02039166465</v>
      </c>
      <c r="M6" s="11">
        <v>0.02039166465</v>
      </c>
      <c r="N6" s="1" t="s">
        <v>26</v>
      </c>
      <c r="O6" s="1" t="s">
        <v>64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v>0.02365878794</v>
      </c>
      <c r="M7" s="11">
        <v>0.02365878794</v>
      </c>
      <c r="N7" s="1" t="s">
        <v>26</v>
      </c>
      <c r="O7" s="1" t="s">
        <v>64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v>0.02827343467</v>
      </c>
      <c r="M8" s="11">
        <v>0.02827343467</v>
      </c>
      <c r="N8" s="1" t="s">
        <v>26</v>
      </c>
      <c r="O8" s="1" t="s">
        <v>64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1">
        <v>0.03314336928</v>
      </c>
      <c r="M9" s="11">
        <v>0.03314336928</v>
      </c>
      <c r="N9" s="1" t="s">
        <v>26</v>
      </c>
      <c r="O9" s="1" t="s">
        <v>64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v>0.04073018928</v>
      </c>
      <c r="M10" s="11">
        <v>0.04073018928</v>
      </c>
      <c r="N10" s="1" t="s">
        <v>26</v>
      </c>
      <c r="O10" s="1" t="s">
        <v>64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v>0.04083243049</v>
      </c>
      <c r="M11" s="11">
        <v>0.04083243049</v>
      </c>
      <c r="N11" s="1" t="s">
        <v>26</v>
      </c>
      <c r="O11" s="1" t="s">
        <v>64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v>0.04430227405</v>
      </c>
      <c r="M12" s="11">
        <v>0.04430227405</v>
      </c>
      <c r="N12" s="1" t="s">
        <v>26</v>
      </c>
      <c r="O12" s="1" t="s">
        <v>64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v>0.04546055048</v>
      </c>
      <c r="M13" s="11">
        <v>0.04546055048</v>
      </c>
      <c r="N13" s="1" t="s">
        <v>26</v>
      </c>
      <c r="O13" s="1" t="s">
        <v>64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v>0.03358350991</v>
      </c>
      <c r="M14" s="11">
        <v>0.03358350991</v>
      </c>
      <c r="N14" s="1" t="s">
        <v>26</v>
      </c>
      <c r="O14" s="1" t="s">
        <v>64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7.26+0.63</f>
      </c>
      <c r="M15" s="4">
        <f>7.26+0.63</f>
      </c>
      <c r="N15" s="1" t="s">
        <v>19</v>
      </c>
      <c r="O15" s="1"/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4">
        <v>73.6</v>
      </c>
      <c r="M16" s="4">
        <v>73.6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14">
        <f>(0.357+0.49951)/1.037</f>
      </c>
      <c r="M17" s="14">
        <f>L17/2.83168</f>
      </c>
      <c r="N17" s="1" t="s">
        <v>36</v>
      </c>
      <c r="O1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295.95</v>
      </c>
      <c r="M2" s="4">
        <v>295.95</v>
      </c>
      <c r="N2" s="1" t="s">
        <v>15</v>
      </c>
      <c r="O2" s="1" t="s">
        <v>63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v>0.02269595392</v>
      </c>
      <c r="M3" s="11">
        <v>0.02269595392</v>
      </c>
      <c r="N3" s="1" t="s">
        <v>26</v>
      </c>
      <c r="O3" s="1" t="s">
        <v>64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v>0.03661955173</v>
      </c>
      <c r="M4" s="11">
        <v>0.03661955173</v>
      </c>
      <c r="N4" s="1" t="s">
        <v>26</v>
      </c>
      <c r="O4" s="1" t="s">
        <v>64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v>0.02124298439</v>
      </c>
      <c r="M5" s="11">
        <v>0.02124298439</v>
      </c>
      <c r="N5" s="1" t="s">
        <v>26</v>
      </c>
      <c r="O5" s="1" t="s">
        <v>64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v>0.02039166465</v>
      </c>
      <c r="M6" s="11">
        <v>0.02039166465</v>
      </c>
      <c r="N6" s="1" t="s">
        <v>26</v>
      </c>
      <c r="O6" s="1" t="s">
        <v>64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v>0.02365878794</v>
      </c>
      <c r="M7" s="11">
        <v>0.02365878794</v>
      </c>
      <c r="N7" s="1" t="s">
        <v>26</v>
      </c>
      <c r="O7" s="1" t="s">
        <v>64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v>0.02827343467</v>
      </c>
      <c r="M8" s="11">
        <v>0.02827343467</v>
      </c>
      <c r="N8" s="1" t="s">
        <v>26</v>
      </c>
      <c r="O8" s="1" t="s">
        <v>64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1">
        <v>0.03314336928</v>
      </c>
      <c r="M9" s="11">
        <v>0.03314336928</v>
      </c>
      <c r="N9" s="1" t="s">
        <v>26</v>
      </c>
      <c r="O9" s="1" t="s">
        <v>64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v>0.04073018928</v>
      </c>
      <c r="M10" s="11">
        <v>0.04073018928</v>
      </c>
      <c r="N10" s="1" t="s">
        <v>26</v>
      </c>
      <c r="O10" s="1" t="s">
        <v>64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v>0.04083243049</v>
      </c>
      <c r="M11" s="11">
        <v>0.04083243049</v>
      </c>
      <c r="N11" s="1" t="s">
        <v>26</v>
      </c>
      <c r="O11" s="1" t="s">
        <v>64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v>0.04430227405</v>
      </c>
      <c r="M12" s="11">
        <v>0.04430227405</v>
      </c>
      <c r="N12" s="1" t="s">
        <v>26</v>
      </c>
      <c r="O12" s="1" t="s">
        <v>64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v>0.04546055048</v>
      </c>
      <c r="M13" s="11">
        <v>0.04546055048</v>
      </c>
      <c r="N13" s="1" t="s">
        <v>26</v>
      </c>
      <c r="O13" s="1" t="s">
        <v>64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v>0.03358350991</v>
      </c>
      <c r="M14" s="11">
        <v>0.03358350991</v>
      </c>
      <c r="N14" s="1" t="s">
        <v>26</v>
      </c>
      <c r="O14" s="1" t="s">
        <v>64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7.26+0.63</f>
      </c>
      <c r="M15" s="4">
        <f>7.26+0.63</f>
      </c>
      <c r="N15" s="1" t="s">
        <v>19</v>
      </c>
      <c r="O15" s="1"/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4">
        <v>73.6</v>
      </c>
      <c r="M16" s="4">
        <v>73.6</v>
      </c>
      <c r="N16" s="1" t="s">
        <v>15</v>
      </c>
      <c r="O16" s="1"/>
    </row>
    <row x14ac:dyDescent="0.25" r="17" customHeight="1" ht="17.25">
      <c r="A17" s="1" t="s">
        <v>34</v>
      </c>
      <c r="B17" s="1" t="s">
        <v>25</v>
      </c>
      <c r="C17" s="1"/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14">
        <f>(0.357+0.49951)/1.037</f>
      </c>
      <c r="M17" s="14">
        <f>L17/2.83168</f>
      </c>
      <c r="N17" s="1" t="s">
        <v>36</v>
      </c>
      <c r="O17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9.005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29.64</v>
      </c>
      <c r="M2" s="4">
        <v>29.64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9</v>
      </c>
      <c r="I3" s="5">
        <v>21</v>
      </c>
      <c r="J3" s="5">
        <v>0</v>
      </c>
      <c r="K3" s="5">
        <v>4</v>
      </c>
      <c r="L3" s="4">
        <v>10.49</v>
      </c>
      <c r="M3" s="4">
        <v>10.49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53</v>
      </c>
      <c r="D4" s="5">
        <v>0</v>
      </c>
      <c r="E4" s="5">
        <v>0</v>
      </c>
      <c r="F4" s="5">
        <v>6</v>
      </c>
      <c r="G4" s="5">
        <v>9</v>
      </c>
      <c r="H4" s="5">
        <v>9</v>
      </c>
      <c r="I4" s="5">
        <v>21</v>
      </c>
      <c r="J4" s="5">
        <v>0</v>
      </c>
      <c r="K4" s="5">
        <v>4</v>
      </c>
      <c r="L4" s="4">
        <v>14.79</v>
      </c>
      <c r="M4" s="4">
        <v>14.79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56</v>
      </c>
      <c r="D5" s="5">
        <v>0</v>
      </c>
      <c r="E5" s="5">
        <v>0</v>
      </c>
      <c r="F5" s="5">
        <v>10</v>
      </c>
      <c r="G5" s="5">
        <v>12</v>
      </c>
      <c r="H5" s="5">
        <v>9</v>
      </c>
      <c r="I5" s="5">
        <v>21</v>
      </c>
      <c r="J5" s="5">
        <v>0</v>
      </c>
      <c r="K5" s="5">
        <v>4</v>
      </c>
      <c r="L5" s="4">
        <v>10.49</v>
      </c>
      <c r="M5" s="4">
        <v>10.49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f>2.35-0.8</f>
      </c>
      <c r="M6" s="4">
        <f>2.35-0.8</f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9</v>
      </c>
      <c r="J7" s="5">
        <v>0</v>
      </c>
      <c r="K7" s="5">
        <v>4</v>
      </c>
      <c r="L7" s="4">
        <f>0.02236+0.01859</f>
      </c>
      <c r="M7" s="4">
        <f>0.02236+0.01859</f>
      </c>
      <c r="N7" s="1" t="s">
        <v>26</v>
      </c>
      <c r="O7" s="1" t="s">
        <v>61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12</v>
      </c>
      <c r="H8" s="5">
        <v>9</v>
      </c>
      <c r="I8" s="5">
        <v>21</v>
      </c>
      <c r="J8" s="5">
        <v>0</v>
      </c>
      <c r="K8" s="5">
        <v>4</v>
      </c>
      <c r="L8" s="4">
        <f>0.0475+0.02839</f>
      </c>
      <c r="M8" s="4">
        <f>0.0475+0.02839</f>
      </c>
      <c r="N8" s="1" t="s">
        <v>26</v>
      </c>
      <c r="O8" s="1" t="s">
        <v>61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12</v>
      </c>
      <c r="H9" s="5">
        <v>21</v>
      </c>
      <c r="I9" s="5">
        <v>24</v>
      </c>
      <c r="J9" s="5">
        <v>0</v>
      </c>
      <c r="K9" s="5">
        <v>4</v>
      </c>
      <c r="L9" s="4">
        <f>0.02236+0.01859</f>
      </c>
      <c r="M9" s="4">
        <f>0.02236+0.01859</f>
      </c>
      <c r="N9" s="1" t="s">
        <v>26</v>
      </c>
      <c r="O9" s="1" t="s">
        <v>61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12</v>
      </c>
      <c r="H10" s="5">
        <v>21</v>
      </c>
      <c r="I10" s="5">
        <v>24</v>
      </c>
      <c r="J10" s="5">
        <v>5</v>
      </c>
      <c r="K10" s="5">
        <v>6</v>
      </c>
      <c r="L10" s="4">
        <f>0.02236+0.01859</f>
      </c>
      <c r="M10" s="4">
        <f>0.02236+0.01859</f>
      </c>
      <c r="N10" s="1" t="s">
        <v>26</v>
      </c>
      <c r="O10" s="1" t="s">
        <v>61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2</v>
      </c>
      <c r="G11" s="5">
        <v>2</v>
      </c>
      <c r="H11" s="5">
        <v>0</v>
      </c>
      <c r="I11" s="5">
        <v>9</v>
      </c>
      <c r="J11" s="5">
        <v>0</v>
      </c>
      <c r="K11" s="5">
        <v>4</v>
      </c>
      <c r="L11" s="4">
        <f>0.02236+0.02097</f>
      </c>
      <c r="M11" s="4">
        <f>0.02236+0.02097</f>
      </c>
      <c r="N11" s="1" t="s">
        <v>26</v>
      </c>
      <c r="O11" s="1" t="s">
        <v>61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2</v>
      </c>
      <c r="G12" s="5">
        <v>2</v>
      </c>
      <c r="H12" s="5">
        <v>9</v>
      </c>
      <c r="I12" s="5">
        <v>21</v>
      </c>
      <c r="J12" s="5">
        <v>0</v>
      </c>
      <c r="K12" s="5">
        <v>4</v>
      </c>
      <c r="L12" s="4">
        <f>0.0475+0.03206</f>
      </c>
      <c r="M12" s="4">
        <f>0.0475+0.03206</f>
      </c>
      <c r="N12" s="1" t="s">
        <v>26</v>
      </c>
      <c r="O12" s="1" t="s">
        <v>61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2</v>
      </c>
      <c r="G13" s="5">
        <v>2</v>
      </c>
      <c r="H13" s="5">
        <v>21</v>
      </c>
      <c r="I13" s="5">
        <v>24</v>
      </c>
      <c r="J13" s="5">
        <v>0</v>
      </c>
      <c r="K13" s="5">
        <v>4</v>
      </c>
      <c r="L13" s="4">
        <f>0.02236+0.02097</f>
      </c>
      <c r="M13" s="4">
        <f>0.02236+0.02097</f>
      </c>
      <c r="N13" s="1" t="s">
        <v>26</v>
      </c>
      <c r="O13" s="1" t="s">
        <v>61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21</v>
      </c>
      <c r="I14" s="5">
        <v>24</v>
      </c>
      <c r="J14" s="5">
        <v>5</v>
      </c>
      <c r="K14" s="5">
        <v>6</v>
      </c>
      <c r="L14" s="4">
        <f>0.02236+0.02097</f>
      </c>
      <c r="M14" s="4">
        <f>0.02236+0.02097</f>
      </c>
      <c r="N14" s="1" t="s">
        <v>26</v>
      </c>
      <c r="O14" s="1" t="s">
        <v>61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3</v>
      </c>
      <c r="G15" s="5">
        <v>3</v>
      </c>
      <c r="H15" s="5">
        <v>0</v>
      </c>
      <c r="I15" s="5">
        <v>9</v>
      </c>
      <c r="J15" s="5">
        <v>0</v>
      </c>
      <c r="K15" s="5">
        <v>4</v>
      </c>
      <c r="L15" s="4">
        <f>0.02236+0.0218</f>
      </c>
      <c r="M15" s="4">
        <f>0.02236+0.0218</f>
      </c>
      <c r="N15" s="1" t="s">
        <v>26</v>
      </c>
      <c r="O15" s="1" t="s">
        <v>61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3</v>
      </c>
      <c r="G16" s="5">
        <v>3</v>
      </c>
      <c r="H16" s="5">
        <v>9</v>
      </c>
      <c r="I16" s="5">
        <v>21</v>
      </c>
      <c r="J16" s="5">
        <v>0</v>
      </c>
      <c r="K16" s="5">
        <v>4</v>
      </c>
      <c r="L16" s="4">
        <f>0.0475+0.03332</f>
      </c>
      <c r="M16" s="4">
        <f>0.0475+0.03332</f>
      </c>
      <c r="N16" s="1" t="s">
        <v>26</v>
      </c>
      <c r="O16" s="1" t="s">
        <v>61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3</v>
      </c>
      <c r="G17" s="5">
        <v>3</v>
      </c>
      <c r="H17" s="5">
        <v>21</v>
      </c>
      <c r="I17" s="5">
        <v>24</v>
      </c>
      <c r="J17" s="5">
        <v>0</v>
      </c>
      <c r="K17" s="5">
        <v>4</v>
      </c>
      <c r="L17" s="4">
        <f>0.02236+0.0218</f>
      </c>
      <c r="M17" s="4">
        <f>0.02236+0.0218</f>
      </c>
      <c r="N17" s="1" t="s">
        <v>26</v>
      </c>
      <c r="O17" s="1" t="s">
        <v>61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21</v>
      </c>
      <c r="I18" s="5">
        <v>24</v>
      </c>
      <c r="J18" s="5">
        <v>5</v>
      </c>
      <c r="K18" s="5">
        <v>6</v>
      </c>
      <c r="L18" s="4">
        <f>0.02236+0.0218</f>
      </c>
      <c r="M18" s="4">
        <f>0.02236+0.0218</f>
      </c>
      <c r="N18" s="1" t="s">
        <v>26</v>
      </c>
      <c r="O18" s="1" t="s">
        <v>61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4</v>
      </c>
      <c r="G19" s="5">
        <v>4</v>
      </c>
      <c r="H19" s="5">
        <v>0</v>
      </c>
      <c r="I19" s="5">
        <v>9</v>
      </c>
      <c r="J19" s="5">
        <v>0</v>
      </c>
      <c r="K19" s="5">
        <v>4</v>
      </c>
      <c r="L19" s="4">
        <f>0.02236+0.02292</f>
      </c>
      <c r="M19" s="4">
        <f>0.02236+0.02292</f>
      </c>
      <c r="N19" s="1" t="s">
        <v>26</v>
      </c>
      <c r="O19" s="1" t="s">
        <v>61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4</v>
      </c>
      <c r="G20" s="5">
        <v>4</v>
      </c>
      <c r="H20" s="5">
        <v>9</v>
      </c>
      <c r="I20" s="5">
        <v>21</v>
      </c>
      <c r="J20" s="5">
        <v>0</v>
      </c>
      <c r="K20" s="5">
        <v>4</v>
      </c>
      <c r="L20" s="4">
        <f>0.0475+0.035</f>
      </c>
      <c r="M20" s="4">
        <f>0.0475+0.035</f>
      </c>
      <c r="N20" s="1" t="s">
        <v>26</v>
      </c>
      <c r="O20" s="1" t="s">
        <v>61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21</v>
      </c>
      <c r="I21" s="5">
        <v>24</v>
      </c>
      <c r="J21" s="5">
        <v>0</v>
      </c>
      <c r="K21" s="5">
        <v>4</v>
      </c>
      <c r="L21" s="4">
        <f>0.02236+0.02292</f>
      </c>
      <c r="M21" s="4">
        <f>0.02236+0.02292</f>
      </c>
      <c r="N21" s="1" t="s">
        <v>26</v>
      </c>
      <c r="O21" s="1" t="s">
        <v>61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21</v>
      </c>
      <c r="I22" s="5">
        <v>24</v>
      </c>
      <c r="J22" s="5">
        <v>5</v>
      </c>
      <c r="K22" s="5">
        <v>6</v>
      </c>
      <c r="L22" s="4">
        <f>0.02236+0.02292</f>
      </c>
      <c r="M22" s="4">
        <f>0.02236+0.02292</f>
      </c>
      <c r="N22" s="1" t="s">
        <v>26</v>
      </c>
      <c r="O22" s="1" t="s">
        <v>61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5</v>
      </c>
      <c r="G23" s="5">
        <v>5</v>
      </c>
      <c r="H23" s="5">
        <v>0</v>
      </c>
      <c r="I23" s="5">
        <v>9</v>
      </c>
      <c r="J23" s="5">
        <v>0</v>
      </c>
      <c r="K23" s="5">
        <v>4</v>
      </c>
      <c r="L23" s="4">
        <f>0.02236+0.02597</f>
      </c>
      <c r="M23" s="4">
        <f>0.02236+0.02597</f>
      </c>
      <c r="N23" s="1" t="s">
        <v>26</v>
      </c>
      <c r="O23" s="1" t="s">
        <v>61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5</v>
      </c>
      <c r="G24" s="5">
        <v>5</v>
      </c>
      <c r="H24" s="5">
        <v>9</v>
      </c>
      <c r="I24" s="5">
        <v>21</v>
      </c>
      <c r="J24" s="5">
        <v>0</v>
      </c>
      <c r="K24" s="5">
        <v>4</v>
      </c>
      <c r="L24" s="4">
        <f>0.0475+0.0397</f>
      </c>
      <c r="M24" s="4">
        <f>0.0475+0.0397</f>
      </c>
      <c r="N24" s="1" t="s">
        <v>26</v>
      </c>
      <c r="O24" s="1" t="s">
        <v>61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5</v>
      </c>
      <c r="G25" s="5">
        <v>5</v>
      </c>
      <c r="H25" s="5">
        <v>21</v>
      </c>
      <c r="I25" s="5">
        <v>24</v>
      </c>
      <c r="J25" s="5">
        <v>0</v>
      </c>
      <c r="K25" s="5">
        <v>4</v>
      </c>
      <c r="L25" s="4">
        <f>0.02236+0.02597</f>
      </c>
      <c r="M25" s="4">
        <f>0.02236+0.02597</f>
      </c>
      <c r="N25" s="1" t="s">
        <v>26</v>
      </c>
      <c r="O25" s="1" t="s">
        <v>61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21</v>
      </c>
      <c r="I26" s="5">
        <v>24</v>
      </c>
      <c r="J26" s="5">
        <v>5</v>
      </c>
      <c r="K26" s="5">
        <v>6</v>
      </c>
      <c r="L26" s="4">
        <f>0.02236+0.02597</f>
      </c>
      <c r="M26" s="4">
        <f>0.02236+0.02597</f>
      </c>
      <c r="N26" s="1" t="s">
        <v>26</v>
      </c>
      <c r="O26" s="1" t="s">
        <v>61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6</v>
      </c>
      <c r="G27" s="5">
        <v>6</v>
      </c>
      <c r="H27" s="5">
        <v>0</v>
      </c>
      <c r="I27" s="5">
        <v>9</v>
      </c>
      <c r="J27" s="5">
        <v>0</v>
      </c>
      <c r="K27" s="5">
        <v>4</v>
      </c>
      <c r="L27" s="4">
        <f>0.02236+0.02902</f>
      </c>
      <c r="M27" s="4">
        <f>0.02236+0.02902</f>
      </c>
      <c r="N27" s="1" t="s">
        <v>26</v>
      </c>
      <c r="O27" s="1" t="s">
        <v>61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6</v>
      </c>
      <c r="G28" s="5">
        <v>6</v>
      </c>
      <c r="H28" s="5">
        <v>9</v>
      </c>
      <c r="I28" s="5">
        <v>21</v>
      </c>
      <c r="J28" s="5">
        <v>0</v>
      </c>
      <c r="K28" s="5">
        <v>4</v>
      </c>
      <c r="L28" s="4">
        <f>0.0475+0.04438</f>
      </c>
      <c r="M28" s="4">
        <f>0.0475+0.04438</f>
      </c>
      <c r="N28" s="1" t="s">
        <v>26</v>
      </c>
      <c r="O28" s="1" t="s">
        <v>61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6</v>
      </c>
      <c r="G29" s="5">
        <v>6</v>
      </c>
      <c r="H29" s="5">
        <v>21</v>
      </c>
      <c r="I29" s="5">
        <v>24</v>
      </c>
      <c r="J29" s="5">
        <v>0</v>
      </c>
      <c r="K29" s="5">
        <v>4</v>
      </c>
      <c r="L29" s="4">
        <f>0.02236+0.02902</f>
      </c>
      <c r="M29" s="4">
        <f>0.02236+0.02902</f>
      </c>
      <c r="N29" s="1" t="s">
        <v>26</v>
      </c>
      <c r="O29" s="1" t="s">
        <v>61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21</v>
      </c>
      <c r="I30" s="5">
        <v>24</v>
      </c>
      <c r="J30" s="5">
        <v>5</v>
      </c>
      <c r="K30" s="5">
        <v>6</v>
      </c>
      <c r="L30" s="4">
        <f>0.02236+0.02902</f>
      </c>
      <c r="M30" s="4">
        <f>0.02236+0.02902</f>
      </c>
      <c r="N30" s="1" t="s">
        <v>26</v>
      </c>
      <c r="O30" s="1" t="s">
        <v>61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7</v>
      </c>
      <c r="G31" s="5">
        <v>7</v>
      </c>
      <c r="H31" s="5">
        <v>0</v>
      </c>
      <c r="I31" s="5">
        <v>9</v>
      </c>
      <c r="J31" s="5">
        <v>0</v>
      </c>
      <c r="K31" s="5">
        <v>4</v>
      </c>
      <c r="L31" s="4">
        <f>0.02236+0.02476</f>
      </c>
      <c r="M31" s="4">
        <f>0.02236+0.02476</f>
      </c>
      <c r="N31" s="1" t="s">
        <v>26</v>
      </c>
      <c r="O31" s="1" t="s">
        <v>61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7</v>
      </c>
      <c r="G32" s="5">
        <v>7</v>
      </c>
      <c r="H32" s="5">
        <v>9</v>
      </c>
      <c r="I32" s="5">
        <v>21</v>
      </c>
      <c r="J32" s="5">
        <v>0</v>
      </c>
      <c r="K32" s="5">
        <v>4</v>
      </c>
      <c r="L32" s="4">
        <f>0.0475+0.03786</f>
      </c>
      <c r="M32" s="4">
        <f>0.0475+0.03786</f>
      </c>
      <c r="N32" s="1" t="s">
        <v>26</v>
      </c>
      <c r="O32" s="1" t="s">
        <v>61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7</v>
      </c>
      <c r="G33" s="5">
        <v>7</v>
      </c>
      <c r="H33" s="5">
        <v>21</v>
      </c>
      <c r="I33" s="5">
        <v>24</v>
      </c>
      <c r="J33" s="5">
        <v>0</v>
      </c>
      <c r="K33" s="5">
        <v>4</v>
      </c>
      <c r="L33" s="4">
        <f>0.02236+0.02476</f>
      </c>
      <c r="M33" s="4">
        <f>0.02236+0.02476</f>
      </c>
      <c r="N33" s="1" t="s">
        <v>26</v>
      </c>
      <c r="O33" s="1" t="s">
        <v>61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21</v>
      </c>
      <c r="I34" s="5">
        <v>24</v>
      </c>
      <c r="J34" s="5">
        <v>5</v>
      </c>
      <c r="K34" s="5">
        <v>6</v>
      </c>
      <c r="L34" s="4">
        <f>0.02236+0.02476</f>
      </c>
      <c r="M34" s="4">
        <f>0.02236+0.02476</f>
      </c>
      <c r="N34" s="1" t="s">
        <v>26</v>
      </c>
      <c r="O34" s="1" t="s">
        <v>61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8</v>
      </c>
      <c r="G35" s="5">
        <v>8</v>
      </c>
      <c r="H35" s="5">
        <v>0</v>
      </c>
      <c r="I35" s="5">
        <v>9</v>
      </c>
      <c r="J35" s="5">
        <v>0</v>
      </c>
      <c r="K35" s="5">
        <v>4</v>
      </c>
      <c r="L35" s="4">
        <f>0.02236+0.02416</f>
      </c>
      <c r="M35" s="4">
        <f>0.02236+0.02416</f>
      </c>
      <c r="N35" s="1" t="s">
        <v>26</v>
      </c>
      <c r="O35" s="1" t="s">
        <v>61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8</v>
      </c>
      <c r="G36" s="5">
        <v>8</v>
      </c>
      <c r="H36" s="5">
        <v>9</v>
      </c>
      <c r="I36" s="5">
        <v>21</v>
      </c>
      <c r="J36" s="5">
        <v>0</v>
      </c>
      <c r="K36" s="5">
        <v>4</v>
      </c>
      <c r="L36" s="4">
        <f>0.0475+0.03696</f>
      </c>
      <c r="M36" s="4">
        <f>0.0475+0.03696</f>
      </c>
      <c r="N36" s="1" t="s">
        <v>26</v>
      </c>
      <c r="O36" s="1" t="s">
        <v>61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8</v>
      </c>
      <c r="G37" s="5">
        <v>8</v>
      </c>
      <c r="H37" s="5">
        <v>21</v>
      </c>
      <c r="I37" s="5">
        <v>24</v>
      </c>
      <c r="J37" s="5">
        <v>0</v>
      </c>
      <c r="K37" s="5">
        <v>4</v>
      </c>
      <c r="L37" s="4">
        <f>0.02236+0.02416</f>
      </c>
      <c r="M37" s="4">
        <f>0.02236+0.02416</f>
      </c>
      <c r="N37" s="1" t="s">
        <v>26</v>
      </c>
      <c r="O37" s="1" t="s">
        <v>61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21</v>
      </c>
      <c r="I38" s="5">
        <v>24</v>
      </c>
      <c r="J38" s="5">
        <v>5</v>
      </c>
      <c r="K38" s="5">
        <v>6</v>
      </c>
      <c r="L38" s="4">
        <f>0.02236+0.02416</f>
      </c>
      <c r="M38" s="4">
        <f>0.02236+0.02416</f>
      </c>
      <c r="N38" s="1" t="s">
        <v>26</v>
      </c>
      <c r="O38" s="1" t="s">
        <v>61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9</v>
      </c>
      <c r="G39" s="5">
        <v>9</v>
      </c>
      <c r="H39" s="5">
        <v>0</v>
      </c>
      <c r="I39" s="5">
        <v>9</v>
      </c>
      <c r="J39" s="5">
        <v>0</v>
      </c>
      <c r="K39" s="5">
        <v>4</v>
      </c>
      <c r="L39" s="4">
        <f>0.02236+0.02462</f>
      </c>
      <c r="M39" s="4">
        <f>0.02236+0.02462</f>
      </c>
      <c r="N39" s="1" t="s">
        <v>26</v>
      </c>
      <c r="O39" s="1" t="s">
        <v>61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9</v>
      </c>
      <c r="G40" s="5">
        <v>9</v>
      </c>
      <c r="H40" s="5">
        <v>9</v>
      </c>
      <c r="I40" s="5">
        <v>21</v>
      </c>
      <c r="J40" s="5">
        <v>0</v>
      </c>
      <c r="K40" s="5">
        <v>4</v>
      </c>
      <c r="L40" s="4">
        <f>0.0475+0.03763</f>
      </c>
      <c r="M40" s="4">
        <f>0.0475+0.03763</f>
      </c>
      <c r="N40" s="1" t="s">
        <v>26</v>
      </c>
      <c r="O40" s="1" t="s">
        <v>61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9</v>
      </c>
      <c r="G41" s="5">
        <v>9</v>
      </c>
      <c r="H41" s="5">
        <v>21</v>
      </c>
      <c r="I41" s="5">
        <v>24</v>
      </c>
      <c r="J41" s="5">
        <v>0</v>
      </c>
      <c r="K41" s="5">
        <v>4</v>
      </c>
      <c r="L41" s="4">
        <f>0.02236+0.02462</f>
      </c>
      <c r="M41" s="4">
        <f>0.02236+0.02462</f>
      </c>
      <c r="N41" s="1" t="s">
        <v>26</v>
      </c>
      <c r="O41" s="1" t="s">
        <v>61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21</v>
      </c>
      <c r="I42" s="5">
        <v>24</v>
      </c>
      <c r="J42" s="5">
        <v>5</v>
      </c>
      <c r="K42" s="5">
        <v>6</v>
      </c>
      <c r="L42" s="4">
        <f>0.02236+0.02462</f>
      </c>
      <c r="M42" s="4">
        <f>0.02236+0.02462</f>
      </c>
      <c r="N42" s="1" t="s">
        <v>26</v>
      </c>
      <c r="O42" s="1" t="s">
        <v>61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10</v>
      </c>
      <c r="G43" s="5">
        <v>10</v>
      </c>
      <c r="H43" s="5">
        <v>0</v>
      </c>
      <c r="I43" s="5">
        <v>9</v>
      </c>
      <c r="J43" s="5">
        <v>0</v>
      </c>
      <c r="K43" s="5">
        <v>4</v>
      </c>
      <c r="L43" s="4">
        <f>0.02236+0.02511</f>
      </c>
      <c r="M43" s="4">
        <f>0.02236+0.02511</f>
      </c>
      <c r="N43" s="1" t="s">
        <v>26</v>
      </c>
      <c r="O43" s="1" t="s">
        <v>61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10</v>
      </c>
      <c r="G44" s="5">
        <v>10</v>
      </c>
      <c r="H44" s="5">
        <v>9</v>
      </c>
      <c r="I44" s="5">
        <v>21</v>
      </c>
      <c r="J44" s="5">
        <v>0</v>
      </c>
      <c r="K44" s="5">
        <v>4</v>
      </c>
      <c r="L44" s="4">
        <f>0.0475+0.03838</f>
      </c>
      <c r="M44" s="4">
        <f>0.0475+0.03838</f>
      </c>
      <c r="N44" s="1" t="s">
        <v>26</v>
      </c>
      <c r="O44" s="1" t="s">
        <v>61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10</v>
      </c>
      <c r="G45" s="5">
        <v>10</v>
      </c>
      <c r="H45" s="5">
        <v>21</v>
      </c>
      <c r="I45" s="5">
        <v>24</v>
      </c>
      <c r="J45" s="5">
        <v>0</v>
      </c>
      <c r="K45" s="5">
        <v>4</v>
      </c>
      <c r="L45" s="4">
        <f>0.02236+0.02511</f>
      </c>
      <c r="M45" s="4">
        <f>0.02236+0.02511</f>
      </c>
      <c r="N45" s="1" t="s">
        <v>26</v>
      </c>
      <c r="O45" s="1" t="s">
        <v>61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21</v>
      </c>
      <c r="I46" s="5">
        <v>24</v>
      </c>
      <c r="J46" s="5">
        <v>5</v>
      </c>
      <c r="K46" s="5">
        <v>6</v>
      </c>
      <c r="L46" s="4">
        <f>0.02236+0.02511</f>
      </c>
      <c r="M46" s="4">
        <f>0.02236+0.02511</f>
      </c>
      <c r="N46" s="1" t="s">
        <v>26</v>
      </c>
      <c r="O46" s="1" t="s">
        <v>61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11</v>
      </c>
      <c r="G47" s="5">
        <v>11</v>
      </c>
      <c r="H47" s="5">
        <v>0</v>
      </c>
      <c r="I47" s="5">
        <v>9</v>
      </c>
      <c r="J47" s="5">
        <v>0</v>
      </c>
      <c r="K47" s="5">
        <v>4</v>
      </c>
      <c r="L47" s="4">
        <f>0.02236+0.02302</f>
      </c>
      <c r="M47" s="4">
        <f>0.02236+0.02302</f>
      </c>
      <c r="N47" s="1" t="s">
        <v>26</v>
      </c>
      <c r="O47" s="1" t="s">
        <v>61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11</v>
      </c>
      <c r="G48" s="5">
        <v>11</v>
      </c>
      <c r="H48" s="5">
        <v>9</v>
      </c>
      <c r="I48" s="5">
        <v>21</v>
      </c>
      <c r="J48" s="5">
        <v>0</v>
      </c>
      <c r="K48" s="5">
        <v>4</v>
      </c>
      <c r="L48" s="4">
        <f>0.0475+0.03519</f>
      </c>
      <c r="M48" s="4">
        <f>0.0475+0.03519</f>
      </c>
      <c r="N48" s="1" t="s">
        <v>26</v>
      </c>
      <c r="O48" s="1" t="s">
        <v>61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11</v>
      </c>
      <c r="G49" s="5">
        <v>11</v>
      </c>
      <c r="H49" s="5">
        <v>21</v>
      </c>
      <c r="I49" s="5">
        <v>24</v>
      </c>
      <c r="J49" s="5">
        <v>0</v>
      </c>
      <c r="K49" s="5">
        <v>4</v>
      </c>
      <c r="L49" s="4">
        <f>0.02236+0.02302</f>
      </c>
      <c r="M49" s="4">
        <f>0.02236+0.02302</f>
      </c>
      <c r="N49" s="1" t="s">
        <v>26</v>
      </c>
      <c r="O49" s="1" t="s">
        <v>61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21</v>
      </c>
      <c r="I50" s="5">
        <v>24</v>
      </c>
      <c r="J50" s="5">
        <v>5</v>
      </c>
      <c r="K50" s="5">
        <v>6</v>
      </c>
      <c r="L50" s="4">
        <f>0.02236+0.02302</f>
      </c>
      <c r="M50" s="4">
        <f>0.02236+0.02302</f>
      </c>
      <c r="N50" s="1" t="s">
        <v>26</v>
      </c>
      <c r="O50" s="1" t="s">
        <v>61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12</v>
      </c>
      <c r="G51" s="5">
        <v>12</v>
      </c>
      <c r="H51" s="5">
        <v>0</v>
      </c>
      <c r="I51" s="5">
        <v>9</v>
      </c>
      <c r="J51" s="5">
        <v>0</v>
      </c>
      <c r="K51" s="5">
        <v>4</v>
      </c>
      <c r="L51" s="4">
        <f>0.02236+0.02145</f>
      </c>
      <c r="M51" s="4">
        <f>0.02236+0.02145</f>
      </c>
      <c r="N51" s="1" t="s">
        <v>26</v>
      </c>
      <c r="O51" s="1" t="s">
        <v>61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12</v>
      </c>
      <c r="G52" s="5">
        <v>12</v>
      </c>
      <c r="H52" s="5">
        <v>9</v>
      </c>
      <c r="I52" s="5">
        <v>21</v>
      </c>
      <c r="J52" s="5">
        <v>0</v>
      </c>
      <c r="K52" s="5">
        <v>4</v>
      </c>
      <c r="L52" s="4">
        <f>0.0475+0.03279</f>
      </c>
      <c r="M52" s="4">
        <f>0.0475+0.03279</f>
      </c>
      <c r="N52" s="1" t="s">
        <v>26</v>
      </c>
      <c r="O52" s="1" t="s">
        <v>61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12</v>
      </c>
      <c r="G53" s="5">
        <v>12</v>
      </c>
      <c r="H53" s="5">
        <v>21</v>
      </c>
      <c r="I53" s="5">
        <v>24</v>
      </c>
      <c r="J53" s="5">
        <v>0</v>
      </c>
      <c r="K53" s="5">
        <v>4</v>
      </c>
      <c r="L53" s="4">
        <f>0.02236+0.02145</f>
      </c>
      <c r="M53" s="4">
        <f>0.02236+0.02145</f>
      </c>
      <c r="N53" s="1" t="s">
        <v>26</v>
      </c>
      <c r="O53" s="1" t="s">
        <v>61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21</v>
      </c>
      <c r="I54" s="5">
        <v>24</v>
      </c>
      <c r="J54" s="5">
        <v>5</v>
      </c>
      <c r="K54" s="5">
        <v>6</v>
      </c>
      <c r="L54" s="4">
        <f>0.02236+0.02145</f>
      </c>
      <c r="M54" s="4">
        <f>0.02236+0.02145</f>
      </c>
      <c r="N54" s="1" t="s">
        <v>26</v>
      </c>
      <c r="O54" s="1" t="s">
        <v>61</v>
      </c>
    </row>
    <row x14ac:dyDescent="0.25" r="55" customHeight="1" ht="17.25">
      <c r="A55" s="1" t="s">
        <v>34</v>
      </c>
      <c r="B55" s="1" t="s">
        <v>14</v>
      </c>
      <c r="C55" s="1"/>
      <c r="D55" s="2"/>
      <c r="E55" s="2"/>
      <c r="F55" s="2"/>
      <c r="G55" s="2"/>
      <c r="H55" s="2"/>
      <c r="I55" s="2"/>
      <c r="J55" s="2"/>
      <c r="K55" s="2"/>
      <c r="L55" s="5">
        <v>50</v>
      </c>
      <c r="M55" s="5">
        <v>50</v>
      </c>
      <c r="N55" s="1" t="s">
        <v>15</v>
      </c>
      <c r="O55" s="1"/>
    </row>
    <row x14ac:dyDescent="0.25" r="56" customHeight="1" ht="17.25">
      <c r="A56" s="1" t="s">
        <v>34</v>
      </c>
      <c r="B56" s="1" t="s">
        <v>25</v>
      </c>
      <c r="C56" s="1"/>
      <c r="D56" s="5">
        <v>0</v>
      </c>
      <c r="E56" s="5">
        <v>0</v>
      </c>
      <c r="F56" s="5">
        <v>1</v>
      </c>
      <c r="G56" s="5">
        <v>3</v>
      </c>
      <c r="H56" s="5">
        <v>0</v>
      </c>
      <c r="I56" s="5">
        <v>24</v>
      </c>
      <c r="J56" s="5">
        <v>0</v>
      </c>
      <c r="K56" s="5">
        <v>6</v>
      </c>
      <c r="L56" s="4">
        <v>0.540022</v>
      </c>
      <c r="M56" s="11">
        <f>L56/2.83168</f>
      </c>
      <c r="N56" s="1" t="s">
        <v>36</v>
      </c>
      <c r="O56" s="1" t="s">
        <v>62</v>
      </c>
    </row>
    <row x14ac:dyDescent="0.25" r="57" customHeight="1" ht="17.25">
      <c r="A57" s="1" t="s">
        <v>34</v>
      </c>
      <c r="B57" s="1" t="s">
        <v>25</v>
      </c>
      <c r="C57" s="1"/>
      <c r="D57" s="5">
        <v>0</v>
      </c>
      <c r="E57" s="5">
        <v>0</v>
      </c>
      <c r="F57" s="5">
        <v>4</v>
      </c>
      <c r="G57" s="5">
        <v>4</v>
      </c>
      <c r="H57" s="5">
        <v>0</v>
      </c>
      <c r="I57" s="5">
        <v>24</v>
      </c>
      <c r="J57" s="5">
        <v>0</v>
      </c>
      <c r="K57" s="5">
        <v>6</v>
      </c>
      <c r="L57" s="4">
        <v>0.426132</v>
      </c>
      <c r="M57" s="11">
        <f>L57/2.83168</f>
      </c>
      <c r="N57" s="1" t="s">
        <v>36</v>
      </c>
      <c r="O57" s="1" t="s">
        <v>62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5</v>
      </c>
      <c r="G58" s="5">
        <v>5</v>
      </c>
      <c r="H58" s="5">
        <v>0</v>
      </c>
      <c r="I58" s="5">
        <v>24</v>
      </c>
      <c r="J58" s="5">
        <v>0</v>
      </c>
      <c r="K58" s="5">
        <v>6</v>
      </c>
      <c r="L58" s="4">
        <v>0.479052</v>
      </c>
      <c r="M58" s="11">
        <f>L58/2.83168</f>
      </c>
      <c r="N58" s="1" t="s">
        <v>36</v>
      </c>
      <c r="O58" s="1" t="s">
        <v>62</v>
      </c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6</v>
      </c>
      <c r="G59" s="5">
        <v>8</v>
      </c>
      <c r="H59" s="5">
        <v>0</v>
      </c>
      <c r="I59" s="5">
        <v>24</v>
      </c>
      <c r="J59" s="5">
        <v>0</v>
      </c>
      <c r="K59" s="5">
        <v>6</v>
      </c>
      <c r="L59" s="4">
        <v>0.471042</v>
      </c>
      <c r="M59" s="11">
        <f>L59/2.83168</f>
      </c>
      <c r="N59" s="1" t="s">
        <v>36</v>
      </c>
      <c r="O59" s="1" t="s">
        <v>62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9</v>
      </c>
      <c r="G60" s="5">
        <v>9</v>
      </c>
      <c r="H60" s="5">
        <v>0</v>
      </c>
      <c r="I60" s="5">
        <v>24</v>
      </c>
      <c r="J60" s="5">
        <v>0</v>
      </c>
      <c r="K60" s="5">
        <v>6</v>
      </c>
      <c r="L60" s="4">
        <v>0.674353</v>
      </c>
      <c r="M60" s="11">
        <f>L60/2.83168</f>
      </c>
      <c r="N60" s="1" t="s">
        <v>36</v>
      </c>
      <c r="O60" s="1" t="s">
        <v>62</v>
      </c>
    </row>
    <row x14ac:dyDescent="0.25" r="61" customHeight="1" ht="17.25">
      <c r="A61" s="1" t="s">
        <v>34</v>
      </c>
      <c r="B61" s="1" t="s">
        <v>25</v>
      </c>
      <c r="C61" s="1"/>
      <c r="D61" s="5">
        <v>0</v>
      </c>
      <c r="E61" s="5">
        <v>0</v>
      </c>
      <c r="F61" s="5">
        <v>10</v>
      </c>
      <c r="G61" s="5">
        <v>10</v>
      </c>
      <c r="H61" s="5">
        <v>0</v>
      </c>
      <c r="I61" s="5">
        <v>24</v>
      </c>
      <c r="J61" s="5">
        <v>0</v>
      </c>
      <c r="K61" s="5">
        <v>6</v>
      </c>
      <c r="L61" s="4">
        <v>0.945413</v>
      </c>
      <c r="M61" s="11">
        <f>L61/2.83168</f>
      </c>
      <c r="N61" s="1" t="s">
        <v>36</v>
      </c>
      <c r="O61" s="1" t="s">
        <v>62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11</v>
      </c>
      <c r="G62" s="5">
        <v>11</v>
      </c>
      <c r="H62" s="5">
        <v>0</v>
      </c>
      <c r="I62" s="5">
        <v>24</v>
      </c>
      <c r="J62" s="5">
        <v>0</v>
      </c>
      <c r="K62" s="5">
        <v>6</v>
      </c>
      <c r="L62" s="4">
        <v>0.961769</v>
      </c>
      <c r="M62" s="11">
        <f>L62/2.83168</f>
      </c>
      <c r="N62" s="1" t="s">
        <v>36</v>
      </c>
      <c r="O62" s="1" t="s">
        <v>62</v>
      </c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12</v>
      </c>
      <c r="G63" s="5">
        <v>12</v>
      </c>
      <c r="H63" s="5">
        <v>0</v>
      </c>
      <c r="I63" s="5">
        <v>24</v>
      </c>
      <c r="J63" s="5">
        <v>0</v>
      </c>
      <c r="K63" s="5">
        <v>6</v>
      </c>
      <c r="L63" s="4">
        <v>0.953479</v>
      </c>
      <c r="M63" s="11">
        <f>L63/2.83168</f>
      </c>
      <c r="N63" s="1" t="s">
        <v>36</v>
      </c>
      <c r="O63" s="1" t="s">
        <v>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4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1.290714285714287" customWidth="1" bestFit="1"/>
    <col min="4" max="4" style="7" width="23.719285714285714" customWidth="1" bestFit="1"/>
    <col min="5" max="5" style="7" width="22.290714285714284" customWidth="1" bestFit="1"/>
    <col min="6" max="6" style="7" width="12.576428571428572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19.7601*30</f>
      </c>
      <c r="M2" s="4">
        <f>19.7601*30</f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5</v>
      </c>
      <c r="H3" s="5">
        <v>10</v>
      </c>
      <c r="I3" s="5">
        <v>22</v>
      </c>
      <c r="J3" s="5">
        <v>0</v>
      </c>
      <c r="K3" s="5">
        <v>4</v>
      </c>
      <c r="L3" s="4">
        <f>0.06777+0.00764</f>
      </c>
      <c r="M3" s="4">
        <f>0.06777+0.00764</f>
      </c>
      <c r="N3" s="1" t="s">
        <v>26</v>
      </c>
      <c r="O3" s="1" t="s">
        <v>59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6</v>
      </c>
      <c r="G4" s="5">
        <v>9</v>
      </c>
      <c r="H4" s="5">
        <v>10</v>
      </c>
      <c r="I4" s="5">
        <v>22</v>
      </c>
      <c r="J4" s="5">
        <v>0</v>
      </c>
      <c r="K4" s="5">
        <v>4</v>
      </c>
      <c r="L4" s="4">
        <f>0.07908+0.00764</f>
      </c>
      <c r="M4" s="4">
        <f>0.07908+0.00764</f>
      </c>
      <c r="N4" s="1" t="s">
        <v>26</v>
      </c>
      <c r="O4" s="1" t="s">
        <v>59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10</v>
      </c>
      <c r="G5" s="5">
        <v>12</v>
      </c>
      <c r="H5" s="5">
        <v>10</v>
      </c>
      <c r="I5" s="5">
        <v>22</v>
      </c>
      <c r="J5" s="5">
        <v>0</v>
      </c>
      <c r="K5" s="5">
        <v>4</v>
      </c>
      <c r="L5" s="4">
        <f>0.06777+0.00764</f>
      </c>
      <c r="M5" s="4">
        <f>0.06777+0.00764</f>
      </c>
      <c r="N5" s="1" t="s">
        <v>26</v>
      </c>
      <c r="O5" s="1" t="s">
        <v>59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10</v>
      </c>
      <c r="J6" s="5">
        <v>0</v>
      </c>
      <c r="K6" s="5">
        <v>4</v>
      </c>
      <c r="L6" s="4">
        <f>0.05028+0.00764</f>
      </c>
      <c r="M6" s="4">
        <f>0.05028+0.00764</f>
      </c>
      <c r="N6" s="1" t="s">
        <v>26</v>
      </c>
      <c r="O6" s="1" t="s">
        <v>59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12</v>
      </c>
      <c r="H7" s="5">
        <v>22</v>
      </c>
      <c r="I7" s="5">
        <v>24</v>
      </c>
      <c r="J7" s="5">
        <v>0</v>
      </c>
      <c r="K7" s="5">
        <v>4</v>
      </c>
      <c r="L7" s="4">
        <f>0.05028+0.00764</f>
      </c>
      <c r="M7" s="4">
        <f>0.05028+0.00764</f>
      </c>
      <c r="N7" s="1" t="s">
        <v>26</v>
      </c>
      <c r="O7" s="1" t="s">
        <v>59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12</v>
      </c>
      <c r="H8" s="5">
        <v>0</v>
      </c>
      <c r="I8" s="5">
        <v>24</v>
      </c>
      <c r="J8" s="5">
        <v>5</v>
      </c>
      <c r="K8" s="5">
        <v>6</v>
      </c>
      <c r="L8" s="4">
        <f>0.05028+0.00764</f>
      </c>
      <c r="M8" s="4">
        <f>0.05028+0.00764</f>
      </c>
      <c r="N8" s="1" t="s">
        <v>26</v>
      </c>
      <c r="O8" s="1" t="s">
        <v>59</v>
      </c>
    </row>
    <row x14ac:dyDescent="0.25" r="9" customHeight="1" ht="17.25">
      <c r="A9" s="1" t="s">
        <v>13</v>
      </c>
      <c r="B9" s="1" t="s">
        <v>17</v>
      </c>
      <c r="C9" s="1" t="s">
        <v>51</v>
      </c>
      <c r="D9" s="5">
        <v>0</v>
      </c>
      <c r="E9" s="5">
        <v>0</v>
      </c>
      <c r="F9" s="5">
        <v>1</v>
      </c>
      <c r="G9" s="5">
        <v>5</v>
      </c>
      <c r="H9" s="5">
        <v>10</v>
      </c>
      <c r="I9" s="5">
        <v>22</v>
      </c>
      <c r="J9" s="5">
        <v>0</v>
      </c>
      <c r="K9" s="5">
        <v>4</v>
      </c>
      <c r="L9" s="4">
        <v>12.733</v>
      </c>
      <c r="M9" s="4">
        <v>12.733</v>
      </c>
      <c r="N9" s="1" t="s">
        <v>19</v>
      </c>
      <c r="O9" s="1"/>
    </row>
    <row x14ac:dyDescent="0.25" r="10" customHeight="1" ht="17.25">
      <c r="A10" s="1" t="s">
        <v>13</v>
      </c>
      <c r="B10" s="1" t="s">
        <v>17</v>
      </c>
      <c r="C10" s="1" t="s">
        <v>53</v>
      </c>
      <c r="D10" s="5">
        <v>0</v>
      </c>
      <c r="E10" s="5">
        <v>0</v>
      </c>
      <c r="F10" s="5">
        <v>6</v>
      </c>
      <c r="G10" s="5">
        <v>9</v>
      </c>
      <c r="H10" s="5">
        <v>10</v>
      </c>
      <c r="I10" s="5">
        <v>22</v>
      </c>
      <c r="J10" s="5">
        <v>0</v>
      </c>
      <c r="K10" s="5">
        <v>4</v>
      </c>
      <c r="L10" s="4">
        <v>17.699</v>
      </c>
      <c r="M10" s="4">
        <v>17.699</v>
      </c>
      <c r="N10" s="1" t="s">
        <v>19</v>
      </c>
      <c r="O10" s="1"/>
    </row>
    <row x14ac:dyDescent="0.25" r="11" customHeight="1" ht="17.25">
      <c r="A11" s="1" t="s">
        <v>13</v>
      </c>
      <c r="B11" s="1" t="s">
        <v>17</v>
      </c>
      <c r="C11" s="1" t="s">
        <v>56</v>
      </c>
      <c r="D11" s="5">
        <v>0</v>
      </c>
      <c r="E11" s="5">
        <v>0</v>
      </c>
      <c r="F11" s="5">
        <v>10</v>
      </c>
      <c r="G11" s="5">
        <v>12</v>
      </c>
      <c r="H11" s="5">
        <v>10</v>
      </c>
      <c r="I11" s="5">
        <v>22</v>
      </c>
      <c r="J11" s="5">
        <v>0</v>
      </c>
      <c r="K11" s="5">
        <v>4</v>
      </c>
      <c r="L11" s="4">
        <v>12.733</v>
      </c>
      <c r="M11" s="4">
        <v>12.733</v>
      </c>
      <c r="N11" s="1" t="s">
        <v>19</v>
      </c>
      <c r="O11" s="1"/>
    </row>
    <row x14ac:dyDescent="0.25" r="12" customHeight="1" ht="17.25">
      <c r="A12" s="1" t="s">
        <v>13</v>
      </c>
      <c r="B12" s="1" t="s">
        <v>17</v>
      </c>
      <c r="C12" s="1" t="s">
        <v>24</v>
      </c>
      <c r="D12" s="5">
        <v>0</v>
      </c>
      <c r="E12" s="5">
        <v>0</v>
      </c>
      <c r="F12" s="5">
        <v>1</v>
      </c>
      <c r="G12" s="5">
        <v>12</v>
      </c>
      <c r="H12" s="5">
        <v>0</v>
      </c>
      <c r="I12" s="5">
        <v>24</v>
      </c>
      <c r="J12" s="5">
        <v>0</v>
      </c>
      <c r="K12" s="5">
        <v>6</v>
      </c>
      <c r="L12" s="4">
        <v>2.25</v>
      </c>
      <c r="M12" s="4">
        <v>2.25</v>
      </c>
      <c r="N12" s="1" t="s">
        <v>19</v>
      </c>
      <c r="O12" s="1"/>
    </row>
    <row x14ac:dyDescent="0.25" r="13" customHeight="1" ht="17.25">
      <c r="A13" s="1" t="s">
        <v>34</v>
      </c>
      <c r="B13" s="1" t="s">
        <v>14</v>
      </c>
      <c r="C13" s="1"/>
      <c r="D13" s="2"/>
      <c r="E13" s="2"/>
      <c r="F13" s="2"/>
      <c r="G13" s="2"/>
      <c r="H13" s="2"/>
      <c r="I13" s="2"/>
      <c r="J13" s="2"/>
      <c r="K13" s="2"/>
      <c r="L13" s="5">
        <f>15*30</f>
      </c>
      <c r="M13" s="5">
        <f>15*30</f>
      </c>
      <c r="N13" s="1" t="s">
        <v>15</v>
      </c>
      <c r="O13" s="1" t="s">
        <v>60</v>
      </c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4">
        <f>0.4503+0.6036</f>
      </c>
      <c r="M14" s="15">
        <f>L14/2.83168</f>
      </c>
      <c r="N14" s="1" t="s">
        <v>36</v>
      </c>
      <c r="O1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68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8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(10.97+7.95)*30</f>
      </c>
      <c r="M2" s="4">
        <f>(10.97+7.95)*30</f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7</v>
      </c>
      <c r="J3" s="5">
        <v>0</v>
      </c>
      <c r="K3" s="5">
        <v>6</v>
      </c>
      <c r="L3" s="4">
        <f>0.090217 + 0.0036</f>
      </c>
      <c r="M3" s="4">
        <f>0.090217 + 0.0036</f>
      </c>
      <c r="N3" s="1" t="s">
        <v>26</v>
      </c>
      <c r="O3" s="1" t="s">
        <v>128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1</v>
      </c>
      <c r="G4" s="5">
        <v>1</v>
      </c>
      <c r="H4" s="5">
        <v>7</v>
      </c>
      <c r="I4" s="5">
        <v>24</v>
      </c>
      <c r="J4" s="5">
        <v>0</v>
      </c>
      <c r="K4" s="5">
        <v>6</v>
      </c>
      <c r="L4" s="4">
        <f>0.0221+0.090217</f>
      </c>
      <c r="M4" s="4">
        <f>0.0221+0.090217</f>
      </c>
      <c r="N4" s="1" t="s">
        <v>26</v>
      </c>
      <c r="O4" s="1" t="s">
        <v>128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2</v>
      </c>
      <c r="G5" s="5">
        <v>2</v>
      </c>
      <c r="H5" s="5">
        <v>0</v>
      </c>
      <c r="I5" s="5">
        <v>7</v>
      </c>
      <c r="J5" s="5">
        <v>0</v>
      </c>
      <c r="K5" s="5">
        <v>6</v>
      </c>
      <c r="L5" s="4">
        <f>0.095051 + 0.0036</f>
      </c>
      <c r="M5" s="4">
        <f>0.095051 + 0.0036</f>
      </c>
      <c r="N5" s="1" t="s">
        <v>26</v>
      </c>
      <c r="O5" s="1" t="s">
        <v>128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7</v>
      </c>
      <c r="I6" s="5">
        <v>24</v>
      </c>
      <c r="J6" s="5">
        <v>0</v>
      </c>
      <c r="K6" s="5">
        <v>6</v>
      </c>
      <c r="L6" s="4">
        <f>0.0221+0.095051</f>
      </c>
      <c r="M6" s="4">
        <f>0.0221+0.095051</f>
      </c>
      <c r="N6" s="1" t="s">
        <v>26</v>
      </c>
      <c r="O6" s="1" t="s">
        <v>128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7</v>
      </c>
      <c r="J7" s="5">
        <v>0</v>
      </c>
      <c r="K7" s="5">
        <v>6</v>
      </c>
      <c r="L7" s="4">
        <f>0.106337 + 0.0036</f>
      </c>
      <c r="M7" s="4">
        <f>0.106337 + 0.0036</f>
      </c>
      <c r="N7" s="1" t="s">
        <v>26</v>
      </c>
      <c r="O7" s="1" t="s">
        <v>128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3</v>
      </c>
      <c r="G8" s="5">
        <v>3</v>
      </c>
      <c r="H8" s="5">
        <v>7</v>
      </c>
      <c r="I8" s="5">
        <v>24</v>
      </c>
      <c r="J8" s="5">
        <v>0</v>
      </c>
      <c r="K8" s="5">
        <v>6</v>
      </c>
      <c r="L8" s="4">
        <f>0.0221+0.106337</f>
      </c>
      <c r="M8" s="4">
        <f>0.0221+0.106337</f>
      </c>
      <c r="N8" s="1" t="s">
        <v>26</v>
      </c>
      <c r="O8" s="1" t="s">
        <v>128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4</v>
      </c>
      <c r="G9" s="5">
        <v>4</v>
      </c>
      <c r="H9" s="5">
        <v>0</v>
      </c>
      <c r="I9" s="5">
        <v>7</v>
      </c>
      <c r="J9" s="5">
        <v>0</v>
      </c>
      <c r="K9" s="5">
        <v>6</v>
      </c>
      <c r="L9" s="4">
        <f>0.113402  + 0.0036</f>
      </c>
      <c r="M9" s="4">
        <f>0.113402  + 0.0036</f>
      </c>
      <c r="N9" s="1" t="s">
        <v>26</v>
      </c>
      <c r="O9" s="1" t="s">
        <v>128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4</v>
      </c>
      <c r="G10" s="5">
        <v>4</v>
      </c>
      <c r="H10" s="5">
        <v>7</v>
      </c>
      <c r="I10" s="5">
        <v>24</v>
      </c>
      <c r="J10" s="5">
        <v>0</v>
      </c>
      <c r="K10" s="5">
        <v>6</v>
      </c>
      <c r="L10" s="4">
        <f>0.0221+0.113402</f>
      </c>
      <c r="M10" s="4">
        <f>0.0221+0.113402</f>
      </c>
      <c r="N10" s="1" t="s">
        <v>26</v>
      </c>
      <c r="O10" s="1" t="s">
        <v>128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5</v>
      </c>
      <c r="H11" s="5">
        <v>0</v>
      </c>
      <c r="I11" s="5">
        <v>7</v>
      </c>
      <c r="J11" s="5">
        <v>0</v>
      </c>
      <c r="K11" s="5">
        <v>6</v>
      </c>
      <c r="L11" s="4">
        <f>0.11078  + 0.0036</f>
      </c>
      <c r="M11" s="4">
        <f>0.11078  + 0.0036</f>
      </c>
      <c r="N11" s="1" t="s">
        <v>26</v>
      </c>
      <c r="O11" s="1" t="s">
        <v>128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5</v>
      </c>
      <c r="G12" s="5">
        <v>5</v>
      </c>
      <c r="H12" s="5">
        <v>7</v>
      </c>
      <c r="I12" s="5">
        <v>24</v>
      </c>
      <c r="J12" s="5">
        <v>0</v>
      </c>
      <c r="K12" s="5">
        <v>6</v>
      </c>
      <c r="L12" s="4">
        <f>0.0221+0.11078</f>
      </c>
      <c r="M12" s="4">
        <f>0.0221+0.11078</f>
      </c>
      <c r="N12" s="1" t="s">
        <v>26</v>
      </c>
      <c r="O12" s="1" t="s">
        <v>128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7</v>
      </c>
      <c r="J13" s="5">
        <v>0</v>
      </c>
      <c r="K13" s="5">
        <v>6</v>
      </c>
      <c r="L13" s="4">
        <f>0.0036+0.109676</f>
      </c>
      <c r="M13" s="4">
        <f>0.0036+0.109676</f>
      </c>
      <c r="N13" s="1" t="s">
        <v>26</v>
      </c>
      <c r="O13" s="1" t="s">
        <v>128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6</v>
      </c>
      <c r="H14" s="5">
        <v>7</v>
      </c>
      <c r="I14" s="5">
        <v>10</v>
      </c>
      <c r="J14" s="5">
        <v>0</v>
      </c>
      <c r="K14" s="5">
        <v>5</v>
      </c>
      <c r="L14" s="4">
        <f>0.0221+0.109676</f>
      </c>
      <c r="M14" s="4">
        <f>0.0221+0.109676</f>
      </c>
      <c r="N14" s="1" t="s">
        <v>26</v>
      </c>
      <c r="O14" s="1" t="s">
        <v>128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6</v>
      </c>
      <c r="G15" s="5">
        <v>6</v>
      </c>
      <c r="H15" s="5">
        <v>10</v>
      </c>
      <c r="I15" s="5">
        <v>22</v>
      </c>
      <c r="J15" s="5">
        <v>0</v>
      </c>
      <c r="K15" s="5">
        <v>5</v>
      </c>
      <c r="L15" s="4">
        <f>0.0344+0.109676</f>
      </c>
      <c r="M15" s="4">
        <f>0.0344+0.109676</f>
      </c>
      <c r="N15" s="1" t="s">
        <v>26</v>
      </c>
      <c r="O15" s="1" t="s">
        <v>128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6</v>
      </c>
      <c r="G16" s="5">
        <v>6</v>
      </c>
      <c r="H16" s="5">
        <v>22</v>
      </c>
      <c r="I16" s="5">
        <v>24</v>
      </c>
      <c r="J16" s="5">
        <v>0</v>
      </c>
      <c r="K16" s="5">
        <v>5</v>
      </c>
      <c r="L16" s="4">
        <f>0.0221+0.109676</f>
      </c>
      <c r="M16" s="4">
        <f>0.0221+0.109676</f>
      </c>
      <c r="N16" s="1" t="s">
        <v>26</v>
      </c>
      <c r="O16" s="1" t="s">
        <v>128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6</v>
      </c>
      <c r="G17" s="5">
        <v>6</v>
      </c>
      <c r="H17" s="5">
        <v>7</v>
      </c>
      <c r="I17" s="5">
        <v>24</v>
      </c>
      <c r="J17" s="5">
        <v>6</v>
      </c>
      <c r="K17" s="5">
        <v>6</v>
      </c>
      <c r="L17" s="4">
        <f>0.0221+0.109676</f>
      </c>
      <c r="M17" s="4">
        <f>0.0221+0.109676</f>
      </c>
      <c r="N17" s="1" t="s">
        <v>26</v>
      </c>
      <c r="O17" s="1" t="s">
        <v>128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7</v>
      </c>
      <c r="G18" s="5">
        <v>7</v>
      </c>
      <c r="H18" s="5">
        <v>0</v>
      </c>
      <c r="I18" s="5">
        <v>7</v>
      </c>
      <c r="J18" s="5">
        <v>0</v>
      </c>
      <c r="K18" s="5">
        <v>6</v>
      </c>
      <c r="L18" s="4">
        <f>0.0036+0.104179</f>
      </c>
      <c r="M18" s="4">
        <f>0.0036+0.104179</f>
      </c>
      <c r="N18" s="1" t="s">
        <v>26</v>
      </c>
      <c r="O18" s="1" t="s">
        <v>128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7</v>
      </c>
      <c r="G19" s="5">
        <v>7</v>
      </c>
      <c r="H19" s="5">
        <v>7</v>
      </c>
      <c r="I19" s="5">
        <v>10</v>
      </c>
      <c r="J19" s="5">
        <v>0</v>
      </c>
      <c r="K19" s="5">
        <v>5</v>
      </c>
      <c r="L19" s="4">
        <f>0.0221+0.104179</f>
      </c>
      <c r="M19" s="4">
        <f>0.0221+0.104179</f>
      </c>
      <c r="N19" s="1" t="s">
        <v>26</v>
      </c>
      <c r="O19" s="1" t="s">
        <v>128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7</v>
      </c>
      <c r="G20" s="5">
        <v>7</v>
      </c>
      <c r="H20" s="5">
        <v>10</v>
      </c>
      <c r="I20" s="5">
        <v>22</v>
      </c>
      <c r="J20" s="5">
        <v>0</v>
      </c>
      <c r="K20" s="5">
        <v>5</v>
      </c>
      <c r="L20" s="4">
        <f>0.0344+0.104179</f>
      </c>
      <c r="M20" s="4">
        <f>0.0344+0.104179</f>
      </c>
      <c r="N20" s="1" t="s">
        <v>26</v>
      </c>
      <c r="O20" s="1" t="s">
        <v>128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7</v>
      </c>
      <c r="G21" s="5">
        <v>7</v>
      </c>
      <c r="H21" s="5">
        <v>22</v>
      </c>
      <c r="I21" s="5">
        <v>24</v>
      </c>
      <c r="J21" s="5">
        <v>0</v>
      </c>
      <c r="K21" s="5">
        <v>5</v>
      </c>
      <c r="L21" s="4">
        <f>0.0221+0.104179</f>
      </c>
      <c r="M21" s="4">
        <f>0.0221+0.104179</f>
      </c>
      <c r="N21" s="1" t="s">
        <v>26</v>
      </c>
      <c r="O21" s="1" t="s">
        <v>128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7</v>
      </c>
      <c r="G22" s="5">
        <v>7</v>
      </c>
      <c r="H22" s="5">
        <v>7</v>
      </c>
      <c r="I22" s="5">
        <v>24</v>
      </c>
      <c r="J22" s="5">
        <v>6</v>
      </c>
      <c r="K22" s="5">
        <v>6</v>
      </c>
      <c r="L22" s="4">
        <f>0.0221+0.104179</f>
      </c>
      <c r="M22" s="4">
        <f>0.0221+0.104179</f>
      </c>
      <c r="N22" s="1" t="s">
        <v>26</v>
      </c>
      <c r="O22" s="1" t="s">
        <v>128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8</v>
      </c>
      <c r="G23" s="5">
        <v>8</v>
      </c>
      <c r="H23" s="5">
        <v>0</v>
      </c>
      <c r="I23" s="5">
        <v>7</v>
      </c>
      <c r="J23" s="5">
        <v>0</v>
      </c>
      <c r="K23" s="5">
        <v>6</v>
      </c>
      <c r="L23" s="4">
        <f>0.0036+0.111505</f>
      </c>
      <c r="M23" s="4">
        <f>0.0036+0.111505</f>
      </c>
      <c r="N23" s="1" t="s">
        <v>26</v>
      </c>
      <c r="O23" s="1" t="s">
        <v>128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8</v>
      </c>
      <c r="G24" s="5">
        <v>8</v>
      </c>
      <c r="H24" s="5">
        <v>7</v>
      </c>
      <c r="I24" s="5">
        <v>10</v>
      </c>
      <c r="J24" s="5">
        <v>0</v>
      </c>
      <c r="K24" s="5">
        <v>5</v>
      </c>
      <c r="L24" s="4">
        <f>0.0221+0.111505</f>
      </c>
      <c r="M24" s="4">
        <f>0.0221+0.111505</f>
      </c>
      <c r="N24" s="1" t="s">
        <v>26</v>
      </c>
      <c r="O24" s="1" t="s">
        <v>128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10</v>
      </c>
      <c r="I25" s="5">
        <v>22</v>
      </c>
      <c r="J25" s="5">
        <v>0</v>
      </c>
      <c r="K25" s="5">
        <v>5</v>
      </c>
      <c r="L25" s="4">
        <f>0.0344+0.111505</f>
      </c>
      <c r="M25" s="4">
        <f>0.0344+0.111505</f>
      </c>
      <c r="N25" s="1" t="s">
        <v>26</v>
      </c>
      <c r="O25" s="1" t="s">
        <v>128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8</v>
      </c>
      <c r="G26" s="5">
        <v>8</v>
      </c>
      <c r="H26" s="5">
        <v>22</v>
      </c>
      <c r="I26" s="5">
        <v>24</v>
      </c>
      <c r="J26" s="5">
        <v>0</v>
      </c>
      <c r="K26" s="5">
        <v>5</v>
      </c>
      <c r="L26" s="4">
        <f>0.0221+0.111505</f>
      </c>
      <c r="M26" s="4">
        <f>0.0221+0.111505</f>
      </c>
      <c r="N26" s="1" t="s">
        <v>26</v>
      </c>
      <c r="O26" s="1" t="s">
        <v>128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8</v>
      </c>
      <c r="G27" s="5">
        <v>8</v>
      </c>
      <c r="H27" s="5">
        <v>7</v>
      </c>
      <c r="I27" s="5">
        <v>24</v>
      </c>
      <c r="J27" s="5">
        <v>6</v>
      </c>
      <c r="K27" s="5">
        <v>6</v>
      </c>
      <c r="L27" s="4">
        <f>0.0221+0.111505</f>
      </c>
      <c r="M27" s="4">
        <f>0.0221+0.111505</f>
      </c>
      <c r="N27" s="1" t="s">
        <v>26</v>
      </c>
      <c r="O27" s="1" t="s">
        <v>128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9</v>
      </c>
      <c r="G28" s="5">
        <v>9</v>
      </c>
      <c r="H28" s="5">
        <v>0</v>
      </c>
      <c r="I28" s="5">
        <v>7</v>
      </c>
      <c r="J28" s="5">
        <v>0</v>
      </c>
      <c r="K28" s="5">
        <v>6</v>
      </c>
      <c r="L28" s="4">
        <f>0.0036+0.116613</f>
      </c>
      <c r="M28" s="4">
        <f>0.0036+0.116613</f>
      </c>
      <c r="N28" s="1" t="s">
        <v>26</v>
      </c>
      <c r="O28" s="1" t="s">
        <v>128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7</v>
      </c>
      <c r="I29" s="5">
        <v>10</v>
      </c>
      <c r="J29" s="5">
        <v>0</v>
      </c>
      <c r="K29" s="5">
        <v>5</v>
      </c>
      <c r="L29" s="4">
        <f>0.0221+0.116613</f>
      </c>
      <c r="M29" s="4">
        <f>0.0221+0.116613</f>
      </c>
      <c r="N29" s="1" t="s">
        <v>26</v>
      </c>
      <c r="O29" s="1" t="s">
        <v>128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9</v>
      </c>
      <c r="G30" s="5">
        <v>9</v>
      </c>
      <c r="H30" s="5">
        <v>10</v>
      </c>
      <c r="I30" s="5">
        <v>22</v>
      </c>
      <c r="J30" s="5">
        <v>0</v>
      </c>
      <c r="K30" s="5">
        <v>5</v>
      </c>
      <c r="L30" s="4">
        <f>0.0344+0.116613</f>
      </c>
      <c r="M30" s="4">
        <f>0.0344+0.116613</f>
      </c>
      <c r="N30" s="1" t="s">
        <v>26</v>
      </c>
      <c r="O30" s="1" t="s">
        <v>128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9</v>
      </c>
      <c r="G31" s="5">
        <v>9</v>
      </c>
      <c r="H31" s="5">
        <v>22</v>
      </c>
      <c r="I31" s="5">
        <v>24</v>
      </c>
      <c r="J31" s="5">
        <v>0</v>
      </c>
      <c r="K31" s="5">
        <v>5</v>
      </c>
      <c r="L31" s="4">
        <f>0.0221+0.116613</f>
      </c>
      <c r="M31" s="4">
        <f>0.0221+0.116613</f>
      </c>
      <c r="N31" s="1" t="s">
        <v>26</v>
      </c>
      <c r="O31" s="1" t="s">
        <v>128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9</v>
      </c>
      <c r="G32" s="5">
        <v>9</v>
      </c>
      <c r="H32" s="5">
        <v>7</v>
      </c>
      <c r="I32" s="5">
        <v>24</v>
      </c>
      <c r="J32" s="5">
        <v>6</v>
      </c>
      <c r="K32" s="5">
        <v>6</v>
      </c>
      <c r="L32" s="4">
        <f>0.0221+0.116613</f>
      </c>
      <c r="M32" s="4">
        <f>0.0221+0.116613</f>
      </c>
      <c r="N32" s="1" t="s">
        <v>26</v>
      </c>
      <c r="O32" s="1" t="s">
        <v>128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10</v>
      </c>
      <c r="G33" s="5">
        <v>10</v>
      </c>
      <c r="H33" s="5">
        <v>0</v>
      </c>
      <c r="I33" s="5">
        <v>7</v>
      </c>
      <c r="J33" s="5">
        <v>0</v>
      </c>
      <c r="K33" s="5">
        <v>6</v>
      </c>
      <c r="L33" s="4">
        <f>0.113535 + 0.0036</f>
      </c>
      <c r="M33" s="4">
        <f>0.113535 + 0.0036</f>
      </c>
      <c r="N33" s="1" t="s">
        <v>26</v>
      </c>
      <c r="O33" s="1" t="s">
        <v>128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10</v>
      </c>
      <c r="G34" s="5">
        <v>10</v>
      </c>
      <c r="H34" s="5">
        <v>7</v>
      </c>
      <c r="I34" s="5">
        <v>24</v>
      </c>
      <c r="J34" s="5">
        <v>0</v>
      </c>
      <c r="K34" s="5">
        <v>6</v>
      </c>
      <c r="L34" s="4">
        <f>0.0221+0.113535</f>
      </c>
      <c r="M34" s="4">
        <f>0.0221+0.113535</f>
      </c>
      <c r="N34" s="1" t="s">
        <v>26</v>
      </c>
      <c r="O34" s="1" t="s">
        <v>128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11</v>
      </c>
      <c r="G35" s="5">
        <v>11</v>
      </c>
      <c r="H35" s="5">
        <v>0</v>
      </c>
      <c r="I35" s="5">
        <v>7</v>
      </c>
      <c r="J35" s="5">
        <v>0</v>
      </c>
      <c r="K35" s="5">
        <v>6</v>
      </c>
      <c r="L35" s="4">
        <f>0.114378  + 0.0036</f>
      </c>
      <c r="M35" s="4">
        <f>0.114378  + 0.0036</f>
      </c>
      <c r="N35" s="1" t="s">
        <v>26</v>
      </c>
      <c r="O35" s="1" t="s">
        <v>128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11</v>
      </c>
      <c r="G36" s="5">
        <v>11</v>
      </c>
      <c r="H36" s="5">
        <v>7</v>
      </c>
      <c r="I36" s="5">
        <v>24</v>
      </c>
      <c r="J36" s="5">
        <v>0</v>
      </c>
      <c r="K36" s="5">
        <v>6</v>
      </c>
      <c r="L36" s="4">
        <f>0.0221+0.114378</f>
      </c>
      <c r="M36" s="4">
        <f>0.0221+0.114378</f>
      </c>
      <c r="N36" s="1" t="s">
        <v>26</v>
      </c>
      <c r="O36" s="1" t="s">
        <v>128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12</v>
      </c>
      <c r="G37" s="5">
        <v>12</v>
      </c>
      <c r="H37" s="5">
        <v>0</v>
      </c>
      <c r="I37" s="5">
        <v>7</v>
      </c>
      <c r="J37" s="5">
        <v>0</v>
      </c>
      <c r="K37" s="5">
        <v>6</v>
      </c>
      <c r="L37" s="4">
        <f>0.118608+0.0036</f>
      </c>
      <c r="M37" s="4">
        <f>0.118608+0.0036</f>
      </c>
      <c r="N37" s="1" t="s">
        <v>26</v>
      </c>
      <c r="O37" s="1" t="s">
        <v>128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12</v>
      </c>
      <c r="G38" s="5">
        <v>12</v>
      </c>
      <c r="H38" s="5">
        <v>7</v>
      </c>
      <c r="I38" s="5">
        <v>24</v>
      </c>
      <c r="J38" s="5">
        <v>0</v>
      </c>
      <c r="K38" s="5">
        <v>6</v>
      </c>
      <c r="L38" s="4">
        <f>0.0221+0.118608</f>
      </c>
      <c r="M38" s="4">
        <f>0.0221+0.118608</f>
      </c>
      <c r="N38" s="1" t="s">
        <v>26</v>
      </c>
      <c r="O38" s="1" t="s">
        <v>128</v>
      </c>
    </row>
    <row x14ac:dyDescent="0.25" r="39" customHeight="1" ht="17.25">
      <c r="A39" s="1" t="s">
        <v>13</v>
      </c>
      <c r="B39" s="1" t="s">
        <v>17</v>
      </c>
      <c r="C39" s="1" t="s">
        <v>39</v>
      </c>
      <c r="D39" s="5">
        <v>0</v>
      </c>
      <c r="E39" s="5">
        <v>0</v>
      </c>
      <c r="F39" s="5">
        <v>1</v>
      </c>
      <c r="G39" s="5">
        <v>12</v>
      </c>
      <c r="H39" s="5">
        <v>0</v>
      </c>
      <c r="I39" s="5">
        <v>7</v>
      </c>
      <c r="J39" s="5">
        <v>0</v>
      </c>
      <c r="K39" s="5">
        <v>6</v>
      </c>
      <c r="L39" s="5">
        <v>0</v>
      </c>
      <c r="M39" s="5">
        <v>0</v>
      </c>
      <c r="N39" s="1" t="s">
        <v>19</v>
      </c>
      <c r="O39" s="1"/>
    </row>
    <row x14ac:dyDescent="0.25" r="40" customHeight="1" ht="17.25">
      <c r="A40" s="1" t="s">
        <v>13</v>
      </c>
      <c r="B40" s="1" t="s">
        <v>17</v>
      </c>
      <c r="C40" s="1" t="s">
        <v>129</v>
      </c>
      <c r="D40" s="5">
        <v>0</v>
      </c>
      <c r="E40" s="5">
        <v>0</v>
      </c>
      <c r="F40" s="5">
        <v>1</v>
      </c>
      <c r="G40" s="5">
        <v>5</v>
      </c>
      <c r="H40" s="5">
        <v>7</v>
      </c>
      <c r="I40" s="5">
        <v>24</v>
      </c>
      <c r="J40" s="5">
        <v>0</v>
      </c>
      <c r="K40" s="5">
        <v>6</v>
      </c>
      <c r="L40" s="4">
        <v>6.28</v>
      </c>
      <c r="M40" s="4">
        <v>6.28</v>
      </c>
      <c r="N40" s="1" t="s">
        <v>19</v>
      </c>
      <c r="O40" s="1"/>
    </row>
    <row x14ac:dyDescent="0.25" r="41" customHeight="1" ht="17.25">
      <c r="A41" s="1" t="s">
        <v>13</v>
      </c>
      <c r="B41" s="1" t="s">
        <v>17</v>
      </c>
      <c r="C41" s="1" t="s">
        <v>97</v>
      </c>
      <c r="D41" s="5">
        <v>0</v>
      </c>
      <c r="E41" s="5">
        <v>0</v>
      </c>
      <c r="F41" s="5">
        <v>6</v>
      </c>
      <c r="G41" s="5">
        <v>9</v>
      </c>
      <c r="H41" s="5">
        <v>7</v>
      </c>
      <c r="I41" s="5">
        <v>10</v>
      </c>
      <c r="J41" s="5">
        <v>0</v>
      </c>
      <c r="K41" s="5">
        <v>5</v>
      </c>
      <c r="L41" s="4">
        <v>6.28</v>
      </c>
      <c r="M41" s="4">
        <v>6.28</v>
      </c>
      <c r="N41" s="1" t="s">
        <v>19</v>
      </c>
      <c r="O41" s="1"/>
    </row>
    <row x14ac:dyDescent="0.25" r="42" customHeight="1" ht="17.25">
      <c r="A42" s="1" t="s">
        <v>13</v>
      </c>
      <c r="B42" s="1" t="s">
        <v>17</v>
      </c>
      <c r="C42" s="1" t="s">
        <v>130</v>
      </c>
      <c r="D42" s="5">
        <v>0</v>
      </c>
      <c r="E42" s="5">
        <v>0</v>
      </c>
      <c r="F42" s="5">
        <v>6</v>
      </c>
      <c r="G42" s="5">
        <v>9</v>
      </c>
      <c r="H42" s="5">
        <v>10</v>
      </c>
      <c r="I42" s="5">
        <v>22</v>
      </c>
      <c r="J42" s="5">
        <v>0</v>
      </c>
      <c r="K42" s="5">
        <v>5</v>
      </c>
      <c r="L42" s="4">
        <v>25.63</v>
      </c>
      <c r="M42" s="4">
        <v>25.63</v>
      </c>
      <c r="N42" s="1" t="s">
        <v>19</v>
      </c>
      <c r="O42" s="1"/>
    </row>
    <row x14ac:dyDescent="0.25" r="43" customHeight="1" ht="17.25">
      <c r="A43" s="1" t="s">
        <v>13</v>
      </c>
      <c r="B43" s="1" t="s">
        <v>17</v>
      </c>
      <c r="C43" s="1" t="s">
        <v>97</v>
      </c>
      <c r="D43" s="5">
        <v>0</v>
      </c>
      <c r="E43" s="5">
        <v>0</v>
      </c>
      <c r="F43" s="5">
        <v>6</v>
      </c>
      <c r="G43" s="5">
        <v>9</v>
      </c>
      <c r="H43" s="5">
        <v>22</v>
      </c>
      <c r="I43" s="5">
        <v>24</v>
      </c>
      <c r="J43" s="5">
        <v>0</v>
      </c>
      <c r="K43" s="5">
        <v>5</v>
      </c>
      <c r="L43" s="4">
        <v>6.28</v>
      </c>
      <c r="M43" s="4">
        <v>6.28</v>
      </c>
      <c r="N43" s="1" t="s">
        <v>19</v>
      </c>
      <c r="O43" s="1"/>
    </row>
    <row x14ac:dyDescent="0.25" r="44" customHeight="1" ht="17.25">
      <c r="A44" s="1" t="s">
        <v>13</v>
      </c>
      <c r="B44" s="1" t="s">
        <v>17</v>
      </c>
      <c r="C44" s="1" t="s">
        <v>131</v>
      </c>
      <c r="D44" s="5">
        <v>0</v>
      </c>
      <c r="E44" s="5">
        <v>0</v>
      </c>
      <c r="F44" s="5">
        <v>1</v>
      </c>
      <c r="G44" s="5">
        <v>5</v>
      </c>
      <c r="H44" s="5">
        <v>7</v>
      </c>
      <c r="I44" s="5">
        <v>24</v>
      </c>
      <c r="J44" s="5">
        <v>0</v>
      </c>
      <c r="K44" s="5">
        <v>6</v>
      </c>
      <c r="L44" s="4">
        <v>6.28</v>
      </c>
      <c r="M44" s="4">
        <v>6.28</v>
      </c>
      <c r="N44" s="1" t="s">
        <v>19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0</v>
      </c>
      <c r="E45" s="5">
        <v>0</v>
      </c>
      <c r="F45" s="5">
        <v>1</v>
      </c>
      <c r="G45" s="5">
        <v>1</v>
      </c>
      <c r="H45" s="5">
        <v>0</v>
      </c>
      <c r="I45" s="5">
        <v>24</v>
      </c>
      <c r="J45" s="5">
        <v>0</v>
      </c>
      <c r="K45" s="5">
        <v>6</v>
      </c>
      <c r="L45" s="4">
        <f>153.35+0.25805</f>
      </c>
      <c r="M45" s="14">
        <f>L45/2.83168</f>
      </c>
      <c r="N45" s="1" t="s">
        <v>36</v>
      </c>
      <c r="O45" s="1" t="s">
        <v>37</v>
      </c>
    </row>
    <row x14ac:dyDescent="0.25" r="46" customHeight="1" ht="17.25">
      <c r="A46" s="1" t="s">
        <v>34</v>
      </c>
      <c r="B46" s="1" t="s">
        <v>25</v>
      </c>
      <c r="C46" s="1"/>
      <c r="D46" s="5">
        <v>10</v>
      </c>
      <c r="E46" s="4">
        <f>D46*2.83168</f>
      </c>
      <c r="F46" s="5">
        <v>1</v>
      </c>
      <c r="G46" s="5">
        <v>1</v>
      </c>
      <c r="H46" s="5">
        <v>0</v>
      </c>
      <c r="I46" s="5">
        <v>24</v>
      </c>
      <c r="J46" s="5">
        <v>0</v>
      </c>
      <c r="K46" s="5">
        <v>6</v>
      </c>
      <c r="L46" s="4">
        <f>0.2247+0.25805</f>
      </c>
      <c r="M46" s="14">
        <f>L46/2.83168</f>
      </c>
      <c r="N46" s="1" t="s">
        <v>36</v>
      </c>
      <c r="O46" s="1" t="s">
        <v>37</v>
      </c>
    </row>
    <row x14ac:dyDescent="0.25" r="47" customHeight="1" ht="17.25">
      <c r="A47" s="1" t="s">
        <v>34</v>
      </c>
      <c r="B47" s="1" t="s">
        <v>25</v>
      </c>
      <c r="C47" s="1"/>
      <c r="D47" s="5">
        <v>0</v>
      </c>
      <c r="E47" s="5">
        <v>0</v>
      </c>
      <c r="F47" s="5">
        <v>2</v>
      </c>
      <c r="G47" s="5">
        <v>2</v>
      </c>
      <c r="H47" s="5">
        <v>0</v>
      </c>
      <c r="I47" s="5">
        <v>24</v>
      </c>
      <c r="J47" s="5">
        <v>0</v>
      </c>
      <c r="K47" s="5">
        <v>6</v>
      </c>
      <c r="L47" s="4">
        <f>153.35+0.331761</f>
      </c>
      <c r="M47" s="14">
        <f>L47/2.83168</f>
      </c>
      <c r="N47" s="1" t="s">
        <v>36</v>
      </c>
      <c r="O47" s="1" t="s">
        <v>37</v>
      </c>
    </row>
    <row x14ac:dyDescent="0.25" r="48" customHeight="1" ht="17.25">
      <c r="A48" s="1" t="s">
        <v>34</v>
      </c>
      <c r="B48" s="1" t="s">
        <v>25</v>
      </c>
      <c r="C48" s="1"/>
      <c r="D48" s="5">
        <v>10</v>
      </c>
      <c r="E48" s="4">
        <f>D48*2.83168</f>
      </c>
      <c r="F48" s="5">
        <v>2</v>
      </c>
      <c r="G48" s="5">
        <v>2</v>
      </c>
      <c r="H48" s="5">
        <v>0</v>
      </c>
      <c r="I48" s="5">
        <v>24</v>
      </c>
      <c r="J48" s="5">
        <v>0</v>
      </c>
      <c r="K48" s="5">
        <v>6</v>
      </c>
      <c r="L48" s="4">
        <f>0.2247+0.331761</f>
      </c>
      <c r="M48" s="14">
        <f>L48/2.83168</f>
      </c>
      <c r="N48" s="1" t="s">
        <v>36</v>
      </c>
      <c r="O48" s="1" t="s">
        <v>37</v>
      </c>
    </row>
    <row x14ac:dyDescent="0.25" r="49" customHeight="1" ht="17.25">
      <c r="A49" s="1" t="s">
        <v>34</v>
      </c>
      <c r="B49" s="1" t="s">
        <v>25</v>
      </c>
      <c r="C49" s="1"/>
      <c r="D49" s="5">
        <v>0</v>
      </c>
      <c r="E49" s="5">
        <v>0</v>
      </c>
      <c r="F49" s="5">
        <v>3</v>
      </c>
      <c r="G49" s="5">
        <v>3</v>
      </c>
      <c r="H49" s="5">
        <v>0</v>
      </c>
      <c r="I49" s="5">
        <v>24</v>
      </c>
      <c r="J49" s="5">
        <v>0</v>
      </c>
      <c r="K49" s="5">
        <v>6</v>
      </c>
      <c r="L49" s="4">
        <f>153.35+0.293576</f>
      </c>
      <c r="M49" s="14">
        <f>L49/2.83168</f>
      </c>
      <c r="N49" s="1" t="s">
        <v>36</v>
      </c>
      <c r="O49" s="1" t="s">
        <v>37</v>
      </c>
    </row>
    <row x14ac:dyDescent="0.25" r="50" customHeight="1" ht="17.25">
      <c r="A50" s="1" t="s">
        <v>34</v>
      </c>
      <c r="B50" s="1" t="s">
        <v>25</v>
      </c>
      <c r="C50" s="1"/>
      <c r="D50" s="5">
        <v>10</v>
      </c>
      <c r="E50" s="4">
        <f>D50*2.83168</f>
      </c>
      <c r="F50" s="5">
        <v>3</v>
      </c>
      <c r="G50" s="5">
        <v>3</v>
      </c>
      <c r="H50" s="5">
        <v>0</v>
      </c>
      <c r="I50" s="5">
        <v>24</v>
      </c>
      <c r="J50" s="5">
        <v>0</v>
      </c>
      <c r="K50" s="5">
        <v>6</v>
      </c>
      <c r="L50" s="4">
        <f>0.2247+0.293576</f>
      </c>
      <c r="M50" s="14">
        <f>L50/2.83168</f>
      </c>
      <c r="N50" s="1" t="s">
        <v>36</v>
      </c>
      <c r="O50" s="1" t="s">
        <v>37</v>
      </c>
    </row>
    <row x14ac:dyDescent="0.25" r="51" customHeight="1" ht="17.25">
      <c r="A51" s="1" t="s">
        <v>34</v>
      </c>
      <c r="B51" s="1" t="s">
        <v>25</v>
      </c>
      <c r="C51" s="1"/>
      <c r="D51" s="5">
        <v>0</v>
      </c>
      <c r="E51" s="5">
        <v>0</v>
      </c>
      <c r="F51" s="5">
        <v>4</v>
      </c>
      <c r="G51" s="5">
        <v>4</v>
      </c>
      <c r="H51" s="5">
        <v>0</v>
      </c>
      <c r="I51" s="5">
        <v>24</v>
      </c>
      <c r="J51" s="5">
        <v>0</v>
      </c>
      <c r="K51" s="5">
        <v>6</v>
      </c>
      <c r="L51" s="4">
        <f>153.35+0.302202</f>
      </c>
      <c r="M51" s="14">
        <f>L51/2.83168</f>
      </c>
      <c r="N51" s="1" t="s">
        <v>36</v>
      </c>
      <c r="O51" s="1" t="s">
        <v>37</v>
      </c>
    </row>
    <row x14ac:dyDescent="0.25" r="52" customHeight="1" ht="17.25">
      <c r="A52" s="1" t="s">
        <v>34</v>
      </c>
      <c r="B52" s="1" t="s">
        <v>25</v>
      </c>
      <c r="C52" s="1"/>
      <c r="D52" s="5">
        <v>10</v>
      </c>
      <c r="E52" s="4">
        <f>D52*2.83168</f>
      </c>
      <c r="F52" s="5">
        <v>4</v>
      </c>
      <c r="G52" s="5">
        <v>4</v>
      </c>
      <c r="H52" s="5">
        <v>0</v>
      </c>
      <c r="I52" s="5">
        <v>24</v>
      </c>
      <c r="J52" s="5">
        <v>0</v>
      </c>
      <c r="K52" s="5">
        <v>6</v>
      </c>
      <c r="L52" s="4">
        <f>0.2247+0.302202</f>
      </c>
      <c r="M52" s="14">
        <f>L52/2.83168</f>
      </c>
      <c r="N52" s="1" t="s">
        <v>36</v>
      </c>
      <c r="O52" s="1" t="s">
        <v>37</v>
      </c>
    </row>
    <row x14ac:dyDescent="0.25" r="53" customHeight="1" ht="17.25">
      <c r="A53" s="1" t="s">
        <v>34</v>
      </c>
      <c r="B53" s="1" t="s">
        <v>25</v>
      </c>
      <c r="C53" s="1"/>
      <c r="D53" s="5">
        <v>0</v>
      </c>
      <c r="E53" s="5">
        <v>0</v>
      </c>
      <c r="F53" s="5">
        <v>5</v>
      </c>
      <c r="G53" s="5">
        <v>5</v>
      </c>
      <c r="H53" s="5">
        <v>0</v>
      </c>
      <c r="I53" s="5">
        <v>24</v>
      </c>
      <c r="J53" s="5">
        <v>0</v>
      </c>
      <c r="K53" s="5">
        <v>6</v>
      </c>
      <c r="L53" s="4">
        <f>153.35+0.252852</f>
      </c>
      <c r="M53" s="14">
        <f>L53/2.83168</f>
      </c>
      <c r="N53" s="1" t="s">
        <v>36</v>
      </c>
      <c r="O53" s="1" t="s">
        <v>37</v>
      </c>
    </row>
    <row x14ac:dyDescent="0.25" r="54" customHeight="1" ht="17.25">
      <c r="A54" s="1" t="s">
        <v>34</v>
      </c>
      <c r="B54" s="1" t="s">
        <v>25</v>
      </c>
      <c r="C54" s="1"/>
      <c r="D54" s="5">
        <v>10</v>
      </c>
      <c r="E54" s="4">
        <f>D54*2.83168</f>
      </c>
      <c r="F54" s="5">
        <v>5</v>
      </c>
      <c r="G54" s="5">
        <v>5</v>
      </c>
      <c r="H54" s="5">
        <v>0</v>
      </c>
      <c r="I54" s="5">
        <v>24</v>
      </c>
      <c r="J54" s="5">
        <v>0</v>
      </c>
      <c r="K54" s="5">
        <v>6</v>
      </c>
      <c r="L54" s="4">
        <f>0.2247+0.252852</f>
      </c>
      <c r="M54" s="14">
        <f>L54/2.83168</f>
      </c>
      <c r="N54" s="1" t="s">
        <v>36</v>
      </c>
      <c r="O54" s="1" t="s">
        <v>37</v>
      </c>
    </row>
    <row x14ac:dyDescent="0.25" r="55" customHeight="1" ht="17.25">
      <c r="A55" s="1" t="s">
        <v>34</v>
      </c>
      <c r="B55" s="1" t="s">
        <v>25</v>
      </c>
      <c r="C55" s="1"/>
      <c r="D55" s="5">
        <v>0</v>
      </c>
      <c r="E55" s="5">
        <v>0</v>
      </c>
      <c r="F55" s="5">
        <v>6</v>
      </c>
      <c r="G55" s="5">
        <v>6</v>
      </c>
      <c r="H55" s="5">
        <v>0</v>
      </c>
      <c r="I55" s="5">
        <v>24</v>
      </c>
      <c r="J55" s="5">
        <v>0</v>
      </c>
      <c r="K55" s="5">
        <v>6</v>
      </c>
      <c r="L55" s="4">
        <f>153.35+0.324212</f>
      </c>
      <c r="M55" s="14">
        <f>L55/2.83168</f>
      </c>
      <c r="N55" s="1" t="s">
        <v>36</v>
      </c>
      <c r="O55" s="1" t="s">
        <v>37</v>
      </c>
    </row>
    <row x14ac:dyDescent="0.25" r="56" customHeight="1" ht="17.25">
      <c r="A56" s="1" t="s">
        <v>34</v>
      </c>
      <c r="B56" s="1" t="s">
        <v>25</v>
      </c>
      <c r="C56" s="1"/>
      <c r="D56" s="5">
        <v>10</v>
      </c>
      <c r="E56" s="4">
        <v>28.3168</v>
      </c>
      <c r="F56" s="5">
        <v>6</v>
      </c>
      <c r="G56" s="5">
        <v>6</v>
      </c>
      <c r="H56" s="5">
        <v>0</v>
      </c>
      <c r="I56" s="5">
        <v>24</v>
      </c>
      <c r="J56" s="5">
        <v>0</v>
      </c>
      <c r="K56" s="5">
        <v>6</v>
      </c>
      <c r="L56" s="4">
        <f>0.2247+0.324212</f>
      </c>
      <c r="M56" s="14">
        <f>L56/2.83168</f>
      </c>
      <c r="N56" s="1" t="s">
        <v>36</v>
      </c>
      <c r="O56" s="1" t="s">
        <v>37</v>
      </c>
    </row>
    <row x14ac:dyDescent="0.25" r="57" customHeight="1" ht="17.25">
      <c r="A57" s="1" t="s">
        <v>34</v>
      </c>
      <c r="B57" s="1" t="s">
        <v>25</v>
      </c>
      <c r="C57" s="1"/>
      <c r="D57" s="5">
        <v>0</v>
      </c>
      <c r="E57" s="5">
        <v>0</v>
      </c>
      <c r="F57" s="5">
        <v>7</v>
      </c>
      <c r="G57" s="5">
        <v>7</v>
      </c>
      <c r="H57" s="5">
        <v>0</v>
      </c>
      <c r="I57" s="5">
        <v>24</v>
      </c>
      <c r="J57" s="5">
        <v>0</v>
      </c>
      <c r="K57" s="5">
        <v>6</v>
      </c>
      <c r="L57" s="4">
        <f>153.35+0.370327</f>
      </c>
      <c r="M57" s="14">
        <f>L57/2.83168</f>
      </c>
      <c r="N57" s="1" t="s">
        <v>36</v>
      </c>
      <c r="O57" s="1" t="s">
        <v>37</v>
      </c>
    </row>
    <row x14ac:dyDescent="0.25" r="58" customHeight="1" ht="17.25">
      <c r="A58" s="1" t="s">
        <v>34</v>
      </c>
      <c r="B58" s="1" t="s">
        <v>25</v>
      </c>
      <c r="C58" s="1"/>
      <c r="D58" s="5">
        <v>10</v>
      </c>
      <c r="E58" s="4">
        <v>28.3168</v>
      </c>
      <c r="F58" s="5">
        <v>7</v>
      </c>
      <c r="G58" s="5">
        <v>7</v>
      </c>
      <c r="H58" s="5">
        <v>0</v>
      </c>
      <c r="I58" s="5">
        <v>24</v>
      </c>
      <c r="J58" s="5">
        <v>0</v>
      </c>
      <c r="K58" s="5">
        <v>6</v>
      </c>
      <c r="L58" s="4">
        <f>0.2247+0.370327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0</v>
      </c>
      <c r="E59" s="5">
        <v>0</v>
      </c>
      <c r="F59" s="5">
        <v>8</v>
      </c>
      <c r="G59" s="5">
        <v>8</v>
      </c>
      <c r="H59" s="5">
        <v>0</v>
      </c>
      <c r="I59" s="5">
        <v>24</v>
      </c>
      <c r="J59" s="5">
        <v>0</v>
      </c>
      <c r="K59" s="5">
        <v>6</v>
      </c>
      <c r="L59" s="4">
        <f>153.35+0.35029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10</v>
      </c>
      <c r="E60" s="4">
        <v>28.3168</v>
      </c>
      <c r="F60" s="5">
        <v>8</v>
      </c>
      <c r="G60" s="5">
        <v>8</v>
      </c>
      <c r="H60" s="5">
        <v>0</v>
      </c>
      <c r="I60" s="5">
        <v>24</v>
      </c>
      <c r="J60" s="5">
        <v>0</v>
      </c>
      <c r="K60" s="5">
        <v>6</v>
      </c>
      <c r="L60" s="4">
        <f>0.2247+0.35029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0</v>
      </c>
      <c r="E61" s="5">
        <v>0</v>
      </c>
      <c r="F61" s="5">
        <v>9</v>
      </c>
      <c r="G61" s="5">
        <v>9</v>
      </c>
      <c r="H61" s="5">
        <v>0</v>
      </c>
      <c r="I61" s="5">
        <v>24</v>
      </c>
      <c r="J61" s="5">
        <v>0</v>
      </c>
      <c r="K61" s="5">
        <v>6</v>
      </c>
      <c r="L61" s="4">
        <f>153.35+0.416127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10</v>
      </c>
      <c r="E62" s="4">
        <v>28.3168</v>
      </c>
      <c r="F62" s="5">
        <v>9</v>
      </c>
      <c r="G62" s="5">
        <v>9</v>
      </c>
      <c r="H62" s="5">
        <v>0</v>
      </c>
      <c r="I62" s="5">
        <v>24</v>
      </c>
      <c r="J62" s="5">
        <v>0</v>
      </c>
      <c r="K62" s="5">
        <v>6</v>
      </c>
      <c r="L62" s="4">
        <f>0.2247+0.416127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0</v>
      </c>
      <c r="E63" s="5">
        <v>0</v>
      </c>
      <c r="F63" s="5">
        <v>10</v>
      </c>
      <c r="G63" s="5">
        <v>10</v>
      </c>
      <c r="H63" s="5">
        <v>0</v>
      </c>
      <c r="I63" s="5">
        <v>24</v>
      </c>
      <c r="J63" s="5">
        <v>0</v>
      </c>
      <c r="K63" s="5">
        <v>6</v>
      </c>
      <c r="L63" s="4">
        <f>153.35+0.556773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10</v>
      </c>
      <c r="E64" s="4">
        <v>28.3168</v>
      </c>
      <c r="F64" s="5">
        <v>10</v>
      </c>
      <c r="G64" s="5">
        <v>10</v>
      </c>
      <c r="H64" s="5">
        <v>0</v>
      </c>
      <c r="I64" s="5">
        <v>24</v>
      </c>
      <c r="J64" s="5">
        <v>0</v>
      </c>
      <c r="K64" s="5">
        <v>6</v>
      </c>
      <c r="L64" s="4">
        <f>0.2247+0.556773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0</v>
      </c>
      <c r="E65" s="5">
        <v>0</v>
      </c>
      <c r="F65" s="5">
        <v>11</v>
      </c>
      <c r="G65" s="5">
        <v>11</v>
      </c>
      <c r="H65" s="5">
        <v>0</v>
      </c>
      <c r="I65" s="5">
        <v>24</v>
      </c>
      <c r="J65" s="5">
        <v>0</v>
      </c>
      <c r="K65" s="5">
        <v>6</v>
      </c>
      <c r="L65" s="4">
        <f>153.35+0.576949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10</v>
      </c>
      <c r="E66" s="4">
        <v>28.3168</v>
      </c>
      <c r="F66" s="5">
        <v>11</v>
      </c>
      <c r="G66" s="5">
        <v>11</v>
      </c>
      <c r="H66" s="5">
        <v>0</v>
      </c>
      <c r="I66" s="5">
        <v>24</v>
      </c>
      <c r="J66" s="5">
        <v>0</v>
      </c>
      <c r="K66" s="5">
        <v>6</v>
      </c>
      <c r="L66" s="4">
        <f>0.2247+0.576949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0</v>
      </c>
      <c r="E67" s="5">
        <v>0</v>
      </c>
      <c r="F67" s="5">
        <v>12</v>
      </c>
      <c r="G67" s="5">
        <v>12</v>
      </c>
      <c r="H67" s="5">
        <v>0</v>
      </c>
      <c r="I67" s="5">
        <v>24</v>
      </c>
      <c r="J67" s="5">
        <v>0</v>
      </c>
      <c r="K67" s="5">
        <v>6</v>
      </c>
      <c r="L67" s="4">
        <f>153.35+0.545748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10</v>
      </c>
      <c r="E68" s="4">
        <v>28.3168</v>
      </c>
      <c r="F68" s="5">
        <v>12</v>
      </c>
      <c r="G68" s="5">
        <v>12</v>
      </c>
      <c r="H68" s="5">
        <v>0</v>
      </c>
      <c r="I68" s="5">
        <v>24</v>
      </c>
      <c r="J68" s="5">
        <v>0</v>
      </c>
      <c r="K68" s="5">
        <v>6</v>
      </c>
      <c r="L68" s="4">
        <f>0.2247+0.545748</f>
      </c>
      <c r="M68" s="14">
        <f>L68/2.83168</f>
      </c>
      <c r="N68" s="1" t="s">
        <v>36</v>
      </c>
      <c r="O68" s="1" t="s">
        <v>37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8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1164.77+35.03</f>
      </c>
      <c r="M2" s="4">
        <f>1164.77+35.03</f>
      </c>
      <c r="N2" s="1" t="s">
        <v>15</v>
      </c>
      <c r="O2" s="1" t="s">
        <v>31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f>0.00121+0.0244678</f>
      </c>
      <c r="M3" s="11">
        <f>0.00121+0.0244678</f>
      </c>
      <c r="N3" s="1" t="s">
        <v>26</v>
      </c>
      <c r="O3" s="1" t="s">
        <v>32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f>0.00121+0.0445597</f>
      </c>
      <c r="M4" s="11">
        <f>0.00121+0.0445597</f>
      </c>
      <c r="N4" s="1" t="s">
        <v>26</v>
      </c>
      <c r="O4" s="1" t="s">
        <v>32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f>0.00121+0.02273642</f>
      </c>
      <c r="M5" s="11">
        <f>0.00121+0.02273642</f>
      </c>
      <c r="N5" s="1" t="s">
        <v>26</v>
      </c>
      <c r="O5" s="1" t="s">
        <v>32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f>0.00121+0.026576292</f>
      </c>
      <c r="M6" s="11">
        <f>0.00121+0.026576292</f>
      </c>
      <c r="N6" s="1" t="s">
        <v>26</v>
      </c>
      <c r="O6" s="1" t="s">
        <v>32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f>0.00121+0.026425685</f>
      </c>
      <c r="M7" s="11">
        <f>0.00121+0.026425685</f>
      </c>
      <c r="N7" s="1" t="s">
        <v>26</v>
      </c>
      <c r="O7" s="1" t="s">
        <v>32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f>0.00121+0.032569458</f>
      </c>
      <c r="M8" s="11">
        <f>0.00121+0.032569458</f>
      </c>
      <c r="N8" s="1" t="s">
        <v>26</v>
      </c>
      <c r="O8" s="1" t="s">
        <v>32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2">
        <f>0.00121+0.03256946</f>
      </c>
      <c r="M9" s="12">
        <f>0.00121+0.03256946</f>
      </c>
      <c r="N9" s="1" t="s">
        <v>26</v>
      </c>
      <c r="O9" s="1" t="s">
        <v>32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f>0.00121+0.043616868</f>
      </c>
      <c r="M10" s="11">
        <f>0.00121+0.043616868</f>
      </c>
      <c r="N10" s="1" t="s">
        <v>26</v>
      </c>
      <c r="O10" s="1" t="s">
        <v>32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f>0.00121+0.044587306</f>
      </c>
      <c r="M11" s="11">
        <f>0.00121+0.044587306</f>
      </c>
      <c r="N11" s="1" t="s">
        <v>26</v>
      </c>
      <c r="O11" s="1" t="s">
        <v>32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f>0.00121+0.055849073</f>
      </c>
      <c r="M12" s="11">
        <f>0.00121+0.055849073</f>
      </c>
      <c r="N12" s="1" t="s">
        <v>26</v>
      </c>
      <c r="O12" s="1" t="s">
        <v>32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f>0.00121+0.050181969</f>
      </c>
      <c r="M13" s="11">
        <f>0.00121+0.050181969</f>
      </c>
      <c r="N13" s="1" t="s">
        <v>26</v>
      </c>
      <c r="O13" s="1" t="s">
        <v>32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f>0.00121+0.0328868</f>
      </c>
      <c r="M14" s="11">
        <f>0.00121+0.0328868</f>
      </c>
      <c r="N14" s="1" t="s">
        <v>26</v>
      </c>
      <c r="O14" s="1" t="s">
        <v>32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0.34+7.3</f>
      </c>
      <c r="M15" s="4">
        <f>0.34+7.3</f>
      </c>
      <c r="N15" s="1" t="s">
        <v>19</v>
      </c>
      <c r="O15" s="1" t="s">
        <v>33</v>
      </c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5">
        <v>918</v>
      </c>
      <c r="M16" s="5">
        <v>918</v>
      </c>
      <c r="N16" s="1" t="s">
        <v>15</v>
      </c>
      <c r="O16" s="1"/>
    </row>
    <row x14ac:dyDescent="0.25" r="17" customHeight="1" ht="17.25">
      <c r="A17" s="1" t="s">
        <v>34</v>
      </c>
      <c r="B17" s="1" t="s">
        <v>17</v>
      </c>
      <c r="C17" s="1" t="s">
        <v>24</v>
      </c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0.87835*24</f>
      </c>
      <c r="M17" s="11">
        <f>L17/2.83168</f>
      </c>
      <c r="N17" s="1" t="s">
        <v>35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24</v>
      </c>
      <c r="J18" s="5">
        <v>0</v>
      </c>
      <c r="K18" s="5">
        <v>6</v>
      </c>
      <c r="L18" s="4">
        <f>0.06036+0.2887</f>
      </c>
      <c r="M18" s="11">
        <f>L18/2.83168</f>
      </c>
      <c r="N18" s="1" t="s">
        <v>36</v>
      </c>
      <c r="O18" s="1" t="s">
        <v>37</v>
      </c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2</v>
      </c>
      <c r="G19" s="5">
        <v>2</v>
      </c>
      <c r="H19" s="5">
        <v>0</v>
      </c>
      <c r="I19" s="5">
        <v>24</v>
      </c>
      <c r="J19" s="5">
        <v>0</v>
      </c>
      <c r="K19" s="5">
        <v>6</v>
      </c>
      <c r="L19" s="4">
        <f>0.06036+0.294</f>
      </c>
      <c r="M19" s="11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0</v>
      </c>
      <c r="I20" s="5">
        <v>24</v>
      </c>
      <c r="J20" s="5">
        <v>0</v>
      </c>
      <c r="K20" s="5">
        <v>6</v>
      </c>
      <c r="L20" s="4">
        <f>0.06036+0.3219</f>
      </c>
      <c r="M20" s="11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0</v>
      </c>
      <c r="I21" s="5">
        <v>24</v>
      </c>
      <c r="J21" s="5">
        <v>0</v>
      </c>
      <c r="K21" s="5">
        <v>6</v>
      </c>
      <c r="L21" s="4">
        <f>0.06036+0.4633</f>
      </c>
      <c r="M21" s="11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4">
        <f>0.06036+0.5323</f>
      </c>
      <c r="M22" s="11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6</v>
      </c>
      <c r="G23" s="5">
        <v>6</v>
      </c>
      <c r="H23" s="5">
        <v>0</v>
      </c>
      <c r="I23" s="5">
        <v>24</v>
      </c>
      <c r="J23" s="5">
        <v>0</v>
      </c>
      <c r="K23" s="5">
        <v>6</v>
      </c>
      <c r="L23" s="4">
        <f>0.06036+0.577</f>
      </c>
      <c r="M23" s="11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7</v>
      </c>
      <c r="H24" s="5">
        <v>0</v>
      </c>
      <c r="I24" s="5">
        <v>24</v>
      </c>
      <c r="J24" s="5">
        <v>0</v>
      </c>
      <c r="K24" s="5">
        <v>6</v>
      </c>
      <c r="L24" s="4">
        <f>0.06036+0.6277</f>
      </c>
      <c r="M24" s="11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24</v>
      </c>
      <c r="J25" s="5">
        <v>0</v>
      </c>
      <c r="K25" s="5">
        <v>6</v>
      </c>
      <c r="L25" s="4">
        <f>0.06036+0.6524</f>
      </c>
      <c r="M25" s="11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9</v>
      </c>
      <c r="G26" s="5">
        <v>9</v>
      </c>
      <c r="H26" s="5">
        <v>0</v>
      </c>
      <c r="I26" s="5">
        <v>24</v>
      </c>
      <c r="J26" s="5">
        <v>0</v>
      </c>
      <c r="K26" s="5">
        <v>6</v>
      </c>
      <c r="L26" s="4">
        <f>0.06036+0.6617</f>
      </c>
      <c r="M26" s="11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10</v>
      </c>
      <c r="G27" s="5">
        <v>10</v>
      </c>
      <c r="H27" s="5">
        <v>0</v>
      </c>
      <c r="I27" s="5">
        <v>24</v>
      </c>
      <c r="J27" s="5">
        <v>0</v>
      </c>
      <c r="K27" s="5">
        <v>6</v>
      </c>
      <c r="L27" s="4">
        <f>0.06036+0.7256</f>
      </c>
      <c r="M27" s="11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0</v>
      </c>
      <c r="E28" s="5">
        <v>0</v>
      </c>
      <c r="F28" s="5">
        <v>11</v>
      </c>
      <c r="G28" s="5">
        <v>11</v>
      </c>
      <c r="H28" s="5">
        <v>0</v>
      </c>
      <c r="I28" s="5">
        <v>24</v>
      </c>
      <c r="J28" s="5">
        <v>0</v>
      </c>
      <c r="K28" s="5">
        <v>6</v>
      </c>
      <c r="L28" s="4">
        <f>0.06036+0.7387</f>
      </c>
      <c r="M28" s="11">
        <f>L28/2.83168</f>
      </c>
      <c r="N28" s="1" t="s">
        <v>36</v>
      </c>
      <c r="O28" s="1" t="s">
        <v>37</v>
      </c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12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4">
        <f>0.06036+0.6814</f>
      </c>
      <c r="M29" s="11">
        <f>L29/2.83168</f>
      </c>
      <c r="N29" s="1" t="s">
        <v>36</v>
      </c>
      <c r="O29" s="1" t="s">
        <v>37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6.005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2.290714285714287" customWidth="1" bestFit="1"/>
    <col min="11" max="11" style="7" width="13.719285714285713" customWidth="1" bestFit="1"/>
    <col min="12" max="12" style="8" width="14.147857142857141" customWidth="1" bestFit="1"/>
    <col min="13" max="13" style="8" width="14.147857142857141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4">
        <f>32.9+0.551098</f>
      </c>
      <c r="M58" s="15">
        <f>L58/2.83168</f>
      </c>
      <c r="N58" s="1" t="s">
        <v>36</v>
      </c>
      <c r="O58" s="1"/>
    </row>
    <row x14ac:dyDescent="0.25" r="59" customHeight="1" ht="17.25">
      <c r="A59" s="1" t="s">
        <v>34</v>
      </c>
      <c r="B59" s="1" t="s">
        <v>25</v>
      </c>
      <c r="C59" s="1"/>
      <c r="D59" s="5">
        <v>3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0.9223+0.551098</f>
      </c>
      <c r="M59" s="15">
        <f>L59/2.83168</f>
      </c>
      <c r="N59" s="1" t="s">
        <v>36</v>
      </c>
      <c r="O59" s="1"/>
    </row>
    <row x14ac:dyDescent="0.25" r="60" customHeight="1" ht="17.25">
      <c r="A60" s="1" t="s">
        <v>34</v>
      </c>
      <c r="B60" s="1" t="s">
        <v>25</v>
      </c>
      <c r="C60" s="1"/>
      <c r="D60" s="5">
        <v>90</v>
      </c>
      <c r="E60" s="4">
        <f>D60*2.83168</f>
      </c>
      <c r="F60" s="5">
        <v>1</v>
      </c>
      <c r="G60" s="5">
        <v>1</v>
      </c>
      <c r="H60" s="5">
        <v>0</v>
      </c>
      <c r="I60" s="5">
        <v>24</v>
      </c>
      <c r="J60" s="5">
        <v>0</v>
      </c>
      <c r="K60" s="5">
        <v>6</v>
      </c>
      <c r="L60" s="4">
        <f>0.484+0.551098</f>
      </c>
      <c r="M60" s="15">
        <f>L60/2.83168</f>
      </c>
      <c r="N60" s="1" t="s">
        <v>36</v>
      </c>
      <c r="O60" s="1"/>
    </row>
    <row x14ac:dyDescent="0.25" r="61" customHeight="1" ht="17.25">
      <c r="A61" s="1" t="s">
        <v>34</v>
      </c>
      <c r="B61" s="1" t="s">
        <v>25</v>
      </c>
      <c r="C61" s="1"/>
      <c r="D61" s="5">
        <v>3000</v>
      </c>
      <c r="E61" s="4">
        <f>D61*2.83168</f>
      </c>
      <c r="F61" s="5">
        <v>1</v>
      </c>
      <c r="G61" s="5">
        <v>1</v>
      </c>
      <c r="H61" s="5">
        <v>0</v>
      </c>
      <c r="I61" s="5">
        <v>24</v>
      </c>
      <c r="J61" s="5">
        <v>0</v>
      </c>
      <c r="K61" s="5">
        <v>6</v>
      </c>
      <c r="L61" s="4">
        <f>0.3335+0.551098</f>
      </c>
      <c r="M61" s="15">
        <f>L61/2.83168</f>
      </c>
      <c r="N61" s="1" t="s">
        <v>36</v>
      </c>
      <c r="O61" s="1"/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2</v>
      </c>
      <c r="G62" s="5">
        <v>2</v>
      </c>
      <c r="H62" s="5">
        <v>0</v>
      </c>
      <c r="I62" s="5">
        <v>24</v>
      </c>
      <c r="J62" s="5">
        <v>0</v>
      </c>
      <c r="K62" s="5">
        <v>6</v>
      </c>
      <c r="L62" s="4">
        <f>32.9+0.536697</f>
      </c>
      <c r="M62" s="15">
        <f>L62/2.83168</f>
      </c>
      <c r="N62" s="1" t="s">
        <v>36</v>
      </c>
      <c r="O62" s="1"/>
    </row>
    <row x14ac:dyDescent="0.25" r="63" customHeight="1" ht="17.25">
      <c r="A63" s="1" t="s">
        <v>34</v>
      </c>
      <c r="B63" s="1" t="s">
        <v>25</v>
      </c>
      <c r="C63" s="1"/>
      <c r="D63" s="5">
        <v>3</v>
      </c>
      <c r="E63" s="4">
        <f>D63*2.83168</f>
      </c>
      <c r="F63" s="5">
        <v>2</v>
      </c>
      <c r="G63" s="5">
        <v>2</v>
      </c>
      <c r="H63" s="5">
        <v>0</v>
      </c>
      <c r="I63" s="5">
        <v>24</v>
      </c>
      <c r="J63" s="5">
        <v>0</v>
      </c>
      <c r="K63" s="5">
        <v>6</v>
      </c>
      <c r="L63" s="4">
        <f>0.9223+0.536697</f>
      </c>
      <c r="M63" s="15">
        <f>L63/2.83168</f>
      </c>
      <c r="N63" s="1" t="s">
        <v>36</v>
      </c>
      <c r="O63" s="1"/>
    </row>
    <row x14ac:dyDescent="0.25" r="64" customHeight="1" ht="17.25">
      <c r="A64" s="1" t="s">
        <v>34</v>
      </c>
      <c r="B64" s="1" t="s">
        <v>25</v>
      </c>
      <c r="C64" s="1"/>
      <c r="D64" s="5">
        <v>90</v>
      </c>
      <c r="E64" s="4">
        <f>D64*2.83168</f>
      </c>
      <c r="F64" s="5">
        <v>2</v>
      </c>
      <c r="G64" s="5">
        <v>2</v>
      </c>
      <c r="H64" s="5">
        <v>0</v>
      </c>
      <c r="I64" s="5">
        <v>24</v>
      </c>
      <c r="J64" s="5">
        <v>0</v>
      </c>
      <c r="K64" s="5">
        <v>6</v>
      </c>
      <c r="L64" s="4">
        <f>0.484+0.536697</f>
      </c>
      <c r="M64" s="15">
        <f>L64/2.83168</f>
      </c>
      <c r="N64" s="1" t="s">
        <v>36</v>
      </c>
      <c r="O64" s="1"/>
    </row>
    <row x14ac:dyDescent="0.25" r="65" customHeight="1" ht="17.25">
      <c r="A65" s="1" t="s">
        <v>34</v>
      </c>
      <c r="B65" s="1" t="s">
        <v>25</v>
      </c>
      <c r="C65" s="1"/>
      <c r="D65" s="5">
        <v>3000</v>
      </c>
      <c r="E65" s="4">
        <f>D65*2.83168</f>
      </c>
      <c r="F65" s="5">
        <v>2</v>
      </c>
      <c r="G65" s="5">
        <v>2</v>
      </c>
      <c r="H65" s="5">
        <v>0</v>
      </c>
      <c r="I65" s="5">
        <v>24</v>
      </c>
      <c r="J65" s="5">
        <v>0</v>
      </c>
      <c r="K65" s="5">
        <v>6</v>
      </c>
      <c r="L65" s="4">
        <f>0.3335+0.536697</f>
      </c>
      <c r="M65" s="15">
        <f>L65/2.83168</f>
      </c>
      <c r="N65" s="1" t="s">
        <v>36</v>
      </c>
      <c r="O65" s="1"/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3</v>
      </c>
      <c r="G66" s="5">
        <v>3</v>
      </c>
      <c r="H66" s="5">
        <v>0</v>
      </c>
      <c r="I66" s="5">
        <v>24</v>
      </c>
      <c r="J66" s="5">
        <v>0</v>
      </c>
      <c r="K66" s="5">
        <v>6</v>
      </c>
      <c r="L66" s="4">
        <f>32.9+0.518574</f>
      </c>
      <c r="M66" s="15">
        <f>L66/2.83168</f>
      </c>
      <c r="N66" s="1" t="s">
        <v>36</v>
      </c>
      <c r="O66" s="1"/>
    </row>
    <row x14ac:dyDescent="0.25" r="67" customHeight="1" ht="17.25">
      <c r="A67" s="1" t="s">
        <v>34</v>
      </c>
      <c r="B67" s="1" t="s">
        <v>25</v>
      </c>
      <c r="C67" s="1"/>
      <c r="D67" s="5">
        <v>3</v>
      </c>
      <c r="E67" s="4">
        <f>D67*2.83168</f>
      </c>
      <c r="F67" s="5">
        <v>3</v>
      </c>
      <c r="G67" s="5">
        <v>3</v>
      </c>
      <c r="H67" s="5">
        <v>0</v>
      </c>
      <c r="I67" s="5">
        <v>24</v>
      </c>
      <c r="J67" s="5">
        <v>0</v>
      </c>
      <c r="K67" s="5">
        <v>6</v>
      </c>
      <c r="L67" s="4">
        <f>0.9223+0.518574</f>
      </c>
      <c r="M67" s="15">
        <f>L67/2.83168</f>
      </c>
      <c r="N67" s="1" t="s">
        <v>36</v>
      </c>
      <c r="O67" s="1"/>
    </row>
    <row x14ac:dyDescent="0.25" r="68" customHeight="1" ht="17.25">
      <c r="A68" s="1" t="s">
        <v>34</v>
      </c>
      <c r="B68" s="1" t="s">
        <v>25</v>
      </c>
      <c r="C68" s="1"/>
      <c r="D68" s="5">
        <v>90</v>
      </c>
      <c r="E68" s="4">
        <f>D68*2.83168</f>
      </c>
      <c r="F68" s="5">
        <v>3</v>
      </c>
      <c r="G68" s="5">
        <v>3</v>
      </c>
      <c r="H68" s="5">
        <v>0</v>
      </c>
      <c r="I68" s="5">
        <v>24</v>
      </c>
      <c r="J68" s="5">
        <v>0</v>
      </c>
      <c r="K68" s="5">
        <v>6</v>
      </c>
      <c r="L68" s="4">
        <f>0.484+0.518574</f>
      </c>
      <c r="M68" s="15">
        <f>L68/2.83168</f>
      </c>
      <c r="N68" s="1" t="s">
        <v>36</v>
      </c>
      <c r="O68" s="1"/>
    </row>
    <row x14ac:dyDescent="0.25" r="69" customHeight="1" ht="17.25">
      <c r="A69" s="1" t="s">
        <v>34</v>
      </c>
      <c r="B69" s="1" t="s">
        <v>25</v>
      </c>
      <c r="C69" s="1"/>
      <c r="D69" s="5">
        <v>3000</v>
      </c>
      <c r="E69" s="4">
        <f>D69*2.83168</f>
      </c>
      <c r="F69" s="5">
        <v>3</v>
      </c>
      <c r="G69" s="5">
        <v>3</v>
      </c>
      <c r="H69" s="5">
        <v>0</v>
      </c>
      <c r="I69" s="5">
        <v>24</v>
      </c>
      <c r="J69" s="5">
        <v>0</v>
      </c>
      <c r="K69" s="5">
        <v>6</v>
      </c>
      <c r="L69" s="4">
        <f>0.3335+0.518574</f>
      </c>
      <c r="M69" s="15">
        <f>L69/2.83168</f>
      </c>
      <c r="N69" s="1" t="s">
        <v>36</v>
      </c>
      <c r="O69" s="1"/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4</v>
      </c>
      <c r="G70" s="5">
        <v>4</v>
      </c>
      <c r="H70" s="5">
        <v>0</v>
      </c>
      <c r="I70" s="5">
        <v>24</v>
      </c>
      <c r="J70" s="5">
        <v>0</v>
      </c>
      <c r="K70" s="5">
        <v>6</v>
      </c>
      <c r="L70" s="4">
        <f>32.9+0.479056</f>
      </c>
      <c r="M70" s="15">
        <f>L70/2.83168</f>
      </c>
      <c r="N70" s="1" t="s">
        <v>36</v>
      </c>
      <c r="O70" s="1"/>
    </row>
    <row x14ac:dyDescent="0.25" r="71" customHeight="1" ht="17.25">
      <c r="A71" s="1" t="s">
        <v>34</v>
      </c>
      <c r="B71" s="1" t="s">
        <v>25</v>
      </c>
      <c r="C71" s="1"/>
      <c r="D71" s="5">
        <v>3</v>
      </c>
      <c r="E71" s="4">
        <f>D71*2.83168</f>
      </c>
      <c r="F71" s="5">
        <v>4</v>
      </c>
      <c r="G71" s="5">
        <v>4</v>
      </c>
      <c r="H71" s="5">
        <v>0</v>
      </c>
      <c r="I71" s="5">
        <v>24</v>
      </c>
      <c r="J71" s="5">
        <v>0</v>
      </c>
      <c r="K71" s="5">
        <v>6</v>
      </c>
      <c r="L71" s="4">
        <f>0.9223+0.479056</f>
      </c>
      <c r="M71" s="15">
        <f>L71/2.83168</f>
      </c>
      <c r="N71" s="1" t="s">
        <v>36</v>
      </c>
      <c r="O71" s="1"/>
    </row>
    <row x14ac:dyDescent="0.25" r="72" customHeight="1" ht="17.25">
      <c r="A72" s="1" t="s">
        <v>34</v>
      </c>
      <c r="B72" s="1" t="s">
        <v>25</v>
      </c>
      <c r="C72" s="1"/>
      <c r="D72" s="5">
        <v>90</v>
      </c>
      <c r="E72" s="4">
        <f>D72*2.83168</f>
      </c>
      <c r="F72" s="5">
        <v>4</v>
      </c>
      <c r="G72" s="5">
        <v>4</v>
      </c>
      <c r="H72" s="5">
        <v>0</v>
      </c>
      <c r="I72" s="5">
        <v>24</v>
      </c>
      <c r="J72" s="5">
        <v>0</v>
      </c>
      <c r="K72" s="5">
        <v>6</v>
      </c>
      <c r="L72" s="4">
        <f>0.484+0.479056</f>
      </c>
      <c r="M72" s="15">
        <f>L72/2.83168</f>
      </c>
      <c r="N72" s="1" t="s">
        <v>36</v>
      </c>
      <c r="O72" s="1"/>
    </row>
    <row x14ac:dyDescent="0.25" r="73" customHeight="1" ht="17.25">
      <c r="A73" s="1" t="s">
        <v>34</v>
      </c>
      <c r="B73" s="1" t="s">
        <v>25</v>
      </c>
      <c r="C73" s="1"/>
      <c r="D73" s="5">
        <v>3000</v>
      </c>
      <c r="E73" s="4">
        <f>D73*2.83168</f>
      </c>
      <c r="F73" s="5">
        <v>4</v>
      </c>
      <c r="G73" s="5">
        <v>4</v>
      </c>
      <c r="H73" s="5">
        <v>0</v>
      </c>
      <c r="I73" s="5">
        <v>24</v>
      </c>
      <c r="J73" s="5">
        <v>0</v>
      </c>
      <c r="K73" s="5">
        <v>6</v>
      </c>
      <c r="L73" s="4">
        <f>0.3335+0.479056</f>
      </c>
      <c r="M73" s="15">
        <f>L73/2.83168</f>
      </c>
      <c r="N73" s="1" t="s">
        <v>36</v>
      </c>
      <c r="O73" s="1"/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5</v>
      </c>
      <c r="G74" s="5">
        <v>5</v>
      </c>
      <c r="H74" s="5">
        <v>0</v>
      </c>
      <c r="I74" s="5">
        <v>24</v>
      </c>
      <c r="J74" s="5">
        <v>0</v>
      </c>
      <c r="K74" s="5">
        <v>6</v>
      </c>
      <c r="L74" s="4">
        <f>32.9+0.421929</f>
      </c>
      <c r="M74" s="15">
        <f>L74/2.83168</f>
      </c>
      <c r="N74" s="1" t="s">
        <v>36</v>
      </c>
      <c r="O74" s="1"/>
    </row>
    <row x14ac:dyDescent="0.25" r="75" customHeight="1" ht="17.25">
      <c r="A75" s="1" t="s">
        <v>34</v>
      </c>
      <c r="B75" s="1" t="s">
        <v>25</v>
      </c>
      <c r="C75" s="1"/>
      <c r="D75" s="5">
        <v>3</v>
      </c>
      <c r="E75" s="4">
        <f>D75*2.83168</f>
      </c>
      <c r="F75" s="5">
        <v>5</v>
      </c>
      <c r="G75" s="5">
        <v>5</v>
      </c>
      <c r="H75" s="5">
        <v>0</v>
      </c>
      <c r="I75" s="5">
        <v>24</v>
      </c>
      <c r="J75" s="5">
        <v>0</v>
      </c>
      <c r="K75" s="5">
        <v>6</v>
      </c>
      <c r="L75" s="4">
        <f>0.9223+0.421929</f>
      </c>
      <c r="M75" s="15">
        <f>L75/2.83168</f>
      </c>
      <c r="N75" s="1" t="s">
        <v>36</v>
      </c>
      <c r="O75" s="1"/>
    </row>
    <row x14ac:dyDescent="0.25" r="76" customHeight="1" ht="17.25">
      <c r="A76" s="1" t="s">
        <v>34</v>
      </c>
      <c r="B76" s="1" t="s">
        <v>25</v>
      </c>
      <c r="C76" s="1"/>
      <c r="D76" s="5">
        <v>90</v>
      </c>
      <c r="E76" s="4">
        <f>D76*2.83168</f>
      </c>
      <c r="F76" s="5">
        <v>5</v>
      </c>
      <c r="G76" s="5">
        <v>5</v>
      </c>
      <c r="H76" s="5">
        <v>0</v>
      </c>
      <c r="I76" s="5">
        <v>24</v>
      </c>
      <c r="J76" s="5">
        <v>0</v>
      </c>
      <c r="K76" s="5">
        <v>6</v>
      </c>
      <c r="L76" s="4">
        <f>0.484+0.421929</f>
      </c>
      <c r="M76" s="15">
        <f>L76/2.83168</f>
      </c>
      <c r="N76" s="1" t="s">
        <v>36</v>
      </c>
      <c r="O76" s="1"/>
    </row>
    <row x14ac:dyDescent="0.25" r="77" customHeight="1" ht="17.25">
      <c r="A77" s="1" t="s">
        <v>34</v>
      </c>
      <c r="B77" s="1" t="s">
        <v>25</v>
      </c>
      <c r="C77" s="1"/>
      <c r="D77" s="5">
        <v>3000</v>
      </c>
      <c r="E77" s="4">
        <f>D77*2.83168</f>
      </c>
      <c r="F77" s="5">
        <v>5</v>
      </c>
      <c r="G77" s="5">
        <v>5</v>
      </c>
      <c r="H77" s="5">
        <v>0</v>
      </c>
      <c r="I77" s="5">
        <v>24</v>
      </c>
      <c r="J77" s="5">
        <v>0</v>
      </c>
      <c r="K77" s="5">
        <v>6</v>
      </c>
      <c r="L77" s="4">
        <f>0.3335+0.421929</f>
      </c>
      <c r="M77" s="15">
        <f>L77/2.83168</f>
      </c>
      <c r="N77" s="1" t="s">
        <v>36</v>
      </c>
      <c r="O77" s="1"/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6</v>
      </c>
      <c r="G78" s="5">
        <v>6</v>
      </c>
      <c r="H78" s="5">
        <v>0</v>
      </c>
      <c r="I78" s="5">
        <v>24</v>
      </c>
      <c r="J78" s="5">
        <v>0</v>
      </c>
      <c r="K78" s="5">
        <v>6</v>
      </c>
      <c r="L78" s="4">
        <f>32.9+0.490438</f>
      </c>
      <c r="M78" s="15">
        <f>L78/2.83168</f>
      </c>
      <c r="N78" s="1" t="s">
        <v>36</v>
      </c>
      <c r="O78" s="1"/>
    </row>
    <row x14ac:dyDescent="0.25" r="79" customHeight="1" ht="17.25">
      <c r="A79" s="1" t="s">
        <v>34</v>
      </c>
      <c r="B79" s="1" t="s">
        <v>25</v>
      </c>
      <c r="C79" s="1"/>
      <c r="D79" s="5">
        <v>3</v>
      </c>
      <c r="E79" s="4">
        <f>D79*2.83168</f>
      </c>
      <c r="F79" s="5">
        <v>6</v>
      </c>
      <c r="G79" s="5">
        <v>6</v>
      </c>
      <c r="H79" s="5">
        <v>0</v>
      </c>
      <c r="I79" s="5">
        <v>24</v>
      </c>
      <c r="J79" s="5">
        <v>0</v>
      </c>
      <c r="K79" s="5">
        <v>6</v>
      </c>
      <c r="L79" s="4">
        <f>0.9223+0.490438</f>
      </c>
      <c r="M79" s="15">
        <f>L79/2.83168</f>
      </c>
      <c r="N79" s="1" t="s">
        <v>36</v>
      </c>
      <c r="O79" s="1"/>
    </row>
    <row x14ac:dyDescent="0.25" r="80" customHeight="1" ht="17.25">
      <c r="A80" s="1" t="s">
        <v>34</v>
      </c>
      <c r="B80" s="1" t="s">
        <v>25</v>
      </c>
      <c r="C80" s="1"/>
      <c r="D80" s="5">
        <v>90</v>
      </c>
      <c r="E80" s="4">
        <f>D80*2.83168</f>
      </c>
      <c r="F80" s="5">
        <v>6</v>
      </c>
      <c r="G80" s="5">
        <v>6</v>
      </c>
      <c r="H80" s="5">
        <v>0</v>
      </c>
      <c r="I80" s="5">
        <v>24</v>
      </c>
      <c r="J80" s="5">
        <v>0</v>
      </c>
      <c r="K80" s="5">
        <v>6</v>
      </c>
      <c r="L80" s="4">
        <f>0.484+0.490438</f>
      </c>
      <c r="M80" s="15">
        <f>L80/2.83168</f>
      </c>
      <c r="N80" s="1" t="s">
        <v>36</v>
      </c>
      <c r="O80" s="1"/>
    </row>
    <row x14ac:dyDescent="0.25" r="81" customHeight="1" ht="17.25">
      <c r="A81" s="1" t="s">
        <v>34</v>
      </c>
      <c r="B81" s="1" t="s">
        <v>25</v>
      </c>
      <c r="C81" s="1"/>
      <c r="D81" s="5">
        <v>3000</v>
      </c>
      <c r="E81" s="4">
        <f>D81*2.83168</f>
      </c>
      <c r="F81" s="5">
        <v>6</v>
      </c>
      <c r="G81" s="5">
        <v>6</v>
      </c>
      <c r="H81" s="5">
        <v>0</v>
      </c>
      <c r="I81" s="5">
        <v>24</v>
      </c>
      <c r="J81" s="5">
        <v>0</v>
      </c>
      <c r="K81" s="5">
        <v>6</v>
      </c>
      <c r="L81" s="4">
        <f>0.3335+0.490438</f>
      </c>
      <c r="M81" s="15">
        <f>L81/2.83168</f>
      </c>
      <c r="N81" s="1" t="s">
        <v>36</v>
      </c>
      <c r="O81" s="1"/>
    </row>
    <row x14ac:dyDescent="0.25" r="82" customHeight="1" ht="17.25">
      <c r="A82" s="1" t="s">
        <v>34</v>
      </c>
      <c r="B82" s="1" t="s">
        <v>25</v>
      </c>
      <c r="C82" s="1"/>
      <c r="D82" s="5">
        <v>0</v>
      </c>
      <c r="E82" s="5">
        <v>0</v>
      </c>
      <c r="F82" s="5">
        <v>7</v>
      </c>
      <c r="G82" s="5">
        <v>7</v>
      </c>
      <c r="H82" s="5">
        <v>0</v>
      </c>
      <c r="I82" s="5">
        <v>24</v>
      </c>
      <c r="J82" s="5">
        <v>0</v>
      </c>
      <c r="K82" s="5">
        <v>6</v>
      </c>
      <c r="L82" s="4">
        <f>32.9+0.510338</f>
      </c>
      <c r="M82" s="15">
        <f>L82/2.83168</f>
      </c>
      <c r="N82" s="1" t="s">
        <v>36</v>
      </c>
      <c r="O82" s="1"/>
    </row>
    <row x14ac:dyDescent="0.25" r="83" customHeight="1" ht="17.25">
      <c r="A83" s="1" t="s">
        <v>34</v>
      </c>
      <c r="B83" s="1" t="s">
        <v>25</v>
      </c>
      <c r="C83" s="1"/>
      <c r="D83" s="5">
        <v>3</v>
      </c>
      <c r="E83" s="4">
        <f>D83*2.83168</f>
      </c>
      <c r="F83" s="5">
        <v>7</v>
      </c>
      <c r="G83" s="5">
        <v>7</v>
      </c>
      <c r="H83" s="5">
        <v>0</v>
      </c>
      <c r="I83" s="5">
        <v>24</v>
      </c>
      <c r="J83" s="5">
        <v>0</v>
      </c>
      <c r="K83" s="5">
        <v>6</v>
      </c>
      <c r="L83" s="4">
        <f>0.9223+0.510338</f>
      </c>
      <c r="M83" s="15">
        <f>L83/2.83168</f>
      </c>
      <c r="N83" s="1" t="s">
        <v>36</v>
      </c>
      <c r="O83" s="1"/>
    </row>
    <row x14ac:dyDescent="0.25" r="84" customHeight="1" ht="17.25">
      <c r="A84" s="1" t="s">
        <v>34</v>
      </c>
      <c r="B84" s="1" t="s">
        <v>25</v>
      </c>
      <c r="C84" s="1"/>
      <c r="D84" s="5">
        <v>90</v>
      </c>
      <c r="E84" s="4">
        <f>D84*2.83168</f>
      </c>
      <c r="F84" s="5">
        <v>7</v>
      </c>
      <c r="G84" s="5">
        <v>7</v>
      </c>
      <c r="H84" s="5">
        <v>0</v>
      </c>
      <c r="I84" s="5">
        <v>24</v>
      </c>
      <c r="J84" s="5">
        <v>0</v>
      </c>
      <c r="K84" s="5">
        <v>6</v>
      </c>
      <c r="L84" s="4">
        <f>0.484+0.510338</f>
      </c>
      <c r="M84" s="15">
        <f>L84/2.83168</f>
      </c>
      <c r="N84" s="1" t="s">
        <v>36</v>
      </c>
      <c r="O84" s="1"/>
    </row>
    <row x14ac:dyDescent="0.25" r="85" customHeight="1" ht="17.25">
      <c r="A85" s="1" t="s">
        <v>34</v>
      </c>
      <c r="B85" s="1" t="s">
        <v>25</v>
      </c>
      <c r="C85" s="1"/>
      <c r="D85" s="5">
        <v>3000</v>
      </c>
      <c r="E85" s="4">
        <f>D85*2.83168</f>
      </c>
      <c r="F85" s="5">
        <v>7</v>
      </c>
      <c r="G85" s="5">
        <v>7</v>
      </c>
      <c r="H85" s="5">
        <v>0</v>
      </c>
      <c r="I85" s="5">
        <v>24</v>
      </c>
      <c r="J85" s="5">
        <v>0</v>
      </c>
      <c r="K85" s="5">
        <v>6</v>
      </c>
      <c r="L85" s="4">
        <f>0.3335+0.510338</f>
      </c>
      <c r="M85" s="15">
        <f>L85/2.83168</f>
      </c>
      <c r="N85" s="1" t="s">
        <v>36</v>
      </c>
      <c r="O85" s="1"/>
    </row>
    <row x14ac:dyDescent="0.25" r="86" customHeight="1" ht="17.25">
      <c r="A86" s="1" t="s">
        <v>34</v>
      </c>
      <c r="B86" s="1" t="s">
        <v>25</v>
      </c>
      <c r="C86" s="1"/>
      <c r="D86" s="5">
        <v>0</v>
      </c>
      <c r="E86" s="5">
        <v>0</v>
      </c>
      <c r="F86" s="5">
        <v>8</v>
      </c>
      <c r="G86" s="5">
        <v>8</v>
      </c>
      <c r="H86" s="5">
        <v>0</v>
      </c>
      <c r="I86" s="5">
        <v>24</v>
      </c>
      <c r="J86" s="5">
        <v>0</v>
      </c>
      <c r="K86" s="5">
        <v>6</v>
      </c>
      <c r="L86" s="4">
        <f>32.9+0.595963</f>
      </c>
      <c r="M86" s="15">
        <f>L86/2.83168</f>
      </c>
      <c r="N86" s="1" t="s">
        <v>36</v>
      </c>
      <c r="O86" s="1"/>
    </row>
    <row x14ac:dyDescent="0.25" r="87" customHeight="1" ht="17.25">
      <c r="A87" s="1" t="s">
        <v>34</v>
      </c>
      <c r="B87" s="1" t="s">
        <v>25</v>
      </c>
      <c r="C87" s="1"/>
      <c r="D87" s="5">
        <v>3</v>
      </c>
      <c r="E87" s="4">
        <f>D87*2.83168</f>
      </c>
      <c r="F87" s="5">
        <v>8</v>
      </c>
      <c r="G87" s="5">
        <v>8</v>
      </c>
      <c r="H87" s="5">
        <v>0</v>
      </c>
      <c r="I87" s="5">
        <v>24</v>
      </c>
      <c r="J87" s="5">
        <v>0</v>
      </c>
      <c r="K87" s="5">
        <v>6</v>
      </c>
      <c r="L87" s="4">
        <f>0.9223+0.595963</f>
      </c>
      <c r="M87" s="15">
        <f>L87/2.83168</f>
      </c>
      <c r="N87" s="1" t="s">
        <v>36</v>
      </c>
      <c r="O87" s="1"/>
    </row>
    <row x14ac:dyDescent="0.25" r="88" customHeight="1" ht="17.25">
      <c r="A88" s="1" t="s">
        <v>34</v>
      </c>
      <c r="B88" s="1" t="s">
        <v>25</v>
      </c>
      <c r="C88" s="1"/>
      <c r="D88" s="5">
        <v>90</v>
      </c>
      <c r="E88" s="4">
        <f>D88*2.83168</f>
      </c>
      <c r="F88" s="5">
        <v>8</v>
      </c>
      <c r="G88" s="5">
        <v>8</v>
      </c>
      <c r="H88" s="5">
        <v>0</v>
      </c>
      <c r="I88" s="5">
        <v>24</v>
      </c>
      <c r="J88" s="5">
        <v>0</v>
      </c>
      <c r="K88" s="5">
        <v>6</v>
      </c>
      <c r="L88" s="4">
        <f>0.484+0.595963</f>
      </c>
      <c r="M88" s="15">
        <f>L88/2.83168</f>
      </c>
      <c r="N88" s="1" t="s">
        <v>36</v>
      </c>
      <c r="O88" s="1"/>
    </row>
    <row x14ac:dyDescent="0.25" r="89" customHeight="1" ht="17.25">
      <c r="A89" s="1" t="s">
        <v>34</v>
      </c>
      <c r="B89" s="1" t="s">
        <v>25</v>
      </c>
      <c r="C89" s="1"/>
      <c r="D89" s="5">
        <v>3000</v>
      </c>
      <c r="E89" s="4">
        <f>D89*2.83168</f>
      </c>
      <c r="F89" s="5">
        <v>8</v>
      </c>
      <c r="G89" s="5">
        <v>8</v>
      </c>
      <c r="H89" s="5">
        <v>0</v>
      </c>
      <c r="I89" s="5">
        <v>24</v>
      </c>
      <c r="J89" s="5">
        <v>0</v>
      </c>
      <c r="K89" s="5">
        <v>6</v>
      </c>
      <c r="L89" s="4">
        <f>0.3335+0.595963</f>
      </c>
      <c r="M89" s="15">
        <f>L89/2.83168</f>
      </c>
      <c r="N89" s="1" t="s">
        <v>36</v>
      </c>
      <c r="O89" s="1"/>
    </row>
    <row x14ac:dyDescent="0.25" r="90" customHeight="1" ht="17.25">
      <c r="A90" s="1" t="s">
        <v>34</v>
      </c>
      <c r="B90" s="1" t="s">
        <v>25</v>
      </c>
      <c r="C90" s="1"/>
      <c r="D90" s="5">
        <v>0</v>
      </c>
      <c r="E90" s="5">
        <v>0</v>
      </c>
      <c r="F90" s="5">
        <v>9</v>
      </c>
      <c r="G90" s="5">
        <v>9</v>
      </c>
      <c r="H90" s="5">
        <v>0</v>
      </c>
      <c r="I90" s="5">
        <v>24</v>
      </c>
      <c r="J90" s="5">
        <v>0</v>
      </c>
      <c r="K90" s="5">
        <v>6</v>
      </c>
      <c r="L90" s="4">
        <f>32.9+0.574746</f>
      </c>
      <c r="M90" s="15">
        <f>L90/2.83168</f>
      </c>
      <c r="N90" s="1" t="s">
        <v>36</v>
      </c>
      <c r="O90" s="1"/>
    </row>
    <row x14ac:dyDescent="0.25" r="91" customHeight="1" ht="17.25">
      <c r="A91" s="1" t="s">
        <v>34</v>
      </c>
      <c r="B91" s="1" t="s">
        <v>25</v>
      </c>
      <c r="C91" s="1"/>
      <c r="D91" s="5">
        <v>3</v>
      </c>
      <c r="E91" s="4">
        <f>D91*2.83168</f>
      </c>
      <c r="F91" s="5">
        <v>9</v>
      </c>
      <c r="G91" s="5">
        <v>9</v>
      </c>
      <c r="H91" s="5">
        <v>0</v>
      </c>
      <c r="I91" s="5">
        <v>24</v>
      </c>
      <c r="J91" s="5">
        <v>0</v>
      </c>
      <c r="K91" s="5">
        <v>6</v>
      </c>
      <c r="L91" s="4">
        <f>0.9223+0.574746</f>
      </c>
      <c r="M91" s="15">
        <f>L91/2.83168</f>
      </c>
      <c r="N91" s="1" t="s">
        <v>36</v>
      </c>
      <c r="O91" s="1"/>
    </row>
    <row x14ac:dyDescent="0.25" r="92" customHeight="1" ht="17.25">
      <c r="A92" s="1" t="s">
        <v>34</v>
      </c>
      <c r="B92" s="1" t="s">
        <v>25</v>
      </c>
      <c r="C92" s="1"/>
      <c r="D92" s="5">
        <v>90</v>
      </c>
      <c r="E92" s="4">
        <f>D92*2.83168</f>
      </c>
      <c r="F92" s="5">
        <v>9</v>
      </c>
      <c r="G92" s="5">
        <v>9</v>
      </c>
      <c r="H92" s="5">
        <v>0</v>
      </c>
      <c r="I92" s="5">
        <v>24</v>
      </c>
      <c r="J92" s="5">
        <v>0</v>
      </c>
      <c r="K92" s="5">
        <v>6</v>
      </c>
      <c r="L92" s="4">
        <f>0.484+0.574746</f>
      </c>
      <c r="M92" s="15">
        <f>L92/2.83168</f>
      </c>
      <c r="N92" s="1" t="s">
        <v>36</v>
      </c>
      <c r="O92" s="1"/>
    </row>
    <row x14ac:dyDescent="0.25" r="93" customHeight="1" ht="17.25">
      <c r="A93" s="1" t="s">
        <v>34</v>
      </c>
      <c r="B93" s="1" t="s">
        <v>25</v>
      </c>
      <c r="C93" s="1"/>
      <c r="D93" s="5">
        <v>3000</v>
      </c>
      <c r="E93" s="4">
        <f>D93*2.83168</f>
      </c>
      <c r="F93" s="5">
        <v>9</v>
      </c>
      <c r="G93" s="5">
        <v>9</v>
      </c>
      <c r="H93" s="5">
        <v>0</v>
      </c>
      <c r="I93" s="5">
        <v>24</v>
      </c>
      <c r="J93" s="5">
        <v>0</v>
      </c>
      <c r="K93" s="5">
        <v>6</v>
      </c>
      <c r="L93" s="4">
        <f>0.3335+0.574746</f>
      </c>
      <c r="M93" s="15">
        <f>L93/2.83168</f>
      </c>
      <c r="N93" s="1" t="s">
        <v>36</v>
      </c>
      <c r="O93" s="1"/>
    </row>
    <row x14ac:dyDescent="0.25" r="94" customHeight="1" ht="17.25">
      <c r="A94" s="1" t="s">
        <v>34</v>
      </c>
      <c r="B94" s="1" t="s">
        <v>25</v>
      </c>
      <c r="C94" s="1"/>
      <c r="D94" s="5">
        <v>0</v>
      </c>
      <c r="E94" s="5">
        <v>0</v>
      </c>
      <c r="F94" s="5">
        <v>10</v>
      </c>
      <c r="G94" s="5">
        <v>10</v>
      </c>
      <c r="H94" s="5">
        <v>0</v>
      </c>
      <c r="I94" s="5">
        <v>24</v>
      </c>
      <c r="J94" s="5">
        <v>0</v>
      </c>
      <c r="K94" s="5">
        <v>6</v>
      </c>
      <c r="L94" s="4">
        <f>32.9+0.658035</f>
      </c>
      <c r="M94" s="15">
        <f>L94/2.83168</f>
      </c>
      <c r="N94" s="1" t="s">
        <v>36</v>
      </c>
      <c r="O94" s="1"/>
    </row>
    <row x14ac:dyDescent="0.25" r="95" customHeight="1" ht="17.25">
      <c r="A95" s="1" t="s">
        <v>34</v>
      </c>
      <c r="B95" s="1" t="s">
        <v>25</v>
      </c>
      <c r="C95" s="1"/>
      <c r="D95" s="5">
        <v>3</v>
      </c>
      <c r="E95" s="4">
        <f>D95*2.83168</f>
      </c>
      <c r="F95" s="5">
        <v>10</v>
      </c>
      <c r="G95" s="5">
        <v>10</v>
      </c>
      <c r="H95" s="5">
        <v>0</v>
      </c>
      <c r="I95" s="5">
        <v>24</v>
      </c>
      <c r="J95" s="5">
        <v>0</v>
      </c>
      <c r="K95" s="5">
        <v>6</v>
      </c>
      <c r="L95" s="4">
        <f>0.9223+0.658035</f>
      </c>
      <c r="M95" s="15">
        <f>L95/2.83168</f>
      </c>
      <c r="N95" s="1" t="s">
        <v>36</v>
      </c>
      <c r="O95" s="1"/>
    </row>
    <row x14ac:dyDescent="0.25" r="96" customHeight="1" ht="17.25">
      <c r="A96" s="1" t="s">
        <v>34</v>
      </c>
      <c r="B96" s="1" t="s">
        <v>25</v>
      </c>
      <c r="C96" s="1"/>
      <c r="D96" s="5">
        <v>90</v>
      </c>
      <c r="E96" s="4">
        <f>D96*2.83168</f>
      </c>
      <c r="F96" s="5">
        <v>10</v>
      </c>
      <c r="G96" s="5">
        <v>10</v>
      </c>
      <c r="H96" s="5">
        <v>0</v>
      </c>
      <c r="I96" s="5">
        <v>24</v>
      </c>
      <c r="J96" s="5">
        <v>0</v>
      </c>
      <c r="K96" s="5">
        <v>6</v>
      </c>
      <c r="L96" s="4">
        <f>0.484+0.658035</f>
      </c>
      <c r="M96" s="15">
        <f>L96/2.83168</f>
      </c>
      <c r="N96" s="1" t="s">
        <v>36</v>
      </c>
      <c r="O96" s="1"/>
    </row>
    <row x14ac:dyDescent="0.25" r="97" customHeight="1" ht="17.25">
      <c r="A97" s="1" t="s">
        <v>34</v>
      </c>
      <c r="B97" s="1" t="s">
        <v>25</v>
      </c>
      <c r="C97" s="1"/>
      <c r="D97" s="5">
        <v>3000</v>
      </c>
      <c r="E97" s="4">
        <f>D97*2.83168</f>
      </c>
      <c r="F97" s="5">
        <v>10</v>
      </c>
      <c r="G97" s="5">
        <v>10</v>
      </c>
      <c r="H97" s="5">
        <v>0</v>
      </c>
      <c r="I97" s="5">
        <v>24</v>
      </c>
      <c r="J97" s="5">
        <v>0</v>
      </c>
      <c r="K97" s="5">
        <v>6</v>
      </c>
      <c r="L97" s="4">
        <f>0.3335+0.658035</f>
      </c>
      <c r="M97" s="15">
        <f>L97/2.83168</f>
      </c>
      <c r="N97" s="1" t="s">
        <v>36</v>
      </c>
      <c r="O97" s="1"/>
    </row>
    <row x14ac:dyDescent="0.25" r="98" customHeight="1" ht="17.25">
      <c r="A98" s="1" t="s">
        <v>34</v>
      </c>
      <c r="B98" s="1" t="s">
        <v>25</v>
      </c>
      <c r="C98" s="1"/>
      <c r="D98" s="5">
        <v>0</v>
      </c>
      <c r="E98" s="5">
        <v>0</v>
      </c>
      <c r="F98" s="5">
        <v>11</v>
      </c>
      <c r="G98" s="5">
        <v>11</v>
      </c>
      <c r="H98" s="5">
        <v>0</v>
      </c>
      <c r="I98" s="5">
        <v>24</v>
      </c>
      <c r="J98" s="5">
        <v>0</v>
      </c>
      <c r="K98" s="5">
        <v>6</v>
      </c>
      <c r="L98" s="4">
        <f>32.9+0.659757</f>
      </c>
      <c r="M98" s="15">
        <f>L98/2.83168</f>
      </c>
      <c r="N98" s="1" t="s">
        <v>36</v>
      </c>
      <c r="O98" s="1"/>
    </row>
    <row x14ac:dyDescent="0.25" r="99" customHeight="1" ht="17.25">
      <c r="A99" s="1" t="s">
        <v>34</v>
      </c>
      <c r="B99" s="1" t="s">
        <v>25</v>
      </c>
      <c r="C99" s="1"/>
      <c r="D99" s="5">
        <v>3</v>
      </c>
      <c r="E99" s="4">
        <f>D99*2.83168</f>
      </c>
      <c r="F99" s="5">
        <v>11</v>
      </c>
      <c r="G99" s="5">
        <v>11</v>
      </c>
      <c r="H99" s="5">
        <v>0</v>
      </c>
      <c r="I99" s="5">
        <v>24</v>
      </c>
      <c r="J99" s="5">
        <v>0</v>
      </c>
      <c r="K99" s="5">
        <v>6</v>
      </c>
      <c r="L99" s="4">
        <f>0.9223+0.659757</f>
      </c>
      <c r="M99" s="15">
        <f>L99/2.83168</f>
      </c>
      <c r="N99" s="1" t="s">
        <v>36</v>
      </c>
      <c r="O99" s="1"/>
    </row>
    <row x14ac:dyDescent="0.25" r="100" customHeight="1" ht="17.25">
      <c r="A100" s="1" t="s">
        <v>34</v>
      </c>
      <c r="B100" s="1" t="s">
        <v>25</v>
      </c>
      <c r="C100" s="1"/>
      <c r="D100" s="5">
        <v>90</v>
      </c>
      <c r="E100" s="4">
        <f>D100*2.83168</f>
      </c>
      <c r="F100" s="5">
        <v>11</v>
      </c>
      <c r="G100" s="5">
        <v>11</v>
      </c>
      <c r="H100" s="5">
        <v>0</v>
      </c>
      <c r="I100" s="5">
        <v>24</v>
      </c>
      <c r="J100" s="5">
        <v>0</v>
      </c>
      <c r="K100" s="5">
        <v>6</v>
      </c>
      <c r="L100" s="4">
        <f>0.484+0.659757</f>
      </c>
      <c r="M100" s="15">
        <f>L100/2.83168</f>
      </c>
      <c r="N100" s="1" t="s">
        <v>36</v>
      </c>
      <c r="O100" s="1"/>
    </row>
    <row x14ac:dyDescent="0.25" r="101" customHeight="1" ht="17.25">
      <c r="A101" s="1" t="s">
        <v>34</v>
      </c>
      <c r="B101" s="1" t="s">
        <v>25</v>
      </c>
      <c r="C101" s="1"/>
      <c r="D101" s="5">
        <v>3000</v>
      </c>
      <c r="E101" s="4">
        <f>D101*2.83168</f>
      </c>
      <c r="F101" s="5">
        <v>11</v>
      </c>
      <c r="G101" s="5">
        <v>11</v>
      </c>
      <c r="H101" s="5">
        <v>0</v>
      </c>
      <c r="I101" s="5">
        <v>24</v>
      </c>
      <c r="J101" s="5">
        <v>0</v>
      </c>
      <c r="K101" s="5">
        <v>6</v>
      </c>
      <c r="L101" s="4">
        <f>0.3335+0.659757</f>
      </c>
      <c r="M101" s="15">
        <f>L101/2.83168</f>
      </c>
      <c r="N101" s="1" t="s">
        <v>36</v>
      </c>
      <c r="O101" s="1"/>
    </row>
    <row x14ac:dyDescent="0.25" r="102" customHeight="1" ht="17.25">
      <c r="A102" s="1" t="s">
        <v>34</v>
      </c>
      <c r="B102" s="1" t="s">
        <v>25</v>
      </c>
      <c r="C102" s="1"/>
      <c r="D102" s="5">
        <v>0</v>
      </c>
      <c r="E102" s="5">
        <v>0</v>
      </c>
      <c r="F102" s="5">
        <v>12</v>
      </c>
      <c r="G102" s="5">
        <v>12</v>
      </c>
      <c r="H102" s="5">
        <v>0</v>
      </c>
      <c r="I102" s="5">
        <v>24</v>
      </c>
      <c r="J102" s="5">
        <v>0</v>
      </c>
      <c r="K102" s="5">
        <v>6</v>
      </c>
      <c r="L102" s="4">
        <f>32.9+0.690801</f>
      </c>
      <c r="M102" s="15">
        <f>L102/2.83168</f>
      </c>
      <c r="N102" s="1" t="s">
        <v>36</v>
      </c>
      <c r="O102" s="1"/>
    </row>
    <row x14ac:dyDescent="0.25" r="103" customHeight="1" ht="17.25">
      <c r="A103" s="1" t="s">
        <v>34</v>
      </c>
      <c r="B103" s="1" t="s">
        <v>25</v>
      </c>
      <c r="C103" s="1"/>
      <c r="D103" s="5">
        <v>3</v>
      </c>
      <c r="E103" s="4">
        <f>D103*2.83168</f>
      </c>
      <c r="F103" s="5">
        <v>12</v>
      </c>
      <c r="G103" s="5">
        <v>12</v>
      </c>
      <c r="H103" s="5">
        <v>0</v>
      </c>
      <c r="I103" s="5">
        <v>24</v>
      </c>
      <c r="J103" s="5">
        <v>0</v>
      </c>
      <c r="K103" s="5">
        <v>6</v>
      </c>
      <c r="L103" s="4">
        <f>0.9223+0.690801</f>
      </c>
      <c r="M103" s="15">
        <f>L103/2.83168</f>
      </c>
      <c r="N103" s="1" t="s">
        <v>36</v>
      </c>
      <c r="O103" s="1"/>
    </row>
    <row x14ac:dyDescent="0.25" r="104" customHeight="1" ht="17.25">
      <c r="A104" s="1" t="s">
        <v>34</v>
      </c>
      <c r="B104" s="1" t="s">
        <v>25</v>
      </c>
      <c r="C104" s="1"/>
      <c r="D104" s="5">
        <v>90</v>
      </c>
      <c r="E104" s="4">
        <f>D104*2.83168</f>
      </c>
      <c r="F104" s="5">
        <v>12</v>
      </c>
      <c r="G104" s="5">
        <v>12</v>
      </c>
      <c r="H104" s="5">
        <v>0</v>
      </c>
      <c r="I104" s="5">
        <v>24</v>
      </c>
      <c r="J104" s="5">
        <v>0</v>
      </c>
      <c r="K104" s="5">
        <v>6</v>
      </c>
      <c r="L104" s="4">
        <f>0.484+0.690801</f>
      </c>
      <c r="M104" s="15">
        <f>L104/2.83168</f>
      </c>
      <c r="N104" s="1" t="s">
        <v>36</v>
      </c>
      <c r="O104" s="1"/>
    </row>
    <row x14ac:dyDescent="0.25" r="105" customHeight="1" ht="17.25">
      <c r="A105" s="1" t="s">
        <v>34</v>
      </c>
      <c r="B105" s="1" t="s">
        <v>25</v>
      </c>
      <c r="C105" s="1"/>
      <c r="D105" s="5">
        <v>3000</v>
      </c>
      <c r="E105" s="4">
        <f>D105*2.83168</f>
      </c>
      <c r="F105" s="5">
        <v>12</v>
      </c>
      <c r="G105" s="5">
        <v>12</v>
      </c>
      <c r="H105" s="5">
        <v>0</v>
      </c>
      <c r="I105" s="5">
        <v>24</v>
      </c>
      <c r="J105" s="5">
        <v>0</v>
      </c>
      <c r="K105" s="5">
        <v>6</v>
      </c>
      <c r="L105" s="4">
        <f>0.3335+0.690801</f>
      </c>
      <c r="M105" s="15">
        <f>L105/2.83168</f>
      </c>
      <c r="N105" s="1" t="s">
        <v>36</v>
      </c>
      <c r="O105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8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6.005" customWidth="1" bestFit="1"/>
    <col min="4" max="4" style="7" width="23.719285714285714" customWidth="1" bestFit="1"/>
    <col min="5" max="5" style="8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3.719285714285713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3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143.09</v>
      </c>
      <c r="M2" s="4">
        <v>143.09</v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51</v>
      </c>
      <c r="D3" s="5">
        <v>0</v>
      </c>
      <c r="E3" s="5">
        <v>0</v>
      </c>
      <c r="F3" s="5">
        <v>1</v>
      </c>
      <c r="G3" s="5">
        <v>5</v>
      </c>
      <c r="H3" s="5">
        <v>8</v>
      </c>
      <c r="I3" s="5">
        <v>22</v>
      </c>
      <c r="J3" s="5">
        <v>0</v>
      </c>
      <c r="K3" s="5">
        <v>4</v>
      </c>
      <c r="L3" s="4">
        <v>13.96</v>
      </c>
      <c r="M3" s="4">
        <v>13.96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52</v>
      </c>
      <c r="D4" s="5">
        <v>0</v>
      </c>
      <c r="E4" s="5">
        <v>0</v>
      </c>
      <c r="F4" s="5">
        <v>1</v>
      </c>
      <c r="G4" s="5">
        <v>5</v>
      </c>
      <c r="H4" s="5">
        <v>0</v>
      </c>
      <c r="I4" s="5">
        <v>24</v>
      </c>
      <c r="J4" s="5">
        <v>0</v>
      </c>
      <c r="K4" s="5">
        <v>6</v>
      </c>
      <c r="L4" s="4">
        <v>4.21</v>
      </c>
      <c r="M4" s="4">
        <v>4.21</v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53</v>
      </c>
      <c r="D5" s="5">
        <v>0</v>
      </c>
      <c r="E5" s="5">
        <v>0</v>
      </c>
      <c r="F5" s="5">
        <v>6</v>
      </c>
      <c r="G5" s="5">
        <v>9</v>
      </c>
      <c r="H5" s="5">
        <v>8</v>
      </c>
      <c r="I5" s="5">
        <v>22</v>
      </c>
      <c r="J5" s="5">
        <v>0</v>
      </c>
      <c r="K5" s="5">
        <v>4</v>
      </c>
      <c r="L5" s="4">
        <f>18.44</f>
      </c>
      <c r="M5" s="4">
        <f>18.44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54</v>
      </c>
      <c r="D6" s="5">
        <v>0</v>
      </c>
      <c r="E6" s="5">
        <v>0</v>
      </c>
      <c r="F6" s="5">
        <v>6</v>
      </c>
      <c r="G6" s="5">
        <v>9</v>
      </c>
      <c r="H6" s="5">
        <v>8</v>
      </c>
      <c r="I6" s="5">
        <v>18</v>
      </c>
      <c r="J6" s="5">
        <v>0</v>
      </c>
      <c r="K6" s="5">
        <v>4</v>
      </c>
      <c r="L6" s="4">
        <v>9.15</v>
      </c>
      <c r="M6" s="4">
        <v>9.15</v>
      </c>
      <c r="N6" s="1" t="s">
        <v>19</v>
      </c>
      <c r="O6" s="1"/>
    </row>
    <row x14ac:dyDescent="0.25" r="7" customHeight="1" ht="17.25">
      <c r="A7" s="1" t="s">
        <v>13</v>
      </c>
      <c r="B7" s="1" t="s">
        <v>17</v>
      </c>
      <c r="C7" s="1" t="s">
        <v>55</v>
      </c>
      <c r="D7" s="5">
        <v>0</v>
      </c>
      <c r="E7" s="5">
        <v>0</v>
      </c>
      <c r="F7" s="5">
        <v>6</v>
      </c>
      <c r="G7" s="5">
        <v>9</v>
      </c>
      <c r="H7" s="5">
        <v>0</v>
      </c>
      <c r="I7" s="5">
        <v>24</v>
      </c>
      <c r="J7" s="5">
        <v>0</v>
      </c>
      <c r="K7" s="5">
        <v>6</v>
      </c>
      <c r="L7" s="4">
        <v>16.66</v>
      </c>
      <c r="M7" s="4">
        <v>16.66</v>
      </c>
      <c r="N7" s="1" t="s">
        <v>19</v>
      </c>
      <c r="O7" s="1"/>
    </row>
    <row x14ac:dyDescent="0.25" r="8" customHeight="1" ht="17.25">
      <c r="A8" s="1" t="s">
        <v>13</v>
      </c>
      <c r="B8" s="1" t="s">
        <v>17</v>
      </c>
      <c r="C8" s="1" t="s">
        <v>56</v>
      </c>
      <c r="D8" s="5">
        <v>0</v>
      </c>
      <c r="E8" s="5">
        <v>0</v>
      </c>
      <c r="F8" s="5">
        <v>10</v>
      </c>
      <c r="G8" s="5">
        <v>12</v>
      </c>
      <c r="H8" s="5">
        <v>8</v>
      </c>
      <c r="I8" s="5">
        <v>22</v>
      </c>
      <c r="J8" s="5">
        <v>0</v>
      </c>
      <c r="K8" s="5">
        <v>4</v>
      </c>
      <c r="L8" s="4">
        <v>13.96</v>
      </c>
      <c r="M8" s="4">
        <v>13.96</v>
      </c>
      <c r="N8" s="1" t="s">
        <v>19</v>
      </c>
      <c r="O8" s="1"/>
    </row>
    <row x14ac:dyDescent="0.25" r="9" customHeight="1" ht="17.25">
      <c r="A9" s="1" t="s">
        <v>13</v>
      </c>
      <c r="B9" s="1" t="s">
        <v>17</v>
      </c>
      <c r="C9" s="1" t="s">
        <v>57</v>
      </c>
      <c r="D9" s="5">
        <v>0</v>
      </c>
      <c r="E9" s="5">
        <v>0</v>
      </c>
      <c r="F9" s="5">
        <v>10</v>
      </c>
      <c r="G9" s="5">
        <v>12</v>
      </c>
      <c r="H9" s="5">
        <v>0</v>
      </c>
      <c r="I9" s="5">
        <v>24</v>
      </c>
      <c r="J9" s="5">
        <v>0</v>
      </c>
      <c r="K9" s="5">
        <v>6</v>
      </c>
      <c r="L9" s="4">
        <v>4.21</v>
      </c>
      <c r="M9" s="4">
        <v>4.21</v>
      </c>
      <c r="N9" s="1" t="s">
        <v>19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5">
        <v>8</v>
      </c>
      <c r="J10" s="5">
        <v>0</v>
      </c>
      <c r="K10" s="5">
        <v>4</v>
      </c>
      <c r="L10" s="4">
        <v>0.0446782</v>
      </c>
      <c r="M10" s="4">
        <v>0.0446782</v>
      </c>
      <c r="N10" s="1" t="s">
        <v>26</v>
      </c>
      <c r="O10" s="1" t="s">
        <v>58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1</v>
      </c>
      <c r="H11" s="5">
        <v>22</v>
      </c>
      <c r="I11" s="5">
        <v>24</v>
      </c>
      <c r="J11" s="5">
        <v>0</v>
      </c>
      <c r="K11" s="5">
        <v>4</v>
      </c>
      <c r="L11" s="4">
        <v>0.0446782</v>
      </c>
      <c r="M11" s="4">
        <v>0.0446782</v>
      </c>
      <c r="N11" s="1" t="s">
        <v>26</v>
      </c>
      <c r="O11" s="1" t="s">
        <v>58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1</v>
      </c>
      <c r="H12" s="5">
        <v>8</v>
      </c>
      <c r="I12" s="5">
        <v>22</v>
      </c>
      <c r="J12" s="5">
        <v>0</v>
      </c>
      <c r="K12" s="5">
        <v>4</v>
      </c>
      <c r="L12" s="4">
        <v>0.0442539247311827</v>
      </c>
      <c r="M12" s="4">
        <v>0.0442539247311827</v>
      </c>
      <c r="N12" s="1" t="s">
        <v>26</v>
      </c>
      <c r="O12" s="1" t="s">
        <v>58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1</v>
      </c>
      <c r="H13" s="5">
        <v>0</v>
      </c>
      <c r="I13" s="5">
        <v>24</v>
      </c>
      <c r="J13" s="5">
        <v>5</v>
      </c>
      <c r="K13" s="5">
        <v>6</v>
      </c>
      <c r="L13" s="4">
        <v>0.0446782</v>
      </c>
      <c r="M13" s="4">
        <v>0.0446782</v>
      </c>
      <c r="N13" s="1" t="s">
        <v>26</v>
      </c>
      <c r="O13" s="1" t="s">
        <v>58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2</v>
      </c>
      <c r="G14" s="5">
        <v>2</v>
      </c>
      <c r="H14" s="5">
        <v>0</v>
      </c>
      <c r="I14" s="5">
        <v>8</v>
      </c>
      <c r="J14" s="5">
        <v>0</v>
      </c>
      <c r="K14" s="5">
        <v>4</v>
      </c>
      <c r="L14" s="4">
        <v>0.0559765</v>
      </c>
      <c r="M14" s="4">
        <v>0.0559765</v>
      </c>
      <c r="N14" s="1" t="s">
        <v>26</v>
      </c>
      <c r="O14" s="1" t="s">
        <v>58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2</v>
      </c>
      <c r="G15" s="5">
        <v>2</v>
      </c>
      <c r="H15" s="5">
        <v>22</v>
      </c>
      <c r="I15" s="5">
        <v>24</v>
      </c>
      <c r="J15" s="5">
        <v>0</v>
      </c>
      <c r="K15" s="5">
        <v>4</v>
      </c>
      <c r="L15" s="4">
        <v>0.0559765</v>
      </c>
      <c r="M15" s="4">
        <v>0.0559765</v>
      </c>
      <c r="N15" s="1" t="s">
        <v>26</v>
      </c>
      <c r="O15" s="1" t="s">
        <v>58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2</v>
      </c>
      <c r="G16" s="5">
        <v>2</v>
      </c>
      <c r="H16" s="5">
        <v>8</v>
      </c>
      <c r="I16" s="5">
        <v>22</v>
      </c>
      <c r="J16" s="5">
        <v>0</v>
      </c>
      <c r="K16" s="5">
        <v>4</v>
      </c>
      <c r="L16" s="4">
        <v>0.0726803869047619</v>
      </c>
      <c r="M16" s="4">
        <v>0.0726803869047619</v>
      </c>
      <c r="N16" s="1" t="s">
        <v>26</v>
      </c>
      <c r="O16" s="1" t="s">
        <v>58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2</v>
      </c>
      <c r="G17" s="5">
        <v>2</v>
      </c>
      <c r="H17" s="5">
        <v>0</v>
      </c>
      <c r="I17" s="5">
        <v>24</v>
      </c>
      <c r="J17" s="5">
        <v>5</v>
      </c>
      <c r="K17" s="5">
        <v>6</v>
      </c>
      <c r="L17" s="4">
        <v>0.0559765</v>
      </c>
      <c r="M17" s="4">
        <v>0.0559765</v>
      </c>
      <c r="N17" s="1" t="s">
        <v>26</v>
      </c>
      <c r="O17" s="1" t="s">
        <v>58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3</v>
      </c>
      <c r="G18" s="5">
        <v>3</v>
      </c>
      <c r="H18" s="5">
        <v>0</v>
      </c>
      <c r="I18" s="5">
        <v>8</v>
      </c>
      <c r="J18" s="5">
        <v>0</v>
      </c>
      <c r="K18" s="5">
        <v>4</v>
      </c>
      <c r="L18" s="4">
        <v>0.0347283544303797</v>
      </c>
      <c r="M18" s="4">
        <v>0.0347283544303797</v>
      </c>
      <c r="N18" s="1" t="s">
        <v>26</v>
      </c>
      <c r="O18" s="1" t="s">
        <v>58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3</v>
      </c>
      <c r="G19" s="5">
        <v>3</v>
      </c>
      <c r="H19" s="5">
        <v>22</v>
      </c>
      <c r="I19" s="5">
        <v>24</v>
      </c>
      <c r="J19" s="5">
        <v>0</v>
      </c>
      <c r="K19" s="5">
        <v>4</v>
      </c>
      <c r="L19" s="4">
        <v>0.0347283544303797</v>
      </c>
      <c r="M19" s="4">
        <v>0.0347283544303797</v>
      </c>
      <c r="N19" s="1" t="s">
        <v>26</v>
      </c>
      <c r="O19" s="1" t="s">
        <v>58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8</v>
      </c>
      <c r="I20" s="5">
        <v>22</v>
      </c>
      <c r="J20" s="5">
        <v>0</v>
      </c>
      <c r="K20" s="5">
        <v>4</v>
      </c>
      <c r="L20" s="4">
        <v>0.0372985060565275</v>
      </c>
      <c r="M20" s="4">
        <v>0.0372985060565275</v>
      </c>
      <c r="N20" s="1" t="s">
        <v>26</v>
      </c>
      <c r="O20" s="1" t="s">
        <v>58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3</v>
      </c>
      <c r="G21" s="5">
        <v>3</v>
      </c>
      <c r="H21" s="5">
        <v>0</v>
      </c>
      <c r="I21" s="5">
        <v>24</v>
      </c>
      <c r="J21" s="5">
        <v>5</v>
      </c>
      <c r="K21" s="5">
        <v>6</v>
      </c>
      <c r="L21" s="4">
        <v>0.0347283544303797</v>
      </c>
      <c r="M21" s="4">
        <v>0.0347283544303797</v>
      </c>
      <c r="N21" s="1" t="s">
        <v>26</v>
      </c>
      <c r="O21" s="1" t="s">
        <v>58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4</v>
      </c>
      <c r="G22" s="5">
        <v>4</v>
      </c>
      <c r="H22" s="5">
        <v>0</v>
      </c>
      <c r="I22" s="5">
        <v>8</v>
      </c>
      <c r="J22" s="5">
        <v>0</v>
      </c>
      <c r="K22" s="5">
        <v>4</v>
      </c>
      <c r="L22" s="4">
        <v>0.02936025</v>
      </c>
      <c r="M22" s="4">
        <v>0.02936025</v>
      </c>
      <c r="N22" s="1" t="s">
        <v>26</v>
      </c>
      <c r="O22" s="1" t="s">
        <v>58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4</v>
      </c>
      <c r="G23" s="5">
        <v>4</v>
      </c>
      <c r="H23" s="5">
        <v>22</v>
      </c>
      <c r="I23" s="5">
        <v>24</v>
      </c>
      <c r="J23" s="5">
        <v>0</v>
      </c>
      <c r="K23" s="5">
        <v>4</v>
      </c>
      <c r="L23" s="4">
        <v>0.02936025</v>
      </c>
      <c r="M23" s="4">
        <v>0.02936025</v>
      </c>
      <c r="N23" s="1" t="s">
        <v>26</v>
      </c>
      <c r="O23" s="1" t="s">
        <v>58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4</v>
      </c>
      <c r="G24" s="5">
        <v>4</v>
      </c>
      <c r="H24" s="5">
        <v>8</v>
      </c>
      <c r="I24" s="5">
        <v>22</v>
      </c>
      <c r="J24" s="5">
        <v>0</v>
      </c>
      <c r="K24" s="5">
        <v>4</v>
      </c>
      <c r="L24" s="4">
        <v>0.0324524999999999</v>
      </c>
      <c r="M24" s="4">
        <v>0.0324524999999999</v>
      </c>
      <c r="N24" s="1" t="s">
        <v>26</v>
      </c>
      <c r="O24" s="1" t="s">
        <v>58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5</v>
      </c>
      <c r="K25" s="5">
        <v>6</v>
      </c>
      <c r="L25" s="4">
        <v>0.02936025</v>
      </c>
      <c r="M25" s="4">
        <v>0.02936025</v>
      </c>
      <c r="N25" s="1" t="s">
        <v>26</v>
      </c>
      <c r="O25" s="1" t="s">
        <v>58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8</v>
      </c>
      <c r="J26" s="5">
        <v>0</v>
      </c>
      <c r="K26" s="5">
        <v>4</v>
      </c>
      <c r="L26" s="4">
        <v>0.0289716999999999</v>
      </c>
      <c r="M26" s="4">
        <v>0.0289716999999999</v>
      </c>
      <c r="N26" s="1" t="s">
        <v>26</v>
      </c>
      <c r="O26" s="1" t="s">
        <v>58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5</v>
      </c>
      <c r="G27" s="5">
        <v>5</v>
      </c>
      <c r="H27" s="5">
        <v>22</v>
      </c>
      <c r="I27" s="5">
        <v>24</v>
      </c>
      <c r="J27" s="5">
        <v>0</v>
      </c>
      <c r="K27" s="5">
        <v>4</v>
      </c>
      <c r="L27" s="4">
        <v>0.0289716999999999</v>
      </c>
      <c r="M27" s="4">
        <v>0.0289716999999999</v>
      </c>
      <c r="N27" s="1" t="s">
        <v>26</v>
      </c>
      <c r="O27" s="1" t="s">
        <v>58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5</v>
      </c>
      <c r="G28" s="5">
        <v>5</v>
      </c>
      <c r="H28" s="5">
        <v>8</v>
      </c>
      <c r="I28" s="5">
        <v>22</v>
      </c>
      <c r="J28" s="5">
        <v>0</v>
      </c>
      <c r="K28" s="5">
        <v>4</v>
      </c>
      <c r="L28" s="4">
        <v>0.0340073118279569</v>
      </c>
      <c r="M28" s="4">
        <v>0.0340073118279569</v>
      </c>
      <c r="N28" s="1" t="s">
        <v>26</v>
      </c>
      <c r="O28" s="1" t="s">
        <v>58</v>
      </c>
    </row>
    <row x14ac:dyDescent="0.25" r="29" customHeight="1" ht="17.25">
      <c r="A29" s="1" t="s">
        <v>13</v>
      </c>
      <c r="B29" s="1" t="s">
        <v>25</v>
      </c>
      <c r="C29" s="1"/>
      <c r="D29" s="5">
        <v>0</v>
      </c>
      <c r="E29" s="5">
        <v>0</v>
      </c>
      <c r="F29" s="5">
        <v>5</v>
      </c>
      <c r="G29" s="5">
        <v>5</v>
      </c>
      <c r="H29" s="5">
        <v>0</v>
      </c>
      <c r="I29" s="5">
        <v>24</v>
      </c>
      <c r="J29" s="5">
        <v>5</v>
      </c>
      <c r="K29" s="5">
        <v>6</v>
      </c>
      <c r="L29" s="4">
        <v>0.0289716999999999</v>
      </c>
      <c r="M29" s="4">
        <v>0.0289716999999999</v>
      </c>
      <c r="N29" s="1" t="s">
        <v>26</v>
      </c>
      <c r="O29" s="1" t="s">
        <v>58</v>
      </c>
    </row>
    <row x14ac:dyDescent="0.25" r="30" customHeight="1" ht="17.25">
      <c r="A30" s="1" t="s">
        <v>13</v>
      </c>
      <c r="B30" s="1" t="s">
        <v>25</v>
      </c>
      <c r="C30" s="1"/>
      <c r="D30" s="5">
        <v>0</v>
      </c>
      <c r="E30" s="5">
        <v>0</v>
      </c>
      <c r="F30" s="5">
        <v>6</v>
      </c>
      <c r="G30" s="5">
        <v>6</v>
      </c>
      <c r="H30" s="5">
        <v>0</v>
      </c>
      <c r="I30" s="5">
        <v>8</v>
      </c>
      <c r="J30" s="5">
        <v>0</v>
      </c>
      <c r="K30" s="5">
        <v>4</v>
      </c>
      <c r="L30" s="4">
        <v>0.03385825</v>
      </c>
      <c r="M30" s="4">
        <v>0.03385825</v>
      </c>
      <c r="N30" s="1" t="s">
        <v>26</v>
      </c>
      <c r="O30" s="1" t="s">
        <v>58</v>
      </c>
    </row>
    <row x14ac:dyDescent="0.25" r="31" customHeight="1" ht="17.25">
      <c r="A31" s="1" t="s">
        <v>13</v>
      </c>
      <c r="B31" s="1" t="s">
        <v>25</v>
      </c>
      <c r="C31" s="1"/>
      <c r="D31" s="5">
        <v>0</v>
      </c>
      <c r="E31" s="5">
        <v>0</v>
      </c>
      <c r="F31" s="5">
        <v>6</v>
      </c>
      <c r="G31" s="5">
        <v>6</v>
      </c>
      <c r="H31" s="5">
        <v>22</v>
      </c>
      <c r="I31" s="5">
        <v>24</v>
      </c>
      <c r="J31" s="5">
        <v>0</v>
      </c>
      <c r="K31" s="5">
        <v>4</v>
      </c>
      <c r="L31" s="4">
        <v>0.03385825</v>
      </c>
      <c r="M31" s="4">
        <v>0.03385825</v>
      </c>
      <c r="N31" s="1" t="s">
        <v>26</v>
      </c>
      <c r="O31" s="1" t="s">
        <v>58</v>
      </c>
    </row>
    <row x14ac:dyDescent="0.25" r="32" customHeight="1" ht="17.25">
      <c r="A32" s="1" t="s">
        <v>13</v>
      </c>
      <c r="B32" s="1" t="s">
        <v>25</v>
      </c>
      <c r="C32" s="1"/>
      <c r="D32" s="5">
        <v>0</v>
      </c>
      <c r="E32" s="5">
        <v>0</v>
      </c>
      <c r="F32" s="5">
        <v>6</v>
      </c>
      <c r="G32" s="5">
        <v>6</v>
      </c>
      <c r="H32" s="5">
        <v>8</v>
      </c>
      <c r="I32" s="5">
        <v>22</v>
      </c>
      <c r="J32" s="5">
        <v>0</v>
      </c>
      <c r="K32" s="5">
        <v>4</v>
      </c>
      <c r="L32" s="4">
        <v>0.0427393333333333</v>
      </c>
      <c r="M32" s="4">
        <v>0.0427393333333333</v>
      </c>
      <c r="N32" s="1" t="s">
        <v>26</v>
      </c>
      <c r="O32" s="1" t="s">
        <v>58</v>
      </c>
    </row>
    <row x14ac:dyDescent="0.25" r="33" customHeight="1" ht="17.25">
      <c r="A33" s="1" t="s">
        <v>13</v>
      </c>
      <c r="B33" s="1" t="s">
        <v>25</v>
      </c>
      <c r="C33" s="1"/>
      <c r="D33" s="5">
        <v>0</v>
      </c>
      <c r="E33" s="5">
        <v>0</v>
      </c>
      <c r="F33" s="5">
        <v>6</v>
      </c>
      <c r="G33" s="5">
        <v>6</v>
      </c>
      <c r="H33" s="5">
        <v>0</v>
      </c>
      <c r="I33" s="5">
        <v>24</v>
      </c>
      <c r="J33" s="5">
        <v>5</v>
      </c>
      <c r="K33" s="5">
        <v>6</v>
      </c>
      <c r="L33" s="4">
        <v>0.03385825</v>
      </c>
      <c r="M33" s="4">
        <v>0.03385825</v>
      </c>
      <c r="N33" s="1" t="s">
        <v>26</v>
      </c>
      <c r="O33" s="1" t="s">
        <v>58</v>
      </c>
    </row>
    <row x14ac:dyDescent="0.25" r="34" customHeight="1" ht="17.25">
      <c r="A34" s="1" t="s">
        <v>13</v>
      </c>
      <c r="B34" s="1" t="s">
        <v>25</v>
      </c>
      <c r="C34" s="1"/>
      <c r="D34" s="5">
        <v>0</v>
      </c>
      <c r="E34" s="5">
        <v>0</v>
      </c>
      <c r="F34" s="5">
        <v>7</v>
      </c>
      <c r="G34" s="5">
        <v>7</v>
      </c>
      <c r="H34" s="5">
        <v>0</v>
      </c>
      <c r="I34" s="5">
        <v>8</v>
      </c>
      <c r="J34" s="5">
        <v>0</v>
      </c>
      <c r="K34" s="5">
        <v>4</v>
      </c>
      <c r="L34" s="4">
        <v>0.0374733333333333</v>
      </c>
      <c r="M34" s="4">
        <v>0.0374733333333333</v>
      </c>
      <c r="N34" s="1" t="s">
        <v>26</v>
      </c>
      <c r="O34" s="1" t="s">
        <v>58</v>
      </c>
    </row>
    <row x14ac:dyDescent="0.25" r="35" customHeight="1" ht="17.25">
      <c r="A35" s="1" t="s">
        <v>13</v>
      </c>
      <c r="B35" s="1" t="s">
        <v>25</v>
      </c>
      <c r="C35" s="1"/>
      <c r="D35" s="5">
        <v>0</v>
      </c>
      <c r="E35" s="5">
        <v>0</v>
      </c>
      <c r="F35" s="5">
        <v>7</v>
      </c>
      <c r="G35" s="5">
        <v>7</v>
      </c>
      <c r="H35" s="5">
        <v>22</v>
      </c>
      <c r="I35" s="5">
        <v>24</v>
      </c>
      <c r="J35" s="5">
        <v>0</v>
      </c>
      <c r="K35" s="5">
        <v>4</v>
      </c>
      <c r="L35" s="4">
        <v>0.0374733333333333</v>
      </c>
      <c r="M35" s="4">
        <v>0.0374733333333333</v>
      </c>
      <c r="N35" s="1" t="s">
        <v>26</v>
      </c>
      <c r="O35" s="1" t="s">
        <v>58</v>
      </c>
    </row>
    <row x14ac:dyDescent="0.25" r="36" customHeight="1" ht="17.25">
      <c r="A36" s="1" t="s">
        <v>13</v>
      </c>
      <c r="B36" s="1" t="s">
        <v>25</v>
      </c>
      <c r="C36" s="1"/>
      <c r="D36" s="5">
        <v>0</v>
      </c>
      <c r="E36" s="5">
        <v>0</v>
      </c>
      <c r="F36" s="5">
        <v>7</v>
      </c>
      <c r="G36" s="5">
        <v>7</v>
      </c>
      <c r="H36" s="5">
        <v>8</v>
      </c>
      <c r="I36" s="5">
        <v>22</v>
      </c>
      <c r="J36" s="5">
        <v>0</v>
      </c>
      <c r="K36" s="5">
        <v>4</v>
      </c>
      <c r="L36" s="4">
        <v>0.0499019489247311</v>
      </c>
      <c r="M36" s="4">
        <v>0.0499019489247311</v>
      </c>
      <c r="N36" s="1" t="s">
        <v>26</v>
      </c>
      <c r="O36" s="1" t="s">
        <v>58</v>
      </c>
    </row>
    <row x14ac:dyDescent="0.25" r="37" customHeight="1" ht="17.25">
      <c r="A37" s="1" t="s">
        <v>13</v>
      </c>
      <c r="B37" s="1" t="s">
        <v>25</v>
      </c>
      <c r="C37" s="1"/>
      <c r="D37" s="5">
        <v>0</v>
      </c>
      <c r="E37" s="5">
        <v>0</v>
      </c>
      <c r="F37" s="5">
        <v>7</v>
      </c>
      <c r="G37" s="5">
        <v>7</v>
      </c>
      <c r="H37" s="5">
        <v>0</v>
      </c>
      <c r="I37" s="5">
        <v>24</v>
      </c>
      <c r="J37" s="5">
        <v>5</v>
      </c>
      <c r="K37" s="5">
        <v>6</v>
      </c>
      <c r="L37" s="4">
        <v>0.0374733333333333</v>
      </c>
      <c r="M37" s="4">
        <v>0.0374733333333333</v>
      </c>
      <c r="N37" s="1" t="s">
        <v>26</v>
      </c>
      <c r="O37" s="1" t="s">
        <v>58</v>
      </c>
    </row>
    <row x14ac:dyDescent="0.25" r="38" customHeight="1" ht="17.25">
      <c r="A38" s="1" t="s">
        <v>13</v>
      </c>
      <c r="B38" s="1" t="s">
        <v>25</v>
      </c>
      <c r="C38" s="1"/>
      <c r="D38" s="5">
        <v>0</v>
      </c>
      <c r="E38" s="5">
        <v>0</v>
      </c>
      <c r="F38" s="5">
        <v>8</v>
      </c>
      <c r="G38" s="5">
        <v>8</v>
      </c>
      <c r="H38" s="5">
        <v>0</v>
      </c>
      <c r="I38" s="5">
        <v>8</v>
      </c>
      <c r="J38" s="5">
        <v>0</v>
      </c>
      <c r="K38" s="5">
        <v>4</v>
      </c>
      <c r="L38" s="4">
        <v>0.0418393333333333</v>
      </c>
      <c r="M38" s="4">
        <v>0.0418393333333333</v>
      </c>
      <c r="N38" s="1" t="s">
        <v>26</v>
      </c>
      <c r="O38" s="1" t="s">
        <v>58</v>
      </c>
    </row>
    <row x14ac:dyDescent="0.25" r="39" customHeight="1" ht="17.25">
      <c r="A39" s="1" t="s">
        <v>13</v>
      </c>
      <c r="B39" s="1" t="s">
        <v>25</v>
      </c>
      <c r="C39" s="1"/>
      <c r="D39" s="5">
        <v>0</v>
      </c>
      <c r="E39" s="5">
        <v>0</v>
      </c>
      <c r="F39" s="5">
        <v>8</v>
      </c>
      <c r="G39" s="5">
        <v>8</v>
      </c>
      <c r="H39" s="5">
        <v>22</v>
      </c>
      <c r="I39" s="5">
        <v>24</v>
      </c>
      <c r="J39" s="5">
        <v>0</v>
      </c>
      <c r="K39" s="5">
        <v>4</v>
      </c>
      <c r="L39" s="4">
        <v>0.0418393333333333</v>
      </c>
      <c r="M39" s="4">
        <v>0.0418393333333333</v>
      </c>
      <c r="N39" s="1" t="s">
        <v>26</v>
      </c>
      <c r="O39" s="1" t="s">
        <v>58</v>
      </c>
    </row>
    <row x14ac:dyDescent="0.25" r="40" customHeight="1" ht="17.25">
      <c r="A40" s="1" t="s">
        <v>13</v>
      </c>
      <c r="B40" s="1" t="s">
        <v>25</v>
      </c>
      <c r="C40" s="1"/>
      <c r="D40" s="5">
        <v>0</v>
      </c>
      <c r="E40" s="5">
        <v>0</v>
      </c>
      <c r="F40" s="5">
        <v>8</v>
      </c>
      <c r="G40" s="5">
        <v>8</v>
      </c>
      <c r="H40" s="5">
        <v>8</v>
      </c>
      <c r="I40" s="5">
        <v>22</v>
      </c>
      <c r="J40" s="5">
        <v>0</v>
      </c>
      <c r="K40" s="5">
        <v>4</v>
      </c>
      <c r="L40" s="4">
        <v>0.0547961155913978</v>
      </c>
      <c r="M40" s="4">
        <v>0.0547961155913978</v>
      </c>
      <c r="N40" s="1" t="s">
        <v>26</v>
      </c>
      <c r="O40" s="1" t="s">
        <v>58</v>
      </c>
    </row>
    <row x14ac:dyDescent="0.25" r="41" customHeight="1" ht="17.25">
      <c r="A41" s="1" t="s">
        <v>13</v>
      </c>
      <c r="B41" s="1" t="s">
        <v>25</v>
      </c>
      <c r="C41" s="1"/>
      <c r="D41" s="5">
        <v>0</v>
      </c>
      <c r="E41" s="5">
        <v>0</v>
      </c>
      <c r="F41" s="5">
        <v>8</v>
      </c>
      <c r="G41" s="5">
        <v>8</v>
      </c>
      <c r="H41" s="5">
        <v>0</v>
      </c>
      <c r="I41" s="5">
        <v>24</v>
      </c>
      <c r="J41" s="5">
        <v>5</v>
      </c>
      <c r="K41" s="5">
        <v>6</v>
      </c>
      <c r="L41" s="4">
        <v>0.0418393333333333</v>
      </c>
      <c r="M41" s="4">
        <v>0.0418393333333333</v>
      </c>
      <c r="N41" s="1" t="s">
        <v>26</v>
      </c>
      <c r="O41" s="1" t="s">
        <v>58</v>
      </c>
    </row>
    <row x14ac:dyDescent="0.25" r="42" customHeight="1" ht="17.25">
      <c r="A42" s="1" t="s">
        <v>13</v>
      </c>
      <c r="B42" s="1" t="s">
        <v>25</v>
      </c>
      <c r="C42" s="1"/>
      <c r="D42" s="5">
        <v>0</v>
      </c>
      <c r="E42" s="5">
        <v>0</v>
      </c>
      <c r="F42" s="5">
        <v>9</v>
      </c>
      <c r="G42" s="5">
        <v>9</v>
      </c>
      <c r="H42" s="5">
        <v>0</v>
      </c>
      <c r="I42" s="5">
        <v>8</v>
      </c>
      <c r="J42" s="5">
        <v>0</v>
      </c>
      <c r="K42" s="5">
        <v>4</v>
      </c>
      <c r="L42" s="4">
        <v>0.045309375</v>
      </c>
      <c r="M42" s="4">
        <v>0.045309375</v>
      </c>
      <c r="N42" s="1" t="s">
        <v>26</v>
      </c>
      <c r="O42" s="1" t="s">
        <v>58</v>
      </c>
    </row>
    <row x14ac:dyDescent="0.25" r="43" customHeight="1" ht="17.25">
      <c r="A43" s="1" t="s">
        <v>13</v>
      </c>
      <c r="B43" s="1" t="s">
        <v>25</v>
      </c>
      <c r="C43" s="1"/>
      <c r="D43" s="5">
        <v>0</v>
      </c>
      <c r="E43" s="5">
        <v>0</v>
      </c>
      <c r="F43" s="5">
        <v>9</v>
      </c>
      <c r="G43" s="5">
        <v>9</v>
      </c>
      <c r="H43" s="5">
        <v>22</v>
      </c>
      <c r="I43" s="5">
        <v>24</v>
      </c>
      <c r="J43" s="5">
        <v>0</v>
      </c>
      <c r="K43" s="5">
        <v>4</v>
      </c>
      <c r="L43" s="4">
        <v>0.045309375</v>
      </c>
      <c r="M43" s="4">
        <v>0.045309375</v>
      </c>
      <c r="N43" s="1" t="s">
        <v>26</v>
      </c>
      <c r="O43" s="1" t="s">
        <v>58</v>
      </c>
    </row>
    <row x14ac:dyDescent="0.25" r="44" customHeight="1" ht="17.25">
      <c r="A44" s="1" t="s">
        <v>13</v>
      </c>
      <c r="B44" s="1" t="s">
        <v>25</v>
      </c>
      <c r="C44" s="1"/>
      <c r="D44" s="5">
        <v>0</v>
      </c>
      <c r="E44" s="5">
        <v>0</v>
      </c>
      <c r="F44" s="5">
        <v>9</v>
      </c>
      <c r="G44" s="5">
        <v>9</v>
      </c>
      <c r="H44" s="5">
        <v>8</v>
      </c>
      <c r="I44" s="5">
        <v>22</v>
      </c>
      <c r="J44" s="5">
        <v>0</v>
      </c>
      <c r="K44" s="5">
        <v>4</v>
      </c>
      <c r="L44" s="4">
        <v>0.0563079444444444</v>
      </c>
      <c r="M44" s="4">
        <v>0.0563079444444444</v>
      </c>
      <c r="N44" s="1" t="s">
        <v>26</v>
      </c>
      <c r="O44" s="1" t="s">
        <v>58</v>
      </c>
    </row>
    <row x14ac:dyDescent="0.25" r="45" customHeight="1" ht="17.25">
      <c r="A45" s="1" t="s">
        <v>13</v>
      </c>
      <c r="B45" s="1" t="s">
        <v>25</v>
      </c>
      <c r="C45" s="1"/>
      <c r="D45" s="5">
        <v>0</v>
      </c>
      <c r="E45" s="5">
        <v>0</v>
      </c>
      <c r="F45" s="5">
        <v>9</v>
      </c>
      <c r="G45" s="5">
        <v>9</v>
      </c>
      <c r="H45" s="5">
        <v>0</v>
      </c>
      <c r="I45" s="5">
        <v>24</v>
      </c>
      <c r="J45" s="5">
        <v>5</v>
      </c>
      <c r="K45" s="5">
        <v>6</v>
      </c>
      <c r="L45" s="4">
        <v>0.045309375</v>
      </c>
      <c r="M45" s="4">
        <v>0.045309375</v>
      </c>
      <c r="N45" s="1" t="s">
        <v>26</v>
      </c>
      <c r="O45" s="1" t="s">
        <v>58</v>
      </c>
    </row>
    <row x14ac:dyDescent="0.25" r="46" customHeight="1" ht="17.25">
      <c r="A46" s="1" t="s">
        <v>13</v>
      </c>
      <c r="B46" s="1" t="s">
        <v>25</v>
      </c>
      <c r="C46" s="1"/>
      <c r="D46" s="5">
        <v>0</v>
      </c>
      <c r="E46" s="5">
        <v>0</v>
      </c>
      <c r="F46" s="5">
        <v>10</v>
      </c>
      <c r="G46" s="5">
        <v>10</v>
      </c>
      <c r="H46" s="5">
        <v>0</v>
      </c>
      <c r="I46" s="5">
        <v>8</v>
      </c>
      <c r="J46" s="5">
        <v>0</v>
      </c>
      <c r="K46" s="5">
        <v>4</v>
      </c>
      <c r="L46" s="4">
        <v>0.0512567999999999</v>
      </c>
      <c r="M46" s="4">
        <v>0.0512567999999999</v>
      </c>
      <c r="N46" s="1" t="s">
        <v>26</v>
      </c>
      <c r="O46" s="1" t="s">
        <v>58</v>
      </c>
    </row>
    <row x14ac:dyDescent="0.25" r="47" customHeight="1" ht="17.25">
      <c r="A47" s="1" t="s">
        <v>13</v>
      </c>
      <c r="B47" s="1" t="s">
        <v>25</v>
      </c>
      <c r="C47" s="1"/>
      <c r="D47" s="5">
        <v>0</v>
      </c>
      <c r="E47" s="5">
        <v>0</v>
      </c>
      <c r="F47" s="5">
        <v>10</v>
      </c>
      <c r="G47" s="5">
        <v>10</v>
      </c>
      <c r="H47" s="5">
        <v>22</v>
      </c>
      <c r="I47" s="5">
        <v>24</v>
      </c>
      <c r="J47" s="5">
        <v>0</v>
      </c>
      <c r="K47" s="5">
        <v>4</v>
      </c>
      <c r="L47" s="4">
        <v>0.0512567999999999</v>
      </c>
      <c r="M47" s="4">
        <v>0.0512567999999999</v>
      </c>
      <c r="N47" s="1" t="s">
        <v>26</v>
      </c>
      <c r="O47" s="1" t="s">
        <v>58</v>
      </c>
    </row>
    <row x14ac:dyDescent="0.25" r="48" customHeight="1" ht="17.25">
      <c r="A48" s="1" t="s">
        <v>13</v>
      </c>
      <c r="B48" s="1" t="s">
        <v>25</v>
      </c>
      <c r="C48" s="1"/>
      <c r="D48" s="5">
        <v>0</v>
      </c>
      <c r="E48" s="5">
        <v>0</v>
      </c>
      <c r="F48" s="5">
        <v>10</v>
      </c>
      <c r="G48" s="5">
        <v>10</v>
      </c>
      <c r="H48" s="5">
        <v>8</v>
      </c>
      <c r="I48" s="5">
        <v>22</v>
      </c>
      <c r="J48" s="5">
        <v>0</v>
      </c>
      <c r="K48" s="5">
        <v>4</v>
      </c>
      <c r="L48" s="4">
        <v>0.0623680779569892</v>
      </c>
      <c r="M48" s="4">
        <v>0.0623680779569892</v>
      </c>
      <c r="N48" s="1" t="s">
        <v>26</v>
      </c>
      <c r="O48" s="1" t="s">
        <v>58</v>
      </c>
    </row>
    <row x14ac:dyDescent="0.25" r="49" customHeight="1" ht="17.25">
      <c r="A49" s="1" t="s">
        <v>13</v>
      </c>
      <c r="B49" s="1" t="s">
        <v>25</v>
      </c>
      <c r="C49" s="1"/>
      <c r="D49" s="5">
        <v>0</v>
      </c>
      <c r="E49" s="5">
        <v>0</v>
      </c>
      <c r="F49" s="5">
        <v>10</v>
      </c>
      <c r="G49" s="5">
        <v>10</v>
      </c>
      <c r="H49" s="5">
        <v>0</v>
      </c>
      <c r="I49" s="5">
        <v>24</v>
      </c>
      <c r="J49" s="5">
        <v>5</v>
      </c>
      <c r="K49" s="5">
        <v>6</v>
      </c>
      <c r="L49" s="4">
        <v>0.0512567999999999</v>
      </c>
      <c r="M49" s="4">
        <v>0.0512567999999999</v>
      </c>
      <c r="N49" s="1" t="s">
        <v>26</v>
      </c>
      <c r="O49" s="1" t="s">
        <v>58</v>
      </c>
    </row>
    <row x14ac:dyDescent="0.25" r="50" customHeight="1" ht="17.25">
      <c r="A50" s="1" t="s">
        <v>13</v>
      </c>
      <c r="B50" s="1" t="s">
        <v>25</v>
      </c>
      <c r="C50" s="1"/>
      <c r="D50" s="5">
        <v>0</v>
      </c>
      <c r="E50" s="5">
        <v>0</v>
      </c>
      <c r="F50" s="5">
        <v>11</v>
      </c>
      <c r="G50" s="5">
        <v>11</v>
      </c>
      <c r="H50" s="5">
        <v>0</v>
      </c>
      <c r="I50" s="5">
        <v>8</v>
      </c>
      <c r="J50" s="5">
        <v>0</v>
      </c>
      <c r="K50" s="5">
        <v>4</v>
      </c>
      <c r="L50" s="4">
        <v>0.0574638271604938</v>
      </c>
      <c r="M50" s="4">
        <v>0.0574638271604938</v>
      </c>
      <c r="N50" s="1" t="s">
        <v>26</v>
      </c>
      <c r="O50" s="1" t="s">
        <v>58</v>
      </c>
    </row>
    <row x14ac:dyDescent="0.25" r="51" customHeight="1" ht="17.25">
      <c r="A51" s="1" t="s">
        <v>13</v>
      </c>
      <c r="B51" s="1" t="s">
        <v>25</v>
      </c>
      <c r="C51" s="1"/>
      <c r="D51" s="5">
        <v>0</v>
      </c>
      <c r="E51" s="5">
        <v>0</v>
      </c>
      <c r="F51" s="5">
        <v>11</v>
      </c>
      <c r="G51" s="5">
        <v>11</v>
      </c>
      <c r="H51" s="5">
        <v>22</v>
      </c>
      <c r="I51" s="5">
        <v>24</v>
      </c>
      <c r="J51" s="5">
        <v>0</v>
      </c>
      <c r="K51" s="5">
        <v>4</v>
      </c>
      <c r="L51" s="4">
        <v>0.0574638271604938</v>
      </c>
      <c r="M51" s="4">
        <v>0.0574638271604938</v>
      </c>
      <c r="N51" s="1" t="s">
        <v>26</v>
      </c>
      <c r="O51" s="1" t="s">
        <v>58</v>
      </c>
    </row>
    <row x14ac:dyDescent="0.25" r="52" customHeight="1" ht="17.25">
      <c r="A52" s="1" t="s">
        <v>13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8</v>
      </c>
      <c r="I52" s="5">
        <v>22</v>
      </c>
      <c r="J52" s="5">
        <v>0</v>
      </c>
      <c r="K52" s="5">
        <v>4</v>
      </c>
      <c r="L52" s="4">
        <v>0.0650027600554785</v>
      </c>
      <c r="M52" s="4">
        <v>0.0650027600554785</v>
      </c>
      <c r="N52" s="1" t="s">
        <v>26</v>
      </c>
      <c r="O52" s="1" t="s">
        <v>58</v>
      </c>
    </row>
    <row x14ac:dyDescent="0.25" r="53" customHeight="1" ht="17.25">
      <c r="A53" s="1" t="s">
        <v>13</v>
      </c>
      <c r="B53" s="1" t="s">
        <v>25</v>
      </c>
      <c r="C53" s="1"/>
      <c r="D53" s="5">
        <v>0</v>
      </c>
      <c r="E53" s="5">
        <v>0</v>
      </c>
      <c r="F53" s="5">
        <v>11</v>
      </c>
      <c r="G53" s="5">
        <v>11</v>
      </c>
      <c r="H53" s="5">
        <v>0</v>
      </c>
      <c r="I53" s="5">
        <v>24</v>
      </c>
      <c r="J53" s="5">
        <v>5</v>
      </c>
      <c r="K53" s="5">
        <v>6</v>
      </c>
      <c r="L53" s="4">
        <v>0.0574638271604938</v>
      </c>
      <c r="M53" s="4">
        <v>0.0574638271604938</v>
      </c>
      <c r="N53" s="1" t="s">
        <v>26</v>
      </c>
      <c r="O53" s="1" t="s">
        <v>58</v>
      </c>
    </row>
    <row x14ac:dyDescent="0.25" r="54" customHeight="1" ht="17.25">
      <c r="A54" s="1" t="s">
        <v>13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8</v>
      </c>
      <c r="J54" s="5">
        <v>0</v>
      </c>
      <c r="K54" s="5">
        <v>4</v>
      </c>
      <c r="L54" s="4">
        <v>0.0449075</v>
      </c>
      <c r="M54" s="4">
        <v>0.0449075</v>
      </c>
      <c r="N54" s="1" t="s">
        <v>26</v>
      </c>
      <c r="O54" s="1" t="s">
        <v>58</v>
      </c>
    </row>
    <row x14ac:dyDescent="0.25" r="55" customHeight="1" ht="17.25">
      <c r="A55" s="1" t="s">
        <v>13</v>
      </c>
      <c r="B55" s="1" t="s">
        <v>25</v>
      </c>
      <c r="C55" s="1"/>
      <c r="D55" s="5">
        <v>0</v>
      </c>
      <c r="E55" s="5">
        <v>0</v>
      </c>
      <c r="F55" s="5">
        <v>12</v>
      </c>
      <c r="G55" s="5">
        <v>12</v>
      </c>
      <c r="H55" s="5">
        <v>22</v>
      </c>
      <c r="I55" s="5">
        <v>24</v>
      </c>
      <c r="J55" s="5">
        <v>0</v>
      </c>
      <c r="K55" s="5">
        <v>4</v>
      </c>
      <c r="L55" s="4">
        <v>0.0449075</v>
      </c>
      <c r="M55" s="4">
        <v>0.0449075</v>
      </c>
      <c r="N55" s="1" t="s">
        <v>26</v>
      </c>
      <c r="O55" s="1" t="s">
        <v>58</v>
      </c>
    </row>
    <row x14ac:dyDescent="0.25" r="56" customHeight="1" ht="17.25">
      <c r="A56" s="1" t="s">
        <v>13</v>
      </c>
      <c r="B56" s="1" t="s">
        <v>25</v>
      </c>
      <c r="C56" s="1"/>
      <c r="D56" s="5">
        <v>0</v>
      </c>
      <c r="E56" s="5">
        <v>0</v>
      </c>
      <c r="F56" s="5">
        <v>12</v>
      </c>
      <c r="G56" s="5">
        <v>12</v>
      </c>
      <c r="H56" s="5">
        <v>8</v>
      </c>
      <c r="I56" s="5">
        <v>22</v>
      </c>
      <c r="J56" s="5">
        <v>0</v>
      </c>
      <c r="K56" s="5">
        <v>4</v>
      </c>
      <c r="L56" s="4">
        <v>0.0551881720430107</v>
      </c>
      <c r="M56" s="4">
        <v>0.0551881720430107</v>
      </c>
      <c r="N56" s="1" t="s">
        <v>26</v>
      </c>
      <c r="O56" s="1" t="s">
        <v>58</v>
      </c>
    </row>
    <row x14ac:dyDescent="0.25" r="57" customHeight="1" ht="17.25">
      <c r="A57" s="1" t="s">
        <v>13</v>
      </c>
      <c r="B57" s="1" t="s">
        <v>25</v>
      </c>
      <c r="C57" s="1"/>
      <c r="D57" s="5">
        <v>0</v>
      </c>
      <c r="E57" s="5">
        <v>0</v>
      </c>
      <c r="F57" s="5">
        <v>12</v>
      </c>
      <c r="G57" s="5">
        <v>12</v>
      </c>
      <c r="H57" s="5">
        <v>0</v>
      </c>
      <c r="I57" s="5">
        <v>24</v>
      </c>
      <c r="J57" s="5">
        <v>5</v>
      </c>
      <c r="K57" s="5">
        <v>6</v>
      </c>
      <c r="L57" s="4">
        <v>0.0449075</v>
      </c>
      <c r="M57" s="4">
        <v>0.0449075</v>
      </c>
      <c r="N57" s="1" t="s">
        <v>26</v>
      </c>
      <c r="O57" s="1" t="s">
        <v>58</v>
      </c>
    </row>
    <row x14ac:dyDescent="0.25" r="58" customHeight="1" ht="17.25">
      <c r="A58" s="1" t="s">
        <v>34</v>
      </c>
      <c r="B58" s="1" t="s">
        <v>25</v>
      </c>
      <c r="C58" s="1"/>
      <c r="D58" s="5">
        <v>0</v>
      </c>
      <c r="E58" s="5">
        <v>0</v>
      </c>
      <c r="F58" s="5">
        <v>1</v>
      </c>
      <c r="G58" s="5">
        <v>1</v>
      </c>
      <c r="H58" s="5">
        <v>0</v>
      </c>
      <c r="I58" s="5">
        <v>24</v>
      </c>
      <c r="J58" s="5">
        <v>0</v>
      </c>
      <c r="K58" s="5">
        <v>6</v>
      </c>
      <c r="L58" s="15">
        <f>250+0.269727</f>
      </c>
      <c r="M58" s="14">
        <f>L58/2.83168</f>
      </c>
      <c r="N58" s="1" t="s">
        <v>36</v>
      </c>
      <c r="O58" s="1" t="s">
        <v>37</v>
      </c>
    </row>
    <row x14ac:dyDescent="0.25" r="59" customHeight="1" ht="17.25">
      <c r="A59" s="1" t="s">
        <v>34</v>
      </c>
      <c r="B59" s="1" t="s">
        <v>25</v>
      </c>
      <c r="C59" s="1"/>
      <c r="D59" s="5">
        <v>10</v>
      </c>
      <c r="E59" s="4">
        <f>D59*2.83168</f>
      </c>
      <c r="F59" s="5">
        <v>1</v>
      </c>
      <c r="G59" s="5">
        <v>1</v>
      </c>
      <c r="H59" s="5">
        <v>0</v>
      </c>
      <c r="I59" s="5">
        <v>24</v>
      </c>
      <c r="J59" s="5">
        <v>0</v>
      </c>
      <c r="K59" s="5">
        <v>6</v>
      </c>
      <c r="L59" s="4">
        <f>0.2632+0.269727</f>
      </c>
      <c r="M59" s="14">
        <f>L59/2.83168</f>
      </c>
      <c r="N59" s="1" t="s">
        <v>36</v>
      </c>
      <c r="O59" s="1" t="s">
        <v>37</v>
      </c>
    </row>
    <row x14ac:dyDescent="0.25" r="60" customHeight="1" ht="17.25">
      <c r="A60" s="1" t="s">
        <v>34</v>
      </c>
      <c r="B60" s="1" t="s">
        <v>25</v>
      </c>
      <c r="C60" s="1"/>
      <c r="D60" s="5">
        <v>0</v>
      </c>
      <c r="E60" s="5">
        <v>0</v>
      </c>
      <c r="F60" s="5">
        <v>2</v>
      </c>
      <c r="G60" s="5">
        <v>2</v>
      </c>
      <c r="H60" s="5">
        <v>0</v>
      </c>
      <c r="I60" s="5">
        <v>24</v>
      </c>
      <c r="J60" s="5">
        <v>0</v>
      </c>
      <c r="K60" s="5">
        <v>6</v>
      </c>
      <c r="L60" s="15">
        <f>250+0.343588</f>
      </c>
      <c r="M60" s="14">
        <f>L60/2.83168</f>
      </c>
      <c r="N60" s="1" t="s">
        <v>36</v>
      </c>
      <c r="O60" s="1" t="s">
        <v>37</v>
      </c>
    </row>
    <row x14ac:dyDescent="0.25" r="61" customHeight="1" ht="17.25">
      <c r="A61" s="1" t="s">
        <v>34</v>
      </c>
      <c r="B61" s="1" t="s">
        <v>25</v>
      </c>
      <c r="C61" s="1"/>
      <c r="D61" s="5">
        <v>10</v>
      </c>
      <c r="E61" s="4">
        <f>D61*2.83168</f>
      </c>
      <c r="F61" s="5">
        <v>2</v>
      </c>
      <c r="G61" s="5">
        <v>2</v>
      </c>
      <c r="H61" s="5">
        <v>0</v>
      </c>
      <c r="I61" s="5">
        <v>24</v>
      </c>
      <c r="J61" s="5">
        <v>0</v>
      </c>
      <c r="K61" s="5">
        <v>6</v>
      </c>
      <c r="L61" s="4">
        <f>0.2632+0.343588</f>
      </c>
      <c r="M61" s="14">
        <f>L61/2.83168</f>
      </c>
      <c r="N61" s="1" t="s">
        <v>36</v>
      </c>
      <c r="O61" s="1" t="s">
        <v>37</v>
      </c>
    </row>
    <row x14ac:dyDescent="0.25" r="62" customHeight="1" ht="17.25">
      <c r="A62" s="1" t="s">
        <v>34</v>
      </c>
      <c r="B62" s="1" t="s">
        <v>25</v>
      </c>
      <c r="C62" s="1"/>
      <c r="D62" s="5">
        <v>0</v>
      </c>
      <c r="E62" s="5">
        <v>0</v>
      </c>
      <c r="F62" s="5">
        <v>3</v>
      </c>
      <c r="G62" s="5">
        <v>3</v>
      </c>
      <c r="H62" s="5">
        <v>0</v>
      </c>
      <c r="I62" s="5">
        <v>24</v>
      </c>
      <c r="J62" s="5">
        <v>0</v>
      </c>
      <c r="K62" s="5">
        <v>6</v>
      </c>
      <c r="L62" s="4">
        <f>0.30532+250</f>
      </c>
      <c r="M62" s="14">
        <f>L62/2.83168</f>
      </c>
      <c r="N62" s="1" t="s">
        <v>36</v>
      </c>
      <c r="O62" s="1" t="s">
        <v>37</v>
      </c>
    </row>
    <row x14ac:dyDescent="0.25" r="63" customHeight="1" ht="17.25">
      <c r="A63" s="1" t="s">
        <v>34</v>
      </c>
      <c r="B63" s="1" t="s">
        <v>25</v>
      </c>
      <c r="C63" s="1"/>
      <c r="D63" s="5">
        <v>10</v>
      </c>
      <c r="E63" s="4">
        <f>D63*2.83168</f>
      </c>
      <c r="F63" s="5">
        <v>3</v>
      </c>
      <c r="G63" s="5">
        <v>3</v>
      </c>
      <c r="H63" s="5">
        <v>0</v>
      </c>
      <c r="I63" s="5">
        <v>24</v>
      </c>
      <c r="J63" s="5">
        <v>0</v>
      </c>
      <c r="K63" s="5">
        <v>6</v>
      </c>
      <c r="L63" s="4">
        <f>0.2632+0.30532</f>
      </c>
      <c r="M63" s="14">
        <f>L63/2.83168</f>
      </c>
      <c r="N63" s="1" t="s">
        <v>36</v>
      </c>
      <c r="O63" s="1" t="s">
        <v>37</v>
      </c>
    </row>
    <row x14ac:dyDescent="0.25" r="64" customHeight="1" ht="17.25">
      <c r="A64" s="1" t="s">
        <v>34</v>
      </c>
      <c r="B64" s="1" t="s">
        <v>25</v>
      </c>
      <c r="C64" s="1"/>
      <c r="D64" s="5">
        <v>0</v>
      </c>
      <c r="E64" s="5">
        <v>0</v>
      </c>
      <c r="F64" s="5">
        <v>4</v>
      </c>
      <c r="G64" s="5">
        <v>4</v>
      </c>
      <c r="H64" s="5">
        <v>0</v>
      </c>
      <c r="I64" s="5">
        <v>24</v>
      </c>
      <c r="J64" s="5">
        <v>0</v>
      </c>
      <c r="K64" s="5">
        <v>6</v>
      </c>
      <c r="L64" s="4">
        <f>0.31388+250</f>
      </c>
      <c r="M64" s="14">
        <f>L64/2.83168</f>
      </c>
      <c r="N64" s="1" t="s">
        <v>36</v>
      </c>
      <c r="O64" s="1" t="s">
        <v>37</v>
      </c>
    </row>
    <row x14ac:dyDescent="0.25" r="65" customHeight="1" ht="17.25">
      <c r="A65" s="1" t="s">
        <v>34</v>
      </c>
      <c r="B65" s="1" t="s">
        <v>25</v>
      </c>
      <c r="C65" s="1"/>
      <c r="D65" s="5">
        <v>10</v>
      </c>
      <c r="E65" s="4">
        <f>D65*2.83168</f>
      </c>
      <c r="F65" s="5">
        <v>4</v>
      </c>
      <c r="G65" s="5">
        <v>4</v>
      </c>
      <c r="H65" s="5">
        <v>0</v>
      </c>
      <c r="I65" s="5">
        <v>24</v>
      </c>
      <c r="J65" s="5">
        <v>0</v>
      </c>
      <c r="K65" s="5">
        <v>6</v>
      </c>
      <c r="L65" s="4">
        <f>0.2632+0.31388</f>
      </c>
      <c r="M65" s="14">
        <f>L65/2.83168</f>
      </c>
      <c r="N65" s="1" t="s">
        <v>36</v>
      </c>
      <c r="O65" s="1" t="s">
        <v>37</v>
      </c>
    </row>
    <row x14ac:dyDescent="0.25" r="66" customHeight="1" ht="17.25">
      <c r="A66" s="1" t="s">
        <v>34</v>
      </c>
      <c r="B66" s="1" t="s">
        <v>25</v>
      </c>
      <c r="C66" s="1"/>
      <c r="D66" s="5">
        <v>0</v>
      </c>
      <c r="E66" s="5">
        <v>0</v>
      </c>
      <c r="F66" s="5">
        <v>5</v>
      </c>
      <c r="G66" s="5">
        <v>5</v>
      </c>
      <c r="H66" s="5">
        <v>0</v>
      </c>
      <c r="I66" s="5">
        <v>24</v>
      </c>
      <c r="J66" s="5">
        <v>0</v>
      </c>
      <c r="K66" s="5">
        <v>6</v>
      </c>
      <c r="L66" s="4">
        <f>0.264282+250</f>
      </c>
      <c r="M66" s="14">
        <f>L66/2.83168</f>
      </c>
      <c r="N66" s="1" t="s">
        <v>36</v>
      </c>
      <c r="O66" s="1" t="s">
        <v>37</v>
      </c>
    </row>
    <row x14ac:dyDescent="0.25" r="67" customHeight="1" ht="17.25">
      <c r="A67" s="1" t="s">
        <v>34</v>
      </c>
      <c r="B67" s="1" t="s">
        <v>25</v>
      </c>
      <c r="C67" s="1"/>
      <c r="D67" s="5">
        <v>10</v>
      </c>
      <c r="E67" s="4">
        <f>D67*2.83168</f>
      </c>
      <c r="F67" s="5">
        <v>5</v>
      </c>
      <c r="G67" s="5">
        <v>5</v>
      </c>
      <c r="H67" s="5">
        <v>0</v>
      </c>
      <c r="I67" s="5">
        <v>24</v>
      </c>
      <c r="J67" s="5">
        <v>0</v>
      </c>
      <c r="K67" s="5">
        <v>6</v>
      </c>
      <c r="L67" s="4">
        <f>0.2632+0.264282</f>
      </c>
      <c r="M67" s="14">
        <f>L67/2.83168</f>
      </c>
      <c r="N67" s="1" t="s">
        <v>36</v>
      </c>
      <c r="O67" s="1" t="s">
        <v>37</v>
      </c>
    </row>
    <row x14ac:dyDescent="0.25" r="68" customHeight="1" ht="17.25">
      <c r="A68" s="1" t="s">
        <v>34</v>
      </c>
      <c r="B68" s="1" t="s">
        <v>25</v>
      </c>
      <c r="C68" s="1"/>
      <c r="D68" s="5">
        <v>0</v>
      </c>
      <c r="E68" s="5">
        <v>0</v>
      </c>
      <c r="F68" s="5">
        <v>6</v>
      </c>
      <c r="G68" s="5">
        <v>6</v>
      </c>
      <c r="H68" s="5">
        <v>0</v>
      </c>
      <c r="I68" s="5">
        <v>24</v>
      </c>
      <c r="J68" s="5">
        <v>0</v>
      </c>
      <c r="K68" s="5">
        <v>6</v>
      </c>
      <c r="L68" s="4">
        <f>0.336001+250</f>
      </c>
      <c r="M68" s="14">
        <f>L68/2.83168</f>
      </c>
      <c r="N68" s="1" t="s">
        <v>36</v>
      </c>
      <c r="O68" s="1" t="s">
        <v>37</v>
      </c>
    </row>
    <row x14ac:dyDescent="0.25" r="69" customHeight="1" ht="17.25">
      <c r="A69" s="1" t="s">
        <v>34</v>
      </c>
      <c r="B69" s="1" t="s">
        <v>25</v>
      </c>
      <c r="C69" s="1"/>
      <c r="D69" s="5">
        <v>10</v>
      </c>
      <c r="E69" s="4">
        <v>28.3168</v>
      </c>
      <c r="F69" s="5">
        <v>6</v>
      </c>
      <c r="G69" s="5">
        <v>6</v>
      </c>
      <c r="H69" s="5">
        <v>0</v>
      </c>
      <c r="I69" s="5">
        <v>24</v>
      </c>
      <c r="J69" s="5">
        <v>0</v>
      </c>
      <c r="K69" s="5">
        <v>6</v>
      </c>
      <c r="L69" s="4">
        <f>0.2632+0.336001</f>
      </c>
      <c r="M69" s="14">
        <f>L69/2.83168</f>
      </c>
      <c r="N69" s="1" t="s">
        <v>36</v>
      </c>
      <c r="O69" s="1" t="s">
        <v>37</v>
      </c>
    </row>
    <row x14ac:dyDescent="0.25" r="70" customHeight="1" ht="17.25">
      <c r="A70" s="1" t="s">
        <v>34</v>
      </c>
      <c r="B70" s="1" t="s">
        <v>25</v>
      </c>
      <c r="C70" s="1"/>
      <c r="D70" s="5">
        <v>0</v>
      </c>
      <c r="E70" s="5">
        <v>0</v>
      </c>
      <c r="F70" s="5">
        <v>7</v>
      </c>
      <c r="G70" s="5">
        <v>7</v>
      </c>
      <c r="H70" s="5">
        <v>0</v>
      </c>
      <c r="I70" s="5">
        <v>24</v>
      </c>
      <c r="J70" s="5">
        <v>0</v>
      </c>
      <c r="K70" s="5">
        <v>6</v>
      </c>
      <c r="L70" s="4">
        <f>0.382348+250</f>
      </c>
      <c r="M70" s="14">
        <f>L70/2.83168</f>
      </c>
      <c r="N70" s="1" t="s">
        <v>36</v>
      </c>
      <c r="O70" s="1" t="s">
        <v>37</v>
      </c>
    </row>
    <row x14ac:dyDescent="0.25" r="71" customHeight="1" ht="17.25">
      <c r="A71" s="1" t="s">
        <v>34</v>
      </c>
      <c r="B71" s="1" t="s">
        <v>25</v>
      </c>
      <c r="C71" s="1"/>
      <c r="D71" s="5">
        <v>10</v>
      </c>
      <c r="E71" s="4">
        <v>28.3168</v>
      </c>
      <c r="F71" s="5">
        <v>7</v>
      </c>
      <c r="G71" s="5">
        <v>7</v>
      </c>
      <c r="H71" s="5">
        <v>0</v>
      </c>
      <c r="I71" s="5">
        <v>24</v>
      </c>
      <c r="J71" s="5">
        <v>0</v>
      </c>
      <c r="K71" s="5">
        <v>6</v>
      </c>
      <c r="L71" s="4">
        <f>0.2632+0.382348</f>
      </c>
      <c r="M71" s="14">
        <f>L71/2.83168</f>
      </c>
      <c r="N71" s="1" t="s">
        <v>36</v>
      </c>
      <c r="O71" s="1" t="s">
        <v>37</v>
      </c>
    </row>
    <row x14ac:dyDescent="0.25" r="72" customHeight="1" ht="17.25">
      <c r="A72" s="1" t="s">
        <v>34</v>
      </c>
      <c r="B72" s="1" t="s">
        <v>25</v>
      </c>
      <c r="C72" s="1"/>
      <c r="D72" s="5">
        <v>0</v>
      </c>
      <c r="E72" s="5">
        <v>0</v>
      </c>
      <c r="F72" s="5">
        <v>8</v>
      </c>
      <c r="G72" s="5">
        <v>8</v>
      </c>
      <c r="H72" s="5">
        <v>0</v>
      </c>
      <c r="I72" s="5">
        <v>24</v>
      </c>
      <c r="J72" s="5">
        <v>0</v>
      </c>
      <c r="K72" s="5">
        <v>6</v>
      </c>
      <c r="L72" s="4">
        <f>0.362432+250</f>
      </c>
      <c r="M72" s="14">
        <f>L72/2.83168</f>
      </c>
      <c r="N72" s="1" t="s">
        <v>36</v>
      </c>
      <c r="O72" s="1" t="s">
        <v>37</v>
      </c>
    </row>
    <row x14ac:dyDescent="0.25" r="73" customHeight="1" ht="17.25">
      <c r="A73" s="1" t="s">
        <v>34</v>
      </c>
      <c r="B73" s="1" t="s">
        <v>25</v>
      </c>
      <c r="C73" s="1"/>
      <c r="D73" s="5">
        <v>10</v>
      </c>
      <c r="E73" s="4">
        <v>28.3168</v>
      </c>
      <c r="F73" s="5">
        <v>8</v>
      </c>
      <c r="G73" s="5">
        <v>8</v>
      </c>
      <c r="H73" s="5">
        <v>0</v>
      </c>
      <c r="I73" s="5">
        <v>24</v>
      </c>
      <c r="J73" s="5">
        <v>0</v>
      </c>
      <c r="K73" s="5">
        <v>6</v>
      </c>
      <c r="L73" s="4">
        <f>0.2632+0.362432</f>
      </c>
      <c r="M73" s="14">
        <f>L73/2.83168</f>
      </c>
      <c r="N73" s="1" t="s">
        <v>36</v>
      </c>
      <c r="O73" s="1" t="s">
        <v>37</v>
      </c>
    </row>
    <row x14ac:dyDescent="0.25" r="74" customHeight="1" ht="17.25">
      <c r="A74" s="1" t="s">
        <v>34</v>
      </c>
      <c r="B74" s="1" t="s">
        <v>25</v>
      </c>
      <c r="C74" s="1"/>
      <c r="D74" s="5">
        <v>0</v>
      </c>
      <c r="E74" s="5">
        <v>0</v>
      </c>
      <c r="F74" s="5">
        <v>9</v>
      </c>
      <c r="G74" s="5">
        <v>9</v>
      </c>
      <c r="H74" s="5">
        <v>0</v>
      </c>
      <c r="I74" s="5">
        <v>24</v>
      </c>
      <c r="J74" s="5">
        <v>0</v>
      </c>
      <c r="K74" s="5">
        <v>6</v>
      </c>
      <c r="L74" s="4">
        <f>0.426913+250</f>
      </c>
      <c r="M74" s="14">
        <f>L74/2.83168</f>
      </c>
      <c r="N74" s="1" t="s">
        <v>36</v>
      </c>
      <c r="O74" s="1" t="s">
        <v>37</v>
      </c>
    </row>
    <row x14ac:dyDescent="0.25" r="75" customHeight="1" ht="17.25">
      <c r="A75" s="1" t="s">
        <v>34</v>
      </c>
      <c r="B75" s="1" t="s">
        <v>25</v>
      </c>
      <c r="C75" s="1"/>
      <c r="D75" s="5">
        <v>10</v>
      </c>
      <c r="E75" s="4">
        <v>28.3168</v>
      </c>
      <c r="F75" s="5">
        <v>9</v>
      </c>
      <c r="G75" s="5">
        <v>9</v>
      </c>
      <c r="H75" s="5">
        <v>0</v>
      </c>
      <c r="I75" s="5">
        <v>24</v>
      </c>
      <c r="J75" s="5">
        <v>0</v>
      </c>
      <c r="K75" s="5">
        <v>6</v>
      </c>
      <c r="L75" s="4">
        <f>0.2632+0.426913</f>
      </c>
      <c r="M75" s="14">
        <f>L75/2.83168</f>
      </c>
      <c r="N75" s="1" t="s">
        <v>36</v>
      </c>
      <c r="O75" s="1" t="s">
        <v>37</v>
      </c>
    </row>
    <row x14ac:dyDescent="0.25" r="76" customHeight="1" ht="17.25">
      <c r="A76" s="1" t="s">
        <v>34</v>
      </c>
      <c r="B76" s="1" t="s">
        <v>25</v>
      </c>
      <c r="C76" s="1"/>
      <c r="D76" s="5">
        <v>0</v>
      </c>
      <c r="E76" s="5">
        <v>0</v>
      </c>
      <c r="F76" s="5">
        <v>10</v>
      </c>
      <c r="G76" s="5">
        <v>10</v>
      </c>
      <c r="H76" s="5">
        <v>0</v>
      </c>
      <c r="I76" s="5">
        <v>24</v>
      </c>
      <c r="J76" s="5">
        <v>0</v>
      </c>
      <c r="K76" s="5">
        <v>6</v>
      </c>
      <c r="L76" s="4">
        <f>0.567246+250</f>
      </c>
      <c r="M76" s="14">
        <f>L76/2.83168</f>
      </c>
      <c r="N76" s="1" t="s">
        <v>36</v>
      </c>
      <c r="O76" s="1" t="s">
        <v>37</v>
      </c>
    </row>
    <row x14ac:dyDescent="0.25" r="77" customHeight="1" ht="17.25">
      <c r="A77" s="1" t="s">
        <v>34</v>
      </c>
      <c r="B77" s="1" t="s">
        <v>25</v>
      </c>
      <c r="C77" s="1"/>
      <c r="D77" s="5">
        <v>10</v>
      </c>
      <c r="E77" s="4">
        <v>28.3168</v>
      </c>
      <c r="F77" s="5">
        <v>10</v>
      </c>
      <c r="G77" s="5">
        <v>10</v>
      </c>
      <c r="H77" s="5">
        <v>0</v>
      </c>
      <c r="I77" s="5">
        <v>24</v>
      </c>
      <c r="J77" s="5">
        <v>0</v>
      </c>
      <c r="K77" s="5">
        <v>6</v>
      </c>
      <c r="L77" s="4">
        <f>0.2632+0.567246</f>
      </c>
      <c r="M77" s="14">
        <f>L77/2.83168</f>
      </c>
      <c r="N77" s="1" t="s">
        <v>36</v>
      </c>
      <c r="O77" s="1" t="s">
        <v>37</v>
      </c>
    </row>
    <row x14ac:dyDescent="0.25" r="78" customHeight="1" ht="17.25">
      <c r="A78" s="1" t="s">
        <v>34</v>
      </c>
      <c r="B78" s="1" t="s">
        <v>25</v>
      </c>
      <c r="C78" s="1"/>
      <c r="D78" s="5">
        <v>0</v>
      </c>
      <c r="E78" s="5">
        <v>0</v>
      </c>
      <c r="F78" s="5">
        <v>11</v>
      </c>
      <c r="G78" s="5">
        <v>11</v>
      </c>
      <c r="H78" s="5">
        <v>0</v>
      </c>
      <c r="I78" s="5">
        <v>24</v>
      </c>
      <c r="J78" s="5">
        <v>0</v>
      </c>
      <c r="K78" s="5">
        <v>6</v>
      </c>
      <c r="L78" s="4">
        <f>0.58759+250</f>
      </c>
      <c r="M78" s="14">
        <f>L78/2.83168</f>
      </c>
      <c r="N78" s="1" t="s">
        <v>36</v>
      </c>
      <c r="O78" s="1" t="s">
        <v>37</v>
      </c>
    </row>
    <row x14ac:dyDescent="0.25" r="79" customHeight="1" ht="17.25">
      <c r="A79" s="1" t="s">
        <v>34</v>
      </c>
      <c r="B79" s="1" t="s">
        <v>25</v>
      </c>
      <c r="C79" s="1"/>
      <c r="D79" s="5">
        <v>10</v>
      </c>
      <c r="E79" s="4">
        <v>28.3168</v>
      </c>
      <c r="F79" s="5">
        <v>11</v>
      </c>
      <c r="G79" s="5">
        <v>11</v>
      </c>
      <c r="H79" s="5">
        <v>0</v>
      </c>
      <c r="I79" s="5">
        <v>24</v>
      </c>
      <c r="J79" s="5">
        <v>0</v>
      </c>
      <c r="K79" s="5">
        <v>6</v>
      </c>
      <c r="L79" s="4">
        <f>0.2632+0.58759</f>
      </c>
      <c r="M79" s="14">
        <f>L79/2.83168</f>
      </c>
      <c r="N79" s="1" t="s">
        <v>36</v>
      </c>
      <c r="O79" s="1" t="s">
        <v>37</v>
      </c>
    </row>
    <row x14ac:dyDescent="0.25" r="80" customHeight="1" ht="17.25">
      <c r="A80" s="1" t="s">
        <v>34</v>
      </c>
      <c r="B80" s="1" t="s">
        <v>25</v>
      </c>
      <c r="C80" s="1"/>
      <c r="D80" s="5">
        <v>0</v>
      </c>
      <c r="E80" s="5">
        <v>0</v>
      </c>
      <c r="F80" s="5">
        <v>12</v>
      </c>
      <c r="G80" s="5">
        <v>12</v>
      </c>
      <c r="H80" s="5">
        <v>0</v>
      </c>
      <c r="I80" s="5">
        <v>24</v>
      </c>
      <c r="J80" s="5">
        <v>0</v>
      </c>
      <c r="K80" s="5">
        <v>6</v>
      </c>
      <c r="L80" s="4">
        <f>0.55643+250</f>
      </c>
      <c r="M80" s="14">
        <f>L80/2.83168</f>
      </c>
      <c r="N80" s="1" t="s">
        <v>36</v>
      </c>
      <c r="O80" s="1" t="s">
        <v>37</v>
      </c>
    </row>
    <row x14ac:dyDescent="0.25" r="81" customHeight="1" ht="17.25">
      <c r="A81" s="1" t="s">
        <v>34</v>
      </c>
      <c r="B81" s="1" t="s">
        <v>25</v>
      </c>
      <c r="C81" s="1"/>
      <c r="D81" s="5">
        <v>10</v>
      </c>
      <c r="E81" s="4">
        <v>28.3168</v>
      </c>
      <c r="F81" s="5">
        <v>12</v>
      </c>
      <c r="G81" s="5">
        <v>12</v>
      </c>
      <c r="H81" s="5">
        <v>0</v>
      </c>
      <c r="I81" s="5">
        <v>24</v>
      </c>
      <c r="J81" s="5">
        <v>0</v>
      </c>
      <c r="K81" s="5">
        <v>6</v>
      </c>
      <c r="L81" s="4">
        <f>0.2632+0.55643</f>
      </c>
      <c r="M81" s="14">
        <f>L81/2.83168</f>
      </c>
      <c r="N81" s="1" t="s">
        <v>36</v>
      </c>
      <c r="O81" s="1" t="s">
        <v>37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f>370.81+21.54</f>
      </c>
      <c r="M2" s="4">
        <f>370.81+21.54</f>
      </c>
      <c r="N2" s="1" t="s">
        <v>15</v>
      </c>
      <c r="O2" s="1"/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1.7531</v>
      </c>
      <c r="M3" s="4">
        <v>1.7531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47</v>
      </c>
      <c r="D4" s="5">
        <v>0</v>
      </c>
      <c r="E4" s="5">
        <v>0</v>
      </c>
      <c r="F4" s="5">
        <v>6</v>
      </c>
      <c r="G4" s="5">
        <v>9</v>
      </c>
      <c r="H4" s="5">
        <v>7</v>
      </c>
      <c r="I4" s="5">
        <v>21</v>
      </c>
      <c r="J4" s="5">
        <v>0</v>
      </c>
      <c r="K4" s="5">
        <v>4</v>
      </c>
      <c r="L4" s="4">
        <v>9.7321</v>
      </c>
      <c r="M4" s="4">
        <v>9.7321</v>
      </c>
      <c r="N4" s="1" t="s">
        <v>19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24</v>
      </c>
      <c r="J5" s="5">
        <v>0</v>
      </c>
      <c r="K5" s="5">
        <v>6</v>
      </c>
      <c r="L5" s="11">
        <v>0.03026328046</v>
      </c>
      <c r="M5" s="11">
        <v>0.03026328046</v>
      </c>
      <c r="N5" s="1" t="s">
        <v>26</v>
      </c>
      <c r="O5" s="1" t="s">
        <v>49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2</v>
      </c>
      <c r="G6" s="5">
        <v>2</v>
      </c>
      <c r="H6" s="5">
        <v>0</v>
      </c>
      <c r="I6" s="5">
        <v>24</v>
      </c>
      <c r="J6" s="5">
        <v>0</v>
      </c>
      <c r="K6" s="5">
        <v>6</v>
      </c>
      <c r="L6" s="11">
        <v>0.04197765785</v>
      </c>
      <c r="M6" s="11">
        <v>0.04197765785</v>
      </c>
      <c r="N6" s="1" t="s">
        <v>26</v>
      </c>
      <c r="O6" s="1" t="s">
        <v>49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3</v>
      </c>
      <c r="G7" s="5">
        <v>3</v>
      </c>
      <c r="H7" s="5">
        <v>0</v>
      </c>
      <c r="I7" s="5">
        <v>24</v>
      </c>
      <c r="J7" s="5">
        <v>0</v>
      </c>
      <c r="K7" s="5">
        <v>6</v>
      </c>
      <c r="L7" s="11">
        <v>0.02246983126</v>
      </c>
      <c r="M7" s="11">
        <v>0.02246983126</v>
      </c>
      <c r="N7" s="1" t="s">
        <v>26</v>
      </c>
      <c r="O7" s="1" t="s">
        <v>49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4</v>
      </c>
      <c r="G8" s="5">
        <v>4</v>
      </c>
      <c r="H8" s="5">
        <v>0</v>
      </c>
      <c r="I8" s="5">
        <v>24</v>
      </c>
      <c r="J8" s="5">
        <v>0</v>
      </c>
      <c r="K8" s="5">
        <v>6</v>
      </c>
      <c r="L8" s="11">
        <v>0.02029172656</v>
      </c>
      <c r="M8" s="11">
        <v>0.02029172656</v>
      </c>
      <c r="N8" s="1" t="s">
        <v>26</v>
      </c>
      <c r="O8" s="1" t="s">
        <v>49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5</v>
      </c>
      <c r="G9" s="5">
        <v>5</v>
      </c>
      <c r="H9" s="5">
        <v>0</v>
      </c>
      <c r="I9" s="5">
        <v>24</v>
      </c>
      <c r="J9" s="5">
        <v>0</v>
      </c>
      <c r="K9" s="5">
        <v>6</v>
      </c>
      <c r="L9" s="11">
        <v>0.02401874148</v>
      </c>
      <c r="M9" s="11">
        <v>0.02401874148</v>
      </c>
      <c r="N9" s="1" t="s">
        <v>26</v>
      </c>
      <c r="O9" s="1" t="s">
        <v>49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6</v>
      </c>
      <c r="H10" s="5">
        <v>0</v>
      </c>
      <c r="I10" s="5">
        <v>7</v>
      </c>
      <c r="J10" s="5">
        <v>0</v>
      </c>
      <c r="K10" s="5">
        <v>4</v>
      </c>
      <c r="L10" s="11">
        <v>0.02185411019</v>
      </c>
      <c r="M10" s="11">
        <v>0.02185411019</v>
      </c>
      <c r="N10" s="1" t="s">
        <v>26</v>
      </c>
      <c r="O10" s="1" t="s">
        <v>49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6</v>
      </c>
      <c r="H11" s="5">
        <v>21</v>
      </c>
      <c r="I11" s="5">
        <v>24</v>
      </c>
      <c r="J11" s="5">
        <v>0</v>
      </c>
      <c r="K11" s="5">
        <v>4</v>
      </c>
      <c r="L11" s="11">
        <v>0.02185411019</v>
      </c>
      <c r="M11" s="11">
        <v>0.02185411019</v>
      </c>
      <c r="N11" s="1" t="s">
        <v>26</v>
      </c>
      <c r="O11" s="1" t="s">
        <v>49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6</v>
      </c>
      <c r="H12" s="5">
        <v>7</v>
      </c>
      <c r="I12" s="5">
        <v>21</v>
      </c>
      <c r="J12" s="5">
        <v>0</v>
      </c>
      <c r="K12" s="5">
        <v>4</v>
      </c>
      <c r="L12" s="11">
        <v>0.02827895213</v>
      </c>
      <c r="M12" s="11">
        <v>0.02827895213</v>
      </c>
      <c r="N12" s="1" t="s">
        <v>26</v>
      </c>
      <c r="O12" s="1" t="s">
        <v>49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6</v>
      </c>
      <c r="H13" s="5">
        <v>0</v>
      </c>
      <c r="I13" s="5">
        <v>24</v>
      </c>
      <c r="J13" s="5">
        <v>5</v>
      </c>
      <c r="K13" s="5">
        <v>6</v>
      </c>
      <c r="L13" s="11">
        <v>0.02185411019</v>
      </c>
      <c r="M13" s="11">
        <v>0.02185411019</v>
      </c>
      <c r="N13" s="1" t="s">
        <v>26</v>
      </c>
      <c r="O13" s="1" t="s">
        <v>49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7</v>
      </c>
      <c r="G14" s="5">
        <v>7</v>
      </c>
      <c r="H14" s="5">
        <v>0</v>
      </c>
      <c r="I14" s="5">
        <v>7</v>
      </c>
      <c r="J14" s="5">
        <v>0</v>
      </c>
      <c r="K14" s="5">
        <v>4</v>
      </c>
      <c r="L14" s="11">
        <v>0.02547955439</v>
      </c>
      <c r="M14" s="11">
        <v>0.02547955439</v>
      </c>
      <c r="N14" s="1" t="s">
        <v>26</v>
      </c>
      <c r="O14" s="1" t="s">
        <v>49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7</v>
      </c>
      <c r="G15" s="5">
        <v>7</v>
      </c>
      <c r="H15" s="5">
        <v>21</v>
      </c>
      <c r="I15" s="5">
        <v>24</v>
      </c>
      <c r="J15" s="5">
        <v>0</v>
      </c>
      <c r="K15" s="5">
        <v>4</v>
      </c>
      <c r="L15" s="11">
        <v>0.02547955439</v>
      </c>
      <c r="M15" s="11">
        <v>0.02547955439</v>
      </c>
      <c r="N15" s="1" t="s">
        <v>26</v>
      </c>
      <c r="O15" s="1" t="s">
        <v>49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7</v>
      </c>
      <c r="G16" s="5">
        <v>7</v>
      </c>
      <c r="H16" s="5">
        <v>7</v>
      </c>
      <c r="I16" s="5">
        <v>21</v>
      </c>
      <c r="J16" s="5">
        <v>0</v>
      </c>
      <c r="K16" s="5">
        <v>4</v>
      </c>
      <c r="L16" s="11">
        <v>0.03298182177</v>
      </c>
      <c r="M16" s="11">
        <v>0.03298182177</v>
      </c>
      <c r="N16" s="1" t="s">
        <v>26</v>
      </c>
      <c r="O16" s="1" t="s">
        <v>49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7</v>
      </c>
      <c r="G17" s="5">
        <v>7</v>
      </c>
      <c r="H17" s="5">
        <v>0</v>
      </c>
      <c r="I17" s="5">
        <v>24</v>
      </c>
      <c r="J17" s="5">
        <v>5</v>
      </c>
      <c r="K17" s="5">
        <v>6</v>
      </c>
      <c r="L17" s="11">
        <v>0.02547955439</v>
      </c>
      <c r="M17" s="11">
        <v>0.02547955439</v>
      </c>
      <c r="N17" s="1" t="s">
        <v>26</v>
      </c>
      <c r="O17" s="1" t="s">
        <v>49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8</v>
      </c>
      <c r="G18" s="5">
        <v>8</v>
      </c>
      <c r="H18" s="5">
        <v>0</v>
      </c>
      <c r="I18" s="5">
        <v>7</v>
      </c>
      <c r="J18" s="5">
        <v>0</v>
      </c>
      <c r="K18" s="5">
        <v>4</v>
      </c>
      <c r="L18" s="11">
        <v>0.03039418679</v>
      </c>
      <c r="M18" s="11">
        <v>0.03039418679</v>
      </c>
      <c r="N18" s="1" t="s">
        <v>26</v>
      </c>
      <c r="O18" s="1" t="s">
        <v>49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8</v>
      </c>
      <c r="G19" s="5">
        <v>8</v>
      </c>
      <c r="H19" s="5">
        <v>21</v>
      </c>
      <c r="I19" s="5">
        <v>24</v>
      </c>
      <c r="J19" s="5">
        <v>0</v>
      </c>
      <c r="K19" s="5">
        <v>4</v>
      </c>
      <c r="L19" s="11">
        <v>0.03039418679</v>
      </c>
      <c r="M19" s="11">
        <v>0.03039418679</v>
      </c>
      <c r="N19" s="1" t="s">
        <v>26</v>
      </c>
      <c r="O19" s="1" t="s">
        <v>49</v>
      </c>
    </row>
    <row x14ac:dyDescent="0.25" r="20" customHeight="1" ht="17.25">
      <c r="A20" s="1" t="s">
        <v>13</v>
      </c>
      <c r="B20" s="1" t="s">
        <v>25</v>
      </c>
      <c r="C20" s="1"/>
      <c r="D20" s="5">
        <v>0</v>
      </c>
      <c r="E20" s="5">
        <v>0</v>
      </c>
      <c r="F20" s="5">
        <v>8</v>
      </c>
      <c r="G20" s="5">
        <v>8</v>
      </c>
      <c r="H20" s="5">
        <v>7</v>
      </c>
      <c r="I20" s="5">
        <v>21</v>
      </c>
      <c r="J20" s="5">
        <v>0</v>
      </c>
      <c r="K20" s="5">
        <v>4</v>
      </c>
      <c r="L20" s="11">
        <v>0.04021782333</v>
      </c>
      <c r="M20" s="11">
        <v>0.04021782333</v>
      </c>
      <c r="N20" s="1" t="s">
        <v>26</v>
      </c>
      <c r="O20" s="1" t="s">
        <v>49</v>
      </c>
    </row>
    <row x14ac:dyDescent="0.25" r="21" customHeight="1" ht="17.25">
      <c r="A21" s="1" t="s">
        <v>13</v>
      </c>
      <c r="B21" s="1" t="s">
        <v>25</v>
      </c>
      <c r="C21" s="1"/>
      <c r="D21" s="5">
        <v>0</v>
      </c>
      <c r="E21" s="5">
        <v>0</v>
      </c>
      <c r="F21" s="5">
        <v>8</v>
      </c>
      <c r="G21" s="5">
        <v>8</v>
      </c>
      <c r="H21" s="5">
        <v>0</v>
      </c>
      <c r="I21" s="5">
        <v>24</v>
      </c>
      <c r="J21" s="5">
        <v>5</v>
      </c>
      <c r="K21" s="5">
        <v>6</v>
      </c>
      <c r="L21" s="11">
        <v>0.03039418679</v>
      </c>
      <c r="M21" s="11">
        <v>0.03039418679</v>
      </c>
      <c r="N21" s="1" t="s">
        <v>26</v>
      </c>
      <c r="O21" s="1" t="s">
        <v>49</v>
      </c>
    </row>
    <row x14ac:dyDescent="0.25" r="22" customHeight="1" ht="17.25">
      <c r="A22" s="1" t="s">
        <v>13</v>
      </c>
      <c r="B22" s="1" t="s">
        <v>25</v>
      </c>
      <c r="C22" s="1"/>
      <c r="D22" s="5">
        <v>0</v>
      </c>
      <c r="E22" s="5">
        <v>0</v>
      </c>
      <c r="F22" s="5">
        <v>9</v>
      </c>
      <c r="G22" s="5">
        <v>9</v>
      </c>
      <c r="H22" s="5">
        <v>0</v>
      </c>
      <c r="I22" s="5">
        <v>7</v>
      </c>
      <c r="J22" s="5">
        <v>0</v>
      </c>
      <c r="K22" s="5">
        <v>4</v>
      </c>
      <c r="L22" s="11">
        <v>0.03288250393</v>
      </c>
      <c r="M22" s="11">
        <v>0.03288250393</v>
      </c>
      <c r="N22" s="1" t="s">
        <v>26</v>
      </c>
      <c r="O22" s="1" t="s">
        <v>49</v>
      </c>
    </row>
    <row x14ac:dyDescent="0.25" r="23" customHeight="1" ht="17.25">
      <c r="A23" s="1" t="s">
        <v>13</v>
      </c>
      <c r="B23" s="1" t="s">
        <v>25</v>
      </c>
      <c r="C23" s="1"/>
      <c r="D23" s="5">
        <v>0</v>
      </c>
      <c r="E23" s="5">
        <v>0</v>
      </c>
      <c r="F23" s="5">
        <v>9</v>
      </c>
      <c r="G23" s="5">
        <v>9</v>
      </c>
      <c r="H23" s="5">
        <v>21</v>
      </c>
      <c r="I23" s="5">
        <v>24</v>
      </c>
      <c r="J23" s="5">
        <v>0</v>
      </c>
      <c r="K23" s="5">
        <v>4</v>
      </c>
      <c r="L23" s="11">
        <v>0.03288250393</v>
      </c>
      <c r="M23" s="11">
        <v>0.03288250393</v>
      </c>
      <c r="N23" s="1" t="s">
        <v>26</v>
      </c>
      <c r="O23" s="1" t="s">
        <v>49</v>
      </c>
    </row>
    <row x14ac:dyDescent="0.25" r="24" customHeight="1" ht="17.25">
      <c r="A24" s="1" t="s">
        <v>13</v>
      </c>
      <c r="B24" s="1" t="s">
        <v>25</v>
      </c>
      <c r="C24" s="1"/>
      <c r="D24" s="5">
        <v>0</v>
      </c>
      <c r="E24" s="5">
        <v>0</v>
      </c>
      <c r="F24" s="5">
        <v>9</v>
      </c>
      <c r="G24" s="5">
        <v>9</v>
      </c>
      <c r="H24" s="5">
        <v>7</v>
      </c>
      <c r="I24" s="5">
        <v>21</v>
      </c>
      <c r="J24" s="5">
        <v>0</v>
      </c>
      <c r="K24" s="5">
        <v>4</v>
      </c>
      <c r="L24" s="11">
        <v>0.04111021253</v>
      </c>
      <c r="M24" s="11">
        <v>0.04111021253</v>
      </c>
      <c r="N24" s="1" t="s">
        <v>26</v>
      </c>
      <c r="O24" s="1" t="s">
        <v>49</v>
      </c>
    </row>
    <row x14ac:dyDescent="0.25" r="25" customHeight="1" ht="17.25">
      <c r="A25" s="1" t="s">
        <v>13</v>
      </c>
      <c r="B25" s="1" t="s">
        <v>25</v>
      </c>
      <c r="C25" s="1"/>
      <c r="D25" s="5">
        <v>0</v>
      </c>
      <c r="E25" s="5">
        <v>0</v>
      </c>
      <c r="F25" s="5">
        <v>9</v>
      </c>
      <c r="G25" s="5">
        <v>9</v>
      </c>
      <c r="H25" s="5">
        <v>0</v>
      </c>
      <c r="I25" s="5">
        <v>24</v>
      </c>
      <c r="J25" s="5">
        <v>5</v>
      </c>
      <c r="K25" s="5">
        <v>6</v>
      </c>
      <c r="L25" s="11">
        <v>0.03288250393</v>
      </c>
      <c r="M25" s="11">
        <v>0.03288250393</v>
      </c>
      <c r="N25" s="1" t="s">
        <v>26</v>
      </c>
      <c r="O25" s="1" t="s">
        <v>49</v>
      </c>
    </row>
    <row x14ac:dyDescent="0.25" r="26" customHeight="1" ht="17.25">
      <c r="A26" s="1" t="s">
        <v>13</v>
      </c>
      <c r="B26" s="1" t="s">
        <v>25</v>
      </c>
      <c r="C26" s="1"/>
      <c r="D26" s="5">
        <v>0</v>
      </c>
      <c r="E26" s="5">
        <v>0</v>
      </c>
      <c r="F26" s="5">
        <v>10</v>
      </c>
      <c r="G26" s="5">
        <v>10</v>
      </c>
      <c r="H26" s="5">
        <v>0</v>
      </c>
      <c r="I26" s="5">
        <v>24</v>
      </c>
      <c r="J26" s="5">
        <v>0</v>
      </c>
      <c r="K26" s="5">
        <v>6</v>
      </c>
      <c r="L26" s="11">
        <v>0.04695841244</v>
      </c>
      <c r="M26" s="11">
        <v>0.04695841244</v>
      </c>
      <c r="N26" s="1" t="s">
        <v>26</v>
      </c>
      <c r="O26" s="1" t="s">
        <v>49</v>
      </c>
    </row>
    <row x14ac:dyDescent="0.25" r="27" customHeight="1" ht="17.25">
      <c r="A27" s="1" t="s">
        <v>13</v>
      </c>
      <c r="B27" s="1" t="s">
        <v>25</v>
      </c>
      <c r="C27" s="1"/>
      <c r="D27" s="5">
        <v>0</v>
      </c>
      <c r="E27" s="5">
        <v>0</v>
      </c>
      <c r="F27" s="5">
        <v>11</v>
      </c>
      <c r="G27" s="5">
        <v>11</v>
      </c>
      <c r="H27" s="5">
        <v>0</v>
      </c>
      <c r="I27" s="5">
        <v>24</v>
      </c>
      <c r="J27" s="5">
        <v>0</v>
      </c>
      <c r="K27" s="5">
        <v>6</v>
      </c>
      <c r="L27" s="11">
        <v>0.04758554855</v>
      </c>
      <c r="M27" s="11">
        <v>0.04758554855</v>
      </c>
      <c r="N27" s="1" t="s">
        <v>26</v>
      </c>
      <c r="O27" s="1" t="s">
        <v>49</v>
      </c>
    </row>
    <row x14ac:dyDescent="0.25" r="28" customHeight="1" ht="17.25">
      <c r="A28" s="1" t="s">
        <v>13</v>
      </c>
      <c r="B28" s="1" t="s">
        <v>25</v>
      </c>
      <c r="C28" s="1"/>
      <c r="D28" s="5">
        <v>0</v>
      </c>
      <c r="E28" s="5">
        <v>0</v>
      </c>
      <c r="F28" s="5">
        <v>12</v>
      </c>
      <c r="G28" s="5">
        <v>12</v>
      </c>
      <c r="H28" s="5">
        <v>0</v>
      </c>
      <c r="I28" s="5">
        <v>24</v>
      </c>
      <c r="J28" s="5">
        <v>0</v>
      </c>
      <c r="K28" s="5">
        <v>6</v>
      </c>
      <c r="L28" s="11">
        <v>0.03343870927</v>
      </c>
      <c r="M28" s="11">
        <v>0.03343870927</v>
      </c>
      <c r="N28" s="1" t="s">
        <v>26</v>
      </c>
      <c r="O28" s="1" t="s">
        <v>49</v>
      </c>
    </row>
    <row x14ac:dyDescent="0.25" r="29" customHeight="1" ht="17.25">
      <c r="A29" s="1" t="s">
        <v>34</v>
      </c>
      <c r="B29" s="1" t="s">
        <v>14</v>
      </c>
      <c r="C29" s="1"/>
      <c r="D29" s="2"/>
      <c r="E29" s="3"/>
      <c r="F29" s="2"/>
      <c r="G29" s="2"/>
      <c r="H29" s="2"/>
      <c r="I29" s="2"/>
      <c r="J29" s="2"/>
      <c r="K29" s="2"/>
      <c r="L29" s="4">
        <v>17.75</v>
      </c>
      <c r="M29" s="4">
        <v>17.75</v>
      </c>
      <c r="N29" s="1" t="s">
        <v>15</v>
      </c>
      <c r="O29" s="1"/>
    </row>
    <row x14ac:dyDescent="0.25" r="30" customHeight="1" ht="17.25">
      <c r="A30" s="1" t="s">
        <v>34</v>
      </c>
      <c r="B30" s="1" t="s">
        <v>17</v>
      </c>
      <c r="C30" s="1" t="s">
        <v>50</v>
      </c>
      <c r="D30" s="5">
        <v>0</v>
      </c>
      <c r="E30" s="5">
        <v>0</v>
      </c>
      <c r="F30" s="5">
        <v>1</v>
      </c>
      <c r="G30" s="5">
        <v>4</v>
      </c>
      <c r="H30" s="5">
        <v>0</v>
      </c>
      <c r="I30" s="5">
        <v>24</v>
      </c>
      <c r="J30" s="5">
        <v>0</v>
      </c>
      <c r="K30" s="5">
        <v>6</v>
      </c>
      <c r="L30" s="4">
        <f>4.0632 *24</f>
      </c>
      <c r="M30" s="11">
        <f>L30/2.83168</f>
      </c>
      <c r="N30" s="1" t="s">
        <v>35</v>
      </c>
      <c r="O30" s="1"/>
    </row>
    <row x14ac:dyDescent="0.25" r="31" customHeight="1" ht="17.25">
      <c r="A31" s="1" t="s">
        <v>34</v>
      </c>
      <c r="B31" s="1" t="s">
        <v>17</v>
      </c>
      <c r="C31" s="1" t="s">
        <v>50</v>
      </c>
      <c r="D31" s="5">
        <v>0</v>
      </c>
      <c r="E31" s="5">
        <v>0</v>
      </c>
      <c r="F31" s="5">
        <v>11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4.0632 *24</f>
      </c>
      <c r="M31" s="11">
        <f>L31/2.83168</f>
      </c>
      <c r="N31" s="1" t="s">
        <v>35</v>
      </c>
      <c r="O31" s="1"/>
    </row>
    <row x14ac:dyDescent="0.25" r="32" customHeight="1" ht="17.25">
      <c r="A32" s="1" t="s">
        <v>34</v>
      </c>
      <c r="B32" s="1" t="s">
        <v>25</v>
      </c>
      <c r="C32" s="1"/>
      <c r="D32" s="5">
        <v>0</v>
      </c>
      <c r="E32" s="5">
        <v>0</v>
      </c>
      <c r="F32" s="5">
        <v>1</v>
      </c>
      <c r="G32" s="5">
        <v>1</v>
      </c>
      <c r="H32" s="5">
        <v>0</v>
      </c>
      <c r="I32" s="5">
        <v>24</v>
      </c>
      <c r="J32" s="5">
        <v>0</v>
      </c>
      <c r="K32" s="5">
        <v>6</v>
      </c>
      <c r="L32" s="4">
        <f>0.043725+0.472702</f>
      </c>
      <c r="M32" s="11">
        <f>L32/2.83168</f>
      </c>
      <c r="N32" s="1" t="s">
        <v>36</v>
      </c>
      <c r="O32" s="1"/>
    </row>
    <row x14ac:dyDescent="0.25" r="33" customHeight="1" ht="17.25">
      <c r="A33" s="1" t="s">
        <v>34</v>
      </c>
      <c r="B33" s="1" t="s">
        <v>25</v>
      </c>
      <c r="C33" s="1"/>
      <c r="D33" s="5">
        <v>1000</v>
      </c>
      <c r="E33" s="4">
        <f>D33*2.83168</f>
      </c>
      <c r="F33" s="5">
        <v>1</v>
      </c>
      <c r="G33" s="5">
        <v>1</v>
      </c>
      <c r="H33" s="5">
        <v>0</v>
      </c>
      <c r="I33" s="5">
        <v>24</v>
      </c>
      <c r="J33" s="5">
        <v>0</v>
      </c>
      <c r="K33" s="5">
        <v>6</v>
      </c>
      <c r="L33" s="4">
        <f>0.043078+0.472702</f>
      </c>
      <c r="M33" s="11">
        <f>L33/2.83168</f>
      </c>
      <c r="N33" s="1" t="s">
        <v>36</v>
      </c>
      <c r="O33" s="1"/>
    </row>
    <row x14ac:dyDescent="0.25" r="34" customHeight="1" ht="17.25">
      <c r="A34" s="1" t="s">
        <v>34</v>
      </c>
      <c r="B34" s="1" t="s">
        <v>25</v>
      </c>
      <c r="C34" s="1"/>
      <c r="D34" s="5">
        <v>0</v>
      </c>
      <c r="E34" s="5">
        <v>0</v>
      </c>
      <c r="F34" s="5">
        <v>2</v>
      </c>
      <c r="G34" s="5">
        <v>2</v>
      </c>
      <c r="H34" s="5">
        <v>0</v>
      </c>
      <c r="I34" s="5">
        <v>24</v>
      </c>
      <c r="J34" s="5">
        <v>0</v>
      </c>
      <c r="K34" s="5">
        <v>6</v>
      </c>
      <c r="L34" s="4">
        <f>0.043725+0.5016</f>
      </c>
      <c r="M34" s="11">
        <f>L34/2.83168</f>
      </c>
      <c r="N34" s="1" t="s">
        <v>36</v>
      </c>
      <c r="O34" s="1"/>
    </row>
    <row x14ac:dyDescent="0.25" r="35" customHeight="1" ht="17.25">
      <c r="A35" s="1" t="s">
        <v>34</v>
      </c>
      <c r="B35" s="1" t="s">
        <v>25</v>
      </c>
      <c r="C35" s="1"/>
      <c r="D35" s="5">
        <v>1000</v>
      </c>
      <c r="E35" s="4">
        <f>D35*2.83168</f>
      </c>
      <c r="F35" s="5">
        <v>2</v>
      </c>
      <c r="G35" s="5">
        <v>2</v>
      </c>
      <c r="H35" s="5">
        <v>0</v>
      </c>
      <c r="I35" s="5">
        <v>24</v>
      </c>
      <c r="J35" s="5">
        <v>0</v>
      </c>
      <c r="K35" s="5">
        <v>6</v>
      </c>
      <c r="L35" s="4">
        <f>0.043078+0.5016</f>
      </c>
      <c r="M35" s="11">
        <f>L35/2.83168</f>
      </c>
      <c r="N35" s="1" t="s">
        <v>36</v>
      </c>
      <c r="O35" s="1"/>
    </row>
    <row x14ac:dyDescent="0.25" r="36" customHeight="1" ht="17.25">
      <c r="A36" s="1" t="s">
        <v>34</v>
      </c>
      <c r="B36" s="1" t="s">
        <v>25</v>
      </c>
      <c r="C36" s="1"/>
      <c r="D36" s="5">
        <v>0</v>
      </c>
      <c r="E36" s="5">
        <v>0</v>
      </c>
      <c r="F36" s="5">
        <v>3</v>
      </c>
      <c r="G36" s="5">
        <v>3</v>
      </c>
      <c r="H36" s="5">
        <v>0</v>
      </c>
      <c r="I36" s="5">
        <v>24</v>
      </c>
      <c r="J36" s="5">
        <v>0</v>
      </c>
      <c r="K36" s="5">
        <v>6</v>
      </c>
      <c r="L36" s="4">
        <f>0.043725+0.509192</f>
      </c>
      <c r="M36" s="11">
        <f>L36/2.83168</f>
      </c>
      <c r="N36" s="1" t="s">
        <v>36</v>
      </c>
      <c r="O36" s="1"/>
    </row>
    <row x14ac:dyDescent="0.25" r="37" customHeight="1" ht="17.25">
      <c r="A37" s="1" t="s">
        <v>34</v>
      </c>
      <c r="B37" s="1" t="s">
        <v>25</v>
      </c>
      <c r="C37" s="1"/>
      <c r="D37" s="5">
        <v>1000</v>
      </c>
      <c r="E37" s="4">
        <f>D37*2.83168</f>
      </c>
      <c r="F37" s="5">
        <v>3</v>
      </c>
      <c r="G37" s="5">
        <v>3</v>
      </c>
      <c r="H37" s="5">
        <v>0</v>
      </c>
      <c r="I37" s="5">
        <v>24</v>
      </c>
      <c r="J37" s="5">
        <v>0</v>
      </c>
      <c r="K37" s="5">
        <v>6</v>
      </c>
      <c r="L37" s="4">
        <f>0.043078+0.509192</f>
      </c>
      <c r="M37" s="11">
        <f>L37/2.83168</f>
      </c>
      <c r="N37" s="1" t="s">
        <v>36</v>
      </c>
      <c r="O37" s="1"/>
    </row>
    <row x14ac:dyDescent="0.25" r="38" customHeight="1" ht="17.25">
      <c r="A38" s="1" t="s">
        <v>34</v>
      </c>
      <c r="B38" s="1" t="s">
        <v>25</v>
      </c>
      <c r="C38" s="1"/>
      <c r="D38" s="5">
        <v>0</v>
      </c>
      <c r="E38" s="5">
        <v>0</v>
      </c>
      <c r="F38" s="5">
        <v>4</v>
      </c>
      <c r="G38" s="5">
        <v>4</v>
      </c>
      <c r="H38" s="5">
        <v>0</v>
      </c>
      <c r="I38" s="5">
        <v>24</v>
      </c>
      <c r="J38" s="5">
        <v>0</v>
      </c>
      <c r="K38" s="5">
        <v>6</v>
      </c>
      <c r="L38" s="4">
        <f>0.043725+0.479845</f>
      </c>
      <c r="M38" s="11">
        <f>L38/2.83168</f>
      </c>
      <c r="N38" s="1" t="s">
        <v>36</v>
      </c>
      <c r="O38" s="1"/>
    </row>
    <row x14ac:dyDescent="0.25" r="39" customHeight="1" ht="17.25">
      <c r="A39" s="1" t="s">
        <v>34</v>
      </c>
      <c r="B39" s="1" t="s">
        <v>25</v>
      </c>
      <c r="C39" s="1"/>
      <c r="D39" s="5">
        <v>1000</v>
      </c>
      <c r="E39" s="4">
        <f>D39*2.83168</f>
      </c>
      <c r="F39" s="5">
        <v>4</v>
      </c>
      <c r="G39" s="5">
        <v>4</v>
      </c>
      <c r="H39" s="5">
        <v>0</v>
      </c>
      <c r="I39" s="5">
        <v>24</v>
      </c>
      <c r="J39" s="5">
        <v>0</v>
      </c>
      <c r="K39" s="5">
        <v>6</v>
      </c>
      <c r="L39" s="4">
        <f>0.043078+0.479845</f>
      </c>
      <c r="M39" s="11">
        <f>L39/2.83168</f>
      </c>
      <c r="N39" s="1" t="s">
        <v>36</v>
      </c>
      <c r="O39" s="1"/>
    </row>
    <row x14ac:dyDescent="0.25" r="40" customHeight="1" ht="17.25">
      <c r="A40" s="1" t="s">
        <v>34</v>
      </c>
      <c r="B40" s="1" t="s">
        <v>25</v>
      </c>
      <c r="C40" s="1"/>
      <c r="D40" s="5">
        <v>0</v>
      </c>
      <c r="E40" s="5">
        <v>0</v>
      </c>
      <c r="F40" s="5">
        <v>5</v>
      </c>
      <c r="G40" s="5">
        <v>5</v>
      </c>
      <c r="H40" s="5">
        <v>0</v>
      </c>
      <c r="I40" s="5">
        <v>24</v>
      </c>
      <c r="J40" s="5">
        <v>0</v>
      </c>
      <c r="K40" s="5">
        <v>6</v>
      </c>
      <c r="L40" s="4">
        <f>0.043725+0.514437</f>
      </c>
      <c r="M40" s="11">
        <f>L40/2.83168</f>
      </c>
      <c r="N40" s="1" t="s">
        <v>36</v>
      </c>
      <c r="O40" s="1"/>
    </row>
    <row x14ac:dyDescent="0.25" r="41" customHeight="1" ht="17.25">
      <c r="A41" s="1" t="s">
        <v>34</v>
      </c>
      <c r="B41" s="1" t="s">
        <v>25</v>
      </c>
      <c r="C41" s="1"/>
      <c r="D41" s="5">
        <v>1000</v>
      </c>
      <c r="E41" s="4">
        <f>D41*2.83168</f>
      </c>
      <c r="F41" s="5">
        <v>5</v>
      </c>
      <c r="G41" s="5">
        <v>5</v>
      </c>
      <c r="H41" s="5">
        <v>0</v>
      </c>
      <c r="I41" s="5">
        <v>24</v>
      </c>
      <c r="J41" s="5">
        <v>0</v>
      </c>
      <c r="K41" s="5">
        <v>6</v>
      </c>
      <c r="L41" s="4">
        <f>0.043078+0.514437</f>
      </c>
      <c r="M41" s="11">
        <f>L41/2.83168</f>
      </c>
      <c r="N41" s="1" t="s">
        <v>36</v>
      </c>
      <c r="O41" s="1"/>
    </row>
    <row x14ac:dyDescent="0.25" r="42" customHeight="1" ht="17.25">
      <c r="A42" s="1" t="s">
        <v>34</v>
      </c>
      <c r="B42" s="1" t="s">
        <v>25</v>
      </c>
      <c r="C42" s="1"/>
      <c r="D42" s="5">
        <v>0</v>
      </c>
      <c r="E42" s="5">
        <v>0</v>
      </c>
      <c r="F42" s="5">
        <v>6</v>
      </c>
      <c r="G42" s="5">
        <v>6</v>
      </c>
      <c r="H42" s="5">
        <v>0</v>
      </c>
      <c r="I42" s="5">
        <v>24</v>
      </c>
      <c r="J42" s="5">
        <v>0</v>
      </c>
      <c r="K42" s="5">
        <v>6</v>
      </c>
      <c r="L42" s="4">
        <f>0.043725+0.520431</f>
      </c>
      <c r="M42" s="11">
        <f>L42/2.83168</f>
      </c>
      <c r="N42" s="1" t="s">
        <v>36</v>
      </c>
      <c r="O42" s="1"/>
    </row>
    <row x14ac:dyDescent="0.25" r="43" customHeight="1" ht="17.25">
      <c r="A43" s="1" t="s">
        <v>34</v>
      </c>
      <c r="B43" s="1" t="s">
        <v>25</v>
      </c>
      <c r="C43" s="1"/>
      <c r="D43" s="5">
        <v>1000</v>
      </c>
      <c r="E43" s="4">
        <f>D43*2.83168</f>
      </c>
      <c r="F43" s="5">
        <v>6</v>
      </c>
      <c r="G43" s="5">
        <v>6</v>
      </c>
      <c r="H43" s="5">
        <v>0</v>
      </c>
      <c r="I43" s="5">
        <v>24</v>
      </c>
      <c r="J43" s="5">
        <v>0</v>
      </c>
      <c r="K43" s="5">
        <v>6</v>
      </c>
      <c r="L43" s="4">
        <f>0.043078+0.520431</f>
      </c>
      <c r="M43" s="11">
        <f>L43/2.83168</f>
      </c>
      <c r="N43" s="1" t="s">
        <v>36</v>
      </c>
      <c r="O43" s="1"/>
    </row>
    <row x14ac:dyDescent="0.25" r="44" customHeight="1" ht="17.25">
      <c r="A44" s="1" t="s">
        <v>34</v>
      </c>
      <c r="B44" s="1" t="s">
        <v>25</v>
      </c>
      <c r="C44" s="1"/>
      <c r="D44" s="5">
        <v>0</v>
      </c>
      <c r="E44" s="5">
        <v>0</v>
      </c>
      <c r="F44" s="5">
        <v>7</v>
      </c>
      <c r="G44" s="5">
        <v>7</v>
      </c>
      <c r="H44" s="5">
        <v>0</v>
      </c>
      <c r="I44" s="5">
        <v>24</v>
      </c>
      <c r="J44" s="5">
        <v>0</v>
      </c>
      <c r="K44" s="5">
        <v>6</v>
      </c>
      <c r="L44" s="4">
        <f>0.043725+0.580022</f>
      </c>
      <c r="M44" s="11">
        <f>L44/2.83168</f>
      </c>
      <c r="N44" s="1" t="s">
        <v>36</v>
      </c>
      <c r="O44" s="1"/>
    </row>
    <row x14ac:dyDescent="0.25" r="45" customHeight="1" ht="17.25">
      <c r="A45" s="1" t="s">
        <v>34</v>
      </c>
      <c r="B45" s="1" t="s">
        <v>25</v>
      </c>
      <c r="C45" s="1"/>
      <c r="D45" s="5">
        <v>1000</v>
      </c>
      <c r="E45" s="4">
        <f>D45*2.83168</f>
      </c>
      <c r="F45" s="5">
        <v>7</v>
      </c>
      <c r="G45" s="5">
        <v>7</v>
      </c>
      <c r="H45" s="5">
        <v>0</v>
      </c>
      <c r="I45" s="5">
        <v>24</v>
      </c>
      <c r="J45" s="5">
        <v>0</v>
      </c>
      <c r="K45" s="5">
        <v>6</v>
      </c>
      <c r="L45" s="4">
        <f>0.043078+0.580022</f>
      </c>
      <c r="M45" s="11">
        <f>L45/2.83168</f>
      </c>
      <c r="N45" s="1" t="s">
        <v>36</v>
      </c>
      <c r="O45" s="1"/>
    </row>
    <row x14ac:dyDescent="0.25" r="46" customHeight="1" ht="17.25">
      <c r="A46" s="1" t="s">
        <v>34</v>
      </c>
      <c r="B46" s="1" t="s">
        <v>25</v>
      </c>
      <c r="C46" s="1"/>
      <c r="D46" s="5">
        <v>0</v>
      </c>
      <c r="E46" s="5">
        <v>0</v>
      </c>
      <c r="F46" s="5">
        <v>8</v>
      </c>
      <c r="G46" s="5">
        <v>8</v>
      </c>
      <c r="H46" s="5">
        <v>0</v>
      </c>
      <c r="I46" s="5">
        <v>24</v>
      </c>
      <c r="J46" s="5">
        <v>0</v>
      </c>
      <c r="K46" s="5">
        <v>6</v>
      </c>
      <c r="L46" s="4">
        <f>0.043725+0.626594</f>
      </c>
      <c r="M46" s="11">
        <f>L46/2.83168</f>
      </c>
      <c r="N46" s="1" t="s">
        <v>36</v>
      </c>
      <c r="O46" s="1"/>
    </row>
    <row x14ac:dyDescent="0.25" r="47" customHeight="1" ht="17.25">
      <c r="A47" s="1" t="s">
        <v>34</v>
      </c>
      <c r="B47" s="1" t="s">
        <v>25</v>
      </c>
      <c r="C47" s="1"/>
      <c r="D47" s="5">
        <v>1000</v>
      </c>
      <c r="E47" s="4">
        <f>D47*2.83168</f>
      </c>
      <c r="F47" s="5">
        <v>8</v>
      </c>
      <c r="G47" s="5">
        <v>8</v>
      </c>
      <c r="H47" s="5">
        <v>0</v>
      </c>
      <c r="I47" s="5">
        <v>24</v>
      </c>
      <c r="J47" s="5">
        <v>0</v>
      </c>
      <c r="K47" s="5">
        <v>6</v>
      </c>
      <c r="L47" s="4">
        <f>0.043078+0.626594</f>
      </c>
      <c r="M47" s="11">
        <f>L47/2.83168</f>
      </c>
      <c r="N47" s="1" t="s">
        <v>36</v>
      </c>
      <c r="O47" s="1"/>
    </row>
    <row x14ac:dyDescent="0.25" r="48" customHeight="1" ht="17.25">
      <c r="A48" s="1" t="s">
        <v>34</v>
      </c>
      <c r="B48" s="1" t="s">
        <v>25</v>
      </c>
      <c r="C48" s="1"/>
      <c r="D48" s="5">
        <v>0</v>
      </c>
      <c r="E48" s="5">
        <v>0</v>
      </c>
      <c r="F48" s="5">
        <v>9</v>
      </c>
      <c r="G48" s="5">
        <v>9</v>
      </c>
      <c r="H48" s="5">
        <v>0</v>
      </c>
      <c r="I48" s="5">
        <v>24</v>
      </c>
      <c r="J48" s="5">
        <v>0</v>
      </c>
      <c r="K48" s="5">
        <v>6</v>
      </c>
      <c r="L48" s="4">
        <f>0.043725+0.658859</f>
      </c>
      <c r="M48" s="11">
        <f>L48/2.83168</f>
      </c>
      <c r="N48" s="1" t="s">
        <v>36</v>
      </c>
      <c r="O48" s="1"/>
    </row>
    <row x14ac:dyDescent="0.25" r="49" customHeight="1" ht="17.25">
      <c r="A49" s="1" t="s">
        <v>34</v>
      </c>
      <c r="B49" s="1" t="s">
        <v>25</v>
      </c>
      <c r="C49" s="1"/>
      <c r="D49" s="5">
        <v>1000</v>
      </c>
      <c r="E49" s="4">
        <f>D49*2.83168</f>
      </c>
      <c r="F49" s="5">
        <v>9</v>
      </c>
      <c r="G49" s="5">
        <v>9</v>
      </c>
      <c r="H49" s="5">
        <v>0</v>
      </c>
      <c r="I49" s="5">
        <v>24</v>
      </c>
      <c r="J49" s="5">
        <v>0</v>
      </c>
      <c r="K49" s="5">
        <v>6</v>
      </c>
      <c r="L49" s="4">
        <f>0.043078+0.658859</f>
      </c>
      <c r="M49" s="11">
        <f>L49/2.83168</f>
      </c>
      <c r="N49" s="1" t="s">
        <v>36</v>
      </c>
      <c r="O49" s="1"/>
    </row>
    <row x14ac:dyDescent="0.25" r="50" customHeight="1" ht="17.25">
      <c r="A50" s="1" t="s">
        <v>34</v>
      </c>
      <c r="B50" s="1" t="s">
        <v>25</v>
      </c>
      <c r="C50" s="1"/>
      <c r="D50" s="5">
        <v>0</v>
      </c>
      <c r="E50" s="5">
        <v>0</v>
      </c>
      <c r="F50" s="5">
        <v>10</v>
      </c>
      <c r="G50" s="5">
        <v>10</v>
      </c>
      <c r="H50" s="5">
        <v>0</v>
      </c>
      <c r="I50" s="5">
        <v>24</v>
      </c>
      <c r="J50" s="5">
        <v>0</v>
      </c>
      <c r="K50" s="5">
        <v>6</v>
      </c>
      <c r="L50" s="4">
        <f>0.043725+0.804461</f>
      </c>
      <c r="M50" s="11">
        <f>L50/2.83168</f>
      </c>
      <c r="N50" s="1" t="s">
        <v>36</v>
      </c>
      <c r="O50" s="1"/>
    </row>
    <row x14ac:dyDescent="0.25" r="51" customHeight="1" ht="17.25">
      <c r="A51" s="1" t="s">
        <v>34</v>
      </c>
      <c r="B51" s="1" t="s">
        <v>25</v>
      </c>
      <c r="C51" s="1"/>
      <c r="D51" s="5">
        <v>1000</v>
      </c>
      <c r="E51" s="4">
        <f>D51*2.83168</f>
      </c>
      <c r="F51" s="5">
        <v>10</v>
      </c>
      <c r="G51" s="5">
        <v>10</v>
      </c>
      <c r="H51" s="5">
        <v>0</v>
      </c>
      <c r="I51" s="5">
        <v>24</v>
      </c>
      <c r="J51" s="5">
        <v>0</v>
      </c>
      <c r="K51" s="5">
        <v>6</v>
      </c>
      <c r="L51" s="4">
        <f>0.043078+0.804461</f>
      </c>
      <c r="M51" s="11">
        <f>L51/2.83168</f>
      </c>
      <c r="N51" s="1" t="s">
        <v>36</v>
      </c>
      <c r="O51" s="1"/>
    </row>
    <row x14ac:dyDescent="0.25" r="52" customHeight="1" ht="17.25">
      <c r="A52" s="1" t="s">
        <v>34</v>
      </c>
      <c r="B52" s="1" t="s">
        <v>25</v>
      </c>
      <c r="C52" s="1"/>
      <c r="D52" s="5">
        <v>0</v>
      </c>
      <c r="E52" s="5">
        <v>0</v>
      </c>
      <c r="F52" s="5">
        <v>11</v>
      </c>
      <c r="G52" s="5">
        <v>11</v>
      </c>
      <c r="H52" s="5">
        <v>0</v>
      </c>
      <c r="I52" s="5">
        <v>24</v>
      </c>
      <c r="J52" s="5">
        <v>0</v>
      </c>
      <c r="K52" s="5">
        <v>6</v>
      </c>
      <c r="L52" s="4">
        <f>0.043725+0.853798</f>
      </c>
      <c r="M52" s="11">
        <f>L52/2.83168</f>
      </c>
      <c r="N52" s="1" t="s">
        <v>36</v>
      </c>
      <c r="O52" s="1"/>
    </row>
    <row x14ac:dyDescent="0.25" r="53" customHeight="1" ht="17.25">
      <c r="A53" s="1" t="s">
        <v>34</v>
      </c>
      <c r="B53" s="1" t="s">
        <v>25</v>
      </c>
      <c r="C53" s="1"/>
      <c r="D53" s="5">
        <v>1000</v>
      </c>
      <c r="E53" s="4">
        <f>D53*2.83168</f>
      </c>
      <c r="F53" s="5">
        <v>11</v>
      </c>
      <c r="G53" s="5">
        <v>11</v>
      </c>
      <c r="H53" s="5">
        <v>0</v>
      </c>
      <c r="I53" s="5">
        <v>24</v>
      </c>
      <c r="J53" s="5">
        <v>0</v>
      </c>
      <c r="K53" s="5">
        <v>6</v>
      </c>
      <c r="L53" s="4">
        <f>0.043078+0.853798</f>
      </c>
      <c r="M53" s="11">
        <f>L53/2.83168</f>
      </c>
      <c r="N53" s="1" t="s">
        <v>36</v>
      </c>
      <c r="O53" s="1"/>
    </row>
    <row x14ac:dyDescent="0.25" r="54" customHeight="1" ht="17.25">
      <c r="A54" s="1" t="s">
        <v>34</v>
      </c>
      <c r="B54" s="1" t="s">
        <v>25</v>
      </c>
      <c r="C54" s="1"/>
      <c r="D54" s="5">
        <v>0</v>
      </c>
      <c r="E54" s="5">
        <v>0</v>
      </c>
      <c r="F54" s="5">
        <v>12</v>
      </c>
      <c r="G54" s="5">
        <v>12</v>
      </c>
      <c r="H54" s="5">
        <v>0</v>
      </c>
      <c r="I54" s="5">
        <v>24</v>
      </c>
      <c r="J54" s="5">
        <v>0</v>
      </c>
      <c r="K54" s="5">
        <v>6</v>
      </c>
      <c r="L54" s="4">
        <f>0.043725+0.775689</f>
      </c>
      <c r="M54" s="11">
        <f>L54/2.83168</f>
      </c>
      <c r="N54" s="1" t="s">
        <v>36</v>
      </c>
      <c r="O54" s="1"/>
    </row>
    <row x14ac:dyDescent="0.25" r="55" customHeight="1" ht="17.25">
      <c r="A55" s="1" t="s">
        <v>34</v>
      </c>
      <c r="B55" s="1" t="s">
        <v>25</v>
      </c>
      <c r="C55" s="1"/>
      <c r="D55" s="5">
        <v>1000</v>
      </c>
      <c r="E55" s="4">
        <f>D55*2.83168</f>
      </c>
      <c r="F55" s="5">
        <v>12</v>
      </c>
      <c r="G55" s="5">
        <v>12</v>
      </c>
      <c r="H55" s="5">
        <v>0</v>
      </c>
      <c r="I55" s="5">
        <v>24</v>
      </c>
      <c r="J55" s="5">
        <v>0</v>
      </c>
      <c r="K55" s="5">
        <v>6</v>
      </c>
      <c r="L55" s="4">
        <f>0.043078+0.775689</f>
      </c>
      <c r="M55" s="11">
        <f>L55/2.83168</f>
      </c>
      <c r="N55" s="1" t="s">
        <v>36</v>
      </c>
      <c r="O55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9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8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f>1164.77+35.03</f>
      </c>
      <c r="M2" s="4">
        <f>1164.77+35.03</f>
      </c>
      <c r="N2" s="1" t="s">
        <v>15</v>
      </c>
      <c r="O2" s="1" t="s">
        <v>31</v>
      </c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11">
        <f>0.00121+0.0244678</f>
      </c>
      <c r="M3" s="11">
        <f>0.00121+0.0244678</f>
      </c>
      <c r="N3" s="1" t="s">
        <v>26</v>
      </c>
      <c r="O3" s="1" t="s">
        <v>32</v>
      </c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11">
        <f>0.00121+0.0445597</f>
      </c>
      <c r="M4" s="11">
        <f>0.00121+0.0445597</f>
      </c>
      <c r="N4" s="1" t="s">
        <v>26</v>
      </c>
      <c r="O4" s="1" t="s">
        <v>32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11">
        <f>0.00121+0.02273642</f>
      </c>
      <c r="M5" s="11">
        <f>0.00121+0.02273642</f>
      </c>
      <c r="N5" s="1" t="s">
        <v>26</v>
      </c>
      <c r="O5" s="1" t="s">
        <v>32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11">
        <f>0.00121+0.026576292</f>
      </c>
      <c r="M6" s="11">
        <f>0.00121+0.026576292</f>
      </c>
      <c r="N6" s="1" t="s">
        <v>26</v>
      </c>
      <c r="O6" s="1" t="s">
        <v>32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11">
        <f>0.00121+0.026425685</f>
      </c>
      <c r="M7" s="11">
        <f>0.00121+0.026425685</f>
      </c>
      <c r="N7" s="1" t="s">
        <v>26</v>
      </c>
      <c r="O7" s="1" t="s">
        <v>32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11">
        <f>0.00121+0.032569458</f>
      </c>
      <c r="M8" s="11">
        <f>0.00121+0.032569458</f>
      </c>
      <c r="N8" s="1" t="s">
        <v>26</v>
      </c>
      <c r="O8" s="1" t="s">
        <v>32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12">
        <f>0.00121+0.03256946</f>
      </c>
      <c r="M9" s="12">
        <f>0.00121+0.03256946</f>
      </c>
      <c r="N9" s="1" t="s">
        <v>26</v>
      </c>
      <c r="O9" s="1" t="s">
        <v>32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11">
        <f>0.00121+0.043616868</f>
      </c>
      <c r="M10" s="11">
        <f>0.00121+0.043616868</f>
      </c>
      <c r="N10" s="1" t="s">
        <v>26</v>
      </c>
      <c r="O10" s="1" t="s">
        <v>32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11">
        <f>0.00121+0.044587306</f>
      </c>
      <c r="M11" s="11">
        <f>0.00121+0.044587306</f>
      </c>
      <c r="N11" s="1" t="s">
        <v>26</v>
      </c>
      <c r="O11" s="1" t="s">
        <v>32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11">
        <f>0.00121+0.055849073</f>
      </c>
      <c r="M12" s="11">
        <f>0.00121+0.055849073</f>
      </c>
      <c r="N12" s="1" t="s">
        <v>26</v>
      </c>
      <c r="O12" s="1" t="s">
        <v>32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11">
        <f>0.00121+0.050181969</f>
      </c>
      <c r="M13" s="11">
        <f>0.00121+0.050181969</f>
      </c>
      <c r="N13" s="1" t="s">
        <v>26</v>
      </c>
      <c r="O13" s="1" t="s">
        <v>32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11">
        <f>0.00121+0.0328868</f>
      </c>
      <c r="M14" s="11">
        <f>0.00121+0.0328868</f>
      </c>
      <c r="N14" s="1" t="s">
        <v>26</v>
      </c>
      <c r="O14" s="1" t="s">
        <v>32</v>
      </c>
    </row>
    <row x14ac:dyDescent="0.25" r="15" customHeight="1" ht="17.25">
      <c r="A15" s="1" t="s">
        <v>13</v>
      </c>
      <c r="B15" s="1" t="s">
        <v>17</v>
      </c>
      <c r="C15" s="1" t="s">
        <v>24</v>
      </c>
      <c r="D15" s="5">
        <v>0</v>
      </c>
      <c r="E15" s="5">
        <v>0</v>
      </c>
      <c r="F15" s="5">
        <v>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f>0.34+7.3</f>
      </c>
      <c r="M15" s="4">
        <f>0.34+7.3</f>
      </c>
      <c r="N15" s="1" t="s">
        <v>19</v>
      </c>
      <c r="O15" s="1" t="s">
        <v>33</v>
      </c>
    </row>
    <row x14ac:dyDescent="0.25" r="16" customHeight="1" ht="17.25">
      <c r="A16" s="1" t="s">
        <v>34</v>
      </c>
      <c r="B16" s="1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5">
        <v>918</v>
      </c>
      <c r="M16" s="5">
        <v>918</v>
      </c>
      <c r="N16" s="1" t="s">
        <v>15</v>
      </c>
      <c r="O16" s="1"/>
    </row>
    <row x14ac:dyDescent="0.25" r="17" customHeight="1" ht="17.25">
      <c r="A17" s="1" t="s">
        <v>34</v>
      </c>
      <c r="B17" s="1" t="s">
        <v>17</v>
      </c>
      <c r="C17" s="1" t="s">
        <v>24</v>
      </c>
      <c r="D17" s="5">
        <v>0</v>
      </c>
      <c r="E17" s="5">
        <v>0</v>
      </c>
      <c r="F17" s="5">
        <v>1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0.87835*24</f>
      </c>
      <c r="M17" s="11">
        <f>L17/2.83168</f>
      </c>
      <c r="N17" s="1" t="s">
        <v>35</v>
      </c>
      <c r="O17" s="1"/>
    </row>
    <row x14ac:dyDescent="0.25" r="18" customHeight="1" ht="17.25">
      <c r="A18" s="1" t="s">
        <v>34</v>
      </c>
      <c r="B18" s="1" t="s">
        <v>25</v>
      </c>
      <c r="C18" s="1"/>
      <c r="D18" s="5">
        <v>0</v>
      </c>
      <c r="E18" s="5">
        <v>0</v>
      </c>
      <c r="F18" s="5">
        <v>1</v>
      </c>
      <c r="G18" s="5">
        <v>1</v>
      </c>
      <c r="H18" s="5">
        <v>0</v>
      </c>
      <c r="I18" s="5">
        <v>24</v>
      </c>
      <c r="J18" s="5">
        <v>0</v>
      </c>
      <c r="K18" s="5">
        <v>6</v>
      </c>
      <c r="L18" s="4">
        <f>0.06036+0.2887</f>
      </c>
      <c r="M18" s="11">
        <f>L18/2.83168</f>
      </c>
      <c r="N18" s="1" t="s">
        <v>36</v>
      </c>
      <c r="O18" s="1" t="s">
        <v>37</v>
      </c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2</v>
      </c>
      <c r="G19" s="5">
        <v>2</v>
      </c>
      <c r="H19" s="5">
        <v>0</v>
      </c>
      <c r="I19" s="5">
        <v>24</v>
      </c>
      <c r="J19" s="5">
        <v>0</v>
      </c>
      <c r="K19" s="5">
        <v>6</v>
      </c>
      <c r="L19" s="4">
        <f>0.06036+0.294</f>
      </c>
      <c r="M19" s="11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3</v>
      </c>
      <c r="G20" s="5">
        <v>3</v>
      </c>
      <c r="H20" s="5">
        <v>0</v>
      </c>
      <c r="I20" s="5">
        <v>24</v>
      </c>
      <c r="J20" s="5">
        <v>0</v>
      </c>
      <c r="K20" s="5">
        <v>6</v>
      </c>
      <c r="L20" s="4">
        <f>0.06036+0.3219</f>
      </c>
      <c r="M20" s="11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4</v>
      </c>
      <c r="G21" s="5">
        <v>4</v>
      </c>
      <c r="H21" s="5">
        <v>0</v>
      </c>
      <c r="I21" s="5">
        <v>24</v>
      </c>
      <c r="J21" s="5">
        <v>0</v>
      </c>
      <c r="K21" s="5">
        <v>6</v>
      </c>
      <c r="L21" s="4">
        <f>0.06036+0.4633</f>
      </c>
      <c r="M21" s="11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5</v>
      </c>
      <c r="G22" s="5">
        <v>5</v>
      </c>
      <c r="H22" s="5">
        <v>0</v>
      </c>
      <c r="I22" s="5">
        <v>24</v>
      </c>
      <c r="J22" s="5">
        <v>0</v>
      </c>
      <c r="K22" s="5">
        <v>6</v>
      </c>
      <c r="L22" s="4">
        <f>0.06036+0.5323</f>
      </c>
      <c r="M22" s="11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6</v>
      </c>
      <c r="G23" s="5">
        <v>6</v>
      </c>
      <c r="H23" s="5">
        <v>0</v>
      </c>
      <c r="I23" s="5">
        <v>24</v>
      </c>
      <c r="J23" s="5">
        <v>0</v>
      </c>
      <c r="K23" s="5">
        <v>6</v>
      </c>
      <c r="L23" s="4">
        <f>0.06036+0.577</f>
      </c>
      <c r="M23" s="11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7</v>
      </c>
      <c r="G24" s="5">
        <v>7</v>
      </c>
      <c r="H24" s="5">
        <v>0</v>
      </c>
      <c r="I24" s="5">
        <v>24</v>
      </c>
      <c r="J24" s="5">
        <v>0</v>
      </c>
      <c r="K24" s="5">
        <v>6</v>
      </c>
      <c r="L24" s="4">
        <f>0.06036+0.6277</f>
      </c>
      <c r="M24" s="11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8</v>
      </c>
      <c r="G25" s="5">
        <v>8</v>
      </c>
      <c r="H25" s="5">
        <v>0</v>
      </c>
      <c r="I25" s="5">
        <v>24</v>
      </c>
      <c r="J25" s="5">
        <v>0</v>
      </c>
      <c r="K25" s="5">
        <v>6</v>
      </c>
      <c r="L25" s="4">
        <f>0.06036+0.6524</f>
      </c>
      <c r="M25" s="11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9</v>
      </c>
      <c r="G26" s="5">
        <v>9</v>
      </c>
      <c r="H26" s="5">
        <v>0</v>
      </c>
      <c r="I26" s="5">
        <v>24</v>
      </c>
      <c r="J26" s="5">
        <v>0</v>
      </c>
      <c r="K26" s="5">
        <v>6</v>
      </c>
      <c r="L26" s="4">
        <f>0.06036+0.6617</f>
      </c>
      <c r="M26" s="11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10</v>
      </c>
      <c r="G27" s="5">
        <v>10</v>
      </c>
      <c r="H27" s="5">
        <v>0</v>
      </c>
      <c r="I27" s="5">
        <v>24</v>
      </c>
      <c r="J27" s="5">
        <v>0</v>
      </c>
      <c r="K27" s="5">
        <v>6</v>
      </c>
      <c r="L27" s="4">
        <f>0.06036+0.7256</f>
      </c>
      <c r="M27" s="11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0</v>
      </c>
      <c r="E28" s="5">
        <v>0</v>
      </c>
      <c r="F28" s="5">
        <v>11</v>
      </c>
      <c r="G28" s="5">
        <v>11</v>
      </c>
      <c r="H28" s="5">
        <v>0</v>
      </c>
      <c r="I28" s="5">
        <v>24</v>
      </c>
      <c r="J28" s="5">
        <v>0</v>
      </c>
      <c r="K28" s="5">
        <v>6</v>
      </c>
      <c r="L28" s="4">
        <f>0.06036+0.7387</f>
      </c>
      <c r="M28" s="11">
        <f>L28/2.83168</f>
      </c>
      <c r="N28" s="1" t="s">
        <v>36</v>
      </c>
      <c r="O28" s="1" t="s">
        <v>37</v>
      </c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12</v>
      </c>
      <c r="G29" s="5">
        <v>12</v>
      </c>
      <c r="H29" s="5">
        <v>0</v>
      </c>
      <c r="I29" s="5">
        <v>24</v>
      </c>
      <c r="J29" s="5">
        <v>0</v>
      </c>
      <c r="K29" s="5">
        <v>6</v>
      </c>
      <c r="L29" s="4">
        <f>0.06036+0.6814</f>
      </c>
      <c r="M29" s="11">
        <f>L29/2.83168</f>
      </c>
      <c r="N29" s="1" t="s">
        <v>36</v>
      </c>
      <c r="O29" s="1" t="s">
        <v>37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3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7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5">
        <v>360</v>
      </c>
      <c r="M2" s="5">
        <v>360</v>
      </c>
      <c r="N2" s="1" t="s">
        <v>15</v>
      </c>
      <c r="O2" s="1"/>
    </row>
    <row x14ac:dyDescent="0.25" r="3" customHeight="1" ht="17.25">
      <c r="A3" s="1" t="s">
        <v>13</v>
      </c>
      <c r="B3" s="1" t="s">
        <v>25</v>
      </c>
      <c r="C3" s="1"/>
      <c r="D3" s="5">
        <v>0</v>
      </c>
      <c r="E3" s="5">
        <v>0</v>
      </c>
      <c r="F3" s="5">
        <v>1</v>
      </c>
      <c r="G3" s="5">
        <v>1</v>
      </c>
      <c r="H3" s="5">
        <v>0</v>
      </c>
      <c r="I3" s="5">
        <v>24</v>
      </c>
      <c r="J3" s="5">
        <v>0</v>
      </c>
      <c r="K3" s="5">
        <v>6</v>
      </c>
      <c r="L3" s="4">
        <f>0.0241+0.11537</f>
      </c>
      <c r="M3" s="4">
        <f>0.0241+0.11537</f>
      </c>
      <c r="N3" s="1" t="s">
        <v>26</v>
      </c>
      <c r="O3" s="1"/>
    </row>
    <row x14ac:dyDescent="0.25" r="4" customHeight="1" ht="17.25">
      <c r="A4" s="1" t="s">
        <v>13</v>
      </c>
      <c r="B4" s="1" t="s">
        <v>25</v>
      </c>
      <c r="C4" s="1"/>
      <c r="D4" s="5">
        <v>0</v>
      </c>
      <c r="E4" s="5">
        <v>0</v>
      </c>
      <c r="F4" s="5">
        <v>2</v>
      </c>
      <c r="G4" s="5">
        <v>2</v>
      </c>
      <c r="H4" s="5">
        <v>0</v>
      </c>
      <c r="I4" s="5">
        <v>24</v>
      </c>
      <c r="J4" s="5">
        <v>0</v>
      </c>
      <c r="K4" s="5">
        <v>6</v>
      </c>
      <c r="L4" s="4">
        <f>0.0241+0.11562</f>
      </c>
      <c r="M4" s="4">
        <f>0.0241+0.11562</f>
      </c>
      <c r="N4" s="1" t="s">
        <v>26</v>
      </c>
      <c r="O4" s="1"/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3</v>
      </c>
      <c r="G5" s="5">
        <v>3</v>
      </c>
      <c r="H5" s="5">
        <v>0</v>
      </c>
      <c r="I5" s="5">
        <v>24</v>
      </c>
      <c r="J5" s="5">
        <v>0</v>
      </c>
      <c r="K5" s="5">
        <v>6</v>
      </c>
      <c r="L5" s="4">
        <f>0.0241+0.10477</f>
      </c>
      <c r="M5" s="4">
        <f>0.0241+0.10477</f>
      </c>
      <c r="N5" s="1" t="s">
        <v>26</v>
      </c>
      <c r="O5" s="1"/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4</v>
      </c>
      <c r="G6" s="5">
        <v>4</v>
      </c>
      <c r="H6" s="5">
        <v>0</v>
      </c>
      <c r="I6" s="5">
        <v>24</v>
      </c>
      <c r="J6" s="5">
        <v>0</v>
      </c>
      <c r="K6" s="5">
        <v>6</v>
      </c>
      <c r="L6" s="4">
        <f>0.0241+0.10223</f>
      </c>
      <c r="M6" s="4">
        <f>0.0241+0.10223</f>
      </c>
      <c r="N6" s="1" t="s">
        <v>26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5</v>
      </c>
      <c r="G7" s="5">
        <v>5</v>
      </c>
      <c r="H7" s="5">
        <v>0</v>
      </c>
      <c r="I7" s="5">
        <v>24</v>
      </c>
      <c r="J7" s="5">
        <v>0</v>
      </c>
      <c r="K7" s="5">
        <v>6</v>
      </c>
      <c r="L7" s="4">
        <f>0.0241+0.09437</f>
      </c>
      <c r="M7" s="4">
        <f>0.0241+0.09437</f>
      </c>
      <c r="N7" s="1" t="s">
        <v>26</v>
      </c>
      <c r="O7" s="1"/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6</v>
      </c>
      <c r="H8" s="5">
        <v>0</v>
      </c>
      <c r="I8" s="5">
        <v>24</v>
      </c>
      <c r="J8" s="5">
        <v>0</v>
      </c>
      <c r="K8" s="5">
        <v>6</v>
      </c>
      <c r="L8" s="4">
        <f>0.0241+0.0875</f>
      </c>
      <c r="M8" s="4">
        <f>0.0241+0.0875</f>
      </c>
      <c r="N8" s="1" t="s">
        <v>26</v>
      </c>
      <c r="O8" s="1"/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7</v>
      </c>
      <c r="G9" s="5">
        <v>7</v>
      </c>
      <c r="H9" s="5">
        <v>0</v>
      </c>
      <c r="I9" s="5">
        <v>24</v>
      </c>
      <c r="J9" s="5">
        <v>0</v>
      </c>
      <c r="K9" s="5">
        <v>6</v>
      </c>
      <c r="L9" s="4">
        <f>0.0241+0.09341</f>
      </c>
      <c r="M9" s="4">
        <f>0.0241+0.09341</f>
      </c>
      <c r="N9" s="1" t="s">
        <v>26</v>
      </c>
      <c r="O9" s="1"/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8</v>
      </c>
      <c r="G10" s="5">
        <v>8</v>
      </c>
      <c r="H10" s="5">
        <v>0</v>
      </c>
      <c r="I10" s="5">
        <v>24</v>
      </c>
      <c r="J10" s="5">
        <v>0</v>
      </c>
      <c r="K10" s="5">
        <v>6</v>
      </c>
      <c r="L10" s="4">
        <f>0.0241+0.0914</f>
      </c>
      <c r="M10" s="4">
        <f>0.0241+0.0914</f>
      </c>
      <c r="N10" s="1" t="s">
        <v>26</v>
      </c>
      <c r="O10" s="1"/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9</v>
      </c>
      <c r="G11" s="5">
        <v>9</v>
      </c>
      <c r="H11" s="5">
        <v>0</v>
      </c>
      <c r="I11" s="5">
        <v>24</v>
      </c>
      <c r="J11" s="5">
        <v>0</v>
      </c>
      <c r="K11" s="5">
        <v>6</v>
      </c>
      <c r="L11" s="4">
        <f>0.0241+0.08879</f>
      </c>
      <c r="M11" s="4">
        <f>0.0241+0.08879</f>
      </c>
      <c r="N11" s="1" t="s">
        <v>26</v>
      </c>
      <c r="O11" s="1"/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10</v>
      </c>
      <c r="G12" s="5">
        <v>10</v>
      </c>
      <c r="H12" s="5">
        <v>0</v>
      </c>
      <c r="I12" s="5">
        <v>24</v>
      </c>
      <c r="J12" s="5">
        <v>0</v>
      </c>
      <c r="K12" s="5">
        <v>6</v>
      </c>
      <c r="L12" s="4">
        <f>0.0241+0.10761</f>
      </c>
      <c r="M12" s="4">
        <f>0.0241+0.10761</f>
      </c>
      <c r="N12" s="1" t="s">
        <v>26</v>
      </c>
      <c r="O12" s="1"/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11</v>
      </c>
      <c r="G13" s="5">
        <v>11</v>
      </c>
      <c r="H13" s="5">
        <v>0</v>
      </c>
      <c r="I13" s="5">
        <v>24</v>
      </c>
      <c r="J13" s="5">
        <v>0</v>
      </c>
      <c r="K13" s="5">
        <v>6</v>
      </c>
      <c r="L13" s="4">
        <f>0.0241+0.12301</f>
      </c>
      <c r="M13" s="4">
        <f>0.0241+0.12301</f>
      </c>
      <c r="N13" s="1" t="s">
        <v>26</v>
      </c>
      <c r="O13" s="1"/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12</v>
      </c>
      <c r="G14" s="5">
        <v>12</v>
      </c>
      <c r="H14" s="5">
        <v>0</v>
      </c>
      <c r="I14" s="5">
        <v>24</v>
      </c>
      <c r="J14" s="5">
        <v>0</v>
      </c>
      <c r="K14" s="5">
        <v>6</v>
      </c>
      <c r="L14" s="4">
        <f>0.0241+0.15919</f>
      </c>
      <c r="M14" s="4">
        <f>0.0241+0.15919</f>
      </c>
      <c r="N14" s="1" t="s">
        <v>26</v>
      </c>
      <c r="O14" s="1"/>
    </row>
    <row x14ac:dyDescent="0.25" r="15" customHeight="1" ht="17.25">
      <c r="A15" s="1" t="s">
        <v>13</v>
      </c>
      <c r="B15" s="1" t="s">
        <v>17</v>
      </c>
      <c r="C15" s="1" t="s">
        <v>46</v>
      </c>
      <c r="D15" s="5">
        <v>0</v>
      </c>
      <c r="E15" s="5">
        <v>0</v>
      </c>
      <c r="F15" s="5">
        <v>1</v>
      </c>
      <c r="G15" s="5">
        <v>5</v>
      </c>
      <c r="H15" s="5">
        <v>0</v>
      </c>
      <c r="I15" s="5">
        <v>24</v>
      </c>
      <c r="J15" s="5">
        <v>0</v>
      </c>
      <c r="K15" s="5">
        <v>6</v>
      </c>
      <c r="L15" s="4">
        <f>12.22+8.18</f>
      </c>
      <c r="M15" s="4">
        <f>12.22+8.18</f>
      </c>
      <c r="N15" s="1" t="s">
        <v>19</v>
      </c>
      <c r="O15" s="1"/>
    </row>
    <row x14ac:dyDescent="0.25" r="16" customHeight="1" ht="17.25">
      <c r="A16" s="1" t="s">
        <v>13</v>
      </c>
      <c r="B16" s="1" t="s">
        <v>17</v>
      </c>
      <c r="C16" s="1" t="s">
        <v>47</v>
      </c>
      <c r="D16" s="5">
        <v>0</v>
      </c>
      <c r="E16" s="5">
        <v>0</v>
      </c>
      <c r="F16" s="5">
        <v>6</v>
      </c>
      <c r="G16" s="5">
        <v>9</v>
      </c>
      <c r="H16" s="5">
        <v>0</v>
      </c>
      <c r="I16" s="5">
        <v>24</v>
      </c>
      <c r="J16" s="5">
        <v>0</v>
      </c>
      <c r="K16" s="5">
        <v>6</v>
      </c>
      <c r="L16" s="4">
        <f>21.44+8.18</f>
      </c>
      <c r="M16" s="4">
        <f>21.44+8.18</f>
      </c>
      <c r="N16" s="1" t="s">
        <v>19</v>
      </c>
      <c r="O16" s="1"/>
    </row>
    <row x14ac:dyDescent="0.25" r="17" customHeight="1" ht="17.25">
      <c r="A17" s="1" t="s">
        <v>13</v>
      </c>
      <c r="B17" s="1" t="s">
        <v>17</v>
      </c>
      <c r="C17" s="1" t="s">
        <v>48</v>
      </c>
      <c r="D17" s="5">
        <v>0</v>
      </c>
      <c r="E17" s="5">
        <v>0</v>
      </c>
      <c r="F17" s="5">
        <v>10</v>
      </c>
      <c r="G17" s="5">
        <v>12</v>
      </c>
      <c r="H17" s="5">
        <v>0</v>
      </c>
      <c r="I17" s="5">
        <v>24</v>
      </c>
      <c r="J17" s="5">
        <v>0</v>
      </c>
      <c r="K17" s="5">
        <v>6</v>
      </c>
      <c r="L17" s="4">
        <f>12.22+8.18</f>
      </c>
      <c r="M17" s="4">
        <f>12.22+8.18</f>
      </c>
      <c r="N17" s="1" t="s">
        <v>19</v>
      </c>
      <c r="O17" s="1"/>
    </row>
    <row x14ac:dyDescent="0.25" r="18" customHeight="1" ht="17.25">
      <c r="A18" s="1" t="s">
        <v>34</v>
      </c>
      <c r="B18" s="1" t="s">
        <v>14</v>
      </c>
      <c r="C18" s="1"/>
      <c r="D18" s="2"/>
      <c r="E18" s="2"/>
      <c r="F18" s="2"/>
      <c r="G18" s="2"/>
      <c r="H18" s="2"/>
      <c r="I18" s="2"/>
      <c r="J18" s="2"/>
      <c r="K18" s="2"/>
      <c r="L18" s="5">
        <v>125</v>
      </c>
      <c r="M18" s="5">
        <v>125</v>
      </c>
      <c r="N18" s="1" t="s">
        <v>15</v>
      </c>
      <c r="O18" s="1"/>
    </row>
    <row x14ac:dyDescent="0.25" r="19" customHeight="1" ht="17.25">
      <c r="A19" s="1" t="s">
        <v>34</v>
      </c>
      <c r="B19" s="1" t="s">
        <v>25</v>
      </c>
      <c r="C19" s="1"/>
      <c r="D19" s="5">
        <v>0</v>
      </c>
      <c r="E19" s="5">
        <v>0</v>
      </c>
      <c r="F19" s="5">
        <v>1</v>
      </c>
      <c r="G19" s="5">
        <v>4</v>
      </c>
      <c r="H19" s="5">
        <v>0</v>
      </c>
      <c r="I19" s="5">
        <v>24</v>
      </c>
      <c r="J19" s="5">
        <v>0</v>
      </c>
      <c r="K19" s="5">
        <v>6</v>
      </c>
      <c r="L19" s="4">
        <f>0.3651+0.5867</f>
      </c>
      <c r="M19" s="14">
        <f>L19/2.83168</f>
      </c>
      <c r="N19" s="1" t="s">
        <v>36</v>
      </c>
      <c r="O19" s="1" t="s">
        <v>37</v>
      </c>
    </row>
    <row x14ac:dyDescent="0.25" r="20" customHeight="1" ht="17.25">
      <c r="A20" s="1" t="s">
        <v>34</v>
      </c>
      <c r="B20" s="1" t="s">
        <v>25</v>
      </c>
      <c r="C20" s="1"/>
      <c r="D20" s="5">
        <v>0</v>
      </c>
      <c r="E20" s="5">
        <v>0</v>
      </c>
      <c r="F20" s="5">
        <v>5</v>
      </c>
      <c r="G20" s="5">
        <v>9</v>
      </c>
      <c r="H20" s="5">
        <v>0</v>
      </c>
      <c r="I20" s="5">
        <v>24</v>
      </c>
      <c r="J20" s="5">
        <v>0</v>
      </c>
      <c r="K20" s="5">
        <v>6</v>
      </c>
      <c r="L20" s="4">
        <f>0.3226+0.3895</f>
      </c>
      <c r="M20" s="14">
        <f>L20/2.83168</f>
      </c>
      <c r="N20" s="1" t="s">
        <v>36</v>
      </c>
      <c r="O20" s="1" t="s">
        <v>37</v>
      </c>
    </row>
    <row x14ac:dyDescent="0.25" r="21" customHeight="1" ht="17.25">
      <c r="A21" s="1" t="s">
        <v>34</v>
      </c>
      <c r="B21" s="1" t="s">
        <v>25</v>
      </c>
      <c r="C21" s="1"/>
      <c r="D21" s="5">
        <v>0</v>
      </c>
      <c r="E21" s="5">
        <v>0</v>
      </c>
      <c r="F21" s="5">
        <v>9</v>
      </c>
      <c r="G21" s="5">
        <v>10</v>
      </c>
      <c r="H21" s="5">
        <v>0</v>
      </c>
      <c r="I21" s="5">
        <v>24</v>
      </c>
      <c r="J21" s="5">
        <v>0</v>
      </c>
      <c r="K21" s="5">
        <v>6</v>
      </c>
      <c r="L21" s="4">
        <f>0.3651+0.4758</f>
      </c>
      <c r="M21" s="14">
        <f>L21/2.83168</f>
      </c>
      <c r="N21" s="1" t="s">
        <v>36</v>
      </c>
      <c r="O21" s="1" t="s">
        <v>37</v>
      </c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11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f>0.3651+0.7282</f>
      </c>
      <c r="M22" s="14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12</v>
      </c>
      <c r="G23" s="5">
        <v>12</v>
      </c>
      <c r="H23" s="5">
        <v>0</v>
      </c>
      <c r="I23" s="5">
        <v>24</v>
      </c>
      <c r="J23" s="5">
        <v>0</v>
      </c>
      <c r="K23" s="5">
        <v>6</v>
      </c>
      <c r="L23" s="4">
        <f>0.3651+0.8114</f>
      </c>
      <c r="M23" s="14">
        <f>L23/2.83168</f>
      </c>
      <c r="N23" s="1" t="s">
        <v>36</v>
      </c>
      <c r="O23" s="1" t="s">
        <v>37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4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f>0.49315*30</f>
      </c>
      <c r="M19" s="4">
        <f>0.49315*30</f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9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4.862142857142858" customWidth="1" bestFit="1"/>
    <col min="4" max="4" style="7" width="23.719285714285714" customWidth="1" bestFit="1"/>
    <col min="5" max="5" style="7" width="22.290714285714284" customWidth="1" bestFit="1"/>
    <col min="6" max="6" style="7" width="11.576428571428572" customWidth="1" bestFit="1"/>
    <col min="7" max="7" style="7" width="10.576428571428572" customWidth="1" bestFit="1"/>
    <col min="8" max="8" style="7" width="9.862142857142858" customWidth="1" bestFit="1"/>
    <col min="9" max="9" style="7" width="8.719285714285713" customWidth="1" bestFit="1"/>
    <col min="10" max="10" style="7" width="12.290714285714287" customWidth="1" bestFit="1"/>
    <col min="11" max="11" style="7" width="11.862142857142858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3"/>
      <c r="F2" s="2"/>
      <c r="G2" s="2"/>
      <c r="H2" s="2"/>
      <c r="I2" s="2"/>
      <c r="J2" s="2"/>
      <c r="K2" s="2"/>
      <c r="L2" s="4">
        <v>373.12</v>
      </c>
      <c r="M2" s="4">
        <v>373.12</v>
      </c>
      <c r="N2" s="1" t="s">
        <v>15</v>
      </c>
      <c r="O2" s="1" t="s">
        <v>28</v>
      </c>
    </row>
    <row x14ac:dyDescent="0.25" r="3" customHeight="1" ht="17.25">
      <c r="A3" s="1" t="s">
        <v>13</v>
      </c>
      <c r="B3" s="1" t="s">
        <v>17</v>
      </c>
      <c r="C3" s="1" t="s">
        <v>18</v>
      </c>
      <c r="D3" s="5">
        <v>0</v>
      </c>
      <c r="E3" s="5">
        <v>0</v>
      </c>
      <c r="F3" s="5">
        <v>6</v>
      </c>
      <c r="G3" s="5">
        <v>9</v>
      </c>
      <c r="H3" s="5">
        <v>16</v>
      </c>
      <c r="I3" s="5">
        <v>21</v>
      </c>
      <c r="J3" s="5">
        <v>0</v>
      </c>
      <c r="K3" s="5">
        <v>4</v>
      </c>
      <c r="L3" s="4">
        <v>22.19</v>
      </c>
      <c r="M3" s="4">
        <v>22.19</v>
      </c>
      <c r="N3" s="1" t="s">
        <v>19</v>
      </c>
      <c r="O3" s="1" t="s">
        <v>43</v>
      </c>
    </row>
    <row x14ac:dyDescent="0.25" r="4" customHeight="1" ht="17.25">
      <c r="A4" s="1" t="s">
        <v>13</v>
      </c>
      <c r="B4" s="1" t="s">
        <v>17</v>
      </c>
      <c r="C4" s="1" t="s">
        <v>21</v>
      </c>
      <c r="D4" s="5">
        <v>0</v>
      </c>
      <c r="E4" s="5">
        <v>0</v>
      </c>
      <c r="F4" s="5">
        <v>1</v>
      </c>
      <c r="G4" s="5">
        <v>5</v>
      </c>
      <c r="H4" s="5">
        <v>16</v>
      </c>
      <c r="I4" s="5">
        <v>21</v>
      </c>
      <c r="J4" s="5">
        <v>0</v>
      </c>
      <c r="K4" s="5">
        <v>4</v>
      </c>
      <c r="L4" s="4">
        <v>4.69</v>
      </c>
      <c r="M4" s="4">
        <v>4.69</v>
      </c>
      <c r="N4" s="1" t="s">
        <v>19</v>
      </c>
      <c r="O4" s="1" t="s">
        <v>44</v>
      </c>
    </row>
    <row x14ac:dyDescent="0.25" r="5" customHeight="1" ht="17.25">
      <c r="A5" s="1" t="s">
        <v>13</v>
      </c>
      <c r="B5" s="1" t="s">
        <v>17</v>
      </c>
      <c r="C5" s="1" t="s">
        <v>23</v>
      </c>
      <c r="D5" s="5">
        <v>0</v>
      </c>
      <c r="E5" s="5">
        <v>0</v>
      </c>
      <c r="F5" s="5">
        <v>10</v>
      </c>
      <c r="G5" s="5">
        <v>12</v>
      </c>
      <c r="H5" s="5">
        <v>16</v>
      </c>
      <c r="I5" s="5">
        <v>21</v>
      </c>
      <c r="J5" s="5">
        <v>0</v>
      </c>
      <c r="K5" s="5">
        <v>4</v>
      </c>
      <c r="L5" s="4">
        <v>4.69</v>
      </c>
      <c r="M5" s="4">
        <v>4.69</v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24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0</v>
      </c>
      <c r="K6" s="5">
        <v>6</v>
      </c>
      <c r="L6" s="4">
        <v>16.97</v>
      </c>
      <c r="M6" s="4">
        <v>16.97</v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6</v>
      </c>
      <c r="G7" s="5">
        <v>9</v>
      </c>
      <c r="H7" s="5">
        <v>16</v>
      </c>
      <c r="I7" s="5">
        <v>21</v>
      </c>
      <c r="J7" s="5">
        <v>0</v>
      </c>
      <c r="K7" s="5">
        <v>4</v>
      </c>
      <c r="L7" s="4">
        <f>0.0402+0.07668</f>
      </c>
      <c r="M7" s="4">
        <f>0.0402+0.07668</f>
      </c>
      <c r="N7" s="1" t="s">
        <v>26</v>
      </c>
      <c r="O7" s="1" t="s">
        <v>45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6</v>
      </c>
      <c r="G8" s="5">
        <v>9</v>
      </c>
      <c r="H8" s="5">
        <v>0</v>
      </c>
      <c r="I8" s="5">
        <v>16</v>
      </c>
      <c r="J8" s="5">
        <v>0</v>
      </c>
      <c r="K8" s="5">
        <v>6</v>
      </c>
      <c r="L8" s="4">
        <f>0.0402+0.04401</f>
      </c>
      <c r="M8" s="4">
        <f>0.0402+0.04401</f>
      </c>
      <c r="N8" s="1" t="s">
        <v>26</v>
      </c>
      <c r="O8" s="1" t="s">
        <v>45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6</v>
      </c>
      <c r="G9" s="5">
        <v>9</v>
      </c>
      <c r="H9" s="5">
        <v>21</v>
      </c>
      <c r="I9" s="5">
        <v>24</v>
      </c>
      <c r="J9" s="5">
        <v>0</v>
      </c>
      <c r="K9" s="5">
        <v>6</v>
      </c>
      <c r="L9" s="4">
        <f>0.0402+0.04401</f>
      </c>
      <c r="M9" s="4">
        <f>0.0402+0.04401</f>
      </c>
      <c r="N9" s="1" t="s">
        <v>26</v>
      </c>
      <c r="O9" s="1" t="s">
        <v>45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9</v>
      </c>
      <c r="H10" s="5">
        <v>16</v>
      </c>
      <c r="I10" s="5">
        <v>21</v>
      </c>
      <c r="J10" s="5">
        <v>5</v>
      </c>
      <c r="K10" s="5">
        <v>6</v>
      </c>
      <c r="L10" s="4">
        <f>0.0402+0.06896</f>
      </c>
      <c r="M10" s="4">
        <f>0.0402+0.06896</f>
      </c>
      <c r="N10" s="1" t="s">
        <v>26</v>
      </c>
      <c r="O10" s="1" t="s">
        <v>45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1</v>
      </c>
      <c r="G11" s="5">
        <v>5</v>
      </c>
      <c r="H11" s="5">
        <v>16</v>
      </c>
      <c r="I11" s="5">
        <v>21</v>
      </c>
      <c r="J11" s="5">
        <v>0</v>
      </c>
      <c r="K11" s="5">
        <v>6</v>
      </c>
      <c r="L11" s="4">
        <f>0.0402+0.05783</f>
      </c>
      <c r="M11" s="4">
        <f>0.0402+0.05783</f>
      </c>
      <c r="N11" s="1" t="s">
        <v>26</v>
      </c>
      <c r="O11" s="1" t="s">
        <v>45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1</v>
      </c>
      <c r="G12" s="5">
        <v>5</v>
      </c>
      <c r="H12" s="5">
        <v>0</v>
      </c>
      <c r="I12" s="5">
        <v>8</v>
      </c>
      <c r="J12" s="5">
        <v>0</v>
      </c>
      <c r="K12" s="5">
        <v>6</v>
      </c>
      <c r="L12" s="4">
        <f>0.0402+0.04853</f>
      </c>
      <c r="M12" s="4">
        <f>0.0402+0.04853</f>
      </c>
      <c r="N12" s="1" t="s">
        <v>26</v>
      </c>
      <c r="O12" s="1" t="s">
        <v>45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1</v>
      </c>
      <c r="G13" s="5">
        <v>5</v>
      </c>
      <c r="H13" s="5">
        <v>21</v>
      </c>
      <c r="I13" s="5">
        <v>24</v>
      </c>
      <c r="J13" s="5">
        <v>0</v>
      </c>
      <c r="K13" s="5">
        <v>6</v>
      </c>
      <c r="L13" s="4">
        <f>0.0402+0.04853</f>
      </c>
      <c r="M13" s="4">
        <f>0.0402+0.04853</f>
      </c>
      <c r="N13" s="1" t="s">
        <v>26</v>
      </c>
      <c r="O13" s="1" t="s">
        <v>45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1</v>
      </c>
      <c r="G14" s="5">
        <v>5</v>
      </c>
      <c r="H14" s="5">
        <v>8</v>
      </c>
      <c r="I14" s="5">
        <v>16</v>
      </c>
      <c r="J14" s="5">
        <v>0</v>
      </c>
      <c r="K14" s="5">
        <v>6</v>
      </c>
      <c r="L14" s="4">
        <f>0.0402+0.03111</f>
      </c>
      <c r="M14" s="4">
        <f>0.0402+0.03111</f>
      </c>
      <c r="N14" s="1" t="s">
        <v>26</v>
      </c>
      <c r="O14" s="1" t="s">
        <v>45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10</v>
      </c>
      <c r="G15" s="5">
        <v>12</v>
      </c>
      <c r="H15" s="5">
        <v>16</v>
      </c>
      <c r="I15" s="5">
        <v>21</v>
      </c>
      <c r="J15" s="5">
        <v>0</v>
      </c>
      <c r="K15" s="5">
        <v>6</v>
      </c>
      <c r="L15" s="4">
        <f>0.0402+0.05783</f>
      </c>
      <c r="M15" s="4">
        <f>0.0402+0.05783</f>
      </c>
      <c r="N15" s="1" t="s">
        <v>26</v>
      </c>
      <c r="O15" s="1" t="s">
        <v>45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10</v>
      </c>
      <c r="G16" s="5">
        <v>12</v>
      </c>
      <c r="H16" s="5">
        <v>0</v>
      </c>
      <c r="I16" s="5">
        <v>8</v>
      </c>
      <c r="J16" s="5">
        <v>0</v>
      </c>
      <c r="K16" s="5">
        <v>6</v>
      </c>
      <c r="L16" s="4">
        <f>0.0402+0.04853</f>
      </c>
      <c r="M16" s="4">
        <f>0.0402+0.04853</f>
      </c>
      <c r="N16" s="1" t="s">
        <v>26</v>
      </c>
      <c r="O16" s="1" t="s">
        <v>45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10</v>
      </c>
      <c r="G17" s="5">
        <v>12</v>
      </c>
      <c r="H17" s="5">
        <v>21</v>
      </c>
      <c r="I17" s="5">
        <v>24</v>
      </c>
      <c r="J17" s="5">
        <v>0</v>
      </c>
      <c r="K17" s="5">
        <v>6</v>
      </c>
      <c r="L17" s="4">
        <f>0.0402+0.04853</f>
      </c>
      <c r="M17" s="4">
        <f>0.0402+0.04853</f>
      </c>
      <c r="N17" s="1" t="s">
        <v>26</v>
      </c>
      <c r="O17" s="1" t="s">
        <v>45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10</v>
      </c>
      <c r="G18" s="5">
        <v>12</v>
      </c>
      <c r="H18" s="5">
        <v>8</v>
      </c>
      <c r="I18" s="5">
        <v>16</v>
      </c>
      <c r="J18" s="5">
        <v>0</v>
      </c>
      <c r="K18" s="5">
        <v>6</v>
      </c>
      <c r="L18" s="4">
        <f>0.0402+0.03111</f>
      </c>
      <c r="M18" s="4">
        <f>0.0402+0.03111</f>
      </c>
      <c r="N18" s="1" t="s">
        <v>26</v>
      </c>
      <c r="O18" s="1" t="s">
        <v>45</v>
      </c>
    </row>
    <row x14ac:dyDescent="0.25" r="19" customHeight="1" ht="17.25">
      <c r="A19" s="1" t="s">
        <v>34</v>
      </c>
      <c r="B19" s="1" t="s">
        <v>14</v>
      </c>
      <c r="C19" s="1"/>
      <c r="D19" s="2"/>
      <c r="E19" s="3"/>
      <c r="F19" s="2"/>
      <c r="G19" s="2"/>
      <c r="H19" s="2"/>
      <c r="I19" s="2"/>
      <c r="J19" s="2"/>
      <c r="K19" s="2"/>
      <c r="L19" s="4">
        <f>0.49315*30</f>
      </c>
      <c r="M19" s="4">
        <f>0.49315*30</f>
      </c>
      <c r="N19" s="1" t="s">
        <v>15</v>
      </c>
      <c r="O19" s="1" t="s">
        <v>38</v>
      </c>
    </row>
    <row x14ac:dyDescent="0.25" r="20" customHeight="1" ht="17.25">
      <c r="A20" s="1" t="s">
        <v>34</v>
      </c>
      <c r="B20" s="1" t="s">
        <v>25</v>
      </c>
      <c r="C20" s="9"/>
      <c r="D20" s="5">
        <v>0</v>
      </c>
      <c r="E20" s="5">
        <f>D20*2.83168</f>
      </c>
      <c r="F20" s="5">
        <v>1</v>
      </c>
      <c r="G20" s="5">
        <v>12</v>
      </c>
      <c r="H20" s="5">
        <v>0</v>
      </c>
      <c r="I20" s="5">
        <v>24</v>
      </c>
      <c r="J20" s="5">
        <v>0</v>
      </c>
      <c r="K20" s="5">
        <v>6</v>
      </c>
      <c r="L20" s="4">
        <v>1.61662</v>
      </c>
      <c r="M20" s="11">
        <f>L20/2.83168</f>
      </c>
      <c r="N20" s="1" t="s">
        <v>36</v>
      </c>
      <c r="O20" s="1"/>
    </row>
    <row x14ac:dyDescent="0.25" r="21" customHeight="1" ht="17.25">
      <c r="A21" s="1" t="s">
        <v>34</v>
      </c>
      <c r="B21" s="1" t="s">
        <v>25</v>
      </c>
      <c r="C21" s="9"/>
      <c r="D21" s="5">
        <v>250</v>
      </c>
      <c r="E21" s="4">
        <f>D21*2.83168</f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v>1.17731</v>
      </c>
      <c r="M21" s="11">
        <f>L21/2.83168</f>
      </c>
      <c r="N21" s="1" t="s">
        <v>36</v>
      </c>
      <c r="O21" s="9"/>
    </row>
    <row x14ac:dyDescent="0.25" r="22" customHeight="1" ht="17.25">
      <c r="A22" s="1" t="s">
        <v>34</v>
      </c>
      <c r="B22" s="1" t="s">
        <v>25</v>
      </c>
      <c r="C22" s="1"/>
      <c r="D22" s="5">
        <v>4167</v>
      </c>
      <c r="E22" s="4">
        <f>D22*2.83168</f>
      </c>
      <c r="F22" s="5">
        <v>1</v>
      </c>
      <c r="G22" s="5">
        <v>12</v>
      </c>
      <c r="H22" s="5">
        <v>0</v>
      </c>
      <c r="I22" s="5">
        <v>24</v>
      </c>
      <c r="J22" s="5">
        <v>0</v>
      </c>
      <c r="K22" s="5">
        <v>6</v>
      </c>
      <c r="L22" s="4">
        <v>0.88276</v>
      </c>
      <c r="M22" s="11">
        <f>L22/2.83168</f>
      </c>
      <c r="N22" s="1" t="s">
        <v>36</v>
      </c>
      <c r="O22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31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8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3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197.49</v>
      </c>
      <c r="M2" s="4">
        <v>197.49</v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24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24</v>
      </c>
      <c r="J3" s="5">
        <v>0</v>
      </c>
      <c r="K3" s="5">
        <v>6</v>
      </c>
      <c r="L3" s="4">
        <v>1.1589</v>
      </c>
      <c r="M3" s="4">
        <v>1.1589</v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40</v>
      </c>
      <c r="D4" s="5">
        <v>0</v>
      </c>
      <c r="E4" s="5">
        <v>0</v>
      </c>
      <c r="F4" s="5">
        <v>6</v>
      </c>
      <c r="G4" s="5">
        <v>10</v>
      </c>
      <c r="H4" s="5">
        <v>12</v>
      </c>
      <c r="I4" s="5">
        <v>20</v>
      </c>
      <c r="J4" s="5">
        <v>0</v>
      </c>
      <c r="K4" s="5">
        <v>4</v>
      </c>
      <c r="L4" s="4">
        <f>1.4139+9.62</f>
      </c>
      <c r="M4" s="4">
        <f>1.4139+9.62</f>
      </c>
      <c r="N4" s="1" t="s">
        <v>19</v>
      </c>
      <c r="O4" s="1" t="s">
        <v>41</v>
      </c>
    </row>
    <row x14ac:dyDescent="0.25" r="5" customHeight="1" ht="17.25">
      <c r="A5" s="1" t="s">
        <v>13</v>
      </c>
      <c r="B5" s="1" t="s">
        <v>25</v>
      </c>
      <c r="C5" s="1"/>
      <c r="D5" s="5">
        <v>0</v>
      </c>
      <c r="E5" s="5">
        <v>0</v>
      </c>
      <c r="F5" s="5">
        <v>1</v>
      </c>
      <c r="G5" s="5">
        <v>5</v>
      </c>
      <c r="H5" s="5">
        <v>0</v>
      </c>
      <c r="I5" s="5">
        <v>8</v>
      </c>
      <c r="J5" s="5">
        <v>0</v>
      </c>
      <c r="K5" s="5">
        <v>4</v>
      </c>
      <c r="L5" s="4">
        <f>0.05406+0.00651+0.05199+0.002</f>
      </c>
      <c r="M5" s="4">
        <f>0.05406+0.00651+0.05199+0.002</f>
      </c>
      <c r="N5" s="1" t="s">
        <v>26</v>
      </c>
      <c r="O5" s="1" t="s">
        <v>42</v>
      </c>
    </row>
    <row x14ac:dyDescent="0.25" r="6" customHeight="1" ht="17.25">
      <c r="A6" s="1" t="s">
        <v>13</v>
      </c>
      <c r="B6" s="1" t="s">
        <v>25</v>
      </c>
      <c r="C6" s="1"/>
      <c r="D6" s="5">
        <v>0</v>
      </c>
      <c r="E6" s="5">
        <v>0</v>
      </c>
      <c r="F6" s="5">
        <v>1</v>
      </c>
      <c r="G6" s="5">
        <v>5</v>
      </c>
      <c r="H6" s="5">
        <v>8</v>
      </c>
      <c r="I6" s="5">
        <v>12</v>
      </c>
      <c r="J6" s="5">
        <v>0</v>
      </c>
      <c r="K6" s="5">
        <v>4</v>
      </c>
      <c r="L6" s="4">
        <f>0.05818+0.05199+0.002+0.00651</f>
      </c>
      <c r="M6" s="4">
        <f>0.05818+0.05199+0.002+0.00651</f>
      </c>
      <c r="N6" s="1" t="s">
        <v>26</v>
      </c>
      <c r="O6" s="1" t="s">
        <v>42</v>
      </c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5</v>
      </c>
      <c r="H7" s="5">
        <v>12</v>
      </c>
      <c r="I7" s="5">
        <v>20</v>
      </c>
      <c r="J7" s="5">
        <v>0</v>
      </c>
      <c r="K7" s="5">
        <v>4</v>
      </c>
      <c r="L7" s="4">
        <f>0.05743+0.05199+0.002+0.00651</f>
      </c>
      <c r="M7" s="4">
        <f>0.05743+0.05199+0.002+0.00651</f>
      </c>
      <c r="N7" s="1" t="s">
        <v>26</v>
      </c>
      <c r="O7" s="1" t="s">
        <v>42</v>
      </c>
    </row>
    <row x14ac:dyDescent="0.25" r="8" customHeight="1" ht="17.25">
      <c r="A8" s="1" t="s">
        <v>13</v>
      </c>
      <c r="B8" s="1" t="s">
        <v>25</v>
      </c>
      <c r="C8" s="1"/>
      <c r="D8" s="5">
        <v>0</v>
      </c>
      <c r="E8" s="5">
        <v>0</v>
      </c>
      <c r="F8" s="5">
        <v>1</v>
      </c>
      <c r="G8" s="5">
        <v>5</v>
      </c>
      <c r="H8" s="5">
        <v>20</v>
      </c>
      <c r="I8" s="5">
        <v>24</v>
      </c>
      <c r="J8" s="5">
        <v>0</v>
      </c>
      <c r="K8" s="5">
        <v>4</v>
      </c>
      <c r="L8" s="4">
        <f>0.05818+0.05199+0.002+0.00651</f>
      </c>
      <c r="M8" s="4">
        <f>0.05818+0.05199+0.002+0.00651</f>
      </c>
      <c r="N8" s="1" t="s">
        <v>26</v>
      </c>
      <c r="O8" s="1" t="s">
        <v>42</v>
      </c>
    </row>
    <row x14ac:dyDescent="0.25" r="9" customHeight="1" ht="17.25">
      <c r="A9" s="1" t="s">
        <v>13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5</v>
      </c>
      <c r="H9" s="5">
        <v>0</v>
      </c>
      <c r="I9" s="5">
        <v>24</v>
      </c>
      <c r="J9" s="5">
        <v>5</v>
      </c>
      <c r="K9" s="5">
        <v>6</v>
      </c>
      <c r="L9" s="4">
        <f>0.05406+0.00651+0.05199+0.002</f>
      </c>
      <c r="M9" s="4">
        <f>0.05406+0.00651+0.05199+0.002</f>
      </c>
      <c r="N9" s="1" t="s">
        <v>26</v>
      </c>
      <c r="O9" s="1" t="s">
        <v>42</v>
      </c>
    </row>
    <row x14ac:dyDescent="0.25" r="10" customHeight="1" ht="17.25">
      <c r="A10" s="1" t="s">
        <v>13</v>
      </c>
      <c r="B10" s="1" t="s">
        <v>25</v>
      </c>
      <c r="C10" s="1"/>
      <c r="D10" s="5">
        <v>0</v>
      </c>
      <c r="E10" s="5">
        <v>0</v>
      </c>
      <c r="F10" s="5">
        <v>6</v>
      </c>
      <c r="G10" s="5">
        <v>10</v>
      </c>
      <c r="H10" s="5">
        <v>0</v>
      </c>
      <c r="I10" s="5">
        <v>8</v>
      </c>
      <c r="J10" s="5">
        <v>0</v>
      </c>
      <c r="K10" s="5">
        <v>4</v>
      </c>
      <c r="L10" s="4">
        <f>0.04561+0.05199+0.004+0.00653</f>
      </c>
      <c r="M10" s="4">
        <f>0.04561+0.05199+0.004+0.00653</f>
      </c>
      <c r="N10" s="1" t="s">
        <v>26</v>
      </c>
      <c r="O10" s="1" t="s">
        <v>42</v>
      </c>
    </row>
    <row x14ac:dyDescent="0.25" r="11" customHeight="1" ht="17.25">
      <c r="A11" s="1" t="s">
        <v>13</v>
      </c>
      <c r="B11" s="1" t="s">
        <v>25</v>
      </c>
      <c r="C11" s="1"/>
      <c r="D11" s="5">
        <v>0</v>
      </c>
      <c r="E11" s="5">
        <v>0</v>
      </c>
      <c r="F11" s="5">
        <v>6</v>
      </c>
      <c r="G11" s="5">
        <v>10</v>
      </c>
      <c r="H11" s="5">
        <v>8</v>
      </c>
      <c r="I11" s="5">
        <v>12</v>
      </c>
      <c r="J11" s="5">
        <v>0</v>
      </c>
      <c r="K11" s="5">
        <v>4</v>
      </c>
      <c r="L11" s="4">
        <f>0.05119+0.05199+0.004+0.00653</f>
      </c>
      <c r="M11" s="4">
        <f>0.05119+0.05199+0.004+0.00653</f>
      </c>
      <c r="N11" s="1" t="s">
        <v>26</v>
      </c>
      <c r="O11" s="1" t="s">
        <v>42</v>
      </c>
    </row>
    <row x14ac:dyDescent="0.25" r="12" customHeight="1" ht="17.25">
      <c r="A12" s="1" t="s">
        <v>13</v>
      </c>
      <c r="B12" s="1" t="s">
        <v>25</v>
      </c>
      <c r="C12" s="1"/>
      <c r="D12" s="5">
        <v>0</v>
      </c>
      <c r="E12" s="5">
        <v>0</v>
      </c>
      <c r="F12" s="5">
        <v>6</v>
      </c>
      <c r="G12" s="5">
        <v>10</v>
      </c>
      <c r="H12" s="5">
        <v>12</v>
      </c>
      <c r="I12" s="5">
        <v>20</v>
      </c>
      <c r="J12" s="5">
        <v>0</v>
      </c>
      <c r="K12" s="5">
        <v>4</v>
      </c>
      <c r="L12" s="4">
        <f>0.0606+0.05199+0.004+0.00653</f>
      </c>
      <c r="M12" s="4">
        <f>0.0606+0.05199+0.004+0.00653</f>
      </c>
      <c r="N12" s="1" t="s">
        <v>26</v>
      </c>
      <c r="O12" s="1" t="s">
        <v>42</v>
      </c>
    </row>
    <row x14ac:dyDescent="0.25" r="13" customHeight="1" ht="17.25">
      <c r="A13" s="1" t="s">
        <v>13</v>
      </c>
      <c r="B13" s="1" t="s">
        <v>25</v>
      </c>
      <c r="C13" s="1"/>
      <c r="D13" s="5">
        <v>0</v>
      </c>
      <c r="E13" s="5">
        <v>0</v>
      </c>
      <c r="F13" s="5">
        <v>6</v>
      </c>
      <c r="G13" s="5">
        <v>10</v>
      </c>
      <c r="H13" s="5">
        <v>20</v>
      </c>
      <c r="I13" s="5">
        <v>24</v>
      </c>
      <c r="J13" s="5">
        <v>0</v>
      </c>
      <c r="K13" s="5">
        <v>4</v>
      </c>
      <c r="L13" s="4">
        <f>0.05119+0.05199+0.004+0.00653</f>
      </c>
      <c r="M13" s="4">
        <f>0.05119+0.05199+0.004+0.00653</f>
      </c>
      <c r="N13" s="1" t="s">
        <v>26</v>
      </c>
      <c r="O13" s="1" t="s">
        <v>42</v>
      </c>
    </row>
    <row x14ac:dyDescent="0.25" r="14" customHeight="1" ht="17.25">
      <c r="A14" s="1" t="s">
        <v>13</v>
      </c>
      <c r="B14" s="1" t="s">
        <v>25</v>
      </c>
      <c r="C14" s="1"/>
      <c r="D14" s="5">
        <v>0</v>
      </c>
      <c r="E14" s="5">
        <v>0</v>
      </c>
      <c r="F14" s="5">
        <v>6</v>
      </c>
      <c r="G14" s="5">
        <v>10</v>
      </c>
      <c r="H14" s="5">
        <v>0</v>
      </c>
      <c r="I14" s="5">
        <v>24</v>
      </c>
      <c r="J14" s="5">
        <v>5</v>
      </c>
      <c r="K14" s="5">
        <v>6</v>
      </c>
      <c r="L14" s="4">
        <f>0.04561+0.05199+0.004+0.00653</f>
      </c>
      <c r="M14" s="4">
        <f>0.04561+0.05199+0.004+0.00653</f>
      </c>
      <c r="N14" s="1" t="s">
        <v>26</v>
      </c>
      <c r="O14" s="1" t="s">
        <v>42</v>
      </c>
    </row>
    <row x14ac:dyDescent="0.25" r="15" customHeight="1" ht="17.25">
      <c r="A15" s="1" t="s">
        <v>13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0</v>
      </c>
      <c r="I15" s="5">
        <v>8</v>
      </c>
      <c r="J15" s="5">
        <v>0</v>
      </c>
      <c r="K15" s="5">
        <v>4</v>
      </c>
      <c r="L15" s="4">
        <f>0.0537+0.05199+0.004+0.00651</f>
      </c>
      <c r="M15" s="4">
        <f>0.0537+0.05199+0.004+0.00651</f>
      </c>
      <c r="N15" s="1" t="s">
        <v>26</v>
      </c>
      <c r="O15" s="1" t="s">
        <v>42</v>
      </c>
    </row>
    <row x14ac:dyDescent="0.25" r="16" customHeight="1" ht="17.25">
      <c r="A16" s="1" t="s">
        <v>13</v>
      </c>
      <c r="B16" s="1" t="s">
        <v>25</v>
      </c>
      <c r="C16" s="1"/>
      <c r="D16" s="5">
        <v>0</v>
      </c>
      <c r="E16" s="5">
        <v>0</v>
      </c>
      <c r="F16" s="5">
        <v>11</v>
      </c>
      <c r="G16" s="5">
        <v>12</v>
      </c>
      <c r="H16" s="5">
        <v>8</v>
      </c>
      <c r="I16" s="5">
        <v>12</v>
      </c>
      <c r="J16" s="5">
        <v>0</v>
      </c>
      <c r="K16" s="5">
        <v>4</v>
      </c>
      <c r="L16" s="4">
        <f>0.05916+0.05199+0.004+0.00651</f>
      </c>
      <c r="M16" s="4">
        <f>0.05916+0.05199+0.004+0.00651</f>
      </c>
      <c r="N16" s="1" t="s">
        <v>26</v>
      </c>
      <c r="O16" s="1" t="s">
        <v>42</v>
      </c>
    </row>
    <row x14ac:dyDescent="0.25" r="17" customHeight="1" ht="17.25">
      <c r="A17" s="1" t="s">
        <v>13</v>
      </c>
      <c r="B17" s="1" t="s">
        <v>25</v>
      </c>
      <c r="C17" s="1"/>
      <c r="D17" s="5">
        <v>0</v>
      </c>
      <c r="E17" s="5">
        <v>0</v>
      </c>
      <c r="F17" s="5">
        <v>11</v>
      </c>
      <c r="G17" s="5">
        <v>12</v>
      </c>
      <c r="H17" s="5">
        <v>12</v>
      </c>
      <c r="I17" s="5">
        <v>20</v>
      </c>
      <c r="J17" s="5">
        <v>0</v>
      </c>
      <c r="K17" s="5">
        <v>4</v>
      </c>
      <c r="L17" s="4">
        <f>0.05866+0.05199+0.004+0.00651</f>
      </c>
      <c r="M17" s="4">
        <f>0.05866+0.05199+0.004+0.00651</f>
      </c>
      <c r="N17" s="1" t="s">
        <v>26</v>
      </c>
      <c r="O17" s="1" t="s">
        <v>42</v>
      </c>
    </row>
    <row x14ac:dyDescent="0.25" r="18" customHeight="1" ht="17.25">
      <c r="A18" s="1" t="s">
        <v>13</v>
      </c>
      <c r="B18" s="1" t="s">
        <v>25</v>
      </c>
      <c r="C18" s="1"/>
      <c r="D18" s="5">
        <v>0</v>
      </c>
      <c r="E18" s="5">
        <v>0</v>
      </c>
      <c r="F18" s="5">
        <v>11</v>
      </c>
      <c r="G18" s="5">
        <v>12</v>
      </c>
      <c r="H18" s="5">
        <v>20</v>
      </c>
      <c r="I18" s="5">
        <v>24</v>
      </c>
      <c r="J18" s="5">
        <v>0</v>
      </c>
      <c r="K18" s="5">
        <v>4</v>
      </c>
      <c r="L18" s="4">
        <f>0.05916+0.05199+0.004+0.00651</f>
      </c>
      <c r="M18" s="4">
        <f>0.05916+0.05199+0.004+0.00651</f>
      </c>
      <c r="N18" s="1" t="s">
        <v>26</v>
      </c>
      <c r="O18" s="1" t="s">
        <v>42</v>
      </c>
    </row>
    <row x14ac:dyDescent="0.25" r="19" customHeight="1" ht="17.25">
      <c r="A19" s="1" t="s">
        <v>13</v>
      </c>
      <c r="B19" s="1" t="s">
        <v>25</v>
      </c>
      <c r="C19" s="1"/>
      <c r="D19" s="5">
        <v>0</v>
      </c>
      <c r="E19" s="5">
        <v>0</v>
      </c>
      <c r="F19" s="5">
        <v>11</v>
      </c>
      <c r="G19" s="5">
        <v>12</v>
      </c>
      <c r="H19" s="5">
        <v>0</v>
      </c>
      <c r="I19" s="5">
        <v>24</v>
      </c>
      <c r="J19" s="5">
        <v>5</v>
      </c>
      <c r="K19" s="5">
        <v>6</v>
      </c>
      <c r="L19" s="4">
        <f>0.0537+0.05199+0.004+0.00651</f>
      </c>
      <c r="M19" s="4">
        <f>0.0537+0.05199+0.004+0.00651</f>
      </c>
      <c r="N19" s="1" t="s">
        <v>26</v>
      </c>
      <c r="O19" s="1" t="s">
        <v>42</v>
      </c>
    </row>
    <row x14ac:dyDescent="0.25" r="20" customHeight="1" ht="17.25">
      <c r="A20" s="1" t="s">
        <v>34</v>
      </c>
      <c r="B20" s="1" t="s">
        <v>14</v>
      </c>
      <c r="C20" s="1"/>
      <c r="D20" s="2"/>
      <c r="E20" s="2"/>
      <c r="F20" s="2"/>
      <c r="G20" s="2"/>
      <c r="H20" s="2"/>
      <c r="I20" s="2"/>
      <c r="J20" s="2"/>
      <c r="K20" s="2"/>
      <c r="L20" s="4">
        <v>63.7</v>
      </c>
      <c r="M20" s="4">
        <v>63.7</v>
      </c>
      <c r="N20" s="1" t="s">
        <v>15</v>
      </c>
      <c r="O20" s="1"/>
    </row>
    <row x14ac:dyDescent="0.25" r="21" customHeight="1" ht="17.25">
      <c r="A21" s="1" t="s">
        <v>34</v>
      </c>
      <c r="B21" s="1" t="s">
        <v>17</v>
      </c>
      <c r="C21" s="1" t="s">
        <v>24</v>
      </c>
      <c r="D21" s="5">
        <v>0</v>
      </c>
      <c r="E21" s="5">
        <v>0</v>
      </c>
      <c r="F21" s="5">
        <v>1</v>
      </c>
      <c r="G21" s="5">
        <v>12</v>
      </c>
      <c r="H21" s="5">
        <v>0</v>
      </c>
      <c r="I21" s="5">
        <v>24</v>
      </c>
      <c r="J21" s="5">
        <v>0</v>
      </c>
      <c r="K21" s="5">
        <v>6</v>
      </c>
      <c r="L21" s="4">
        <f>0.0352 * 24</f>
      </c>
      <c r="M21" s="14">
        <f>L21/2.83168</f>
      </c>
      <c r="N21" s="1" t="s">
        <v>35</v>
      </c>
      <c r="O21" s="1"/>
    </row>
    <row x14ac:dyDescent="0.25" r="22" customHeight="1" ht="17.25">
      <c r="A22" s="1" t="s">
        <v>34</v>
      </c>
      <c r="B22" s="1" t="s">
        <v>25</v>
      </c>
      <c r="C22" s="1"/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24</v>
      </c>
      <c r="J22" s="5">
        <v>0</v>
      </c>
      <c r="K22" s="5">
        <v>6</v>
      </c>
      <c r="L22" s="4">
        <f>0.4006+0.4105</f>
      </c>
      <c r="M22" s="14">
        <f>L22/2.83168</f>
      </c>
      <c r="N22" s="1" t="s">
        <v>36</v>
      </c>
      <c r="O22" s="1" t="s">
        <v>37</v>
      </c>
    </row>
    <row x14ac:dyDescent="0.25" r="23" customHeight="1" ht="17.25">
      <c r="A23" s="1" t="s">
        <v>34</v>
      </c>
      <c r="B23" s="1" t="s">
        <v>25</v>
      </c>
      <c r="C23" s="1"/>
      <c r="D23" s="5">
        <v>0</v>
      </c>
      <c r="E23" s="5">
        <v>0</v>
      </c>
      <c r="F23" s="5">
        <v>2</v>
      </c>
      <c r="G23" s="5">
        <v>2</v>
      </c>
      <c r="H23" s="5">
        <v>0</v>
      </c>
      <c r="I23" s="5">
        <v>24</v>
      </c>
      <c r="J23" s="5">
        <v>0</v>
      </c>
      <c r="K23" s="5">
        <v>6</v>
      </c>
      <c r="L23" s="4">
        <f>0.4006+0.4268</f>
      </c>
      <c r="M23" s="14">
        <f>L23/2.83168</f>
      </c>
      <c r="N23" s="1" t="s">
        <v>36</v>
      </c>
      <c r="O23" s="1" t="s">
        <v>37</v>
      </c>
    </row>
    <row x14ac:dyDescent="0.25" r="24" customHeight="1" ht="17.25">
      <c r="A24" s="1" t="s">
        <v>34</v>
      </c>
      <c r="B24" s="1" t="s">
        <v>25</v>
      </c>
      <c r="C24" s="1"/>
      <c r="D24" s="5">
        <v>0</v>
      </c>
      <c r="E24" s="5">
        <v>0</v>
      </c>
      <c r="F24" s="5">
        <v>3</v>
      </c>
      <c r="G24" s="5">
        <v>3</v>
      </c>
      <c r="H24" s="5">
        <v>0</v>
      </c>
      <c r="I24" s="5">
        <v>24</v>
      </c>
      <c r="J24" s="5">
        <v>0</v>
      </c>
      <c r="K24" s="5">
        <v>6</v>
      </c>
      <c r="L24" s="4">
        <f>0.4006+0.6092</f>
      </c>
      <c r="M24" s="14">
        <f>L24/2.83168</f>
      </c>
      <c r="N24" s="1" t="s">
        <v>36</v>
      </c>
      <c r="O24" s="1" t="s">
        <v>37</v>
      </c>
    </row>
    <row x14ac:dyDescent="0.25" r="25" customHeight="1" ht="17.25">
      <c r="A25" s="1" t="s">
        <v>34</v>
      </c>
      <c r="B25" s="1" t="s">
        <v>25</v>
      </c>
      <c r="C25" s="1"/>
      <c r="D25" s="5">
        <v>0</v>
      </c>
      <c r="E25" s="5">
        <v>0</v>
      </c>
      <c r="F25" s="5">
        <v>4</v>
      </c>
      <c r="G25" s="5">
        <v>4</v>
      </c>
      <c r="H25" s="5">
        <v>0</v>
      </c>
      <c r="I25" s="5">
        <v>24</v>
      </c>
      <c r="J25" s="5">
        <v>0</v>
      </c>
      <c r="K25" s="5">
        <v>6</v>
      </c>
      <c r="L25" s="4">
        <f>0.4006+0.6512</f>
      </c>
      <c r="M25" s="14">
        <f>L25/2.83168</f>
      </c>
      <c r="N25" s="1" t="s">
        <v>36</v>
      </c>
      <c r="O25" s="1" t="s">
        <v>37</v>
      </c>
    </row>
    <row x14ac:dyDescent="0.25" r="26" customHeight="1" ht="17.25">
      <c r="A26" s="1" t="s">
        <v>34</v>
      </c>
      <c r="B26" s="1" t="s">
        <v>25</v>
      </c>
      <c r="C26" s="1"/>
      <c r="D26" s="5">
        <v>0</v>
      </c>
      <c r="E26" s="5">
        <v>0</v>
      </c>
      <c r="F26" s="5">
        <v>5</v>
      </c>
      <c r="G26" s="5">
        <v>5</v>
      </c>
      <c r="H26" s="5">
        <v>0</v>
      </c>
      <c r="I26" s="5">
        <v>24</v>
      </c>
      <c r="J26" s="5">
        <v>0</v>
      </c>
      <c r="K26" s="5">
        <v>6</v>
      </c>
      <c r="L26" s="4">
        <f>0.4006+0.669</f>
      </c>
      <c r="M26" s="14">
        <f>L26/2.83168</f>
      </c>
      <c r="N26" s="1" t="s">
        <v>36</v>
      </c>
      <c r="O26" s="1" t="s">
        <v>37</v>
      </c>
    </row>
    <row x14ac:dyDescent="0.25" r="27" customHeight="1" ht="17.25">
      <c r="A27" s="1" t="s">
        <v>34</v>
      </c>
      <c r="B27" s="1" t="s">
        <v>25</v>
      </c>
      <c r="C27" s="1"/>
      <c r="D27" s="5">
        <v>0</v>
      </c>
      <c r="E27" s="5">
        <v>0</v>
      </c>
      <c r="F27" s="5">
        <v>6</v>
      </c>
      <c r="G27" s="5">
        <v>6</v>
      </c>
      <c r="H27" s="5">
        <v>0</v>
      </c>
      <c r="I27" s="5">
        <v>24</v>
      </c>
      <c r="J27" s="5">
        <v>0</v>
      </c>
      <c r="K27" s="5">
        <v>6</v>
      </c>
      <c r="L27" s="4">
        <f>0.719+0.4006</f>
      </c>
      <c r="M27" s="14">
        <f>L27/2.83168</f>
      </c>
      <c r="N27" s="1" t="s">
        <v>36</v>
      </c>
      <c r="O27" s="1" t="s">
        <v>37</v>
      </c>
    </row>
    <row x14ac:dyDescent="0.25" r="28" customHeight="1" ht="17.25">
      <c r="A28" s="1" t="s">
        <v>34</v>
      </c>
      <c r="B28" s="1" t="s">
        <v>25</v>
      </c>
      <c r="C28" s="1"/>
      <c r="D28" s="5">
        <v>0</v>
      </c>
      <c r="E28" s="5">
        <v>0</v>
      </c>
      <c r="F28" s="5">
        <v>7</v>
      </c>
      <c r="G28" s="5">
        <v>8</v>
      </c>
      <c r="H28" s="5">
        <v>0</v>
      </c>
      <c r="I28" s="5">
        <v>24</v>
      </c>
      <c r="J28" s="5">
        <v>0</v>
      </c>
      <c r="K28" s="5">
        <v>6</v>
      </c>
      <c r="L28" s="4">
        <f>0.7747+0.4006</f>
      </c>
      <c r="M28" s="14">
        <f>L28/2.83168</f>
      </c>
      <c r="N28" s="1" t="s">
        <v>36</v>
      </c>
      <c r="O28" s="1" t="s">
        <v>37</v>
      </c>
    </row>
    <row x14ac:dyDescent="0.25" r="29" customHeight="1" ht="17.25">
      <c r="A29" s="1" t="s">
        <v>34</v>
      </c>
      <c r="B29" s="1" t="s">
        <v>25</v>
      </c>
      <c r="C29" s="1"/>
      <c r="D29" s="5">
        <v>0</v>
      </c>
      <c r="E29" s="5">
        <v>0</v>
      </c>
      <c r="F29" s="5">
        <v>9</v>
      </c>
      <c r="G29" s="5">
        <v>9</v>
      </c>
      <c r="H29" s="5">
        <v>0</v>
      </c>
      <c r="I29" s="5">
        <v>24</v>
      </c>
      <c r="J29" s="5">
        <v>0</v>
      </c>
      <c r="K29" s="5">
        <v>6</v>
      </c>
      <c r="L29" s="4">
        <f>0.6369+0.4006</f>
      </c>
      <c r="M29" s="14">
        <f>L29/2.83168</f>
      </c>
      <c r="N29" s="1" t="s">
        <v>36</v>
      </c>
      <c r="O29" s="1" t="s">
        <v>37</v>
      </c>
    </row>
    <row x14ac:dyDescent="0.25" r="30" customHeight="1" ht="17.25">
      <c r="A30" s="1" t="s">
        <v>34</v>
      </c>
      <c r="B30" s="1" t="s">
        <v>25</v>
      </c>
      <c r="C30" s="1"/>
      <c r="D30" s="5">
        <v>0</v>
      </c>
      <c r="E30" s="5">
        <v>0</v>
      </c>
      <c r="F30" s="5">
        <v>10</v>
      </c>
      <c r="G30" s="5">
        <v>11</v>
      </c>
      <c r="H30" s="5">
        <v>0</v>
      </c>
      <c r="I30" s="5">
        <v>24</v>
      </c>
      <c r="J30" s="5">
        <v>0</v>
      </c>
      <c r="K30" s="5">
        <v>6</v>
      </c>
      <c r="L30" s="4">
        <f>0.7937+0.4006</f>
      </c>
      <c r="M30" s="14">
        <f>L30/2.83168</f>
      </c>
      <c r="N30" s="1" t="s">
        <v>36</v>
      </c>
      <c r="O30" s="1" t="s">
        <v>37</v>
      </c>
    </row>
    <row x14ac:dyDescent="0.25" r="31" customHeight="1" ht="17.25">
      <c r="A31" s="1" t="s">
        <v>34</v>
      </c>
      <c r="B31" s="1" t="s">
        <v>25</v>
      </c>
      <c r="C31" s="1"/>
      <c r="D31" s="5">
        <v>0</v>
      </c>
      <c r="E31" s="5">
        <v>0</v>
      </c>
      <c r="F31" s="5">
        <v>12</v>
      </c>
      <c r="G31" s="5">
        <v>12</v>
      </c>
      <c r="H31" s="5">
        <v>0</v>
      </c>
      <c r="I31" s="5">
        <v>24</v>
      </c>
      <c r="J31" s="5">
        <v>0</v>
      </c>
      <c r="K31" s="5">
        <v>6</v>
      </c>
      <c r="L31" s="4">
        <f>0.5843+0.4006</f>
      </c>
      <c r="M31" s="14">
        <f>L31/2.83168</f>
      </c>
      <c r="N31" s="1" t="s">
        <v>36</v>
      </c>
      <c r="O31" s="1" t="s">
        <v>37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5"/>
  <sheetViews>
    <sheetView workbookViewId="0"/>
  </sheetViews>
  <sheetFormatPr defaultRowHeight="15" x14ac:dyDescent="0.25"/>
  <cols>
    <col min="1" max="1" style="6" width="30.719285714285714" customWidth="1" bestFit="1"/>
    <col min="2" max="2" style="6" width="13.290714285714287" customWidth="1" bestFit="1"/>
    <col min="3" max="3" style="6" width="17.862142857142857" customWidth="1" bestFit="1"/>
    <col min="4" max="4" style="7" width="23.719285714285714" customWidth="1" bestFit="1"/>
    <col min="5" max="5" style="7" width="22.290714285714284" customWidth="1" bestFit="1"/>
    <col min="6" max="6" style="7" width="12.290714285714287" customWidth="1" bestFit="1"/>
    <col min="7" max="7" style="7" width="11.576428571428572" customWidth="1" bestFit="1"/>
    <col min="8" max="8" style="7" width="10.576428571428572" customWidth="1" bestFit="1"/>
    <col min="9" max="9" style="7" width="9.862142857142858" customWidth="1" bestFit="1"/>
    <col min="10" max="10" style="7" width="14.576428571428572" customWidth="1" bestFit="1"/>
    <col min="11" max="11" style="7" width="13.719285714285713" customWidth="1" bestFit="1"/>
    <col min="12" max="12" style="8" width="14.147857142857141" customWidth="1" bestFit="1"/>
    <col min="13" max="13" style="7" width="12.862142857142858" customWidth="1" bestFit="1"/>
    <col min="14" max="14" style="6" width="12.43357142857143" customWidth="1" bestFit="1"/>
    <col min="15" max="15" style="6" width="12.43357142857143" customWidth="1" bestFit="1"/>
  </cols>
  <sheetData>
    <row x14ac:dyDescent="0.25" r="1" customHeight="1" ht="17.25">
      <c r="A1" s="9" t="s">
        <v>0</v>
      </c>
      <c r="B1" s="9" t="s">
        <v>1</v>
      </c>
      <c r="C1" s="9" t="s">
        <v>2</v>
      </c>
      <c r="D1" s="10" t="s">
        <v>3</v>
      </c>
      <c r="E1" s="10" t="s">
        <v>29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3" t="s">
        <v>10</v>
      </c>
      <c r="M1" s="10" t="s">
        <v>30</v>
      </c>
      <c r="N1" s="9" t="s">
        <v>11</v>
      </c>
      <c r="O1" s="9" t="s">
        <v>12</v>
      </c>
    </row>
    <row x14ac:dyDescent="0.25" r="2" customHeight="1" ht="17.25">
      <c r="A2" s="1" t="s">
        <v>13</v>
      </c>
      <c r="B2" s="1" t="s">
        <v>14</v>
      </c>
      <c r="C2" s="1"/>
      <c r="D2" s="2"/>
      <c r="E2" s="2"/>
      <c r="F2" s="2"/>
      <c r="G2" s="2"/>
      <c r="H2" s="2"/>
      <c r="I2" s="2"/>
      <c r="J2" s="2"/>
      <c r="K2" s="2"/>
      <c r="L2" s="4">
        <v>13.67</v>
      </c>
      <c r="M2" s="4">
        <v>13.67</v>
      </c>
      <c r="N2" s="1" t="s">
        <v>15</v>
      </c>
      <c r="O2" s="1" t="s">
        <v>38</v>
      </c>
    </row>
    <row x14ac:dyDescent="0.25" r="3" customHeight="1" ht="17.25">
      <c r="A3" s="1" t="s">
        <v>13</v>
      </c>
      <c r="B3" s="1" t="s">
        <v>17</v>
      </c>
      <c r="C3" s="1" t="s">
        <v>39</v>
      </c>
      <c r="D3" s="5">
        <v>0</v>
      </c>
      <c r="E3" s="5">
        <v>0</v>
      </c>
      <c r="F3" s="5">
        <v>1</v>
      </c>
      <c r="G3" s="5">
        <v>12</v>
      </c>
      <c r="H3" s="5">
        <v>0</v>
      </c>
      <c r="I3" s="5">
        <v>11</v>
      </c>
      <c r="J3" s="5">
        <v>0</v>
      </c>
      <c r="K3" s="5">
        <v>4</v>
      </c>
      <c r="L3" s="14">
        <f>(14.07+17.1+2.92)/4.5</f>
      </c>
      <c r="M3" s="14">
        <f>(14.07+17.1+2.92)/4.5</f>
      </c>
      <c r="N3" s="1" t="s">
        <v>19</v>
      </c>
      <c r="O3" s="1"/>
    </row>
    <row x14ac:dyDescent="0.25" r="4" customHeight="1" ht="17.25">
      <c r="A4" s="1" t="s">
        <v>13</v>
      </c>
      <c r="B4" s="1" t="s">
        <v>17</v>
      </c>
      <c r="C4" s="1" t="s">
        <v>40</v>
      </c>
      <c r="D4" s="5">
        <v>0</v>
      </c>
      <c r="E4" s="5">
        <v>0</v>
      </c>
      <c r="F4" s="5">
        <v>1</v>
      </c>
      <c r="G4" s="5">
        <v>12</v>
      </c>
      <c r="H4" s="5">
        <v>11</v>
      </c>
      <c r="I4" s="5">
        <v>19</v>
      </c>
      <c r="J4" s="5">
        <v>0</v>
      </c>
      <c r="K4" s="5">
        <v>4</v>
      </c>
      <c r="L4" s="4">
        <f>14.07+17.1+2.92</f>
      </c>
      <c r="M4" s="4">
        <f>14.07+17.1+2.92</f>
      </c>
      <c r="N4" s="1" t="s">
        <v>19</v>
      </c>
      <c r="O4" s="1"/>
    </row>
    <row x14ac:dyDescent="0.25" r="5" customHeight="1" ht="17.25">
      <c r="A5" s="1" t="s">
        <v>13</v>
      </c>
      <c r="B5" s="1" t="s">
        <v>17</v>
      </c>
      <c r="C5" s="1" t="s">
        <v>39</v>
      </c>
      <c r="D5" s="5">
        <v>0</v>
      </c>
      <c r="E5" s="5">
        <v>0</v>
      </c>
      <c r="F5" s="5">
        <v>1</v>
      </c>
      <c r="G5" s="5">
        <v>12</v>
      </c>
      <c r="H5" s="5">
        <v>19</v>
      </c>
      <c r="I5" s="5">
        <v>24</v>
      </c>
      <c r="J5" s="5">
        <v>0</v>
      </c>
      <c r="K5" s="5">
        <v>4</v>
      </c>
      <c r="L5" s="14">
        <f>(14.07+17.1+2.92)/4.5</f>
      </c>
      <c r="M5" s="14">
        <f>(14.07+17.1+2.92)/4.5</f>
      </c>
      <c r="N5" s="1" t="s">
        <v>19</v>
      </c>
      <c r="O5" s="1"/>
    </row>
    <row x14ac:dyDescent="0.25" r="6" customHeight="1" ht="17.25">
      <c r="A6" s="1" t="s">
        <v>13</v>
      </c>
      <c r="B6" s="1" t="s">
        <v>17</v>
      </c>
      <c r="C6" s="1" t="s">
        <v>39</v>
      </c>
      <c r="D6" s="5">
        <v>0</v>
      </c>
      <c r="E6" s="5">
        <v>0</v>
      </c>
      <c r="F6" s="5">
        <v>1</v>
      </c>
      <c r="G6" s="5">
        <v>12</v>
      </c>
      <c r="H6" s="5">
        <v>0</v>
      </c>
      <c r="I6" s="5">
        <v>24</v>
      </c>
      <c r="J6" s="5">
        <v>5</v>
      </c>
      <c r="K6" s="5">
        <v>6</v>
      </c>
      <c r="L6" s="14">
        <f>(14.07+17.1+2.92)/4.5</f>
      </c>
      <c r="M6" s="14">
        <f>(14.07+17.1+2.92)/4.5</f>
      </c>
      <c r="N6" s="1" t="s">
        <v>19</v>
      </c>
      <c r="O6" s="1"/>
    </row>
    <row x14ac:dyDescent="0.25" r="7" customHeight="1" ht="17.25">
      <c r="A7" s="1" t="s">
        <v>13</v>
      </c>
      <c r="B7" s="1" t="s">
        <v>25</v>
      </c>
      <c r="C7" s="1"/>
      <c r="D7" s="5">
        <v>0</v>
      </c>
      <c r="E7" s="5">
        <v>0</v>
      </c>
      <c r="F7" s="5">
        <v>1</v>
      </c>
      <c r="G7" s="5">
        <v>12</v>
      </c>
      <c r="H7" s="5">
        <v>0</v>
      </c>
      <c r="I7" s="5">
        <v>24</v>
      </c>
      <c r="J7" s="5">
        <v>0</v>
      </c>
      <c r="K7" s="5">
        <v>6</v>
      </c>
      <c r="L7" s="4">
        <v>0.04171</v>
      </c>
      <c r="M7" s="4">
        <v>0.04171</v>
      </c>
      <c r="N7" s="1" t="s">
        <v>26</v>
      </c>
      <c r="O7" s="1"/>
    </row>
    <row x14ac:dyDescent="0.25" r="8" customHeight="1" ht="17.25">
      <c r="A8" s="1" t="s">
        <v>34</v>
      </c>
      <c r="B8" s="1" t="s">
        <v>14</v>
      </c>
      <c r="C8" s="1"/>
      <c r="D8" s="2"/>
      <c r="E8" s="2"/>
      <c r="F8" s="2"/>
      <c r="G8" s="2"/>
      <c r="H8" s="2"/>
      <c r="I8" s="2"/>
      <c r="J8" s="2"/>
      <c r="K8" s="2"/>
      <c r="L8" s="5">
        <v>700</v>
      </c>
      <c r="M8" s="5">
        <v>700</v>
      </c>
      <c r="N8" s="1" t="s">
        <v>15</v>
      </c>
      <c r="O8" s="1"/>
    </row>
    <row x14ac:dyDescent="0.25" r="9" customHeight="1" ht="17.25">
      <c r="A9" s="1" t="s">
        <v>34</v>
      </c>
      <c r="B9" s="1" t="s">
        <v>25</v>
      </c>
      <c r="C9" s="1"/>
      <c r="D9" s="5">
        <v>0</v>
      </c>
      <c r="E9" s="5">
        <v>0</v>
      </c>
      <c r="F9" s="5">
        <v>1</v>
      </c>
      <c r="G9" s="5">
        <v>1</v>
      </c>
      <c r="H9" s="5">
        <v>0</v>
      </c>
      <c r="I9" s="5">
        <v>24</v>
      </c>
      <c r="J9" s="5">
        <v>0</v>
      </c>
      <c r="K9" s="5">
        <v>6</v>
      </c>
      <c r="L9" s="4">
        <v>0.59395</v>
      </c>
      <c r="M9" s="11">
        <f>L9/2.83168</f>
      </c>
      <c r="N9" s="1" t="s">
        <v>36</v>
      </c>
      <c r="O9" s="1"/>
    </row>
    <row x14ac:dyDescent="0.25" r="10" customHeight="1" ht="17.25">
      <c r="A10" s="1" t="s">
        <v>34</v>
      </c>
      <c r="B10" s="1" t="s">
        <v>25</v>
      </c>
      <c r="C10" s="1"/>
      <c r="D10" s="5">
        <v>0</v>
      </c>
      <c r="E10" s="5">
        <v>0</v>
      </c>
      <c r="F10" s="5">
        <v>2</v>
      </c>
      <c r="G10" s="5">
        <v>4</v>
      </c>
      <c r="H10" s="5">
        <v>0</v>
      </c>
      <c r="I10" s="5">
        <v>24</v>
      </c>
      <c r="J10" s="5">
        <v>0</v>
      </c>
      <c r="K10" s="5">
        <v>6</v>
      </c>
      <c r="L10" s="4">
        <v>0.58395</v>
      </c>
      <c r="M10" s="11">
        <f>L10/2.83168</f>
      </c>
      <c r="N10" s="1" t="s">
        <v>36</v>
      </c>
      <c r="O10" s="1"/>
    </row>
    <row x14ac:dyDescent="0.25" r="11" customHeight="1" ht="17.25">
      <c r="A11" s="1" t="s">
        <v>34</v>
      </c>
      <c r="B11" s="1" t="s">
        <v>25</v>
      </c>
      <c r="C11" s="1"/>
      <c r="D11" s="5">
        <v>0</v>
      </c>
      <c r="E11" s="5">
        <v>0</v>
      </c>
      <c r="F11" s="5">
        <v>5</v>
      </c>
      <c r="G11" s="5">
        <v>7</v>
      </c>
      <c r="H11" s="5">
        <v>0</v>
      </c>
      <c r="I11" s="5">
        <v>24</v>
      </c>
      <c r="J11" s="5">
        <v>0</v>
      </c>
      <c r="K11" s="5">
        <v>6</v>
      </c>
      <c r="L11" s="4">
        <v>0.61195</v>
      </c>
      <c r="M11" s="11">
        <f>L11/2.83168</f>
      </c>
      <c r="N11" s="1" t="s">
        <v>36</v>
      </c>
      <c r="O11" s="1"/>
    </row>
    <row x14ac:dyDescent="0.25" r="12" customHeight="1" ht="17.25">
      <c r="A12" s="1" t="s">
        <v>34</v>
      </c>
      <c r="B12" s="1" t="s">
        <v>25</v>
      </c>
      <c r="C12" s="1"/>
      <c r="D12" s="5">
        <v>0</v>
      </c>
      <c r="E12" s="5">
        <v>0</v>
      </c>
      <c r="F12" s="5">
        <v>8</v>
      </c>
      <c r="G12" s="5">
        <v>8</v>
      </c>
      <c r="H12" s="5">
        <v>0</v>
      </c>
      <c r="I12" s="5">
        <v>24</v>
      </c>
      <c r="J12" s="5">
        <v>0</v>
      </c>
      <c r="K12" s="5">
        <v>6</v>
      </c>
      <c r="L12" s="4">
        <v>0.62595</v>
      </c>
      <c r="M12" s="11">
        <f>L12/2.83168</f>
      </c>
      <c r="N12" s="1" t="s">
        <v>36</v>
      </c>
      <c r="O12" s="1"/>
    </row>
    <row x14ac:dyDescent="0.25" r="13" customHeight="1" ht="17.25">
      <c r="A13" s="1" t="s">
        <v>34</v>
      </c>
      <c r="B13" s="1" t="s">
        <v>25</v>
      </c>
      <c r="C13" s="1"/>
      <c r="D13" s="5">
        <v>0</v>
      </c>
      <c r="E13" s="5">
        <v>0</v>
      </c>
      <c r="F13" s="5">
        <v>9</v>
      </c>
      <c r="G13" s="5">
        <v>9</v>
      </c>
      <c r="H13" s="5">
        <v>0</v>
      </c>
      <c r="I13" s="5">
        <v>24</v>
      </c>
      <c r="J13" s="5">
        <v>0</v>
      </c>
      <c r="K13" s="5">
        <v>6</v>
      </c>
      <c r="L13" s="4">
        <v>0.63395</v>
      </c>
      <c r="M13" s="11">
        <f>L13/2.83168</f>
      </c>
      <c r="N13" s="1" t="s">
        <v>36</v>
      </c>
      <c r="O13" s="1"/>
    </row>
    <row x14ac:dyDescent="0.25" r="14" customHeight="1" ht="17.25">
      <c r="A14" s="1" t="s">
        <v>34</v>
      </c>
      <c r="B14" s="1" t="s">
        <v>25</v>
      </c>
      <c r="C14" s="1"/>
      <c r="D14" s="5">
        <v>0</v>
      </c>
      <c r="E14" s="5">
        <v>0</v>
      </c>
      <c r="F14" s="5">
        <v>10</v>
      </c>
      <c r="G14" s="5">
        <v>10</v>
      </c>
      <c r="H14" s="5">
        <v>0</v>
      </c>
      <c r="I14" s="5">
        <v>24</v>
      </c>
      <c r="J14" s="5">
        <v>0</v>
      </c>
      <c r="K14" s="5">
        <v>6</v>
      </c>
      <c r="L14" s="4">
        <v>0.63895</v>
      </c>
      <c r="M14" s="11">
        <f>L14/2.83168</f>
      </c>
      <c r="N14" s="1" t="s">
        <v>36</v>
      </c>
      <c r="O14" s="1"/>
    </row>
    <row x14ac:dyDescent="0.25" r="15" customHeight="1" ht="17.25">
      <c r="A15" s="1" t="s">
        <v>34</v>
      </c>
      <c r="B15" s="1" t="s">
        <v>25</v>
      </c>
      <c r="C15" s="1"/>
      <c r="D15" s="5">
        <v>0</v>
      </c>
      <c r="E15" s="5">
        <v>0</v>
      </c>
      <c r="F15" s="5">
        <v>11</v>
      </c>
      <c r="G15" s="5">
        <v>12</v>
      </c>
      <c r="H15" s="5">
        <v>0</v>
      </c>
      <c r="I15" s="5">
        <v>24</v>
      </c>
      <c r="J15" s="5">
        <v>0</v>
      </c>
      <c r="K15" s="5">
        <v>6</v>
      </c>
      <c r="L15" s="4">
        <v>0.64995</v>
      </c>
      <c r="M15" s="11">
        <f>L15/2.83168</f>
      </c>
      <c r="N15" s="1" t="s">
        <v>36</v>
      </c>
      <c r="O1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102</vt:i4>
      </vt:variant>
    </vt:vector>
  </HeadingPairs>
  <TitlesOfParts>
    <vt:vector baseType="lpstr" size="102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  <vt:lpstr>1</vt:lpstr>
      <vt:lpstr>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2024-03-20T20:26:40.685Z</dcterms:created>
  <dcterms:modified xsi:type="dcterms:W3CDTF">2024-03-20T20:26:40.685Z</dcterms:modified>
</cp:coreProperties>
</file>