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54BDBFC7-3ACF-8F43-BA89-8F03132D1D87}" xr6:coauthVersionLast="47" xr6:coauthVersionMax="47" xr10:uidLastSave="{00000000-0000-0000-0000-000000000000}"/>
  <bookViews>
    <workbookView xWindow="0" yWindow="760" windowWidth="30240" windowHeight="17520" firstSheet="57" activeTab="57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59" l="1"/>
  <c r="M37" i="59"/>
  <c r="M36" i="59"/>
  <c r="M35" i="59"/>
  <c r="L38" i="59"/>
  <c r="L37" i="59"/>
  <c r="L36" i="59"/>
  <c r="L35" i="59"/>
  <c r="M34" i="59"/>
  <c r="L34" i="59"/>
  <c r="M28" i="59"/>
  <c r="M27" i="59"/>
  <c r="M26" i="59"/>
  <c r="M25" i="59"/>
  <c r="L25" i="59"/>
  <c r="L27" i="59"/>
  <c r="L26" i="59"/>
  <c r="L29" i="59"/>
  <c r="L28" i="59"/>
  <c r="L32" i="59"/>
  <c r="L31" i="59"/>
  <c r="L30" i="59"/>
  <c r="M29" i="59"/>
  <c r="M30" i="59"/>
  <c r="M31" i="59"/>
  <c r="M32" i="59"/>
  <c r="M33" i="59"/>
  <c r="L33" i="59"/>
  <c r="M24" i="59"/>
  <c r="M23" i="59"/>
  <c r="M22" i="59"/>
  <c r="M21" i="59"/>
  <c r="L24" i="59"/>
  <c r="L23" i="59"/>
  <c r="L21" i="59"/>
  <c r="L22" i="59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2" i="10"/>
  <c r="L11" i="10"/>
  <c r="L14" i="10"/>
  <c r="L13" i="10"/>
  <c r="L10" i="10"/>
  <c r="L9" i="10"/>
  <c r="L8" i="10"/>
  <c r="L7" i="10"/>
  <c r="L6" i="10"/>
  <c r="L5" i="10"/>
  <c r="L4" i="10"/>
  <c r="L3" i="10"/>
  <c r="L50" i="90"/>
  <c r="L49" i="90"/>
  <c r="L48" i="90"/>
  <c r="L47" i="90"/>
  <c r="L46" i="90"/>
  <c r="L45" i="90"/>
  <c r="L44" i="90"/>
  <c r="L43" i="90"/>
  <c r="L42" i="90"/>
  <c r="L41" i="90"/>
  <c r="L40" i="90"/>
  <c r="L39" i="90"/>
  <c r="L38" i="90"/>
  <c r="L37" i="90"/>
  <c r="L36" i="90"/>
  <c r="L35" i="90"/>
  <c r="L34" i="90"/>
  <c r="L33" i="90"/>
  <c r="L32" i="90"/>
  <c r="L31" i="90"/>
  <c r="L30" i="90"/>
  <c r="L29" i="90"/>
  <c r="L28" i="90"/>
  <c r="L27" i="90"/>
  <c r="M14" i="90"/>
  <c r="M13" i="90"/>
  <c r="M12" i="90"/>
  <c r="M11" i="90"/>
  <c r="M18" i="90"/>
  <c r="M17" i="90"/>
  <c r="M16" i="90"/>
  <c r="M15" i="90"/>
  <c r="M22" i="90"/>
  <c r="M21" i="90"/>
  <c r="M20" i="90"/>
  <c r="M19" i="90"/>
  <c r="M26" i="90"/>
  <c r="M25" i="90"/>
  <c r="M24" i="90"/>
  <c r="M23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M10" i="90"/>
  <c r="M9" i="90"/>
  <c r="M8" i="90"/>
  <c r="M7" i="90"/>
  <c r="M6" i="90"/>
  <c r="M5" i="90"/>
  <c r="M4" i="90"/>
  <c r="M3" i="90"/>
  <c r="L10" i="90"/>
  <c r="L9" i="90"/>
  <c r="L8" i="90"/>
  <c r="L7" i="90"/>
  <c r="L5" i="90"/>
  <c r="L6" i="90"/>
  <c r="L4" i="90"/>
  <c r="L3" i="90"/>
  <c r="M29" i="8"/>
  <c r="M28" i="8"/>
  <c r="M27" i="8"/>
  <c r="M26" i="8"/>
  <c r="L29" i="8"/>
  <c r="L28" i="8"/>
  <c r="L27" i="8"/>
  <c r="L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14" i="14"/>
  <c r="M13" i="14"/>
  <c r="M12" i="14"/>
  <c r="M11" i="14"/>
  <c r="M10" i="14"/>
  <c r="M9" i="14"/>
  <c r="M8" i="14"/>
  <c r="M7" i="14"/>
  <c r="M6" i="14"/>
  <c r="M5" i="14"/>
  <c r="M4" i="14"/>
  <c r="M3" i="14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38" i="89"/>
  <c r="M37" i="89"/>
  <c r="M36" i="89"/>
  <c r="M35" i="89"/>
  <c r="M34" i="89"/>
  <c r="M33" i="89"/>
  <c r="M14" i="49"/>
  <c r="M13" i="49"/>
  <c r="M12" i="49"/>
  <c r="M11" i="49"/>
  <c r="M10" i="49"/>
  <c r="M9" i="49"/>
  <c r="M8" i="49"/>
  <c r="M7" i="49"/>
  <c r="M6" i="49"/>
  <c r="M5" i="49"/>
  <c r="M4" i="49"/>
  <c r="M3" i="49"/>
  <c r="M14" i="48"/>
  <c r="M13" i="48"/>
  <c r="M12" i="48"/>
  <c r="M11" i="48"/>
  <c r="M10" i="48"/>
  <c r="M9" i="48"/>
  <c r="M8" i="48"/>
  <c r="M7" i="48"/>
  <c r="M6" i="48"/>
  <c r="M5" i="48"/>
  <c r="M4" i="48"/>
  <c r="M3" i="48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L14" i="48"/>
  <c r="L13" i="48"/>
  <c r="L12" i="48"/>
  <c r="L11" i="48"/>
  <c r="L10" i="48"/>
  <c r="L9" i="48"/>
  <c r="L8" i="48"/>
  <c r="L7" i="48"/>
  <c r="L6" i="48"/>
  <c r="L5" i="48"/>
  <c r="L4" i="48"/>
  <c r="L3" i="48"/>
  <c r="L14" i="49"/>
  <c r="L13" i="49"/>
  <c r="L12" i="49"/>
  <c r="L11" i="49"/>
  <c r="L10" i="49"/>
  <c r="L9" i="49"/>
  <c r="L8" i="49"/>
  <c r="L7" i="49"/>
  <c r="L6" i="49"/>
  <c r="L5" i="49"/>
  <c r="L4" i="49"/>
  <c r="L3" i="49"/>
  <c r="M8" i="3"/>
  <c r="M7" i="3"/>
  <c r="M6" i="3"/>
  <c r="M5" i="3"/>
  <c r="M4" i="3"/>
  <c r="M3" i="3"/>
  <c r="M7" i="93"/>
  <c r="L7" i="93"/>
  <c r="M6" i="93"/>
  <c r="M5" i="93"/>
  <c r="M4" i="93"/>
  <c r="M3" i="93"/>
  <c r="L6" i="93"/>
  <c r="L5" i="93"/>
  <c r="L4" i="93"/>
  <c r="L3" i="93"/>
  <c r="L5" i="3"/>
  <c r="L6" i="3"/>
  <c r="L7" i="3"/>
  <c r="L8" i="3"/>
  <c r="L4" i="3"/>
  <c r="L3" i="3"/>
  <c r="M30" i="43"/>
  <c r="M2" i="43"/>
  <c r="L2" i="43"/>
  <c r="M30" i="42"/>
  <c r="M2" i="42"/>
  <c r="L2" i="42"/>
  <c r="M2" i="11"/>
  <c r="L2" i="11"/>
  <c r="M15" i="45"/>
  <c r="L15" i="45"/>
  <c r="M15" i="46"/>
  <c r="L15" i="46"/>
  <c r="M7" i="16"/>
  <c r="L7" i="16"/>
  <c r="M3" i="16"/>
  <c r="E3" i="16"/>
  <c r="M2" i="16"/>
  <c r="M7" i="17"/>
  <c r="L7" i="17"/>
  <c r="M3" i="17"/>
  <c r="E3" i="17"/>
  <c r="M2" i="17"/>
  <c r="M7" i="22"/>
  <c r="L7" i="22"/>
  <c r="M3" i="22"/>
  <c r="E3" i="22"/>
  <c r="M2" i="22"/>
  <c r="M7" i="38"/>
  <c r="L7" i="38"/>
  <c r="M3" i="38"/>
  <c r="E3" i="38"/>
  <c r="M2" i="38"/>
  <c r="M7" i="18"/>
  <c r="L7" i="18"/>
  <c r="M3" i="18"/>
  <c r="E3" i="18"/>
  <c r="M2" i="18"/>
  <c r="M7" i="24"/>
  <c r="L7" i="24"/>
  <c r="M3" i="24"/>
  <c r="E3" i="24"/>
  <c r="M2" i="24"/>
  <c r="M9" i="34"/>
  <c r="L9" i="34"/>
  <c r="M5" i="34"/>
  <c r="E5" i="34"/>
  <c r="M4" i="34"/>
  <c r="E4" i="34"/>
  <c r="M3" i="34"/>
  <c r="E3" i="34"/>
  <c r="M2" i="34"/>
  <c r="M9" i="15"/>
  <c r="L9" i="15"/>
  <c r="M5" i="15"/>
  <c r="E5" i="15"/>
  <c r="M4" i="15"/>
  <c r="E4" i="15"/>
  <c r="M3" i="15"/>
  <c r="E3" i="15"/>
  <c r="M2" i="15"/>
  <c r="M9" i="25"/>
  <c r="L9" i="25"/>
  <c r="M7" i="20"/>
  <c r="L7" i="20"/>
  <c r="M3" i="20"/>
  <c r="E3" i="20"/>
  <c r="M2" i="20"/>
  <c r="M7" i="28"/>
  <c r="L7" i="28"/>
  <c r="M3" i="28"/>
  <c r="E3" i="28"/>
  <c r="M2" i="28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M2" i="14"/>
  <c r="L2" i="14"/>
  <c r="M15" i="13"/>
  <c r="L15" i="13"/>
  <c r="M2" i="13"/>
  <c r="L2" i="13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3" i="25"/>
  <c r="E4" i="25"/>
  <c r="M15" i="12"/>
  <c r="L15" i="12"/>
  <c r="M2" i="12"/>
  <c r="E32" i="98"/>
  <c r="E31" i="98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5" i="25"/>
  <c r="D25" i="79"/>
  <c r="E25" i="79" s="1"/>
  <c r="D24" i="79"/>
  <c r="E24" i="79" s="1"/>
  <c r="E8" i="72"/>
  <c r="E7" i="72"/>
  <c r="M7" i="72"/>
  <c r="E30" i="32"/>
  <c r="E29" i="32"/>
  <c r="E28" i="32"/>
  <c r="M30" i="32"/>
  <c r="E12" i="62"/>
  <c r="M12" i="62"/>
  <c r="E3" i="19"/>
  <c r="M3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56" i="99"/>
  <c r="M32" i="98"/>
  <c r="M31" i="98"/>
  <c r="M30" i="98"/>
  <c r="M15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12" i="27"/>
  <c r="M2" i="27"/>
  <c r="M2" i="92"/>
  <c r="M5" i="25"/>
  <c r="M4" i="25"/>
  <c r="M3" i="25"/>
  <c r="M2" i="25"/>
  <c r="M2" i="33"/>
  <c r="M2" i="19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2" i="59"/>
  <c r="M8" i="62"/>
  <c r="M6" i="62"/>
  <c r="M5" i="62"/>
  <c r="M4" i="62"/>
  <c r="M3" i="62"/>
  <c r="M11" i="62"/>
  <c r="M16" i="61"/>
  <c r="M15" i="61"/>
  <c r="M14" i="61"/>
  <c r="M13" i="61"/>
  <c r="M12" i="61"/>
  <c r="M11" i="61"/>
  <c r="M10" i="61"/>
  <c r="M6" i="23"/>
  <c r="M7" i="19"/>
  <c r="M30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00"/>
  <c r="L17" i="47"/>
  <c r="M17" i="47" s="1"/>
  <c r="L15" i="47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4" i="67"/>
  <c r="L3" i="67"/>
  <c r="L25" i="79"/>
  <c r="M25" i="79" s="1"/>
  <c r="L24" i="79"/>
  <c r="M24" i="79" s="1"/>
  <c r="L23" i="79"/>
  <c r="M23" i="79" s="1"/>
  <c r="L4" i="72"/>
  <c r="L2" i="7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7" i="19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<sst xmlns="http://schemas.openxmlformats.org/spreadsheetml/2006/main" count="11482" uniqueCount="129">
  <si>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</si>
  <si>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</si>
  <si>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</si>
  <si>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</si>
  <si>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</si>
  <si>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</si>
  <si>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</si>
  <si>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</si>
  <si>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</si>
  <si>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</si>
  <si>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</si>
  <si>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</si>
  <si>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</si>
  <si>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</si>
  <si>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</si>
  <si>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</si>
  <si>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</si>
  <si>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</si>
  <si>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</si>
  <si>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</si>
  <si>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</si>
  <si>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</si>
  <si>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</si>
  <si>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</si>
  <si>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</si>
  <si>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</si>
  <si>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</si>
  <si>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</si>
  <si>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</si>
  <si>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</si>
  <si>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</si>
  <si>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</si>
  <si>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</si>
  <si>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</si>
  <si>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</si>
  <si>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</si>
  <si>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</si>
  <si>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</si>
  <si>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</si>
  <si>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</si>
  <si>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</si>
  <si>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</si>
  <si>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</si>
  <si>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</si>
  <si>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</si>
  <si>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</si>
  <si>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</si>
  <si>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</si>
  <si>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</si>
  <si>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</si>
  <si>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</si>
  <si>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</si>
  <si>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</si>
  <si>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</si>
  <si>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</si>
  <si>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</si>
  <si>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</si>
  <si>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</si>
  <si>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</si>
  <si>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</si>
  <si>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</si>
  <si>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</si>
  <si>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</si>
  <si>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</si>
  <si>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</si>
  <si>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</si>
  <si>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</si>
  <si>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</si>
  <si>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</si>
  <si>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</si>
  <si>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</si>
  <si>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</si>
  <si>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</si>
  <si>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</si>
  <si>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</si>
  <si>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</si>
  <si>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</si>
  <si>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</si>
  <si>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</si>
  <si>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</si>
  <si>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</si>
  <si>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</si>
  <si>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</si>
  <si>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</si>
  <si>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</si>
  <si>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</si>
  <si>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</si>
  <si>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</si>
  <si>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</si>
  <si>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</si>
  <si>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</si>
  <si>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</si>
  <si>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</si>
  <si>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</si>
  <si>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</si>
  <si>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</si>
  <si>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</si>
  <si>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</si>
  <si>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</si>
  <si>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</si>
  <si>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</si>
  <si>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</si>
  <si>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</si>
  <si>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</si>
  <si>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</si>
  <si>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</si>
  <si>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</si>
  <si>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</si>
  <si>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</si>
  <si>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</si>
  <si>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Assumed a fixed rate contract at August 2022 rate</t>
  </si>
  <si>
    <t>Monthly average of LMP</t>
  </si>
  <si>
    <t>Monthly average of LMP plus base charge of $0.0006 / kWh</t>
  </si>
  <si>
    <t>Monthly average of LMP plus base charge of $0.009275 / kWh</t>
  </si>
  <si>
    <t>Monthly average of day-ahead price plus base charge of $0.00121 / kWh</t>
  </si>
  <si>
    <t>Monthly average of LMP price plus base charge of $0.0079 / kWh</t>
  </si>
  <si>
    <t>Monthly average of day-head price</t>
  </si>
  <si>
    <t>Includes monthly average Power Supply Charge</t>
  </si>
  <si>
    <t>Includes FPPA</t>
  </si>
  <si>
    <t>Includes total monthly fuel cost adjusment (TMFCA)</t>
  </si>
  <si>
    <t>Includes monthly fuel cost</t>
  </si>
  <si>
    <t>Energy charge includes Riders GCR, TSA, GEN, and Fuel</t>
  </si>
  <si>
    <t>Includes Fuel Adjsutment Charge</t>
  </si>
  <si>
    <t>Includes Rider A for fuel costs</t>
  </si>
  <si>
    <t>Includes fuel adjustment</t>
  </si>
  <si>
    <t>Includes monthly cost of gas</t>
  </si>
  <si>
    <t>Ignored monthly fuel adjustment as it was &lt;= $0.0005 / kWh</t>
  </si>
  <si>
    <t>Includes monthly fuel adjustment</t>
  </si>
  <si>
    <t>Includes fuel adjustment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</si>
</sst>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7" sqref="O17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  <c r="O4" t="s">
        <v>95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  <c r="O5" t="s">
        <v>95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  <c r="O6" t="s">
        <v>95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  <c r="O7" t="s">
        <v>95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  <c r="O8" t="s">
        <v>95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  <c r="O9" t="s">
        <v>95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  <c r="O10" t="s">
        <v>95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  <c r="O11" t="s">
        <v>95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  <c r="O12" t="s">
        <v>95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  <c r="O13" t="s">
        <v>95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  <c r="O14" t="s">
        <v>95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  <c r="O15" t="s">
        <v>95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  <c r="O16" t="s">
        <v>95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9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0.038+0.02236</f>
        <v>6.0359999999999997E-2</v>
      </c>
      <c r="M3">
        <f>0.038+0.02236</f>
        <v>6.0359999999999997E-2</v>
      </c>
      <c r="N3" t="s">
        <v>14</v>
      </c>
      <c r="O3" t="s">
        <v>128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0.0339+0.02236</f>
        <v>5.6260000000000004E-2</v>
      </c>
      <c r="M4">
        <f>0.0339+0.02236</f>
        <v>5.6260000000000004E-2</v>
      </c>
      <c r="N4" t="s">
        <v>14</v>
      </c>
      <c r="O4" t="s">
        <v>128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>
        <f>0.038+0.02538</f>
        <v>6.3379999999999992E-2</v>
      </c>
      <c r="M5">
        <f>0.038+0.02538</f>
        <v>6.3379999999999992E-2</v>
      </c>
      <c r="N5" t="s">
        <v>14</v>
      </c>
      <c r="O5" t="s">
        <v>128</v>
      </c>
    </row>
    <row r="6" spans="1:15" x14ac:dyDescent="0.2">
      <c r="A6" t="s">
        <v>10</v>
      </c>
      <c r="B6" t="s">
        <v>13</v>
      </c>
      <c r="D6">
        <v>250</v>
      </c>
      <c r="E6">
        <v>250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>
        <f>0.0339+0.02538</f>
        <v>5.9279999999999999E-2</v>
      </c>
      <c r="M6">
        <f>0.0339+0.02538</f>
        <v>5.9279999999999999E-2</v>
      </c>
      <c r="N6" t="s">
        <v>14</v>
      </c>
      <c r="O6" t="s">
        <v>128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>
        <f>0.038+0.02538</f>
        <v>6.3379999999999992E-2</v>
      </c>
      <c r="M7">
        <f>0.038+0.02538</f>
        <v>6.3379999999999992E-2</v>
      </c>
      <c r="N7" t="s">
        <v>14</v>
      </c>
      <c r="O7" t="s">
        <v>128</v>
      </c>
    </row>
    <row r="8" spans="1:15" x14ac:dyDescent="0.2">
      <c r="A8" t="s">
        <v>10</v>
      </c>
      <c r="B8" t="s">
        <v>13</v>
      </c>
      <c r="D8">
        <v>250</v>
      </c>
      <c r="E8">
        <v>250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>
        <f>0.0339+0.02538</f>
        <v>5.9279999999999999E-2</v>
      </c>
      <c r="M8">
        <f>0.0339+0.02538</f>
        <v>5.9279999999999999E-2</v>
      </c>
      <c r="N8" t="s">
        <v>14</v>
      </c>
      <c r="O8" t="s">
        <v>128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>
        <f>0.038+0.03504</f>
        <v>7.3039999999999994E-2</v>
      </c>
      <c r="M9">
        <f>0.038+0.03504</f>
        <v>7.3039999999999994E-2</v>
      </c>
      <c r="N9" t="s">
        <v>14</v>
      </c>
      <c r="O9" t="s">
        <v>128</v>
      </c>
    </row>
    <row r="10" spans="1:15" x14ac:dyDescent="0.2">
      <c r="A10" t="s">
        <v>10</v>
      </c>
      <c r="B10" t="s">
        <v>13</v>
      </c>
      <c r="D10">
        <v>250</v>
      </c>
      <c r="E10">
        <v>250</v>
      </c>
      <c r="F10">
        <v>4</v>
      </c>
      <c r="G10">
        <v>4</v>
      </c>
      <c r="H10">
        <v>0</v>
      </c>
      <c r="I10">
        <v>24</v>
      </c>
      <c r="J10">
        <v>0</v>
      </c>
      <c r="K10">
        <v>6</v>
      </c>
      <c r="L10">
        <f>0.0339+0.03504</f>
        <v>6.8940000000000001E-2</v>
      </c>
      <c r="M10">
        <f>0.0339+0.03504</f>
        <v>6.8940000000000001E-2</v>
      </c>
      <c r="N10" t="s">
        <v>14</v>
      </c>
      <c r="O10" t="s">
        <v>128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24</v>
      </c>
      <c r="J11">
        <v>0</v>
      </c>
      <c r="K11">
        <v>6</v>
      </c>
      <c r="L11">
        <f>0.038+0.03883</f>
        <v>7.6830000000000009E-2</v>
      </c>
      <c r="M11">
        <f>0.038+0.03883</f>
        <v>7.6830000000000009E-2</v>
      </c>
      <c r="N11" t="s">
        <v>14</v>
      </c>
      <c r="O11" t="s">
        <v>128</v>
      </c>
    </row>
    <row r="12" spans="1:15" x14ac:dyDescent="0.2">
      <c r="A12" t="s">
        <v>10</v>
      </c>
      <c r="B12" t="s">
        <v>13</v>
      </c>
      <c r="D12">
        <v>250</v>
      </c>
      <c r="E12">
        <v>250</v>
      </c>
      <c r="F12">
        <v>5</v>
      </c>
      <c r="G12">
        <v>5</v>
      </c>
      <c r="H12">
        <v>0</v>
      </c>
      <c r="I12">
        <v>24</v>
      </c>
      <c r="J12">
        <v>0</v>
      </c>
      <c r="K12">
        <v>6</v>
      </c>
      <c r="L12">
        <f>0.0339+0.03883</f>
        <v>7.2730000000000003E-2</v>
      </c>
      <c r="M12">
        <f>0.0339+0.03883</f>
        <v>7.2730000000000003E-2</v>
      </c>
      <c r="N12" t="s">
        <v>14</v>
      </c>
      <c r="O12" t="s">
        <v>128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0</v>
      </c>
      <c r="K13">
        <v>6</v>
      </c>
      <c r="L13">
        <f>0.038+0.03863</f>
        <v>7.6630000000000004E-2</v>
      </c>
      <c r="M13">
        <f>0.038+0.03863</f>
        <v>7.6630000000000004E-2</v>
      </c>
      <c r="N13" t="s">
        <v>14</v>
      </c>
      <c r="O13" t="s">
        <v>128</v>
      </c>
    </row>
    <row r="14" spans="1:15" x14ac:dyDescent="0.2">
      <c r="A14" t="s">
        <v>10</v>
      </c>
      <c r="B14" t="s">
        <v>13</v>
      </c>
      <c r="D14">
        <v>250</v>
      </c>
      <c r="E14">
        <v>250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0.0339+0.03863</f>
        <v>7.2529999999999997E-2</v>
      </c>
      <c r="M14">
        <f>0.0339+0.03863</f>
        <v>7.2529999999999997E-2</v>
      </c>
      <c r="N14" t="s">
        <v>14</v>
      </c>
      <c r="O14" t="s">
        <v>128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0</v>
      </c>
      <c r="I15">
        <v>24</v>
      </c>
      <c r="J15">
        <v>0</v>
      </c>
      <c r="K15">
        <v>6</v>
      </c>
      <c r="L15">
        <f>0.038+0.03807</f>
        <v>7.6069999999999999E-2</v>
      </c>
      <c r="M15">
        <f>0.038+0.03807</f>
        <v>7.6069999999999999E-2</v>
      </c>
      <c r="N15" t="s">
        <v>14</v>
      </c>
      <c r="O15" t="s">
        <v>128</v>
      </c>
    </row>
    <row r="16" spans="1:15" x14ac:dyDescent="0.2">
      <c r="A16" t="s">
        <v>10</v>
      </c>
      <c r="B16" t="s">
        <v>13</v>
      </c>
      <c r="D16">
        <v>250</v>
      </c>
      <c r="E16">
        <v>250</v>
      </c>
      <c r="F16">
        <v>7</v>
      </c>
      <c r="G16">
        <v>7</v>
      </c>
      <c r="H16">
        <v>0</v>
      </c>
      <c r="I16">
        <v>24</v>
      </c>
      <c r="J16">
        <v>0</v>
      </c>
      <c r="K16">
        <v>6</v>
      </c>
      <c r="L16">
        <f>0.0339+0.03807</f>
        <v>7.1970000000000006E-2</v>
      </c>
      <c r="M16">
        <f>0.0339+0.03807</f>
        <v>7.1970000000000006E-2</v>
      </c>
      <c r="N16" t="s">
        <v>14</v>
      </c>
      <c r="O16" t="s">
        <v>128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8</v>
      </c>
      <c r="G17">
        <v>8</v>
      </c>
      <c r="H17">
        <v>0</v>
      </c>
      <c r="I17">
        <v>24</v>
      </c>
      <c r="J17">
        <v>0</v>
      </c>
      <c r="K17">
        <v>6</v>
      </c>
      <c r="L17">
        <f>0.038+0.0387</f>
        <v>7.669999999999999E-2</v>
      </c>
      <c r="M17">
        <f>0.038+0.0387</f>
        <v>7.669999999999999E-2</v>
      </c>
      <c r="N17" t="s">
        <v>14</v>
      </c>
      <c r="O17" t="s">
        <v>128</v>
      </c>
    </row>
    <row r="18" spans="1:15" x14ac:dyDescent="0.2">
      <c r="A18" t="s">
        <v>10</v>
      </c>
      <c r="B18" t="s">
        <v>13</v>
      </c>
      <c r="D18">
        <v>250</v>
      </c>
      <c r="E18">
        <v>250</v>
      </c>
      <c r="F18">
        <v>8</v>
      </c>
      <c r="G18">
        <v>8</v>
      </c>
      <c r="H18">
        <v>0</v>
      </c>
      <c r="I18">
        <v>24</v>
      </c>
      <c r="J18">
        <v>0</v>
      </c>
      <c r="K18">
        <v>6</v>
      </c>
      <c r="L18">
        <f>0.0339+0.0387</f>
        <v>7.2599999999999998E-2</v>
      </c>
      <c r="M18">
        <f>0.0339+0.0387</f>
        <v>7.2599999999999998E-2</v>
      </c>
      <c r="N18" t="s">
        <v>14</v>
      </c>
      <c r="O18" t="s">
        <v>128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9</v>
      </c>
      <c r="G19">
        <v>9</v>
      </c>
      <c r="H19">
        <v>0</v>
      </c>
      <c r="I19">
        <v>24</v>
      </c>
      <c r="J19">
        <v>0</v>
      </c>
      <c r="K19">
        <v>6</v>
      </c>
      <c r="L19">
        <f>0.038+0.036085</f>
        <v>7.4084999999999998E-2</v>
      </c>
      <c r="M19">
        <f>0.038+0.036085</f>
        <v>7.4084999999999998E-2</v>
      </c>
      <c r="N19" t="s">
        <v>14</v>
      </c>
      <c r="O19" t="s">
        <v>128</v>
      </c>
    </row>
    <row r="20" spans="1:15" x14ac:dyDescent="0.2">
      <c r="A20" t="s">
        <v>10</v>
      </c>
      <c r="B20" t="s">
        <v>13</v>
      </c>
      <c r="D20">
        <v>250</v>
      </c>
      <c r="E20">
        <v>250</v>
      </c>
      <c r="F20">
        <v>9</v>
      </c>
      <c r="G20">
        <v>9</v>
      </c>
      <c r="H20">
        <v>0</v>
      </c>
      <c r="I20">
        <v>24</v>
      </c>
      <c r="J20">
        <v>0</v>
      </c>
      <c r="K20">
        <v>6</v>
      </c>
      <c r="L20">
        <f>0.0339+0.036085</f>
        <v>6.9984999999999992E-2</v>
      </c>
      <c r="M20">
        <f>0.0339+0.036085</f>
        <v>6.9984999999999992E-2</v>
      </c>
      <c r="N20" t="s">
        <v>14</v>
      </c>
      <c r="O20" t="s">
        <v>128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10</v>
      </c>
      <c r="H21">
        <v>0</v>
      </c>
      <c r="I21">
        <v>24</v>
      </c>
      <c r="J21">
        <v>0</v>
      </c>
      <c r="K21">
        <v>6</v>
      </c>
      <c r="L21">
        <f>0.038+0.03274</f>
        <v>7.0739999999999997E-2</v>
      </c>
      <c r="M21">
        <f>0.038+0.03274</f>
        <v>7.0739999999999997E-2</v>
      </c>
      <c r="N21" t="s">
        <v>14</v>
      </c>
      <c r="O21" t="s">
        <v>128</v>
      </c>
    </row>
    <row r="22" spans="1:15" x14ac:dyDescent="0.2">
      <c r="A22" t="s">
        <v>10</v>
      </c>
      <c r="B22" t="s">
        <v>13</v>
      </c>
      <c r="D22">
        <v>250</v>
      </c>
      <c r="E22">
        <v>250</v>
      </c>
      <c r="F22">
        <v>10</v>
      </c>
      <c r="G22">
        <v>10</v>
      </c>
      <c r="H22">
        <v>0</v>
      </c>
      <c r="I22">
        <v>24</v>
      </c>
      <c r="J22">
        <v>0</v>
      </c>
      <c r="K22">
        <v>6</v>
      </c>
      <c r="L22">
        <f>0.0339+0.03274</f>
        <v>6.6640000000000005E-2</v>
      </c>
      <c r="M22">
        <f>0.0339+0.03274</f>
        <v>6.6640000000000005E-2</v>
      </c>
      <c r="N22" t="s">
        <v>14</v>
      </c>
      <c r="O22" t="s">
        <v>128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11</v>
      </c>
      <c r="H23">
        <v>0</v>
      </c>
      <c r="I23">
        <v>24</v>
      </c>
      <c r="J23">
        <v>0</v>
      </c>
      <c r="K23">
        <v>6</v>
      </c>
      <c r="L23">
        <f>0.038+0.03605</f>
        <v>7.4050000000000005E-2</v>
      </c>
      <c r="M23">
        <f>0.038+0.03605</f>
        <v>7.4050000000000005E-2</v>
      </c>
      <c r="N23" t="s">
        <v>14</v>
      </c>
      <c r="O23" t="s">
        <v>128</v>
      </c>
    </row>
    <row r="24" spans="1:15" x14ac:dyDescent="0.2">
      <c r="A24" t="s">
        <v>10</v>
      </c>
      <c r="B24" t="s">
        <v>13</v>
      </c>
      <c r="D24">
        <v>250</v>
      </c>
      <c r="E24">
        <v>250</v>
      </c>
      <c r="F24">
        <v>11</v>
      </c>
      <c r="G24">
        <v>11</v>
      </c>
      <c r="H24">
        <v>0</v>
      </c>
      <c r="I24">
        <v>24</v>
      </c>
      <c r="J24">
        <v>0</v>
      </c>
      <c r="K24">
        <v>6</v>
      </c>
      <c r="L24">
        <f>0.0339+0.03605</f>
        <v>6.9949999999999998E-2</v>
      </c>
      <c r="M24">
        <f>0.0339+0.03605</f>
        <v>6.9949999999999998E-2</v>
      </c>
      <c r="N24" t="s">
        <v>14</v>
      </c>
      <c r="O24" t="s">
        <v>128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12</v>
      </c>
      <c r="G25">
        <v>12</v>
      </c>
      <c r="H25">
        <v>0</v>
      </c>
      <c r="I25">
        <v>24</v>
      </c>
      <c r="J25">
        <v>0</v>
      </c>
      <c r="K25">
        <v>6</v>
      </c>
      <c r="L25">
        <f>0.038+0.03088</f>
        <v>6.8879999999999997E-2</v>
      </c>
      <c r="M25">
        <f>0.038+0.03088</f>
        <v>6.8879999999999997E-2</v>
      </c>
      <c r="N25" t="s">
        <v>14</v>
      </c>
      <c r="O25" t="s">
        <v>128</v>
      </c>
    </row>
    <row r="26" spans="1:15" x14ac:dyDescent="0.2">
      <c r="A26" t="s">
        <v>10</v>
      </c>
      <c r="B26" t="s">
        <v>13</v>
      </c>
      <c r="D26">
        <v>250</v>
      </c>
      <c r="E26">
        <v>250</v>
      </c>
      <c r="F26">
        <v>12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0.0339+0.03088</f>
        <v>6.4780000000000004E-2</v>
      </c>
      <c r="M26">
        <f>0.0339+0.03088</f>
        <v>6.4780000000000004E-2</v>
      </c>
      <c r="N26" t="s">
        <v>14</v>
      </c>
      <c r="O26" t="s">
        <v>128</v>
      </c>
    </row>
    <row r="27" spans="1:15" x14ac:dyDescent="0.2">
      <c r="A27" t="s">
        <v>10</v>
      </c>
      <c r="B27" t="s">
        <v>15</v>
      </c>
      <c r="C27" t="s">
        <v>38</v>
      </c>
      <c r="D27">
        <v>0</v>
      </c>
      <c r="E27">
        <v>0</v>
      </c>
      <c r="F27">
        <v>1</v>
      </c>
      <c r="G27">
        <v>5</v>
      </c>
      <c r="H27">
        <v>0</v>
      </c>
      <c r="I27">
        <v>24</v>
      </c>
      <c r="J27">
        <v>0</v>
      </c>
      <c r="K27">
        <v>6</v>
      </c>
      <c r="L27">
        <v>8.75</v>
      </c>
      <c r="M27">
        <v>8.75</v>
      </c>
      <c r="N27" t="s">
        <v>17</v>
      </c>
    </row>
    <row r="28" spans="1:15" x14ac:dyDescent="0.2">
      <c r="A28" t="s">
        <v>10</v>
      </c>
      <c r="B28" t="s">
        <v>15</v>
      </c>
      <c r="C28" t="s">
        <v>39</v>
      </c>
      <c r="D28">
        <v>0</v>
      </c>
      <c r="E28">
        <v>0</v>
      </c>
      <c r="F28">
        <v>6</v>
      </c>
      <c r="G28">
        <v>9</v>
      </c>
      <c r="H28">
        <v>0</v>
      </c>
      <c r="I28">
        <v>7</v>
      </c>
      <c r="J28">
        <v>0</v>
      </c>
      <c r="K28">
        <v>6</v>
      </c>
      <c r="L28">
        <v>11.4</v>
      </c>
      <c r="M28">
        <v>11.4</v>
      </c>
      <c r="N28" t="s">
        <v>17</v>
      </c>
    </row>
    <row r="29" spans="1:15" x14ac:dyDescent="0.2">
      <c r="A29" t="s">
        <v>10</v>
      </c>
      <c r="B29" t="s">
        <v>15</v>
      </c>
      <c r="C29" t="s">
        <v>40</v>
      </c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0</v>
      </c>
      <c r="K29">
        <v>6</v>
      </c>
      <c r="L29">
        <v>8.75</v>
      </c>
      <c r="M29">
        <v>8.75</v>
      </c>
      <c r="N29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/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workbookViewId="0">
      <selection activeCell="O3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123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80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zoomScaleNormal="100"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32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80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4"/>
  <sheetViews>
    <sheetView workbookViewId="0">
      <selection activeCell="M35" sqref="M35:M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  <c r="O3" t="s">
        <v>119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  <c r="O4" t="s">
        <v>119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  <c r="O5" t="s">
        <v>119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  <c r="O6" t="s">
        <v>119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  <c r="O7" t="s">
        <v>119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  <c r="O8" t="s">
        <v>119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  <c r="O9" t="s">
        <v>119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  <c r="O10" t="s">
        <v>119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  <c r="O11" t="s">
        <v>119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  <c r="O12" t="s">
        <v>119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  <c r="O13" t="s">
        <v>119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  <c r="O14" t="s">
        <v>119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  <c r="O15" t="s">
        <v>119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  <c r="O16" t="s">
        <v>119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  <c r="O17" t="s">
        <v>119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  <c r="O18" t="s">
        <v>119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  <c r="O19" t="s">
        <v>119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  <c r="O20" t="s">
        <v>119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0.04159+0.01843</f>
        <v>6.0020000000000004E-2</v>
      </c>
      <c r="M21">
        <f>0.04159+0.01843</f>
        <v>6.0020000000000004E-2</v>
      </c>
      <c r="N21" t="s">
        <v>14</v>
      </c>
      <c r="O21" t="s">
        <v>119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0.0665+0.01843</f>
        <v>8.4930000000000005E-2</v>
      </c>
      <c r="M22">
        <f>0.0665+0.01843</f>
        <v>8.4930000000000005E-2</v>
      </c>
      <c r="N22" t="s">
        <v>14</v>
      </c>
      <c r="O22" t="s">
        <v>119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0.04159+0.01843</f>
        <v>6.0020000000000004E-2</v>
      </c>
      <c r="M23">
        <f>0.04159+0.01843</f>
        <v>6.0020000000000004E-2</v>
      </c>
      <c r="N23" t="s">
        <v>14</v>
      </c>
      <c r="O23" t="s">
        <v>119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0.04159+0.01843</f>
        <v>6.0020000000000004E-2</v>
      </c>
      <c r="M24">
        <f>0.04159+0.01843</f>
        <v>6.0020000000000004E-2</v>
      </c>
      <c r="N24" t="s">
        <v>14</v>
      </c>
      <c r="O24" t="s">
        <v>119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0.04159+0.01822</f>
        <v>5.9810000000000002E-2</v>
      </c>
      <c r="M25">
        <f>0.04159+0.01822</f>
        <v>5.9810000000000002E-2</v>
      </c>
      <c r="N25" t="s">
        <v>14</v>
      </c>
      <c r="O25" t="s">
        <v>119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0.0665+0.01822</f>
        <v>8.4720000000000004E-2</v>
      </c>
      <c r="M26">
        <f>0.0665+0.01822</f>
        <v>8.4720000000000004E-2</v>
      </c>
      <c r="N26" t="s">
        <v>14</v>
      </c>
      <c r="O26" t="s">
        <v>119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0.04159+0.01822</f>
        <v>5.9810000000000002E-2</v>
      </c>
      <c r="M27">
        <f>0.04159+0.01822</f>
        <v>5.9810000000000002E-2</v>
      </c>
      <c r="N27" t="s">
        <v>14</v>
      </c>
      <c r="O27" t="s">
        <v>119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0.04159+0.01822</f>
        <v>5.9810000000000002E-2</v>
      </c>
      <c r="M28">
        <f>0.04159+0.01822</f>
        <v>5.9810000000000002E-2</v>
      </c>
      <c r="N28" t="s">
        <v>14</v>
      </c>
      <c r="O28" t="s">
        <v>119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0.04159+0.01726</f>
        <v>5.885E-2</v>
      </c>
      <c r="M29">
        <f>0.04159+0.01726</f>
        <v>5.885E-2</v>
      </c>
      <c r="N29" t="s">
        <v>14</v>
      </c>
      <c r="O29" t="s">
        <v>119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0.0665+0.01726</f>
        <v>8.3760000000000001E-2</v>
      </c>
      <c r="M30">
        <f>0.0665+0.01726</f>
        <v>8.3760000000000001E-2</v>
      </c>
      <c r="N30" t="s">
        <v>14</v>
      </c>
      <c r="O30" t="s">
        <v>119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0.04159+0.01726</f>
        <v>5.885E-2</v>
      </c>
      <c r="M31">
        <f>0.04159+0.01726</f>
        <v>5.885E-2</v>
      </c>
      <c r="N31" t="s">
        <v>14</v>
      </c>
      <c r="O31" t="s">
        <v>119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0.04159+0.01726</f>
        <v>5.885E-2</v>
      </c>
      <c r="M32">
        <f>0.04159+0.01726</f>
        <v>5.885E-2</v>
      </c>
      <c r="N32" t="s">
        <v>14</v>
      </c>
      <c r="O32" t="s">
        <v>119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0.04127+0.01979</f>
        <v>6.1060000000000003E-2</v>
      </c>
      <c r="M33">
        <f>0.04127+0.01979</f>
        <v>6.1060000000000003E-2</v>
      </c>
      <c r="N33" t="s">
        <v>14</v>
      </c>
      <c r="O33" t="s">
        <v>119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0.04127+0.0227</f>
        <v>6.3969999999999999E-2</v>
      </c>
      <c r="M34">
        <f>0.04127+0.0227</f>
        <v>6.3969999999999999E-2</v>
      </c>
      <c r="N34" t="s">
        <v>14</v>
      </c>
      <c r="O34" t="s">
        <v>119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0.04381+0.02414</f>
        <v>6.795000000000001E-2</v>
      </c>
      <c r="M35">
        <f>0.04381+0.02414</f>
        <v>6.795000000000001E-2</v>
      </c>
      <c r="N35" t="s">
        <v>14</v>
      </c>
      <c r="O35" t="s">
        <v>119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0.0515+0.02414</f>
        <v>7.5639999999999999E-2</v>
      </c>
      <c r="M36">
        <f>0.0515+0.02414</f>
        <v>7.5639999999999999E-2</v>
      </c>
      <c r="N36" t="s">
        <v>14</v>
      </c>
      <c r="O36" t="s">
        <v>119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0.04381+0.02414</f>
        <v>6.795000000000001E-2</v>
      </c>
      <c r="M37">
        <f>0.04381+0.02414</f>
        <v>6.795000000000001E-2</v>
      </c>
      <c r="N37" t="s">
        <v>14</v>
      </c>
      <c r="O37" t="s">
        <v>119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0.04381+0.02414</f>
        <v>6.795000000000001E-2</v>
      </c>
      <c r="M38">
        <f>0.04381+0.02414</f>
        <v>6.795000000000001E-2</v>
      </c>
      <c r="N38" t="s">
        <v>14</v>
      </c>
      <c r="O38" t="s">
        <v>119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57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2.4431900310000001E-2</v>
      </c>
      <c r="M4" s="6">
        <v>2.4431900310000001E-2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3.8349435639999999E-2</v>
      </c>
      <c r="M5" s="6">
        <v>3.8349435639999999E-2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2.324819446E-2</v>
      </c>
      <c r="M6" s="6">
        <v>2.324819446E-2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2.187149222E-2</v>
      </c>
      <c r="M7" s="6">
        <v>2.187149222E-2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2.6041281100000001E-2</v>
      </c>
      <c r="M8" s="6">
        <v>2.6041281100000001E-2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2.862723688E-2</v>
      </c>
      <c r="M9" s="6">
        <v>2.862723688E-2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3.3868808239999999E-2</v>
      </c>
      <c r="M10" s="6">
        <v>3.3868808239999999E-2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4.2256823640000003E-2</v>
      </c>
      <c r="M11" s="6">
        <v>4.2256823640000003E-2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4.3990401579999998E-2</v>
      </c>
      <c r="M12" s="6">
        <v>4.3990401579999998E-2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5.4245592510000003E-2</v>
      </c>
      <c r="M13" s="6">
        <v>5.4245592510000003E-2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6.3117345020000007E-2</v>
      </c>
      <c r="M14" s="6">
        <v>6.3117345020000007E-2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3.8051941759999999E-2</v>
      </c>
      <c r="M15" s="6">
        <v>3.8051941759999999E-2</v>
      </c>
      <c r="N15" t="s">
        <v>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38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4" sqref="O4:O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7"/>
  <sheetViews>
    <sheetView workbookViewId="0">
      <selection activeCell="P5" sqref="O5:P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332031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58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80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v>2.74983064516129E-2</v>
      </c>
      <c r="M6" s="6">
        <v>2.74983064516129E-2</v>
      </c>
      <c r="N6" t="s">
        <v>14</v>
      </c>
      <c r="O6" t="s">
        <v>105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 s="6">
        <v>4.2798288690476097E-2</v>
      </c>
      <c r="M7" s="6">
        <v>4.2798288690476097E-2</v>
      </c>
      <c r="N7" t="s">
        <v>14</v>
      </c>
      <c r="O7" t="s">
        <v>105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 s="6">
        <v>1.77984811827957E-2</v>
      </c>
      <c r="M8" s="6">
        <v>1.77984811827957E-2</v>
      </c>
      <c r="N8" t="s">
        <v>14</v>
      </c>
      <c r="O8" t="s">
        <v>105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 s="6">
        <v>1.36776805555555E-2</v>
      </c>
      <c r="M9" s="6">
        <v>1.36776805555555E-2</v>
      </c>
      <c r="N9" t="s">
        <v>14</v>
      </c>
      <c r="O9" t="s">
        <v>105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 s="6">
        <v>2.0449583333333299E-2</v>
      </c>
      <c r="M10" s="6">
        <v>2.0449583333333299E-2</v>
      </c>
      <c r="N10" t="s">
        <v>14</v>
      </c>
      <c r="O10" t="s">
        <v>105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 s="6">
        <v>3.3014458333333302E-2</v>
      </c>
      <c r="M11" s="6">
        <v>3.3014458333333302E-2</v>
      </c>
      <c r="N11" t="s">
        <v>14</v>
      </c>
      <c r="O11" t="s">
        <v>105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 s="6">
        <v>3.7364408602150498E-2</v>
      </c>
      <c r="M12" s="6">
        <v>3.7364408602150498E-2</v>
      </c>
      <c r="N12" t="s">
        <v>14</v>
      </c>
      <c r="O12" t="s">
        <v>105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 s="6">
        <v>4.5988413978494597E-2</v>
      </c>
      <c r="M13" s="6">
        <v>4.5988413978494597E-2</v>
      </c>
      <c r="N13" t="s">
        <v>14</v>
      </c>
      <c r="O13" t="s">
        <v>105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 s="6">
        <v>3.9946888888888803E-2</v>
      </c>
      <c r="M14" s="6">
        <v>3.9946888888888803E-2</v>
      </c>
      <c r="N14" t="s">
        <v>14</v>
      </c>
      <c r="O14" t="s">
        <v>105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 s="6">
        <v>4.9062715053763403E-2</v>
      </c>
      <c r="M15" s="6">
        <v>4.9062715053763403E-2</v>
      </c>
      <c r="N15" t="s">
        <v>14</v>
      </c>
      <c r="O15" t="s">
        <v>105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 s="6">
        <v>4.70899583333333E-2</v>
      </c>
      <c r="M16" s="6">
        <v>4.70899583333333E-2</v>
      </c>
      <c r="N16" t="s">
        <v>14</v>
      </c>
      <c r="O16" t="s">
        <v>105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v>3.9353091397849399E-2</v>
      </c>
      <c r="M17" s="6">
        <v>3.9353091397849399E-2</v>
      </c>
      <c r="N17" t="s">
        <v>14</v>
      </c>
      <c r="O17" t="s">
        <v>105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98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97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80</v>
      </c>
      <c r="O9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P24" sqref="P2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62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63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80</v>
      </c>
      <c r="O29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0.0412+0.00186</f>
        <v>4.3060000000000001E-2</v>
      </c>
      <c r="M3">
        <f>0.0412+0.00186</f>
        <v>4.3060000000000001E-2</v>
      </c>
      <c r="N3" t="s">
        <v>14</v>
      </c>
      <c r="O3" t="s">
        <v>118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0.036+0.00186</f>
        <v>3.7859999999999998E-2</v>
      </c>
      <c r="M4">
        <f>0.036+0.00186</f>
        <v>3.7859999999999998E-2</v>
      </c>
      <c r="N4" t="s">
        <v>14</v>
      </c>
      <c r="O4" t="s">
        <v>118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0.055+0.00186</f>
        <v>5.6860000000000001E-2</v>
      </c>
      <c r="M5">
        <f>0.055+0.00186</f>
        <v>5.6860000000000001E-2</v>
      </c>
      <c r="N5" t="s">
        <v>14</v>
      </c>
      <c r="O5" t="s">
        <v>118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f>0.0504+0.00186</f>
        <v>5.2260000000000001E-2</v>
      </c>
      <c r="M6">
        <f>0.0504+0.00186</f>
        <v>5.2260000000000001E-2</v>
      </c>
      <c r="N6" t="s">
        <v>14</v>
      </c>
      <c r="O6" t="s">
        <v>118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f>0.0412+0.00186</f>
        <v>4.3060000000000001E-2</v>
      </c>
      <c r="M7">
        <f>0.0412+0.00186</f>
        <v>4.3060000000000001E-2</v>
      </c>
      <c r="N7" t="s">
        <v>14</v>
      </c>
      <c r="O7" t="s">
        <v>118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f>0.036+0.00186</f>
        <v>3.7859999999999998E-2</v>
      </c>
      <c r="M8">
        <f>0.036+0.00186</f>
        <v>3.7859999999999998E-2</v>
      </c>
      <c r="N8" t="s">
        <v>14</v>
      </c>
      <c r="O8" t="s">
        <v>118</v>
      </c>
    </row>
    <row r="9" spans="1:15" x14ac:dyDescent="0.2">
      <c r="A9" t="s">
        <v>10</v>
      </c>
      <c r="B9" t="s">
        <v>15</v>
      </c>
      <c r="C9" t="s">
        <v>32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123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O6" sqref="O6:O5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80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  <c r="O6" t="s">
        <v>120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  <c r="O7" t="s">
        <v>120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  <c r="O8" t="s">
        <v>120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  <c r="O9" t="s">
        <v>120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  <c r="O10" t="s">
        <v>120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  <c r="O11" t="s">
        <v>120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  <c r="O12" t="s">
        <v>120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  <c r="O13" t="s">
        <v>120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  <c r="O14" t="s">
        <v>120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  <c r="O15" t="s">
        <v>120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  <c r="O16" t="s">
        <v>120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  <c r="O17" t="s">
        <v>120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  <c r="O18" t="s">
        <v>120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  <c r="O19" t="s">
        <v>120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  <c r="O20" t="s">
        <v>120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  <c r="O21" t="s">
        <v>120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  <c r="O22" t="s">
        <v>120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  <c r="O23" t="s">
        <v>120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  <c r="O24" t="s">
        <v>120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  <c r="O25" t="s">
        <v>120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  <c r="O26" t="s">
        <v>120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  <c r="O27" t="s">
        <v>120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  <c r="O28" t="s">
        <v>120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  <c r="O29" t="s">
        <v>120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  <c r="O30" t="s">
        <v>120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  <c r="O31" t="s">
        <v>120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  <c r="O32" t="s">
        <v>120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  <c r="O33" t="s">
        <v>120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  <c r="O34" t="s">
        <v>120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  <c r="O35" t="s">
        <v>120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  <c r="O36" t="s">
        <v>120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  <c r="O37" t="s">
        <v>120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  <c r="O38" t="s">
        <v>120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  <c r="O39" t="s">
        <v>120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  <c r="O40" t="s">
        <v>120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  <c r="O41" t="s">
        <v>120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  <c r="O42" t="s">
        <v>120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  <c r="O43" t="s">
        <v>120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  <c r="O44" t="s">
        <v>120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  <c r="O45" t="s">
        <v>120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  <c r="O46" t="s">
        <v>120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  <c r="O47" t="s">
        <v>120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  <c r="O48" t="s">
        <v>120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  <c r="O49" t="s">
        <v>120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  <c r="O50" t="s">
        <v>120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  <c r="O51" t="s">
        <v>120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  <c r="O52" t="s">
        <v>120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  <c r="O53" t="s">
        <v>120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7.0800000000000002E-2</v>
      </c>
      <c r="M3">
        <v>7.0800000000000002E-2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3" sqref="O3: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121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84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80</v>
      </c>
      <c r="O23" t="s">
        <v>66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80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99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workbookViewId="0">
      <selection activeCell="O38" sqref="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  <c r="O3" t="s">
        <v>126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  <c r="O4" t="s">
        <v>126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  <c r="O5" t="s">
        <v>126</v>
      </c>
    </row>
    <row r="6" spans="1:15" x14ac:dyDescent="0.2">
      <c r="A6" t="s">
        <v>10</v>
      </c>
      <c r="B6" t="s">
        <v>15</v>
      </c>
      <c r="C6" t="s">
        <v>38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38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39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40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38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39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40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38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121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80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80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80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107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107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107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107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107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107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107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107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107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107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107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107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83</v>
      </c>
      <c r="E1" s="1" t="s">
        <v>82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79</v>
      </c>
      <c r="M1" s="1" t="s">
        <v>78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89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32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80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workbookViewId="0">
      <selection activeCell="O3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f>0.06292+0.01845</f>
        <v>8.1369999999999998E-2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f>0.08783+0.01845</f>
        <v>0.10628000000000001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f>0.06292+0.01845</f>
        <v>8.1369999999999998E-2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f>0.06292+0.01845</f>
        <v>8.1369999999999998E-2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f>0.06292+0.02024</f>
        <v>8.3160000000000012E-2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f>0.08783+0.02024</f>
        <v>0.10807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f>0.06292+0.02024</f>
        <v>8.3160000000000012E-2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f>0.06292+0.02024</f>
        <v>8.3160000000000012E-2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f>0.06292+0.01995</f>
        <v>8.2869999999999999E-2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f>0.08783+0.01995</f>
        <v>0.10778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f>0.06292+0.01995</f>
        <v>8.2869999999999999E-2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f>0.06292+0.01995</f>
        <v>8.2869999999999999E-2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f>0.06292+0.01918</f>
        <v>8.2100000000000006E-2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f>0.08783+0.01918</f>
        <v>0.10701000000000001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f>0.06292+0.01918</f>
        <v>8.2100000000000006E-2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f>0.06292+0.01918</f>
        <v>8.2100000000000006E-2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f>0.0626+0.0002126</f>
        <v>6.2812599999999996E-2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f>0.0626+0.02334</f>
        <v>8.5940000000000003E-2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f>0.06514+0.02511</f>
        <v>9.0249999999999997E-2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f>0.07648+0.02511</f>
        <v>0.10159000000000001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f>0.06514+0.02511</f>
        <v>9.0249999999999997E-2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f>0.06514+0.02511</f>
        <v>9.0249999999999997E-2</v>
      </c>
      <c r="N38" t="s">
        <v>14</v>
      </c>
      <c r="O38" t="s">
        <v>87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56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5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5" x14ac:dyDescent="0.2">
      <c r="A46" t="s">
        <v>21</v>
      </c>
      <c r="B46" t="s">
        <v>15</v>
      </c>
      <c r="C46" t="s">
        <v>32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81</v>
      </c>
    </row>
    <row r="47" spans="1:15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80</v>
      </c>
    </row>
    <row r="48" spans="1:15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80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80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53"/>
  <sheetViews>
    <sheetView workbookViewId="0">
      <selection activeCell="L51" sqref="L5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0.06781+0.02116</f>
        <v>8.8969999999999994E-2</v>
      </c>
      <c r="M3">
        <f>0.06781+0.02116</f>
        <v>8.8969999999999994E-2</v>
      </c>
      <c r="N3" t="s">
        <v>14</v>
      </c>
      <c r="O3" t="s">
        <v>127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0.03661+0.02116</f>
        <v>5.7770000000000002E-2</v>
      </c>
      <c r="M4">
        <f>0.03661+0.02116</f>
        <v>5.7770000000000002E-2</v>
      </c>
      <c r="N4" t="s">
        <v>14</v>
      </c>
      <c r="O4" t="s">
        <v>127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>
        <f>0.03537+0.02116</f>
        <v>5.6529999999999997E-2</v>
      </c>
      <c r="M5">
        <f>0.03537+0.02116</f>
        <v>5.6529999999999997E-2</v>
      </c>
      <c r="N5" t="s">
        <v>14</v>
      </c>
      <c r="O5" t="s">
        <v>127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0.03502+0.02116</f>
        <v>5.6180000000000008E-2</v>
      </c>
      <c r="M6">
        <f>0.03502+0.02116</f>
        <v>5.6180000000000008E-2</v>
      </c>
      <c r="N6" t="s">
        <v>14</v>
      </c>
      <c r="O6" t="s">
        <v>127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>
        <f>0.06781+0.02045</f>
        <v>8.8259999999999991E-2</v>
      </c>
      <c r="M7">
        <f>0.06781+0.02045</f>
        <v>8.8259999999999991E-2</v>
      </c>
      <c r="N7" t="s">
        <v>14</v>
      </c>
      <c r="O7" t="s">
        <v>127</v>
      </c>
    </row>
    <row r="8" spans="1:15" x14ac:dyDescent="0.2">
      <c r="A8" t="s">
        <v>10</v>
      </c>
      <c r="B8" t="s">
        <v>13</v>
      </c>
      <c r="D8">
        <v>5000</v>
      </c>
      <c r="E8">
        <v>5000</v>
      </c>
      <c r="F8">
        <v>2</v>
      </c>
      <c r="G8">
        <v>2</v>
      </c>
      <c r="H8">
        <v>0</v>
      </c>
      <c r="I8">
        <v>24</v>
      </c>
      <c r="J8">
        <v>0</v>
      </c>
      <c r="K8">
        <v>6</v>
      </c>
      <c r="L8">
        <f>0.03661+0.02045</f>
        <v>5.706E-2</v>
      </c>
      <c r="M8">
        <f>0.03661+0.02045</f>
        <v>5.706E-2</v>
      </c>
      <c r="N8" t="s">
        <v>14</v>
      </c>
      <c r="O8" t="s">
        <v>127</v>
      </c>
    </row>
    <row r="9" spans="1:15" x14ac:dyDescent="0.2">
      <c r="A9" t="s">
        <v>10</v>
      </c>
      <c r="B9" t="s">
        <v>13</v>
      </c>
      <c r="D9">
        <v>15000</v>
      </c>
      <c r="E9">
        <v>15000</v>
      </c>
      <c r="F9">
        <v>2</v>
      </c>
      <c r="G9">
        <v>2</v>
      </c>
      <c r="H9">
        <v>0</v>
      </c>
      <c r="I9">
        <v>24</v>
      </c>
      <c r="J9">
        <v>0</v>
      </c>
      <c r="K9">
        <v>6</v>
      </c>
      <c r="L9">
        <f>0.03537+0.02045</f>
        <v>5.5819999999999995E-2</v>
      </c>
      <c r="M9">
        <f>0.03537+0.02045</f>
        <v>5.5819999999999995E-2</v>
      </c>
      <c r="N9" t="s">
        <v>14</v>
      </c>
      <c r="O9" t="s">
        <v>127</v>
      </c>
    </row>
    <row r="10" spans="1:15" x14ac:dyDescent="0.2">
      <c r="A10" t="s">
        <v>10</v>
      </c>
      <c r="B10" t="s">
        <v>13</v>
      </c>
      <c r="D10">
        <v>30000</v>
      </c>
      <c r="E10">
        <v>30000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0.03502+0.02045</f>
        <v>5.5470000000000005E-2</v>
      </c>
      <c r="M10">
        <f>0.03502+0.02045</f>
        <v>5.5470000000000005E-2</v>
      </c>
      <c r="N10" t="s">
        <v>14</v>
      </c>
      <c r="O10" t="s">
        <v>127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0.06781+0.02277</f>
        <v>9.0579999999999994E-2</v>
      </c>
      <c r="M11">
        <f>0.06781+0.02277</f>
        <v>9.0579999999999994E-2</v>
      </c>
      <c r="N11" t="s">
        <v>14</v>
      </c>
      <c r="O11" t="s">
        <v>127</v>
      </c>
    </row>
    <row r="12" spans="1:15" x14ac:dyDescent="0.2">
      <c r="A12" t="s">
        <v>10</v>
      </c>
      <c r="B12" t="s">
        <v>13</v>
      </c>
      <c r="D12">
        <v>5000</v>
      </c>
      <c r="E12">
        <v>5000</v>
      </c>
      <c r="F12">
        <v>3</v>
      </c>
      <c r="G12">
        <v>3</v>
      </c>
      <c r="H12">
        <v>0</v>
      </c>
      <c r="I12">
        <v>24</v>
      </c>
      <c r="J12">
        <v>0</v>
      </c>
      <c r="K12">
        <v>6</v>
      </c>
      <c r="L12">
        <f>0.03661+0.02277</f>
        <v>5.9379999999999995E-2</v>
      </c>
      <c r="M12">
        <f>0.03661+0.02277</f>
        <v>5.9379999999999995E-2</v>
      </c>
      <c r="N12" t="s">
        <v>14</v>
      </c>
      <c r="O12" t="s">
        <v>127</v>
      </c>
    </row>
    <row r="13" spans="1:15" x14ac:dyDescent="0.2">
      <c r="A13" t="s">
        <v>10</v>
      </c>
      <c r="B13" t="s">
        <v>13</v>
      </c>
      <c r="D13">
        <v>15000</v>
      </c>
      <c r="E13">
        <v>15000</v>
      </c>
      <c r="F13">
        <v>3</v>
      </c>
      <c r="G13">
        <v>3</v>
      </c>
      <c r="H13">
        <v>0</v>
      </c>
      <c r="I13">
        <v>24</v>
      </c>
      <c r="J13">
        <v>0</v>
      </c>
      <c r="K13">
        <v>6</v>
      </c>
      <c r="L13">
        <f>0.03537+0.02277</f>
        <v>5.8139999999999997E-2</v>
      </c>
      <c r="M13">
        <f>0.03537+0.02277</f>
        <v>5.8139999999999997E-2</v>
      </c>
      <c r="N13" t="s">
        <v>14</v>
      </c>
      <c r="O13" t="s">
        <v>127</v>
      </c>
    </row>
    <row r="14" spans="1:15" x14ac:dyDescent="0.2">
      <c r="A14" t="s">
        <v>10</v>
      </c>
      <c r="B14" t="s">
        <v>13</v>
      </c>
      <c r="D14">
        <v>30000</v>
      </c>
      <c r="E14">
        <v>30000</v>
      </c>
      <c r="F14">
        <v>3</v>
      </c>
      <c r="G14">
        <v>3</v>
      </c>
      <c r="H14">
        <v>0</v>
      </c>
      <c r="I14">
        <v>24</v>
      </c>
      <c r="J14">
        <v>0</v>
      </c>
      <c r="K14">
        <v>6</v>
      </c>
      <c r="L14">
        <f>0.03502+0.02277</f>
        <v>5.7790000000000001E-2</v>
      </c>
      <c r="M14">
        <f>0.03502+0.02277</f>
        <v>5.7790000000000001E-2</v>
      </c>
      <c r="N14" t="s">
        <v>14</v>
      </c>
      <c r="O14" t="s">
        <v>127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0.06781+0.03304</f>
        <v>0.10085</v>
      </c>
      <c r="M15">
        <f>0.06781+0.03304</f>
        <v>0.10085</v>
      </c>
      <c r="N15" t="s">
        <v>14</v>
      </c>
      <c r="O15" t="s">
        <v>127</v>
      </c>
    </row>
    <row r="16" spans="1:15" x14ac:dyDescent="0.2">
      <c r="A16" t="s">
        <v>10</v>
      </c>
      <c r="B16" t="s">
        <v>13</v>
      </c>
      <c r="D16">
        <v>5000</v>
      </c>
      <c r="E16">
        <v>5000</v>
      </c>
      <c r="F16">
        <v>4</v>
      </c>
      <c r="G16">
        <v>4</v>
      </c>
      <c r="H16">
        <v>0</v>
      </c>
      <c r="I16">
        <v>24</v>
      </c>
      <c r="J16">
        <v>0</v>
      </c>
      <c r="K16">
        <v>6</v>
      </c>
      <c r="L16">
        <f>0.03661+0.03304</f>
        <v>6.964999999999999E-2</v>
      </c>
      <c r="M16">
        <f>0.03661+0.03304</f>
        <v>6.964999999999999E-2</v>
      </c>
      <c r="N16" t="s">
        <v>14</v>
      </c>
      <c r="O16" t="s">
        <v>127</v>
      </c>
    </row>
    <row r="17" spans="1:15" x14ac:dyDescent="0.2">
      <c r="A17" t="s">
        <v>10</v>
      </c>
      <c r="B17" t="s">
        <v>13</v>
      </c>
      <c r="D17">
        <v>15000</v>
      </c>
      <c r="E17">
        <v>15000</v>
      </c>
      <c r="F17">
        <v>4</v>
      </c>
      <c r="G17">
        <v>4</v>
      </c>
      <c r="H17">
        <v>0</v>
      </c>
      <c r="I17">
        <v>24</v>
      </c>
      <c r="J17">
        <v>0</v>
      </c>
      <c r="K17">
        <v>6</v>
      </c>
      <c r="L17">
        <f>0.03537+0.03304</f>
        <v>6.8409999999999999E-2</v>
      </c>
      <c r="M17">
        <f>0.03537+0.03304</f>
        <v>6.8409999999999999E-2</v>
      </c>
      <c r="N17" t="s">
        <v>14</v>
      </c>
      <c r="O17" t="s">
        <v>127</v>
      </c>
    </row>
    <row r="18" spans="1:15" x14ac:dyDescent="0.2">
      <c r="A18" t="s">
        <v>10</v>
      </c>
      <c r="B18" t="s">
        <v>13</v>
      </c>
      <c r="D18">
        <v>30000</v>
      </c>
      <c r="E18">
        <v>30000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>
        <f>0.03502+0.03304</f>
        <v>6.8060000000000009E-2</v>
      </c>
      <c r="M18">
        <f>0.03502+0.03304</f>
        <v>6.8060000000000009E-2</v>
      </c>
      <c r="N18" t="s">
        <v>14</v>
      </c>
      <c r="O18" t="s">
        <v>127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24</v>
      </c>
      <c r="J19">
        <v>0</v>
      </c>
      <c r="K19">
        <v>6</v>
      </c>
      <c r="L19">
        <f>0.06781+0.03576</f>
        <v>0.10357</v>
      </c>
      <c r="M19">
        <f>0.06781+0.03576</f>
        <v>0.10357</v>
      </c>
      <c r="N19" t="s">
        <v>14</v>
      </c>
      <c r="O19" t="s">
        <v>127</v>
      </c>
    </row>
    <row r="20" spans="1:15" x14ac:dyDescent="0.2">
      <c r="A20" t="s">
        <v>10</v>
      </c>
      <c r="B20" t="s">
        <v>13</v>
      </c>
      <c r="D20">
        <v>5000</v>
      </c>
      <c r="E20">
        <v>5000</v>
      </c>
      <c r="F20">
        <v>5</v>
      </c>
      <c r="G20">
        <v>5</v>
      </c>
      <c r="H20">
        <v>0</v>
      </c>
      <c r="I20">
        <v>24</v>
      </c>
      <c r="J20">
        <v>0</v>
      </c>
      <c r="K20">
        <v>6</v>
      </c>
      <c r="L20">
        <f>0.03661+0.03576</f>
        <v>7.236999999999999E-2</v>
      </c>
      <c r="M20">
        <f>0.03661+0.03576</f>
        <v>7.236999999999999E-2</v>
      </c>
      <c r="N20" t="s">
        <v>14</v>
      </c>
      <c r="O20" t="s">
        <v>127</v>
      </c>
    </row>
    <row r="21" spans="1:15" x14ac:dyDescent="0.2">
      <c r="A21" t="s">
        <v>10</v>
      </c>
      <c r="B21" t="s">
        <v>13</v>
      </c>
      <c r="D21">
        <v>15000</v>
      </c>
      <c r="E21">
        <v>15000</v>
      </c>
      <c r="F21">
        <v>5</v>
      </c>
      <c r="G21">
        <v>5</v>
      </c>
      <c r="H21">
        <v>0</v>
      </c>
      <c r="I21">
        <v>24</v>
      </c>
      <c r="J21">
        <v>0</v>
      </c>
      <c r="K21">
        <v>6</v>
      </c>
      <c r="L21">
        <f>0.03537+0.03576</f>
        <v>7.1129999999999999E-2</v>
      </c>
      <c r="M21">
        <f>0.03537+0.03576</f>
        <v>7.1129999999999999E-2</v>
      </c>
      <c r="N21" t="s">
        <v>14</v>
      </c>
      <c r="O21" t="s">
        <v>127</v>
      </c>
    </row>
    <row r="22" spans="1:15" x14ac:dyDescent="0.2">
      <c r="A22" t="s">
        <v>10</v>
      </c>
      <c r="B22" t="s">
        <v>13</v>
      </c>
      <c r="D22">
        <v>30000</v>
      </c>
      <c r="E22">
        <v>30000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0.03502+0.03576</f>
        <v>7.078000000000001E-2</v>
      </c>
      <c r="M22">
        <f>0.03502+0.03576</f>
        <v>7.078000000000001E-2</v>
      </c>
      <c r="N22" t="s">
        <v>14</v>
      </c>
      <c r="O22" t="s">
        <v>127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0.06781+0.03548</f>
        <v>0.10328999999999999</v>
      </c>
      <c r="M23">
        <f>0.06781+0.03548</f>
        <v>0.10328999999999999</v>
      </c>
      <c r="N23" t="s">
        <v>14</v>
      </c>
      <c r="O23" t="s">
        <v>127</v>
      </c>
    </row>
    <row r="24" spans="1:15" x14ac:dyDescent="0.2">
      <c r="A24" t="s">
        <v>10</v>
      </c>
      <c r="B24" t="s">
        <v>13</v>
      </c>
      <c r="D24">
        <v>5000</v>
      </c>
      <c r="E24">
        <v>5000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0.03661+0.03548</f>
        <v>7.2089999999999987E-2</v>
      </c>
      <c r="M24">
        <f>0.03661+0.03548</f>
        <v>7.2089999999999987E-2</v>
      </c>
      <c r="N24" t="s">
        <v>14</v>
      </c>
      <c r="O24" t="s">
        <v>127</v>
      </c>
    </row>
    <row r="25" spans="1:15" x14ac:dyDescent="0.2">
      <c r="A25" t="s">
        <v>10</v>
      </c>
      <c r="B25" t="s">
        <v>13</v>
      </c>
      <c r="D25">
        <v>15000</v>
      </c>
      <c r="E25">
        <v>15000</v>
      </c>
      <c r="F25">
        <v>6</v>
      </c>
      <c r="G25">
        <v>6</v>
      </c>
      <c r="H25">
        <v>0</v>
      </c>
      <c r="I25">
        <v>24</v>
      </c>
      <c r="J25">
        <v>0</v>
      </c>
      <c r="K25">
        <v>6</v>
      </c>
      <c r="L25">
        <f>0.03537+0.03548</f>
        <v>7.0849999999999996E-2</v>
      </c>
      <c r="M25">
        <f>0.03537+0.03548</f>
        <v>7.0849999999999996E-2</v>
      </c>
      <c r="N25" t="s">
        <v>14</v>
      </c>
      <c r="O25" t="s">
        <v>127</v>
      </c>
    </row>
    <row r="26" spans="1:15" x14ac:dyDescent="0.2">
      <c r="A26" t="s">
        <v>10</v>
      </c>
      <c r="B26" t="s">
        <v>13</v>
      </c>
      <c r="D26">
        <v>30000</v>
      </c>
      <c r="E26">
        <v>30000</v>
      </c>
      <c r="F26">
        <v>6</v>
      </c>
      <c r="G26">
        <v>6</v>
      </c>
      <c r="H26">
        <v>0</v>
      </c>
      <c r="I26">
        <v>24</v>
      </c>
      <c r="J26">
        <v>0</v>
      </c>
      <c r="K26">
        <v>6</v>
      </c>
      <c r="L26">
        <f>0.03502+0.03548</f>
        <v>7.0500000000000007E-2</v>
      </c>
      <c r="M26">
        <f>0.03502+0.03548</f>
        <v>7.0500000000000007E-2</v>
      </c>
      <c r="N26" t="s">
        <v>14</v>
      </c>
      <c r="O26" t="s">
        <v>127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24</v>
      </c>
      <c r="J27">
        <v>0</v>
      </c>
      <c r="K27">
        <v>6</v>
      </c>
      <c r="L27">
        <f>0.06781+0.03217</f>
        <v>9.9979999999999986E-2</v>
      </c>
      <c r="M27">
        <v>6.7809999999999995E-2</v>
      </c>
      <c r="N27" t="s">
        <v>14</v>
      </c>
      <c r="O27" t="s">
        <v>127</v>
      </c>
    </row>
    <row r="28" spans="1:15" x14ac:dyDescent="0.2">
      <c r="A28" t="s">
        <v>10</v>
      </c>
      <c r="B28" t="s">
        <v>13</v>
      </c>
      <c r="D28">
        <v>5000</v>
      </c>
      <c r="E28">
        <v>5000</v>
      </c>
      <c r="F28">
        <v>7</v>
      </c>
      <c r="G28">
        <v>7</v>
      </c>
      <c r="H28">
        <v>0</v>
      </c>
      <c r="I28">
        <v>24</v>
      </c>
      <c r="J28">
        <v>0</v>
      </c>
      <c r="K28">
        <v>6</v>
      </c>
      <c r="L28">
        <f>0.03661+0.03217</f>
        <v>6.8779999999999994E-2</v>
      </c>
      <c r="M28">
        <v>3.6609999999999997E-2</v>
      </c>
      <c r="N28" t="s">
        <v>14</v>
      </c>
      <c r="O28" t="s">
        <v>127</v>
      </c>
    </row>
    <row r="29" spans="1:15" x14ac:dyDescent="0.2">
      <c r="A29" t="s">
        <v>10</v>
      </c>
      <c r="B29" t="s">
        <v>13</v>
      </c>
      <c r="D29">
        <v>15000</v>
      </c>
      <c r="E29">
        <v>15000</v>
      </c>
      <c r="F29">
        <v>7</v>
      </c>
      <c r="G29">
        <v>7</v>
      </c>
      <c r="H29">
        <v>0</v>
      </c>
      <c r="I29">
        <v>24</v>
      </c>
      <c r="J29">
        <v>0</v>
      </c>
      <c r="K29">
        <v>6</v>
      </c>
      <c r="L29">
        <f>0.03537+0.03217</f>
        <v>6.7539999999999989E-2</v>
      </c>
      <c r="M29">
        <v>3.5369999999999999E-2</v>
      </c>
      <c r="N29" t="s">
        <v>14</v>
      </c>
      <c r="O29" t="s">
        <v>127</v>
      </c>
    </row>
    <row r="30" spans="1:15" x14ac:dyDescent="0.2">
      <c r="A30" t="s">
        <v>10</v>
      </c>
      <c r="B30" t="s">
        <v>13</v>
      </c>
      <c r="D30">
        <v>30000</v>
      </c>
      <c r="E30">
        <v>30000</v>
      </c>
      <c r="F30">
        <v>7</v>
      </c>
      <c r="G30">
        <v>7</v>
      </c>
      <c r="H30">
        <v>0</v>
      </c>
      <c r="I30">
        <v>24</v>
      </c>
      <c r="J30">
        <v>0</v>
      </c>
      <c r="K30">
        <v>6</v>
      </c>
      <c r="L30">
        <f>0.03502+0.03217</f>
        <v>6.719E-2</v>
      </c>
      <c r="M30">
        <v>3.5020000000000003E-2</v>
      </c>
      <c r="N30" t="s">
        <v>14</v>
      </c>
      <c r="O30" t="s">
        <v>127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24</v>
      </c>
      <c r="J31">
        <v>0</v>
      </c>
      <c r="K31">
        <v>6</v>
      </c>
      <c r="L31">
        <f>0.06781+0.03629</f>
        <v>0.1041</v>
      </c>
      <c r="M31">
        <v>6.7809999999999995E-2</v>
      </c>
      <c r="N31" t="s">
        <v>14</v>
      </c>
      <c r="O31" t="s">
        <v>127</v>
      </c>
    </row>
    <row r="32" spans="1:15" x14ac:dyDescent="0.2">
      <c r="A32" t="s">
        <v>10</v>
      </c>
      <c r="B32" t="s">
        <v>13</v>
      </c>
      <c r="D32">
        <v>5000</v>
      </c>
      <c r="E32">
        <v>5000</v>
      </c>
      <c r="F32">
        <v>8</v>
      </c>
      <c r="G32">
        <v>8</v>
      </c>
      <c r="H32">
        <v>0</v>
      </c>
      <c r="I32">
        <v>24</v>
      </c>
      <c r="J32">
        <v>0</v>
      </c>
      <c r="K32">
        <v>6</v>
      </c>
      <c r="L32">
        <f>0.03661+0.03629</f>
        <v>7.2899999999999993E-2</v>
      </c>
      <c r="M32">
        <v>3.6609999999999997E-2</v>
      </c>
      <c r="N32" t="s">
        <v>14</v>
      </c>
      <c r="O32" t="s">
        <v>127</v>
      </c>
    </row>
    <row r="33" spans="1:15" x14ac:dyDescent="0.2">
      <c r="A33" t="s">
        <v>10</v>
      </c>
      <c r="B33" t="s">
        <v>13</v>
      </c>
      <c r="D33">
        <v>15000</v>
      </c>
      <c r="E33">
        <v>15000</v>
      </c>
      <c r="F33">
        <v>8</v>
      </c>
      <c r="G33">
        <v>8</v>
      </c>
      <c r="H33">
        <v>0</v>
      </c>
      <c r="I33">
        <v>24</v>
      </c>
      <c r="J33">
        <v>0</v>
      </c>
      <c r="K33">
        <v>6</v>
      </c>
      <c r="L33">
        <f>0.03537+0.03629</f>
        <v>7.1660000000000001E-2</v>
      </c>
      <c r="M33">
        <v>3.5369999999999999E-2</v>
      </c>
      <c r="N33" t="s">
        <v>14</v>
      </c>
      <c r="O33" t="s">
        <v>127</v>
      </c>
    </row>
    <row r="34" spans="1:15" x14ac:dyDescent="0.2">
      <c r="A34" t="s">
        <v>10</v>
      </c>
      <c r="B34" t="s">
        <v>13</v>
      </c>
      <c r="D34">
        <v>30000</v>
      </c>
      <c r="E34">
        <v>30000</v>
      </c>
      <c r="F34">
        <v>8</v>
      </c>
      <c r="G34">
        <v>8</v>
      </c>
      <c r="H34">
        <v>0</v>
      </c>
      <c r="I34">
        <v>24</v>
      </c>
      <c r="J34">
        <v>0</v>
      </c>
      <c r="K34">
        <v>6</v>
      </c>
      <c r="L34">
        <f>0.03502+0.03629</f>
        <v>7.1310000000000012E-2</v>
      </c>
      <c r="M34">
        <v>3.5020000000000003E-2</v>
      </c>
      <c r="N34" t="s">
        <v>14</v>
      </c>
      <c r="O34" t="s">
        <v>127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24</v>
      </c>
      <c r="J35">
        <v>0</v>
      </c>
      <c r="K35">
        <v>6</v>
      </c>
      <c r="L35">
        <f>0.06781+0.03232</f>
        <v>0.10013</v>
      </c>
      <c r="M35">
        <v>6.7809999999999995E-2</v>
      </c>
      <c r="N35" t="s">
        <v>14</v>
      </c>
      <c r="O35" t="s">
        <v>127</v>
      </c>
    </row>
    <row r="36" spans="1:15" x14ac:dyDescent="0.2">
      <c r="A36" t="s">
        <v>10</v>
      </c>
      <c r="B36" t="s">
        <v>13</v>
      </c>
      <c r="D36">
        <v>5000</v>
      </c>
      <c r="E36">
        <v>5000</v>
      </c>
      <c r="F36">
        <v>9</v>
      </c>
      <c r="G36">
        <v>9</v>
      </c>
      <c r="H36">
        <v>0</v>
      </c>
      <c r="I36">
        <v>24</v>
      </c>
      <c r="J36">
        <v>0</v>
      </c>
      <c r="K36">
        <v>6</v>
      </c>
      <c r="L36">
        <f>0.03661+0.03232</f>
        <v>6.8929999999999991E-2</v>
      </c>
      <c r="M36">
        <v>3.6609999999999997E-2</v>
      </c>
      <c r="N36" t="s">
        <v>14</v>
      </c>
      <c r="O36" t="s">
        <v>127</v>
      </c>
    </row>
    <row r="37" spans="1:15" x14ac:dyDescent="0.2">
      <c r="A37" t="s">
        <v>10</v>
      </c>
      <c r="B37" t="s">
        <v>13</v>
      </c>
      <c r="D37">
        <v>15000</v>
      </c>
      <c r="E37">
        <v>15000</v>
      </c>
      <c r="F37">
        <v>9</v>
      </c>
      <c r="G37">
        <v>9</v>
      </c>
      <c r="H37">
        <v>0</v>
      </c>
      <c r="I37">
        <v>24</v>
      </c>
      <c r="J37">
        <v>0</v>
      </c>
      <c r="K37">
        <v>6</v>
      </c>
      <c r="L37">
        <f>0.03537+0.03232</f>
        <v>6.769E-2</v>
      </c>
      <c r="M37">
        <v>3.5369999999999999E-2</v>
      </c>
      <c r="N37" t="s">
        <v>14</v>
      </c>
      <c r="O37" t="s">
        <v>127</v>
      </c>
    </row>
    <row r="38" spans="1:15" x14ac:dyDescent="0.2">
      <c r="A38" t="s">
        <v>10</v>
      </c>
      <c r="B38" t="s">
        <v>13</v>
      </c>
      <c r="D38">
        <v>30000</v>
      </c>
      <c r="E38">
        <v>30000</v>
      </c>
      <c r="F38">
        <v>9</v>
      </c>
      <c r="G38">
        <v>9</v>
      </c>
      <c r="H38">
        <v>0</v>
      </c>
      <c r="I38">
        <v>24</v>
      </c>
      <c r="J38">
        <v>0</v>
      </c>
      <c r="K38">
        <v>6</v>
      </c>
      <c r="L38">
        <f>0.03502+0.03232</f>
        <v>6.7340000000000011E-2</v>
      </c>
      <c r="M38">
        <v>3.5020000000000003E-2</v>
      </c>
      <c r="N38" t="s">
        <v>14</v>
      </c>
      <c r="O38" t="s">
        <v>127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24</v>
      </c>
      <c r="J39">
        <v>0</v>
      </c>
      <c r="K39">
        <v>6</v>
      </c>
      <c r="L39">
        <f>0.06781+0.03235</f>
        <v>0.10016</v>
      </c>
      <c r="M39">
        <v>6.7809999999999995E-2</v>
      </c>
      <c r="N39" t="s">
        <v>14</v>
      </c>
      <c r="O39" t="s">
        <v>127</v>
      </c>
    </row>
    <row r="40" spans="1:15" x14ac:dyDescent="0.2">
      <c r="A40" t="s">
        <v>10</v>
      </c>
      <c r="B40" t="s">
        <v>13</v>
      </c>
      <c r="D40">
        <v>5000</v>
      </c>
      <c r="E40">
        <v>5000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0.03661+0.03235</f>
        <v>6.8959999999999994E-2</v>
      </c>
      <c r="M40">
        <v>3.6609999999999997E-2</v>
      </c>
      <c r="N40" t="s">
        <v>14</v>
      </c>
      <c r="O40" t="s">
        <v>127</v>
      </c>
    </row>
    <row r="41" spans="1:15" x14ac:dyDescent="0.2">
      <c r="A41" t="s">
        <v>10</v>
      </c>
      <c r="B41" t="s">
        <v>13</v>
      </c>
      <c r="D41">
        <v>15000</v>
      </c>
      <c r="E41">
        <v>15000</v>
      </c>
      <c r="F41">
        <v>10</v>
      </c>
      <c r="G41">
        <v>10</v>
      </c>
      <c r="H41">
        <v>0</v>
      </c>
      <c r="I41">
        <v>24</v>
      </c>
      <c r="J41">
        <v>0</v>
      </c>
      <c r="K41">
        <v>6</v>
      </c>
      <c r="L41">
        <f>0.03537+0.03235</f>
        <v>6.7720000000000002E-2</v>
      </c>
      <c r="M41">
        <v>3.5369999999999999E-2</v>
      </c>
      <c r="N41" t="s">
        <v>14</v>
      </c>
      <c r="O41" t="s">
        <v>127</v>
      </c>
    </row>
    <row r="42" spans="1:15" x14ac:dyDescent="0.2">
      <c r="A42" t="s">
        <v>10</v>
      </c>
      <c r="B42" t="s">
        <v>13</v>
      </c>
      <c r="D42">
        <v>30000</v>
      </c>
      <c r="E42">
        <v>30000</v>
      </c>
      <c r="F42">
        <v>10</v>
      </c>
      <c r="G42">
        <v>10</v>
      </c>
      <c r="H42">
        <v>0</v>
      </c>
      <c r="I42">
        <v>24</v>
      </c>
      <c r="J42">
        <v>0</v>
      </c>
      <c r="K42">
        <v>6</v>
      </c>
      <c r="L42">
        <f>0.03502+0.03235</f>
        <v>6.7369999999999999E-2</v>
      </c>
      <c r="M42">
        <v>3.5020000000000003E-2</v>
      </c>
      <c r="N42" t="s">
        <v>14</v>
      </c>
      <c r="O42" t="s">
        <v>127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24</v>
      </c>
      <c r="J43">
        <v>0</v>
      </c>
      <c r="K43">
        <v>6</v>
      </c>
      <c r="L43">
        <f>0.06781+0.03592</f>
        <v>0.10372999999999999</v>
      </c>
      <c r="M43">
        <v>6.7809999999999995E-2</v>
      </c>
      <c r="N43" t="s">
        <v>14</v>
      </c>
      <c r="O43" t="s">
        <v>127</v>
      </c>
    </row>
    <row r="44" spans="1:15" x14ac:dyDescent="0.2">
      <c r="A44" t="s">
        <v>10</v>
      </c>
      <c r="B44" t="s">
        <v>13</v>
      </c>
      <c r="D44">
        <v>5000</v>
      </c>
      <c r="E44">
        <v>5000</v>
      </c>
      <c r="F44">
        <v>11</v>
      </c>
      <c r="G44">
        <v>11</v>
      </c>
      <c r="H44">
        <v>0</v>
      </c>
      <c r="I44">
        <v>24</v>
      </c>
      <c r="J44">
        <v>0</v>
      </c>
      <c r="K44">
        <v>6</v>
      </c>
      <c r="L44">
        <f>0.03661+0.03592</f>
        <v>7.2529999999999997E-2</v>
      </c>
      <c r="M44">
        <v>3.6609999999999997E-2</v>
      </c>
      <c r="N44" t="s">
        <v>14</v>
      </c>
      <c r="O44" t="s">
        <v>127</v>
      </c>
    </row>
    <row r="45" spans="1:15" x14ac:dyDescent="0.2">
      <c r="A45" t="s">
        <v>10</v>
      </c>
      <c r="B45" t="s">
        <v>13</v>
      </c>
      <c r="D45">
        <v>15000</v>
      </c>
      <c r="E45">
        <v>15000</v>
      </c>
      <c r="F45">
        <v>11</v>
      </c>
      <c r="G45">
        <v>11</v>
      </c>
      <c r="H45">
        <v>0</v>
      </c>
      <c r="I45">
        <v>24</v>
      </c>
      <c r="J45">
        <v>0</v>
      </c>
      <c r="K45">
        <v>6</v>
      </c>
      <c r="L45">
        <f>0.03537+0.03592</f>
        <v>7.1289999999999992E-2</v>
      </c>
      <c r="M45">
        <v>3.5369999999999999E-2</v>
      </c>
      <c r="N45" t="s">
        <v>14</v>
      </c>
      <c r="O45" t="s">
        <v>127</v>
      </c>
    </row>
    <row r="46" spans="1:15" x14ac:dyDescent="0.2">
      <c r="A46" t="s">
        <v>10</v>
      </c>
      <c r="B46" t="s">
        <v>13</v>
      </c>
      <c r="D46">
        <v>30000</v>
      </c>
      <c r="E46">
        <v>30000</v>
      </c>
      <c r="F46">
        <v>11</v>
      </c>
      <c r="G46">
        <v>11</v>
      </c>
      <c r="H46">
        <v>0</v>
      </c>
      <c r="I46">
        <v>24</v>
      </c>
      <c r="J46">
        <v>0</v>
      </c>
      <c r="K46">
        <v>6</v>
      </c>
      <c r="L46">
        <f>0.03502+0.03592</f>
        <v>7.0940000000000003E-2</v>
      </c>
      <c r="M46">
        <v>3.5020000000000003E-2</v>
      </c>
      <c r="N46" t="s">
        <v>14</v>
      </c>
      <c r="O46" t="s">
        <v>127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24</v>
      </c>
      <c r="J47">
        <v>0</v>
      </c>
      <c r="K47">
        <v>6</v>
      </c>
      <c r="L47">
        <f>0.06781+0.03708</f>
        <v>0.10489</v>
      </c>
      <c r="M47">
        <v>6.7809999999999995E-2</v>
      </c>
      <c r="N47" t="s">
        <v>14</v>
      </c>
      <c r="O47" t="s">
        <v>127</v>
      </c>
    </row>
    <row r="48" spans="1:15" x14ac:dyDescent="0.2">
      <c r="A48" t="s">
        <v>10</v>
      </c>
      <c r="B48" t="s">
        <v>13</v>
      </c>
      <c r="D48">
        <v>5000</v>
      </c>
      <c r="E48">
        <v>5000</v>
      </c>
      <c r="F48">
        <v>12</v>
      </c>
      <c r="G48">
        <v>12</v>
      </c>
      <c r="H48">
        <v>0</v>
      </c>
      <c r="I48">
        <v>24</v>
      </c>
      <c r="J48">
        <v>0</v>
      </c>
      <c r="K48">
        <v>6</v>
      </c>
      <c r="L48">
        <f>0.03661+0.03708</f>
        <v>7.3690000000000005E-2</v>
      </c>
      <c r="M48">
        <v>3.6609999999999997E-2</v>
      </c>
      <c r="N48" t="s">
        <v>14</v>
      </c>
      <c r="O48" t="s">
        <v>127</v>
      </c>
    </row>
    <row r="49" spans="1:15" x14ac:dyDescent="0.2">
      <c r="A49" t="s">
        <v>10</v>
      </c>
      <c r="B49" t="s">
        <v>13</v>
      </c>
      <c r="D49">
        <v>15000</v>
      </c>
      <c r="E49">
        <v>15000</v>
      </c>
      <c r="F49">
        <v>12</v>
      </c>
      <c r="G49">
        <v>12</v>
      </c>
      <c r="H49">
        <v>0</v>
      </c>
      <c r="I49">
        <v>24</v>
      </c>
      <c r="J49">
        <v>0</v>
      </c>
      <c r="K49">
        <v>6</v>
      </c>
      <c r="L49">
        <f>0.03537+0.03708</f>
        <v>7.2450000000000001E-2</v>
      </c>
      <c r="M49">
        <v>3.5369999999999999E-2</v>
      </c>
      <c r="N49" t="s">
        <v>14</v>
      </c>
      <c r="O49" t="s">
        <v>127</v>
      </c>
    </row>
    <row r="50" spans="1:15" x14ac:dyDescent="0.2">
      <c r="A50" t="s">
        <v>10</v>
      </c>
      <c r="B50" t="s">
        <v>13</v>
      </c>
      <c r="D50">
        <v>30000</v>
      </c>
      <c r="E50">
        <v>30000</v>
      </c>
      <c r="F50">
        <v>12</v>
      </c>
      <c r="G50">
        <v>12</v>
      </c>
      <c r="H50">
        <v>0</v>
      </c>
      <c r="I50">
        <v>24</v>
      </c>
      <c r="J50">
        <v>0</v>
      </c>
      <c r="K50">
        <v>6</v>
      </c>
      <c r="L50">
        <f>0.03502+0.03708</f>
        <v>7.2099999999999997E-2</v>
      </c>
      <c r="M50">
        <v>3.5020000000000003E-2</v>
      </c>
      <c r="N50" t="s">
        <v>14</v>
      </c>
      <c r="O50" t="s">
        <v>127</v>
      </c>
    </row>
    <row r="51" spans="1:15" x14ac:dyDescent="0.2">
      <c r="A51" t="s">
        <v>10</v>
      </c>
      <c r="B51" t="s">
        <v>15</v>
      </c>
      <c r="C51" t="s">
        <v>32</v>
      </c>
      <c r="D51">
        <v>50</v>
      </c>
      <c r="E51">
        <v>50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v>11.45</v>
      </c>
      <c r="M51">
        <v>11.45</v>
      </c>
      <c r="N51" t="s">
        <v>17</v>
      </c>
    </row>
    <row r="52" spans="1:15" x14ac:dyDescent="0.2">
      <c r="A52" t="s">
        <v>10</v>
      </c>
      <c r="B52" t="s">
        <v>15</v>
      </c>
      <c r="C52" t="s">
        <v>32</v>
      </c>
      <c r="D52">
        <v>100</v>
      </c>
      <c r="E52">
        <v>100</v>
      </c>
      <c r="F52">
        <v>1</v>
      </c>
      <c r="G52">
        <v>12</v>
      </c>
      <c r="H52">
        <v>0</v>
      </c>
      <c r="I52">
        <v>24</v>
      </c>
      <c r="J52">
        <v>0</v>
      </c>
      <c r="K52">
        <v>6</v>
      </c>
      <c r="L52">
        <v>10.71</v>
      </c>
      <c r="M52">
        <v>10.71</v>
      </c>
      <c r="N52" t="s">
        <v>17</v>
      </c>
    </row>
    <row r="53" spans="1:15" x14ac:dyDescent="0.2">
      <c r="A53" t="s">
        <v>10</v>
      </c>
      <c r="B53" t="s">
        <v>15</v>
      </c>
      <c r="C53" t="s">
        <v>32</v>
      </c>
      <c r="D53">
        <v>200</v>
      </c>
      <c r="E53">
        <v>200</v>
      </c>
      <c r="F53">
        <v>1</v>
      </c>
      <c r="G53">
        <v>12</v>
      </c>
      <c r="H53">
        <v>0</v>
      </c>
      <c r="I53">
        <v>24</v>
      </c>
      <c r="J53">
        <v>0</v>
      </c>
      <c r="K53">
        <v>6</v>
      </c>
      <c r="L53">
        <v>10.27</v>
      </c>
      <c r="M53">
        <v>10.27</v>
      </c>
      <c r="N53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59"/>
  <sheetViews>
    <sheetView zoomScaleNormal="100"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99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tabSelected="1"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1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96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32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68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69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45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8"/>
  <sheetViews>
    <sheetView workbookViewId="0">
      <selection activeCell="M7" sqref="M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2</v>
      </c>
      <c r="H3">
        <v>0</v>
      </c>
      <c r="I3">
        <v>24</v>
      </c>
      <c r="J3">
        <v>0</v>
      </c>
      <c r="K3">
        <v>6</v>
      </c>
      <c r="L3">
        <f>0.036204-0.008576</f>
        <v>2.7628E-2</v>
      </c>
      <c r="M3">
        <f>0.036204-0.008576</f>
        <v>2.7628E-2</v>
      </c>
      <c r="N3" t="s">
        <v>14</v>
      </c>
      <c r="O3" t="s">
        <v>122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3</v>
      </c>
      <c r="G4">
        <v>5</v>
      </c>
      <c r="H4">
        <v>0</v>
      </c>
      <c r="I4">
        <v>24</v>
      </c>
      <c r="J4">
        <v>0</v>
      </c>
      <c r="K4">
        <v>6</v>
      </c>
      <c r="L4">
        <f>0.036204-0.003725</f>
        <v>3.2479000000000001E-2</v>
      </c>
      <c r="M4">
        <f>0.036204-0.003725</f>
        <v>3.2479000000000001E-2</v>
      </c>
      <c r="N4" t="s">
        <v>14</v>
      </c>
      <c r="O4" t="s">
        <v>122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8</v>
      </c>
      <c r="H5">
        <v>0</v>
      </c>
      <c r="I5">
        <v>24</v>
      </c>
      <c r="J5">
        <v>0</v>
      </c>
      <c r="K5">
        <v>6</v>
      </c>
      <c r="L5">
        <f>0.036204-0.006178</f>
        <v>3.0026000000000001E-2</v>
      </c>
      <c r="M5">
        <f>0.036204-0.006178</f>
        <v>3.0026000000000001E-2</v>
      </c>
      <c r="N5" t="s">
        <v>14</v>
      </c>
      <c r="O5" t="s">
        <v>122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9</v>
      </c>
      <c r="G6">
        <v>11</v>
      </c>
      <c r="H6">
        <v>0</v>
      </c>
      <c r="I6">
        <v>24</v>
      </c>
      <c r="J6">
        <v>0</v>
      </c>
      <c r="K6">
        <v>6</v>
      </c>
      <c r="L6">
        <f>0.036204-0.000036</f>
        <v>3.6167999999999999E-2</v>
      </c>
      <c r="M6">
        <f>0.036204-0.000036</f>
        <v>3.6167999999999999E-2</v>
      </c>
      <c r="N6" t="s">
        <v>14</v>
      </c>
      <c r="O6" t="s">
        <v>122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12</v>
      </c>
      <c r="G7">
        <v>12</v>
      </c>
      <c r="H7">
        <v>0</v>
      </c>
      <c r="I7">
        <v>24</v>
      </c>
      <c r="J7">
        <v>0</v>
      </c>
      <c r="K7">
        <v>6</v>
      </c>
      <c r="L7">
        <f>0.036204+0.00535</f>
        <v>4.1554000000000001E-2</v>
      </c>
      <c r="M7">
        <f>0.036204+0.00535</f>
        <v>4.1554000000000001E-2</v>
      </c>
      <c r="N7" t="s">
        <v>14</v>
      </c>
      <c r="O7" t="s">
        <v>122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23.23</v>
      </c>
      <c r="M8">
        <v>23.23</v>
      </c>
      <c r="N8" t="s">
        <v>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7.0800000000000002E-2</v>
      </c>
      <c r="M4">
        <v>7.0800000000000002E-2</v>
      </c>
      <c r="N4" t="s">
        <v>14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38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38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7.0800000000000002E-2</v>
      </c>
      <c r="M3">
        <v>7.0800000000000002E-2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71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43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72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80</v>
      </c>
    </row>
    <row r="38" spans="1:14" x14ac:dyDescent="0.2">
      <c r="A38" t="s">
        <v>21</v>
      </c>
      <c r="B38" t="s">
        <v>15</v>
      </c>
      <c r="C38" t="s">
        <v>32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5"/>
  <sheetViews>
    <sheetView workbookViewId="0">
      <selection activeCell="O4" sqref="O4:O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3.0879516129032201E-2</v>
      </c>
      <c r="M4" s="6">
        <v>3.0879516129032201E-2</v>
      </c>
      <c r="N4" t="s">
        <v>14</v>
      </c>
      <c r="O4" t="s">
        <v>116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3.3753883928571399E-2</v>
      </c>
      <c r="M5" s="6">
        <v>3.3753883928571399E-2</v>
      </c>
      <c r="N5" t="s">
        <v>14</v>
      </c>
      <c r="O5" t="s">
        <v>116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2.3279381720430099E-2</v>
      </c>
      <c r="M6" s="6">
        <v>2.3279381720430099E-2</v>
      </c>
      <c r="N6" t="s">
        <v>14</v>
      </c>
      <c r="O6" t="s">
        <v>116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2.5462583333333299E-2</v>
      </c>
      <c r="M7" s="6">
        <v>2.5462583333333299E-2</v>
      </c>
      <c r="N7" t="s">
        <v>14</v>
      </c>
      <c r="O7" t="s">
        <v>116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2.7886196236559101E-2</v>
      </c>
      <c r="M8" s="6">
        <v>2.7886196236559101E-2</v>
      </c>
      <c r="N8" t="s">
        <v>14</v>
      </c>
      <c r="O8" t="s">
        <v>116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3.2229958333333301E-2</v>
      </c>
      <c r="M9" s="6">
        <v>3.2229958333333301E-2</v>
      </c>
      <c r="N9" t="s">
        <v>14</v>
      </c>
      <c r="O9" t="s">
        <v>116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3.9789287634408602E-2</v>
      </c>
      <c r="M10" s="6">
        <v>3.9789287634408602E-2</v>
      </c>
      <c r="N10" t="s">
        <v>14</v>
      </c>
      <c r="O10" t="s">
        <v>116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4.6466774193548298E-2</v>
      </c>
      <c r="M11" s="6">
        <v>4.6466774193548298E-2</v>
      </c>
      <c r="N11" t="s">
        <v>14</v>
      </c>
      <c r="O11" t="s">
        <v>116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4.2815319444444402E-2</v>
      </c>
      <c r="M12" s="6">
        <v>4.2815319444444402E-2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4.7652782258064498E-2</v>
      </c>
      <c r="M13" s="6">
        <v>4.7652782258064498E-2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3.7968652777777702E-2</v>
      </c>
      <c r="M14" s="6">
        <v>3.7968652777777702E-2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3.8975134408602098E-2</v>
      </c>
      <c r="M15" s="6">
        <v>3.8975134408602098E-2</v>
      </c>
      <c r="N15" t="s">
        <v>14</v>
      </c>
      <c r="O15" t="s">
        <v>116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108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M4" sqref="M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7.0800000000000002E-2</v>
      </c>
      <c r="M4">
        <v>7.0800000000000002E-2</v>
      </c>
      <c r="N4" t="s">
        <v>14</v>
      </c>
      <c r="O4" t="s">
        <v>110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86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38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39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40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85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80</v>
      </c>
    </row>
    <row r="13" spans="1:15" x14ac:dyDescent="0.2">
      <c r="A13" t="s">
        <v>21</v>
      </c>
      <c r="B13" t="s">
        <v>15</v>
      </c>
      <c r="C13" t="s">
        <v>32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80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6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2.3898133799999999E-2</v>
      </c>
      <c r="M3" s="6">
        <v>2.3898133799999999E-2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3.604653134E-2</v>
      </c>
      <c r="M4" s="6">
        <v>3.604653134E-2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2.447091375E-2</v>
      </c>
      <c r="M5" s="6">
        <v>2.447091375E-2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2.5445395070000001E-2</v>
      </c>
      <c r="M6" s="6">
        <v>2.5445395070000001E-2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2.7086476660000001E-2</v>
      </c>
      <c r="M7" s="6">
        <v>2.7086476660000001E-2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3.2237855750000002E-2</v>
      </c>
      <c r="M8" s="6">
        <v>3.2237855750000002E-2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3.4456949879999997E-2</v>
      </c>
      <c r="M9" s="6">
        <v>3.4456949879999997E-2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4.2882188330000001E-2</v>
      </c>
      <c r="M10" s="6">
        <v>4.2882188330000001E-2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4.5681787379999998E-2</v>
      </c>
      <c r="M11" s="6">
        <v>4.5681787379999998E-2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5.85827337E-2</v>
      </c>
      <c r="M12" s="6">
        <v>5.85827337E-2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6.5017620560000003E-2</v>
      </c>
      <c r="M13" s="6">
        <v>6.5017620560000003E-2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3.6457294680000002E-2</v>
      </c>
      <c r="M14" s="6">
        <v>3.6457294680000002E-2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v>0</v>
      </c>
      <c r="M15">
        <v>0</v>
      </c>
      <c r="N15" t="s">
        <v>17</v>
      </c>
      <c r="O15" t="s">
        <v>73</v>
      </c>
    </row>
    <row r="16" spans="1:15" x14ac:dyDescent="0.2">
      <c r="A16" t="s">
        <v>10</v>
      </c>
      <c r="B16" t="s">
        <v>15</v>
      </c>
      <c r="C16" t="s">
        <v>32</v>
      </c>
      <c r="D16">
        <v>5000</v>
      </c>
      <c r="E16">
        <v>5000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16.63</v>
      </c>
      <c r="M16">
        <v>16.63</v>
      </c>
      <c r="N16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2"/>
  <sheetViews>
    <sheetView workbookViewId="0">
      <selection activeCell="M23" sqref="M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36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30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37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8</v>
      </c>
      <c r="J6">
        <v>0</v>
      </c>
      <c r="K6">
        <v>4</v>
      </c>
      <c r="L6">
        <f>0.0146972+0.0232865</f>
        <v>3.7983700000000002E-2</v>
      </c>
      <c r="M6">
        <f>0.0146972+0.0232865</f>
        <v>3.7983700000000002E-2</v>
      </c>
      <c r="N6" t="s">
        <v>14</v>
      </c>
      <c r="O6" t="s">
        <v>124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8</v>
      </c>
      <c r="I7">
        <v>20</v>
      </c>
      <c r="J7">
        <v>0</v>
      </c>
      <c r="K7">
        <v>4</v>
      </c>
      <c r="L7">
        <f>0.0236715+0.0232865</f>
        <v>4.6958E-2</v>
      </c>
      <c r="M7">
        <f>0.0236715+0.0232865</f>
        <v>4.6958E-2</v>
      </c>
      <c r="N7" t="s">
        <v>14</v>
      </c>
      <c r="O7" t="s">
        <v>124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3</v>
      </c>
      <c r="H8">
        <v>20</v>
      </c>
      <c r="I8">
        <v>24</v>
      </c>
      <c r="J8">
        <v>0</v>
      </c>
      <c r="K8">
        <v>4</v>
      </c>
      <c r="L8">
        <f>0.0146972+0.0232865</f>
        <v>3.7983700000000002E-2</v>
      </c>
      <c r="M8">
        <f>0.0146972+0.0232865</f>
        <v>3.7983700000000002E-2</v>
      </c>
      <c r="N8" t="s">
        <v>14</v>
      </c>
      <c r="O8" t="s">
        <v>124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3</v>
      </c>
      <c r="H9">
        <v>0</v>
      </c>
      <c r="I9">
        <v>24</v>
      </c>
      <c r="J9">
        <v>5</v>
      </c>
      <c r="K9">
        <v>6</v>
      </c>
      <c r="L9">
        <f>0.0146972+0.0232865</f>
        <v>3.7983700000000002E-2</v>
      </c>
      <c r="M9">
        <f>0.0146972+0.0232865</f>
        <v>3.7983700000000002E-2</v>
      </c>
      <c r="N9" t="s">
        <v>14</v>
      </c>
      <c r="O9" t="s">
        <v>124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8</v>
      </c>
      <c r="J10">
        <v>0</v>
      </c>
      <c r="K10">
        <v>4</v>
      </c>
      <c r="L10">
        <f>0.0146972+0.0295023</f>
        <v>4.4199500000000003E-2</v>
      </c>
      <c r="M10">
        <f>0.0146972+0.0295023</f>
        <v>4.4199500000000003E-2</v>
      </c>
      <c r="N10" t="s">
        <v>14</v>
      </c>
      <c r="O10" t="s">
        <v>124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4</v>
      </c>
      <c r="G11">
        <v>5</v>
      </c>
      <c r="H11">
        <v>8</v>
      </c>
      <c r="I11">
        <v>20</v>
      </c>
      <c r="J11">
        <v>0</v>
      </c>
      <c r="K11">
        <v>4</v>
      </c>
      <c r="L11">
        <f>0.0236715+0.0295023</f>
        <v>5.31738E-2</v>
      </c>
      <c r="M11">
        <f>0.0236715+0.0295023</f>
        <v>5.31738E-2</v>
      </c>
      <c r="N11" t="s">
        <v>14</v>
      </c>
      <c r="O11" t="s">
        <v>124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5</v>
      </c>
      <c r="H12">
        <v>20</v>
      </c>
      <c r="I12">
        <v>24</v>
      </c>
      <c r="J12">
        <v>0</v>
      </c>
      <c r="K12">
        <v>4</v>
      </c>
      <c r="L12">
        <f t="shared" ref="L12:M14" si="0">0.0146972+0.0295023</f>
        <v>4.4199500000000003E-2</v>
      </c>
      <c r="M12">
        <f t="shared" si="0"/>
        <v>4.4199500000000003E-2</v>
      </c>
      <c r="N12" t="s">
        <v>14</v>
      </c>
      <c r="O12" t="s">
        <v>124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5</v>
      </c>
      <c r="H13">
        <v>0</v>
      </c>
      <c r="I13">
        <v>24</v>
      </c>
      <c r="J13">
        <v>5</v>
      </c>
      <c r="K13">
        <v>6</v>
      </c>
      <c r="L13">
        <f t="shared" si="0"/>
        <v>4.4199500000000003E-2</v>
      </c>
      <c r="M13">
        <f t="shared" si="0"/>
        <v>4.4199500000000003E-2</v>
      </c>
      <c r="N13" t="s">
        <v>14</v>
      </c>
      <c r="O13" t="s">
        <v>124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8</v>
      </c>
      <c r="J14">
        <v>0</v>
      </c>
      <c r="K14">
        <v>4</v>
      </c>
      <c r="L14">
        <f t="shared" si="0"/>
        <v>4.4199500000000003E-2</v>
      </c>
      <c r="M14">
        <f t="shared" si="0"/>
        <v>4.4199500000000003E-2</v>
      </c>
      <c r="N14" t="s">
        <v>14</v>
      </c>
      <c r="O14" t="s">
        <v>124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8</v>
      </c>
      <c r="I15">
        <v>20</v>
      </c>
      <c r="J15">
        <v>0</v>
      </c>
      <c r="K15">
        <v>4</v>
      </c>
      <c r="L15">
        <f>0.0331658+0.0295023</f>
        <v>6.2668100000000004E-2</v>
      </c>
      <c r="M15">
        <f>0.0331658+0.0295023</f>
        <v>6.2668100000000004E-2</v>
      </c>
      <c r="N15" t="s">
        <v>14</v>
      </c>
      <c r="O15" t="s">
        <v>124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20</v>
      </c>
      <c r="I16">
        <v>24</v>
      </c>
      <c r="J16">
        <v>0</v>
      </c>
      <c r="K16">
        <v>4</v>
      </c>
      <c r="L16">
        <f>0.0146972+0.0295023</f>
        <v>4.4199500000000003E-2</v>
      </c>
      <c r="M16">
        <f>0.0146972+0.0295023</f>
        <v>4.4199500000000003E-2</v>
      </c>
      <c r="N16" t="s">
        <v>14</v>
      </c>
      <c r="O16" t="s">
        <v>124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24</v>
      </c>
      <c r="J17">
        <v>5</v>
      </c>
      <c r="K17">
        <v>6</v>
      </c>
      <c r="L17">
        <f>0.0146972+0.0295023</f>
        <v>4.4199500000000003E-2</v>
      </c>
      <c r="M17">
        <f>0.0146972+0.0295023</f>
        <v>4.4199500000000003E-2</v>
      </c>
      <c r="N17" t="s">
        <v>14</v>
      </c>
      <c r="O17" t="s">
        <v>124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8</v>
      </c>
      <c r="H18">
        <v>0</v>
      </c>
      <c r="I18">
        <v>8</v>
      </c>
      <c r="J18">
        <v>0</v>
      </c>
      <c r="K18">
        <v>4</v>
      </c>
      <c r="L18">
        <f>0.0146972+0.0315661</f>
        <v>4.62633E-2</v>
      </c>
      <c r="M18">
        <f>0.0146972+0.0315661</f>
        <v>4.62633E-2</v>
      </c>
      <c r="N18" t="s">
        <v>14</v>
      </c>
      <c r="O18" t="s">
        <v>124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8</v>
      </c>
      <c r="H19">
        <v>8</v>
      </c>
      <c r="I19">
        <v>20</v>
      </c>
      <c r="J19">
        <v>0</v>
      </c>
      <c r="K19">
        <v>4</v>
      </c>
      <c r="L19">
        <f>0.0331658+0.0315661</f>
        <v>6.4731900000000009E-2</v>
      </c>
      <c r="M19">
        <f>0.0331658+0.0315661</f>
        <v>6.4731900000000009E-2</v>
      </c>
      <c r="N19" t="s">
        <v>14</v>
      </c>
      <c r="O19" t="s">
        <v>124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20</v>
      </c>
      <c r="I20">
        <v>24</v>
      </c>
      <c r="J20">
        <v>0</v>
      </c>
      <c r="K20">
        <v>4</v>
      </c>
      <c r="L20">
        <f t="shared" ref="L20:M22" si="1">0.0146972+0.0315661</f>
        <v>4.62633E-2</v>
      </c>
      <c r="M20">
        <f t="shared" si="1"/>
        <v>4.62633E-2</v>
      </c>
      <c r="N20" t="s">
        <v>14</v>
      </c>
      <c r="O20" t="s">
        <v>124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0</v>
      </c>
      <c r="I21">
        <v>24</v>
      </c>
      <c r="J21">
        <v>5</v>
      </c>
      <c r="K21">
        <v>6</v>
      </c>
      <c r="L21">
        <f t="shared" si="1"/>
        <v>4.62633E-2</v>
      </c>
      <c r="M21">
        <f t="shared" si="1"/>
        <v>4.62633E-2</v>
      </c>
      <c r="N21" t="s">
        <v>14</v>
      </c>
      <c r="O21" t="s">
        <v>124</v>
      </c>
    </row>
    <row r="22" spans="1:15" x14ac:dyDescent="0.2">
      <c r="A22" t="s">
        <v>10</v>
      </c>
      <c r="B22" t="s">
        <v>13</v>
      </c>
      <c r="C22" s="6"/>
      <c r="D22">
        <v>0</v>
      </c>
      <c r="E22">
        <v>0</v>
      </c>
      <c r="F22">
        <v>9</v>
      </c>
      <c r="G22">
        <v>9</v>
      </c>
      <c r="H22">
        <v>0</v>
      </c>
      <c r="I22">
        <v>8</v>
      </c>
      <c r="J22">
        <v>0</v>
      </c>
      <c r="K22">
        <v>4</v>
      </c>
      <c r="L22">
        <f t="shared" si="1"/>
        <v>4.62633E-2</v>
      </c>
      <c r="M22">
        <f t="shared" si="1"/>
        <v>4.62633E-2</v>
      </c>
      <c r="N22" t="s">
        <v>14</v>
      </c>
      <c r="O22" t="s">
        <v>124</v>
      </c>
    </row>
    <row r="23" spans="1:15" x14ac:dyDescent="0.2">
      <c r="A23" t="s">
        <v>10</v>
      </c>
      <c r="B23" t="s">
        <v>13</v>
      </c>
      <c r="C23" s="6"/>
      <c r="D23">
        <v>0</v>
      </c>
      <c r="E23">
        <v>0</v>
      </c>
      <c r="F23">
        <v>9</v>
      </c>
      <c r="G23">
        <v>9</v>
      </c>
      <c r="H23">
        <v>8</v>
      </c>
      <c r="I23">
        <v>20</v>
      </c>
      <c r="J23">
        <v>0</v>
      </c>
      <c r="K23">
        <v>4</v>
      </c>
      <c r="L23">
        <f>0.0236715+0.0315661</f>
        <v>5.5237599999999998E-2</v>
      </c>
      <c r="M23">
        <f>0.0236715+0.0315661</f>
        <v>5.5237599999999998E-2</v>
      </c>
      <c r="N23" t="s">
        <v>14</v>
      </c>
      <c r="O23" t="s">
        <v>124</v>
      </c>
    </row>
    <row r="24" spans="1:15" x14ac:dyDescent="0.2">
      <c r="A24" t="s">
        <v>10</v>
      </c>
      <c r="B24" t="s">
        <v>13</v>
      </c>
      <c r="C24" s="6"/>
      <c r="D24">
        <v>0</v>
      </c>
      <c r="E24">
        <v>0</v>
      </c>
      <c r="F24">
        <v>9</v>
      </c>
      <c r="G24">
        <v>9</v>
      </c>
      <c r="H24">
        <v>20</v>
      </c>
      <c r="I24">
        <v>24</v>
      </c>
      <c r="J24">
        <v>0</v>
      </c>
      <c r="K24">
        <v>4</v>
      </c>
      <c r="L24">
        <f>0.0146972+0.0315661</f>
        <v>4.62633E-2</v>
      </c>
      <c r="M24">
        <f>0.0146972+0.0315661</f>
        <v>4.62633E-2</v>
      </c>
      <c r="N24" t="s">
        <v>14</v>
      </c>
      <c r="O24" t="s">
        <v>124</v>
      </c>
    </row>
    <row r="25" spans="1:15" x14ac:dyDescent="0.2">
      <c r="A25" t="s">
        <v>10</v>
      </c>
      <c r="B25" t="s">
        <v>13</v>
      </c>
      <c r="C25" s="6"/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>
        <f>0.0146972+0.0315661</f>
        <v>4.62633E-2</v>
      </c>
      <c r="M25">
        <f>0.0146972+0.0315661</f>
        <v>4.62633E-2</v>
      </c>
      <c r="N25" t="s">
        <v>14</v>
      </c>
      <c r="O25" t="s">
        <v>124</v>
      </c>
    </row>
    <row r="26" spans="1:15" x14ac:dyDescent="0.2">
      <c r="A26" t="s">
        <v>10</v>
      </c>
      <c r="B26" t="s">
        <v>13</v>
      </c>
      <c r="C26" s="6"/>
      <c r="D26">
        <v>0</v>
      </c>
      <c r="E26">
        <v>0</v>
      </c>
      <c r="F26">
        <v>10</v>
      </c>
      <c r="G26">
        <v>12</v>
      </c>
      <c r="H26">
        <v>0</v>
      </c>
      <c r="I26">
        <v>8</v>
      </c>
      <c r="J26">
        <v>0</v>
      </c>
      <c r="K26">
        <v>4</v>
      </c>
      <c r="L26">
        <f>0.0146972+0.0371873</f>
        <v>5.18845E-2</v>
      </c>
      <c r="M26">
        <f>0.0146972+0.0371873</f>
        <v>5.18845E-2</v>
      </c>
      <c r="N26" t="s">
        <v>14</v>
      </c>
      <c r="O26" t="s">
        <v>124</v>
      </c>
    </row>
    <row r="27" spans="1:15" x14ac:dyDescent="0.2">
      <c r="A27" t="s">
        <v>10</v>
      </c>
      <c r="B27" t="s">
        <v>13</v>
      </c>
      <c r="C27" s="6"/>
      <c r="D27">
        <v>0</v>
      </c>
      <c r="E27">
        <v>0</v>
      </c>
      <c r="F27">
        <v>10</v>
      </c>
      <c r="G27">
        <v>12</v>
      </c>
      <c r="H27">
        <v>8</v>
      </c>
      <c r="I27">
        <v>20</v>
      </c>
      <c r="J27">
        <v>0</v>
      </c>
      <c r="K27">
        <v>4</v>
      </c>
      <c r="L27">
        <f>0.0236715+0.0371873</f>
        <v>6.0858800000000005E-2</v>
      </c>
      <c r="M27">
        <f>0.0236715+0.0371873</f>
        <v>6.0858800000000005E-2</v>
      </c>
      <c r="N27" t="s">
        <v>14</v>
      </c>
      <c r="O27" t="s">
        <v>124</v>
      </c>
    </row>
    <row r="28" spans="1:15" x14ac:dyDescent="0.2">
      <c r="A28" t="s">
        <v>10</v>
      </c>
      <c r="B28" t="s">
        <v>13</v>
      </c>
      <c r="C28" s="6"/>
      <c r="D28">
        <v>0</v>
      </c>
      <c r="E28">
        <v>0</v>
      </c>
      <c r="F28">
        <v>10</v>
      </c>
      <c r="G28">
        <v>12</v>
      </c>
      <c r="H28">
        <v>20</v>
      </c>
      <c r="I28">
        <v>24</v>
      </c>
      <c r="J28">
        <v>0</v>
      </c>
      <c r="K28">
        <v>4</v>
      </c>
      <c r="L28">
        <f>0.0146972+0.0371873</f>
        <v>5.18845E-2</v>
      </c>
      <c r="M28">
        <f>0.0146972+0.0371873</f>
        <v>5.18845E-2</v>
      </c>
      <c r="N28" t="s">
        <v>14</v>
      </c>
      <c r="O28" t="s">
        <v>124</v>
      </c>
    </row>
    <row r="29" spans="1:15" x14ac:dyDescent="0.2">
      <c r="A29" t="s">
        <v>10</v>
      </c>
      <c r="B29" t="s">
        <v>13</v>
      </c>
      <c r="C29" s="6"/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5</v>
      </c>
      <c r="K29">
        <v>6</v>
      </c>
      <c r="L29">
        <f>0.0146972+0.0371873</f>
        <v>5.18845E-2</v>
      </c>
      <c r="M29">
        <f>0.0146972+0.0371873</f>
        <v>5.18845E-2</v>
      </c>
      <c r="N29" t="s">
        <v>14</v>
      </c>
      <c r="O29" t="s">
        <v>124</v>
      </c>
    </row>
    <row r="30" spans="1:15" x14ac:dyDescent="0.2">
      <c r="A30" t="s">
        <v>21</v>
      </c>
      <c r="B30" t="s">
        <v>11</v>
      </c>
      <c r="C30" s="6"/>
      <c r="L30">
        <v>55</v>
      </c>
      <c r="M30">
        <v>55</v>
      </c>
      <c r="N30" t="s">
        <v>12</v>
      </c>
    </row>
    <row r="31" spans="1:15" x14ac:dyDescent="0.2">
      <c r="A31" t="s">
        <v>21</v>
      </c>
      <c r="B31" t="s">
        <v>13</v>
      </c>
      <c r="C31" s="6"/>
      <c r="D31">
        <v>0</v>
      </c>
      <c r="E31">
        <v>0</v>
      </c>
      <c r="F31">
        <v>1</v>
      </c>
      <c r="G31">
        <v>1</v>
      </c>
      <c r="H31">
        <v>0</v>
      </c>
      <c r="I31">
        <v>24</v>
      </c>
      <c r="J31">
        <v>0</v>
      </c>
      <c r="K31">
        <v>6</v>
      </c>
      <c r="L31">
        <f>0.3081+0.0337</f>
        <v>0.34179999999999999</v>
      </c>
      <c r="M31" s="6">
        <f>L31/2.83168</f>
        <v>0.12070572946095603</v>
      </c>
      <c r="N31" t="s">
        <v>80</v>
      </c>
      <c r="O31" t="s">
        <v>125</v>
      </c>
    </row>
    <row r="32" spans="1:15" x14ac:dyDescent="0.2">
      <c r="A32" t="s">
        <v>21</v>
      </c>
      <c r="B32" t="s">
        <v>13</v>
      </c>
      <c r="D32">
        <v>0</v>
      </c>
      <c r="E32">
        <v>0</v>
      </c>
      <c r="F32">
        <v>2</v>
      </c>
      <c r="G32">
        <v>2</v>
      </c>
      <c r="H32">
        <v>0</v>
      </c>
      <c r="I32">
        <v>24</v>
      </c>
      <c r="J32">
        <v>0</v>
      </c>
      <c r="K32">
        <v>6</v>
      </c>
      <c r="L32">
        <f>0.3124+0.0337</f>
        <v>0.34610000000000002</v>
      </c>
      <c r="M32" s="6">
        <f t="shared" ref="M32:M42" si="2">L32/2.83168</f>
        <v>0.1222242626285456</v>
      </c>
      <c r="N32" t="s">
        <v>80</v>
      </c>
      <c r="O32" t="s">
        <v>125</v>
      </c>
    </row>
    <row r="33" spans="1:15" x14ac:dyDescent="0.2">
      <c r="A33" t="s">
        <v>21</v>
      </c>
      <c r="B33" t="s">
        <v>13</v>
      </c>
      <c r="D33">
        <v>0</v>
      </c>
      <c r="E33">
        <v>0</v>
      </c>
      <c r="F33">
        <v>3</v>
      </c>
      <c r="G33">
        <v>3</v>
      </c>
      <c r="H33">
        <v>0</v>
      </c>
      <c r="I33">
        <v>24</v>
      </c>
      <c r="J33">
        <v>0</v>
      </c>
      <c r="K33">
        <v>6</v>
      </c>
      <c r="L33">
        <f>0.2499+0.0337</f>
        <v>0.28360000000000002</v>
      </c>
      <c r="M33" s="6">
        <f t="shared" si="2"/>
        <v>0.10015255961125552</v>
      </c>
      <c r="N33" t="s">
        <v>80</v>
      </c>
      <c r="O33" t="s">
        <v>125</v>
      </c>
    </row>
    <row r="34" spans="1:15" x14ac:dyDescent="0.2">
      <c r="A34" t="s">
        <v>21</v>
      </c>
      <c r="B34" t="s">
        <v>13</v>
      </c>
      <c r="D34">
        <v>0</v>
      </c>
      <c r="E34">
        <v>0</v>
      </c>
      <c r="F34">
        <v>4</v>
      </c>
      <c r="G34">
        <v>4</v>
      </c>
      <c r="H34">
        <v>0</v>
      </c>
      <c r="I34">
        <v>24</v>
      </c>
      <c r="J34">
        <v>0</v>
      </c>
      <c r="K34">
        <v>6</v>
      </c>
      <c r="L34">
        <f>0.0409+0.0337</f>
        <v>7.46E-2</v>
      </c>
      <c r="M34" s="6">
        <f t="shared" si="2"/>
        <v>2.6344784721437451E-2</v>
      </c>
      <c r="N34" t="s">
        <v>80</v>
      </c>
      <c r="O34" t="s">
        <v>125</v>
      </c>
    </row>
    <row r="35" spans="1:15" x14ac:dyDescent="0.2">
      <c r="A35" t="s">
        <v>21</v>
      </c>
      <c r="B35" t="s">
        <v>13</v>
      </c>
      <c r="D35">
        <v>0</v>
      </c>
      <c r="E35">
        <v>0</v>
      </c>
      <c r="F35">
        <v>5</v>
      </c>
      <c r="G35">
        <v>5</v>
      </c>
      <c r="H35">
        <v>0</v>
      </c>
      <c r="I35">
        <v>24</v>
      </c>
      <c r="J35">
        <v>0</v>
      </c>
      <c r="K35">
        <v>6</v>
      </c>
      <c r="L35">
        <f>0.1001+0.0337</f>
        <v>0.1338</v>
      </c>
      <c r="M35" s="6">
        <f t="shared" si="2"/>
        <v>4.7251101819414623E-2</v>
      </c>
      <c r="N35" t="s">
        <v>80</v>
      </c>
      <c r="O35" t="s">
        <v>125</v>
      </c>
    </row>
    <row r="36" spans="1:15" x14ac:dyDescent="0.2">
      <c r="A36" t="s">
        <v>21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0</v>
      </c>
      <c r="I36">
        <v>24</v>
      </c>
      <c r="J36">
        <v>0</v>
      </c>
      <c r="K36">
        <v>6</v>
      </c>
      <c r="L36">
        <f>0.2154+0.0337</f>
        <v>0.24910000000000002</v>
      </c>
      <c r="M36" s="6">
        <f t="shared" si="2"/>
        <v>8.7968979545711382E-2</v>
      </c>
      <c r="N36" t="s">
        <v>80</v>
      </c>
      <c r="O36" t="s">
        <v>125</v>
      </c>
    </row>
    <row r="37" spans="1:15" x14ac:dyDescent="0.2">
      <c r="A37" t="s">
        <v>21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0</v>
      </c>
      <c r="K37">
        <v>6</v>
      </c>
      <c r="L37">
        <f>0.2531+0.0337</f>
        <v>0.2868</v>
      </c>
      <c r="M37" s="6">
        <f t="shared" si="2"/>
        <v>0.10128263080574076</v>
      </c>
      <c r="N37" t="s">
        <v>80</v>
      </c>
      <c r="O37" t="s">
        <v>125</v>
      </c>
    </row>
    <row r="38" spans="1:15" x14ac:dyDescent="0.2">
      <c r="A38" t="s">
        <v>21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0</v>
      </c>
      <c r="K38">
        <v>6</v>
      </c>
      <c r="L38">
        <f>0.2576+0.0337</f>
        <v>0.2913</v>
      </c>
      <c r="M38" s="6">
        <f t="shared" si="2"/>
        <v>0.10287179342298565</v>
      </c>
      <c r="N38" t="s">
        <v>80</v>
      </c>
      <c r="O38" t="s">
        <v>125</v>
      </c>
    </row>
    <row r="39" spans="1:15" x14ac:dyDescent="0.2">
      <c r="A39" t="s">
        <v>21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24</v>
      </c>
      <c r="J39">
        <v>0</v>
      </c>
      <c r="K39">
        <v>6</v>
      </c>
      <c r="L39">
        <f>0.2572+0.0337</f>
        <v>0.29089999999999999</v>
      </c>
      <c r="M39" s="6">
        <f t="shared" si="2"/>
        <v>0.10273053452367499</v>
      </c>
      <c r="N39" t="s">
        <v>80</v>
      </c>
      <c r="O39" t="s">
        <v>125</v>
      </c>
    </row>
    <row r="40" spans="1:15" x14ac:dyDescent="0.2">
      <c r="A40" t="s">
        <v>21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0.2474+0.0337</f>
        <v>0.28110000000000002</v>
      </c>
      <c r="M40" s="6">
        <f t="shared" si="2"/>
        <v>9.9269691490563916E-2</v>
      </c>
      <c r="N40" t="s">
        <v>80</v>
      </c>
      <c r="O40" t="s">
        <v>125</v>
      </c>
    </row>
    <row r="41" spans="1:15" x14ac:dyDescent="0.2">
      <c r="A41" t="s">
        <v>21</v>
      </c>
      <c r="B41" t="s">
        <v>13</v>
      </c>
      <c r="D41">
        <v>0</v>
      </c>
      <c r="E41">
        <v>0</v>
      </c>
      <c r="F41">
        <v>11</v>
      </c>
      <c r="G41">
        <v>11</v>
      </c>
      <c r="H41">
        <v>0</v>
      </c>
      <c r="I41">
        <v>24</v>
      </c>
      <c r="J41">
        <v>0</v>
      </c>
      <c r="K41">
        <v>6</v>
      </c>
      <c r="L41">
        <f>0.2962+0.0337</f>
        <v>0.32990000000000003</v>
      </c>
      <c r="M41" s="6">
        <f t="shared" si="2"/>
        <v>0.11650327720646401</v>
      </c>
      <c r="N41" t="s">
        <v>80</v>
      </c>
      <c r="O41" t="s">
        <v>125</v>
      </c>
    </row>
    <row r="42" spans="1:15" x14ac:dyDescent="0.2">
      <c r="A42" t="s">
        <v>21</v>
      </c>
      <c r="B42" t="s">
        <v>13</v>
      </c>
      <c r="D42">
        <v>0</v>
      </c>
      <c r="E42">
        <v>0</v>
      </c>
      <c r="F42">
        <v>12</v>
      </c>
      <c r="G42">
        <v>12</v>
      </c>
      <c r="H42">
        <v>0</v>
      </c>
      <c r="I42">
        <v>24</v>
      </c>
      <c r="J42">
        <v>0</v>
      </c>
      <c r="K42">
        <v>6</v>
      </c>
      <c r="L42">
        <f>0.3558+0.0337</f>
        <v>0.38950000000000001</v>
      </c>
      <c r="M42" s="6">
        <f t="shared" si="2"/>
        <v>0.13755085320375185</v>
      </c>
      <c r="N42" t="s">
        <v>80</v>
      </c>
      <c r="O42" t="s">
        <v>125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56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74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74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8</v>
      </c>
      <c r="J7">
        <v>0</v>
      </c>
      <c r="K7">
        <v>4</v>
      </c>
      <c r="L7" s="6">
        <v>2.7671218819999999E-2</v>
      </c>
      <c r="M7" s="6">
        <v>2.7671218819999999E-2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20</v>
      </c>
      <c r="I8">
        <v>24</v>
      </c>
      <c r="J8">
        <v>0</v>
      </c>
      <c r="K8">
        <v>4</v>
      </c>
      <c r="L8" s="6">
        <v>2.7671218819999999E-2</v>
      </c>
      <c r="M8" s="6">
        <v>2.7671218819999999E-2</v>
      </c>
      <c r="N8" t="s">
        <v>14</v>
      </c>
      <c r="O8" t="s">
        <v>113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8</v>
      </c>
      <c r="I9">
        <v>20</v>
      </c>
      <c r="J9">
        <v>0</v>
      </c>
      <c r="K9">
        <v>4</v>
      </c>
      <c r="L9" s="6">
        <v>3.0170493780000002E-2</v>
      </c>
      <c r="M9" s="6">
        <v>3.0170493780000002E-2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24</v>
      </c>
      <c r="J10">
        <v>5</v>
      </c>
      <c r="K10">
        <v>6</v>
      </c>
      <c r="L10" s="6">
        <v>2.7671218819999999E-2</v>
      </c>
      <c r="M10" s="6">
        <v>2.7671218819999999E-2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8</v>
      </c>
      <c r="J11">
        <v>0</v>
      </c>
      <c r="K11">
        <v>4</v>
      </c>
      <c r="L11" s="6">
        <v>3.8993051639999998E-2</v>
      </c>
      <c r="M11" s="6">
        <v>3.8993051639999998E-2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20</v>
      </c>
      <c r="I12">
        <v>24</v>
      </c>
      <c r="J12">
        <v>0</v>
      </c>
      <c r="K12">
        <v>4</v>
      </c>
      <c r="L12" s="6">
        <v>3.8993051639999998E-2</v>
      </c>
      <c r="M12" s="6">
        <v>3.8993051639999998E-2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8</v>
      </c>
      <c r="I13">
        <v>20</v>
      </c>
      <c r="J13">
        <v>0</v>
      </c>
      <c r="K13">
        <v>4</v>
      </c>
      <c r="L13" s="6">
        <v>4.469269344E-2</v>
      </c>
      <c r="M13" s="6">
        <v>4.469269344E-2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24</v>
      </c>
      <c r="J14">
        <v>5</v>
      </c>
      <c r="K14">
        <v>6</v>
      </c>
      <c r="L14" s="6">
        <v>3.8993051639999998E-2</v>
      </c>
      <c r="M14" s="6">
        <v>3.8993051639999998E-2</v>
      </c>
      <c r="N14" t="s">
        <v>14</v>
      </c>
      <c r="O14" t="s">
        <v>113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8</v>
      </c>
      <c r="J15">
        <v>0</v>
      </c>
      <c r="K15">
        <v>4</v>
      </c>
      <c r="L15" s="6">
        <v>3.1872984520000001E-2</v>
      </c>
      <c r="M15" s="6">
        <v>3.1872984520000001E-2</v>
      </c>
      <c r="N15" t="s">
        <v>14</v>
      </c>
      <c r="O15" t="s">
        <v>113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20</v>
      </c>
      <c r="I16">
        <v>24</v>
      </c>
      <c r="J16">
        <v>0</v>
      </c>
      <c r="K16">
        <v>4</v>
      </c>
      <c r="L16" s="6">
        <v>3.1872984520000001E-2</v>
      </c>
      <c r="M16" s="6">
        <v>3.1872984520000001E-2</v>
      </c>
      <c r="N16" t="s">
        <v>14</v>
      </c>
      <c r="O16" t="s">
        <v>113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8</v>
      </c>
      <c r="I17">
        <v>20</v>
      </c>
      <c r="J17">
        <v>0</v>
      </c>
      <c r="K17">
        <v>4</v>
      </c>
      <c r="L17" s="6">
        <v>3.066592768E-2</v>
      </c>
      <c r="M17" s="6">
        <v>3.066592768E-2</v>
      </c>
      <c r="N17" t="s">
        <v>14</v>
      </c>
      <c r="O17" t="s">
        <v>113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24</v>
      </c>
      <c r="J18">
        <v>5</v>
      </c>
      <c r="K18">
        <v>6</v>
      </c>
      <c r="L18" s="6">
        <v>3.1872984520000001E-2</v>
      </c>
      <c r="M18" s="6">
        <v>3.1872984520000001E-2</v>
      </c>
      <c r="N18" t="s">
        <v>14</v>
      </c>
      <c r="O18" t="s">
        <v>113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8</v>
      </c>
      <c r="J19">
        <v>0</v>
      </c>
      <c r="K19">
        <v>4</v>
      </c>
      <c r="L19" s="6">
        <v>3.002261833E-2</v>
      </c>
      <c r="M19" s="6">
        <v>3.002261833E-2</v>
      </c>
      <c r="N19" t="s">
        <v>14</v>
      </c>
      <c r="O19" t="s">
        <v>113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20</v>
      </c>
      <c r="I20">
        <v>24</v>
      </c>
      <c r="J20">
        <v>0</v>
      </c>
      <c r="K20">
        <v>4</v>
      </c>
      <c r="L20" s="6">
        <v>3.002261833E-2</v>
      </c>
      <c r="M20" s="6">
        <v>3.002261833E-2</v>
      </c>
      <c r="N20" t="s">
        <v>14</v>
      </c>
      <c r="O20" t="s">
        <v>113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8</v>
      </c>
      <c r="I21">
        <v>20</v>
      </c>
      <c r="J21">
        <v>0</v>
      </c>
      <c r="K21">
        <v>4</v>
      </c>
      <c r="L21" s="6">
        <v>2.9529262050000001E-2</v>
      </c>
      <c r="M21" s="6">
        <v>2.9529262050000001E-2</v>
      </c>
      <c r="N21" t="s">
        <v>14</v>
      </c>
      <c r="O21" t="s">
        <v>113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5</v>
      </c>
      <c r="K22">
        <v>6</v>
      </c>
      <c r="L22" s="6">
        <v>3.002261833E-2</v>
      </c>
      <c r="M22" s="6">
        <v>3.002261833E-2</v>
      </c>
      <c r="N22" t="s">
        <v>14</v>
      </c>
      <c r="O22" t="s">
        <v>113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8</v>
      </c>
      <c r="J23">
        <v>0</v>
      </c>
      <c r="K23">
        <v>4</v>
      </c>
      <c r="L23" s="6">
        <v>2.9604475769999999E-2</v>
      </c>
      <c r="M23" s="6">
        <v>2.9604475769999999E-2</v>
      </c>
      <c r="N23" t="s">
        <v>14</v>
      </c>
      <c r="O23" t="s">
        <v>113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20</v>
      </c>
      <c r="I24">
        <v>24</v>
      </c>
      <c r="J24">
        <v>0</v>
      </c>
      <c r="K24">
        <v>4</v>
      </c>
      <c r="L24" s="6">
        <v>2.9604475769999999E-2</v>
      </c>
      <c r="M24" s="6">
        <v>2.9604475769999999E-2</v>
      </c>
      <c r="N24" t="s">
        <v>14</v>
      </c>
      <c r="O24" t="s">
        <v>113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8</v>
      </c>
      <c r="I25">
        <v>20</v>
      </c>
      <c r="J25">
        <v>0</v>
      </c>
      <c r="K25">
        <v>4</v>
      </c>
      <c r="L25" s="6">
        <v>3.3251551880000001E-2</v>
      </c>
      <c r="M25" s="6">
        <v>3.3251551880000001E-2</v>
      </c>
      <c r="N25" t="s">
        <v>14</v>
      </c>
      <c r="O25" t="s">
        <v>113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5</v>
      </c>
      <c r="K26">
        <v>6</v>
      </c>
      <c r="L26" s="6">
        <v>2.9604475769999999E-2</v>
      </c>
      <c r="M26" s="6">
        <v>2.9604475769999999E-2</v>
      </c>
      <c r="N26" t="s">
        <v>14</v>
      </c>
      <c r="O26" t="s">
        <v>113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8</v>
      </c>
      <c r="J27">
        <v>0</v>
      </c>
      <c r="K27">
        <v>4</v>
      </c>
      <c r="L27" s="6">
        <v>3.1483394400000003E-2</v>
      </c>
      <c r="M27" s="6">
        <v>3.1483394400000003E-2</v>
      </c>
      <c r="N27" t="s">
        <v>14</v>
      </c>
      <c r="O27" t="s">
        <v>113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20</v>
      </c>
      <c r="I28">
        <v>24</v>
      </c>
      <c r="J28">
        <v>0</v>
      </c>
      <c r="K28">
        <v>4</v>
      </c>
      <c r="L28" s="6">
        <v>3.1483394400000003E-2</v>
      </c>
      <c r="M28" s="6">
        <v>3.1483394400000003E-2</v>
      </c>
      <c r="N28" t="s">
        <v>14</v>
      </c>
      <c r="O28" t="s">
        <v>113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8</v>
      </c>
      <c r="I29">
        <v>20</v>
      </c>
      <c r="J29">
        <v>0</v>
      </c>
      <c r="K29">
        <v>4</v>
      </c>
      <c r="L29" s="6">
        <v>3.7065309159999997E-2</v>
      </c>
      <c r="M29" s="6">
        <v>3.7065309159999997E-2</v>
      </c>
      <c r="N29" t="s">
        <v>14</v>
      </c>
      <c r="O29" t="s">
        <v>113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24</v>
      </c>
      <c r="J30">
        <v>5</v>
      </c>
      <c r="K30">
        <v>6</v>
      </c>
      <c r="L30" s="6">
        <v>3.1483394400000003E-2</v>
      </c>
      <c r="M30" s="6">
        <v>3.1483394400000003E-2</v>
      </c>
      <c r="N30" t="s">
        <v>14</v>
      </c>
      <c r="O30" t="s">
        <v>113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8</v>
      </c>
      <c r="J31">
        <v>0</v>
      </c>
      <c r="K31">
        <v>4</v>
      </c>
      <c r="L31" s="6">
        <v>3.4740708670000002E-2</v>
      </c>
      <c r="M31" s="6">
        <v>3.4740708670000002E-2</v>
      </c>
      <c r="N31" t="s">
        <v>14</v>
      </c>
      <c r="O31" t="s">
        <v>113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20</v>
      </c>
      <c r="I32">
        <v>24</v>
      </c>
      <c r="J32">
        <v>0</v>
      </c>
      <c r="K32">
        <v>4</v>
      </c>
      <c r="L32" s="6">
        <v>3.4740708670000002E-2</v>
      </c>
      <c r="M32" s="6">
        <v>3.4740708670000002E-2</v>
      </c>
      <c r="N32" t="s">
        <v>14</v>
      </c>
      <c r="O32" t="s">
        <v>113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8</v>
      </c>
      <c r="I33">
        <v>20</v>
      </c>
      <c r="J33">
        <v>0</v>
      </c>
      <c r="K33">
        <v>4</v>
      </c>
      <c r="L33" s="6">
        <v>4.1894896360000003E-2</v>
      </c>
      <c r="M33" s="6">
        <v>4.1894896360000003E-2</v>
      </c>
      <c r="N33" t="s">
        <v>14</v>
      </c>
      <c r="O33" t="s">
        <v>113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24</v>
      </c>
      <c r="J34">
        <v>5</v>
      </c>
      <c r="K34">
        <v>6</v>
      </c>
      <c r="L34" s="6">
        <v>3.4740708670000002E-2</v>
      </c>
      <c r="M34" s="6">
        <v>3.4740708670000002E-2</v>
      </c>
      <c r="N34" t="s">
        <v>14</v>
      </c>
      <c r="O34" t="s">
        <v>113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8</v>
      </c>
      <c r="J35">
        <v>0</v>
      </c>
      <c r="K35">
        <v>4</v>
      </c>
      <c r="L35" s="6">
        <v>3.8827221539999998E-2</v>
      </c>
      <c r="M35" s="6">
        <v>3.8827221539999998E-2</v>
      </c>
      <c r="N35" t="s">
        <v>14</v>
      </c>
      <c r="O35" t="s">
        <v>113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20</v>
      </c>
      <c r="I36">
        <v>24</v>
      </c>
      <c r="J36">
        <v>0</v>
      </c>
      <c r="K36">
        <v>4</v>
      </c>
      <c r="L36" s="6">
        <v>3.8827221539999998E-2</v>
      </c>
      <c r="M36" s="6">
        <v>3.8827221539999998E-2</v>
      </c>
      <c r="N36" t="s">
        <v>14</v>
      </c>
      <c r="O36" t="s">
        <v>113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8</v>
      </c>
      <c r="I37">
        <v>20</v>
      </c>
      <c r="J37">
        <v>0</v>
      </c>
      <c r="K37">
        <v>4</v>
      </c>
      <c r="L37" s="6">
        <v>4.9131158309999999E-2</v>
      </c>
      <c r="M37" s="6">
        <v>4.9131158309999999E-2</v>
      </c>
      <c r="N37" t="s">
        <v>14</v>
      </c>
      <c r="O37" t="s">
        <v>113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5</v>
      </c>
      <c r="K38">
        <v>6</v>
      </c>
      <c r="L38" s="6">
        <v>3.8827221539999998E-2</v>
      </c>
      <c r="M38" s="6">
        <v>3.8827221539999998E-2</v>
      </c>
      <c r="N38" t="s">
        <v>14</v>
      </c>
      <c r="O38" t="s">
        <v>113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8</v>
      </c>
      <c r="J39">
        <v>0</v>
      </c>
      <c r="K39">
        <v>4</v>
      </c>
      <c r="L39" s="6">
        <v>4.1702698400000002E-2</v>
      </c>
      <c r="M39" s="6">
        <v>4.1702698400000002E-2</v>
      </c>
      <c r="N39" t="s">
        <v>14</v>
      </c>
      <c r="O39" t="s">
        <v>113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20</v>
      </c>
      <c r="I40">
        <v>24</v>
      </c>
      <c r="J40">
        <v>0</v>
      </c>
      <c r="K40">
        <v>4</v>
      </c>
      <c r="L40" s="6">
        <v>4.1702698400000002E-2</v>
      </c>
      <c r="M40" s="6">
        <v>4.1702698400000002E-2</v>
      </c>
      <c r="N40" t="s">
        <v>14</v>
      </c>
      <c r="O40" t="s">
        <v>113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8</v>
      </c>
      <c r="I41">
        <v>20</v>
      </c>
      <c r="J41">
        <v>0</v>
      </c>
      <c r="K41">
        <v>4</v>
      </c>
      <c r="L41" s="6">
        <v>5.0164077949999997E-2</v>
      </c>
      <c r="M41" s="6">
        <v>5.0164077949999997E-2</v>
      </c>
      <c r="N41" t="s">
        <v>14</v>
      </c>
      <c r="O41" t="s">
        <v>113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24</v>
      </c>
      <c r="J42">
        <v>5</v>
      </c>
      <c r="K42">
        <v>6</v>
      </c>
      <c r="L42" s="6">
        <v>4.1702698400000002E-2</v>
      </c>
      <c r="M42" s="6">
        <v>4.1702698400000002E-2</v>
      </c>
      <c r="N42" t="s">
        <v>14</v>
      </c>
      <c r="O42" t="s">
        <v>113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8</v>
      </c>
      <c r="J43">
        <v>0</v>
      </c>
      <c r="K43">
        <v>4</v>
      </c>
      <c r="L43" s="6">
        <v>5.2182881889999998E-2</v>
      </c>
      <c r="M43" s="6">
        <v>5.2182881889999998E-2</v>
      </c>
      <c r="N43" t="s">
        <v>14</v>
      </c>
      <c r="O43" t="s">
        <v>113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20</v>
      </c>
      <c r="I44">
        <v>24</v>
      </c>
      <c r="J44">
        <v>0</v>
      </c>
      <c r="K44">
        <v>4</v>
      </c>
      <c r="L44" s="6">
        <v>5.2182881889999998E-2</v>
      </c>
      <c r="M44" s="6">
        <v>5.2182881889999998E-2</v>
      </c>
      <c r="N44" t="s">
        <v>14</v>
      </c>
      <c r="O44" t="s">
        <v>113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8</v>
      </c>
      <c r="I45">
        <v>20</v>
      </c>
      <c r="J45">
        <v>0</v>
      </c>
      <c r="K45">
        <v>4</v>
      </c>
      <c r="L45" s="6">
        <v>5.6452981329999999E-2</v>
      </c>
      <c r="M45" s="6">
        <v>5.6452981329999999E-2</v>
      </c>
      <c r="N45" t="s">
        <v>14</v>
      </c>
      <c r="O45" t="s">
        <v>113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24</v>
      </c>
      <c r="J46">
        <v>5</v>
      </c>
      <c r="K46">
        <v>6</v>
      </c>
      <c r="L46" s="6">
        <v>5.2182881889999998E-2</v>
      </c>
      <c r="M46" s="6">
        <v>5.2182881889999998E-2</v>
      </c>
      <c r="N46" t="s">
        <v>14</v>
      </c>
      <c r="O46" t="s">
        <v>113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8</v>
      </c>
      <c r="J47">
        <v>0</v>
      </c>
      <c r="K47">
        <v>4</v>
      </c>
      <c r="L47" s="6">
        <v>5.4789943729999999E-2</v>
      </c>
      <c r="M47" s="6">
        <v>5.4789943729999999E-2</v>
      </c>
      <c r="N47" t="s">
        <v>14</v>
      </c>
      <c r="O47" t="s">
        <v>113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20</v>
      </c>
      <c r="I48">
        <v>24</v>
      </c>
      <c r="J48">
        <v>0</v>
      </c>
      <c r="K48">
        <v>4</v>
      </c>
      <c r="L48" s="6">
        <v>5.4789943729999999E-2</v>
      </c>
      <c r="M48" s="6">
        <v>5.4789943729999999E-2</v>
      </c>
      <c r="N48" t="s">
        <v>14</v>
      </c>
      <c r="O48" t="s">
        <v>113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8</v>
      </c>
      <c r="I49">
        <v>20</v>
      </c>
      <c r="J49">
        <v>0</v>
      </c>
      <c r="K49">
        <v>4</v>
      </c>
      <c r="L49" s="6">
        <v>5.7024925859999999E-2</v>
      </c>
      <c r="M49" s="6">
        <v>5.7024925859999999E-2</v>
      </c>
      <c r="N49" t="s">
        <v>14</v>
      </c>
      <c r="O49" t="s">
        <v>113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24</v>
      </c>
      <c r="J50">
        <v>5</v>
      </c>
      <c r="K50">
        <v>6</v>
      </c>
      <c r="L50" s="6">
        <v>5.4789943729999999E-2</v>
      </c>
      <c r="M50" s="6">
        <v>5.4789943729999999E-2</v>
      </c>
      <c r="N50" t="s">
        <v>14</v>
      </c>
      <c r="O50" t="s">
        <v>113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8</v>
      </c>
      <c r="J51">
        <v>0</v>
      </c>
      <c r="K51">
        <v>4</v>
      </c>
      <c r="L51" s="6">
        <v>3.7061986239999997E-2</v>
      </c>
      <c r="M51" s="6">
        <v>3.7061986239999997E-2</v>
      </c>
      <c r="N51" t="s">
        <v>14</v>
      </c>
      <c r="O51" t="s">
        <v>113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20</v>
      </c>
      <c r="I52">
        <v>24</v>
      </c>
      <c r="J52">
        <v>0</v>
      </c>
      <c r="K52">
        <v>4</v>
      </c>
      <c r="L52" s="6">
        <v>3.7061986239999997E-2</v>
      </c>
      <c r="M52" s="6">
        <v>3.7061986239999997E-2</v>
      </c>
      <c r="N52" t="s">
        <v>14</v>
      </c>
      <c r="O52" t="s">
        <v>113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8</v>
      </c>
      <c r="I53">
        <v>20</v>
      </c>
      <c r="J53">
        <v>0</v>
      </c>
      <c r="K53">
        <v>4</v>
      </c>
      <c r="L53" s="6">
        <v>4.2262979839999999E-2</v>
      </c>
      <c r="M53" s="6">
        <v>4.2262979839999999E-2</v>
      </c>
      <c r="N53" t="s">
        <v>14</v>
      </c>
      <c r="O53" t="s">
        <v>113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5</v>
      </c>
      <c r="K54">
        <v>6</v>
      </c>
      <c r="L54" s="6">
        <v>3.7061986239999997E-2</v>
      </c>
      <c r="M54" s="6">
        <v>3.7061986239999997E-2</v>
      </c>
      <c r="N54" t="s">
        <v>14</v>
      </c>
      <c r="O54" t="s">
        <v>113</v>
      </c>
    </row>
    <row r="55" spans="1:15" x14ac:dyDescent="0.2">
      <c r="A55" t="s">
        <v>21</v>
      </c>
      <c r="B55" t="s">
        <v>11</v>
      </c>
      <c r="L55">
        <v>17.75</v>
      </c>
      <c r="M55">
        <v>17.75</v>
      </c>
      <c r="N55" t="s">
        <v>12</v>
      </c>
    </row>
    <row r="56" spans="1:15" x14ac:dyDescent="0.2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v>0.32505600000000001</v>
      </c>
      <c r="M56" s="6">
        <f>L56/2.83168</f>
        <v>0.11479263193581196</v>
      </c>
      <c r="N56" t="s">
        <v>80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O26" sqref="O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  <c r="O4" t="s">
        <v>104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  <c r="O5" t="s">
        <v>104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  <c r="O7" t="s">
        <v>104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  <c r="O8" t="s">
        <v>104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  <c r="O9" t="s">
        <v>104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  <c r="O10" t="s">
        <v>104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  <c r="O11" t="s">
        <v>104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  <c r="O12" t="s">
        <v>104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  <c r="O13" t="s">
        <v>104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  <c r="O14" t="s">
        <v>104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  <c r="O15" t="s">
        <v>104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  <c r="O16" t="s">
        <v>104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  <c r="O17" t="s">
        <v>104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  <c r="O18" t="s">
        <v>104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  <c r="O19" t="s">
        <v>104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  <c r="O20" t="s">
        <v>104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  <c r="O21" t="s">
        <v>104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  <c r="O22" t="s">
        <v>104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  <c r="O23" t="s">
        <v>104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  <c r="O24" t="s">
        <v>104</v>
      </c>
    </row>
    <row r="25" spans="1:15" x14ac:dyDescent="0.2">
      <c r="A25" t="s">
        <v>10</v>
      </c>
      <c r="B25" t="s">
        <v>15</v>
      </c>
      <c r="C25" t="s">
        <v>32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104</v>
      </c>
    </row>
    <row r="28" spans="1:15" x14ac:dyDescent="0.2">
      <c r="A28" t="s">
        <v>10</v>
      </c>
      <c r="B28" t="s">
        <v>15</v>
      </c>
      <c r="C28" t="s">
        <v>70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80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80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7"/>
  <sheetViews>
    <sheetView workbookViewId="0">
      <selection activeCell="O3" sqref="O3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 x14ac:dyDescent="0.2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 x14ac:dyDescent="0.2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80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7" sqref="O7:O5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  <c r="O8" t="s">
        <v>100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  <c r="O9" t="s">
        <v>100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  <c r="O10" t="s">
        <v>100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  <c r="O11" t="s">
        <v>100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  <c r="O12" t="s">
        <v>100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  <c r="O13" t="s">
        <v>100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  <c r="O14" t="s">
        <v>100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  <c r="O15" t="s">
        <v>100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  <c r="O16" t="s">
        <v>100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  <c r="O17" t="s">
        <v>100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  <c r="O18" t="s">
        <v>100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  <c r="O19" t="s">
        <v>100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  <c r="O20" t="s">
        <v>100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  <c r="O21" t="s">
        <v>100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  <c r="O22" t="s">
        <v>100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  <c r="O23" t="s">
        <v>100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  <c r="O24" t="s">
        <v>100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  <c r="O25" t="s">
        <v>100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  <c r="O26" t="s">
        <v>100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  <c r="O27" t="s">
        <v>100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  <c r="O28" t="s">
        <v>100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  <c r="O29" t="s">
        <v>100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  <c r="O30" t="s">
        <v>100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  <c r="O31" t="s">
        <v>100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  <c r="O32" t="s">
        <v>100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  <c r="O33" t="s">
        <v>100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  <c r="O34" t="s">
        <v>100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  <c r="O35" t="s">
        <v>100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  <c r="O36" t="s">
        <v>100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  <c r="O37" t="s">
        <v>100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  <c r="O38" t="s">
        <v>100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  <c r="O39" t="s">
        <v>100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  <c r="O40" t="s">
        <v>100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  <c r="O41" t="s">
        <v>100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  <c r="O42" t="s">
        <v>100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  <c r="O43" t="s">
        <v>100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  <c r="O44" t="s">
        <v>100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  <c r="O45" t="s">
        <v>100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  <c r="O46" t="s">
        <v>100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  <c r="O47" t="s">
        <v>100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  <c r="O48" t="s">
        <v>100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  <c r="O49" t="s">
        <v>100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  <c r="O50" t="s">
        <v>100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  <c r="O51" t="s">
        <v>100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  <c r="O52" t="s">
        <v>100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  <c r="O53" t="s">
        <v>100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  <c r="O54" t="s">
        <v>100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:O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  <c r="O4" t="s">
        <v>101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  <c r="O5" t="s">
        <v>101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  <c r="O6" t="s">
        <v>101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  <c r="O7" t="s">
        <v>101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  <c r="O8" t="s">
        <v>101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32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35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O38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28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38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80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80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O5" sqref="O5:O1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  <c r="O6" t="s">
        <v>103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  <c r="O7" t="s">
        <v>103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  <c r="O8" t="s">
        <v>103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  <c r="O9" t="s">
        <v>103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  <c r="O10" t="s">
        <v>103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  <c r="O11" t="s">
        <v>103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  <c r="O12" t="s">
        <v>103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  <c r="O13" t="s">
        <v>103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  <c r="O14" t="s">
        <v>103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  <c r="O15" t="s">
        <v>103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  <c r="O16" t="s">
        <v>103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  <c r="O17" t="s">
        <v>103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  <c r="O18" t="s">
        <v>103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  <c r="O19" t="s">
        <v>103</v>
      </c>
    </row>
    <row r="20" spans="1:15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5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80</v>
      </c>
    </row>
    <row r="22" spans="1:15" x14ac:dyDescent="0.2">
      <c r="A22" t="s">
        <v>21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 s="10">
        <f>14.07+17.1+2.92</f>
        <v>34.090000000000003</v>
      </c>
      <c r="M4" s="10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2023-10-04T18:44:26Z</dcterms:modified>
</cp:coreProperties>
</file>